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0BF11C5B-155A-4C15-9288-94CE7ED5B3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rtgages" sheetId="2" r:id="rId1"/>
    <sheet name="Contex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2" i="2" l="1"/>
  <c r="H1257" i="2"/>
  <c r="F1212" i="2"/>
  <c r="G1242" i="2"/>
  <c r="H1212" i="2"/>
  <c r="I1197" i="2"/>
  <c r="I1212" i="2"/>
  <c r="G1257" i="2"/>
  <c r="F1197" i="2"/>
  <c r="H1242" i="2"/>
  <c r="H1197" i="2"/>
  <c r="I1257" i="2"/>
  <c r="D1257" i="2"/>
  <c r="G1212" i="2"/>
  <c r="D1212" i="2"/>
  <c r="G1197" i="2"/>
  <c r="D1242" i="2"/>
  <c r="D1197" i="2"/>
  <c r="F1257" i="2"/>
  <c r="F1242" i="2"/>
  <c r="G1509" i="2"/>
  <c r="H1519" i="2"/>
  <c r="G1529" i="2"/>
  <c r="G1514" i="2"/>
  <c r="G1519" i="2"/>
  <c r="H1509" i="2"/>
  <c r="H1524" i="2"/>
  <c r="G1524" i="2"/>
  <c r="H1514" i="2"/>
  <c r="G1483" i="2"/>
  <c r="H1483" i="2"/>
  <c r="H1529" i="2"/>
  <c r="G1437" i="2"/>
  <c r="H1325" i="2"/>
  <c r="G1325" i="2"/>
  <c r="G1434" i="2"/>
  <c r="H1417" i="2"/>
  <c r="H1487" i="2"/>
  <c r="H1375" i="2"/>
  <c r="H1459" i="2"/>
  <c r="G1459" i="2"/>
  <c r="I1434" i="2"/>
  <c r="I1437" i="2"/>
  <c r="I1417" i="2"/>
  <c r="I1325" i="2"/>
  <c r="G1375" i="2"/>
  <c r="H1479" i="2"/>
  <c r="G1479" i="2"/>
  <c r="G1487" i="2"/>
  <c r="I1487" i="2"/>
  <c r="I1375" i="2"/>
  <c r="H1434" i="2"/>
  <c r="I1459" i="2"/>
  <c r="H1437" i="2"/>
  <c r="I1479" i="2"/>
  <c r="G1417" i="2"/>
  <c r="F1247" i="2"/>
  <c r="F1227" i="2"/>
  <c r="G1282" i="2"/>
  <c r="D1157" i="2"/>
  <c r="D1167" i="2"/>
  <c r="D1341" i="2"/>
  <c r="G1172" i="2"/>
  <c r="G1247" i="2"/>
  <c r="I1227" i="2"/>
  <c r="D1217" i="2"/>
  <c r="G1217" i="2"/>
  <c r="F1172" i="2"/>
  <c r="I1167" i="2"/>
  <c r="F1252" i="2"/>
  <c r="D1282" i="2"/>
  <c r="H1252" i="2"/>
  <c r="G1152" i="2"/>
  <c r="F1341" i="2"/>
  <c r="I1252" i="2"/>
  <c r="H1341" i="2"/>
  <c r="F1217" i="2"/>
  <c r="I1152" i="2"/>
  <c r="I1282" i="2"/>
  <c r="D1152" i="2"/>
  <c r="I1172" i="2"/>
  <c r="D1172" i="2"/>
  <c r="H1282" i="2"/>
  <c r="I1157" i="2"/>
  <c r="I1341" i="2"/>
  <c r="F1152" i="2"/>
  <c r="I1247" i="2"/>
  <c r="G1167" i="2"/>
  <c r="G1252" i="2"/>
  <c r="G1227" i="2"/>
  <c r="H1217" i="2"/>
  <c r="H1227" i="2"/>
  <c r="F1167" i="2"/>
  <c r="G1157" i="2"/>
  <c r="H1247" i="2"/>
  <c r="D1227" i="2"/>
  <c r="F1157" i="2"/>
  <c r="H1152" i="2"/>
  <c r="I1217" i="2"/>
  <c r="H1157" i="2"/>
  <c r="D1252" i="2"/>
  <c r="H1172" i="2"/>
  <c r="D1247" i="2"/>
  <c r="H1167" i="2"/>
  <c r="G1341" i="2"/>
  <c r="F1282" i="2"/>
  <c r="I1277" i="2"/>
  <c r="F1277" i="2"/>
  <c r="G1177" i="2"/>
  <c r="H1272" i="2"/>
  <c r="F1232" i="2"/>
  <c r="H1277" i="2"/>
  <c r="F1182" i="2"/>
  <c r="I1207" i="2"/>
  <c r="D1272" i="2"/>
  <c r="F1272" i="2"/>
  <c r="F1177" i="2"/>
  <c r="G1277" i="2"/>
  <c r="D1267" i="2"/>
  <c r="G1222" i="2"/>
  <c r="H1362" i="2"/>
  <c r="H1207" i="2"/>
  <c r="G1267" i="2"/>
  <c r="I1362" i="2"/>
  <c r="D1232" i="2"/>
  <c r="D1362" i="2"/>
  <c r="H1222" i="2"/>
  <c r="I1202" i="2"/>
  <c r="I1222" i="2"/>
  <c r="I1182" i="2"/>
  <c r="I1267" i="2"/>
  <c r="I1272" i="2"/>
  <c r="H1267" i="2"/>
  <c r="G1362" i="2"/>
  <c r="D1177" i="2"/>
  <c r="H1182" i="2"/>
  <c r="I1177" i="2"/>
  <c r="G1232" i="2"/>
  <c r="I1232" i="2"/>
  <c r="G1207" i="2"/>
  <c r="D1202" i="2"/>
  <c r="D1222" i="2"/>
  <c r="G1202" i="2"/>
  <c r="G1182" i="2"/>
  <c r="H1202" i="2"/>
  <c r="D1277" i="2"/>
  <c r="F1222" i="2"/>
  <c r="F1207" i="2"/>
  <c r="D1182" i="2"/>
  <c r="D1207" i="2"/>
  <c r="F1267" i="2"/>
  <c r="F1202" i="2"/>
  <c r="H1232" i="2"/>
  <c r="H1177" i="2"/>
  <c r="G1272" i="2"/>
  <c r="F1362" i="2"/>
  <c r="F1287" i="2"/>
  <c r="I1287" i="2"/>
  <c r="F1391" i="2"/>
  <c r="H1292" i="2"/>
  <c r="H1412" i="2"/>
  <c r="F1237" i="2"/>
  <c r="G1292" i="2"/>
  <c r="I1162" i="2"/>
  <c r="D1187" i="2"/>
  <c r="G1192" i="2"/>
  <c r="D1147" i="2"/>
  <c r="H1192" i="2"/>
  <c r="I1147" i="2"/>
  <c r="I1187" i="2"/>
  <c r="G1412" i="2"/>
  <c r="D1162" i="2"/>
  <c r="H1237" i="2"/>
  <c r="F1162" i="2"/>
  <c r="D1192" i="2"/>
  <c r="G1287" i="2"/>
  <c r="G1237" i="2"/>
  <c r="D1237" i="2"/>
  <c r="F1147" i="2"/>
  <c r="D1292" i="2"/>
  <c r="G1262" i="2"/>
  <c r="I1412" i="2"/>
  <c r="G1391" i="2"/>
  <c r="F1412" i="2"/>
  <c r="F1192" i="2"/>
  <c r="H1187" i="2"/>
  <c r="I1262" i="2"/>
  <c r="F1262" i="2"/>
  <c r="D1391" i="2"/>
  <c r="G1187" i="2"/>
  <c r="H1391" i="2"/>
  <c r="G1147" i="2"/>
  <c r="G1162" i="2"/>
  <c r="H1262" i="2"/>
  <c r="D1412" i="2"/>
  <c r="I1192" i="2"/>
  <c r="F1292" i="2"/>
  <c r="F1187" i="2"/>
  <c r="H1147" i="2"/>
  <c r="D1262" i="2"/>
  <c r="H1287" i="2"/>
  <c r="H1162" i="2"/>
  <c r="I1391" i="2"/>
  <c r="I1237" i="2"/>
  <c r="I1292" i="2"/>
  <c r="D1287" i="2"/>
  <c r="D1137" i="2"/>
  <c r="A1112" i="2"/>
  <c r="A1107" i="2"/>
  <c r="D1092" i="2"/>
  <c r="A1142" i="2"/>
  <c r="A1092" i="2"/>
  <c r="D1132" i="2"/>
  <c r="D1102" i="2"/>
  <c r="I1107" i="2"/>
  <c r="G1132" i="2"/>
  <c r="D1087" i="2"/>
  <c r="I1132" i="2"/>
  <c r="H1117" i="2"/>
  <c r="I1117" i="2"/>
  <c r="H1107" i="2"/>
  <c r="H1097" i="2"/>
  <c r="D1142" i="2"/>
  <c r="H1112" i="2"/>
  <c r="A1097" i="2"/>
  <c r="G1097" i="2"/>
  <c r="I1137" i="2"/>
  <c r="G1102" i="2"/>
  <c r="H1132" i="2"/>
  <c r="F1087" i="2"/>
  <c r="F1102" i="2"/>
  <c r="F1097" i="2"/>
  <c r="D1107" i="2"/>
  <c r="G1137" i="2"/>
  <c r="I1092" i="2"/>
  <c r="F1132" i="2"/>
  <c r="H1102" i="2"/>
  <c r="F1117" i="2"/>
  <c r="G1107" i="2"/>
  <c r="A1087" i="2"/>
  <c r="F1137" i="2"/>
  <c r="G1112" i="2"/>
  <c r="A1117" i="2"/>
  <c r="H1137" i="2"/>
  <c r="I1112" i="2"/>
  <c r="G1142" i="2"/>
  <c r="D1097" i="2"/>
  <c r="F1112" i="2"/>
  <c r="H1142" i="2"/>
  <c r="A1137" i="2"/>
  <c r="D1117" i="2"/>
  <c r="F1107" i="2"/>
  <c r="G1117" i="2"/>
  <c r="I1097" i="2"/>
  <c r="F1092" i="2"/>
  <c r="H1092" i="2"/>
  <c r="F1142" i="2"/>
  <c r="H1087" i="2"/>
  <c r="I1102" i="2"/>
  <c r="G1092" i="2"/>
  <c r="D1112" i="2"/>
  <c r="A1132" i="2"/>
  <c r="I1142" i="2"/>
  <c r="G1087" i="2"/>
  <c r="I1087" i="2"/>
  <c r="A1102" i="2"/>
  <c r="F1307" i="2"/>
  <c r="I1307" i="2"/>
  <c r="G1383" i="2"/>
  <c r="I1383" i="2"/>
  <c r="H1312" i="2"/>
  <c r="F1312" i="2"/>
  <c r="H1297" i="2"/>
  <c r="H1307" i="2"/>
  <c r="F1333" i="2"/>
  <c r="I1448" i="2"/>
  <c r="F1302" i="2"/>
  <c r="G1307" i="2"/>
  <c r="I1354" i="2"/>
  <c r="H1333" i="2"/>
  <c r="H1302" i="2"/>
  <c r="G1354" i="2"/>
  <c r="I1297" i="2"/>
  <c r="G1297" i="2"/>
  <c r="I1312" i="2"/>
  <c r="H1404" i="2"/>
  <c r="G1333" i="2"/>
  <c r="H1448" i="2"/>
  <c r="G1448" i="2"/>
  <c r="I1333" i="2"/>
  <c r="H1354" i="2"/>
  <c r="H1383" i="2"/>
  <c r="G1302" i="2"/>
  <c r="G1404" i="2"/>
  <c r="F1354" i="2"/>
  <c r="I1302" i="2"/>
  <c r="I1404" i="2"/>
  <c r="F1383" i="2"/>
  <c r="G1312" i="2"/>
  <c r="F1297" i="2"/>
  <c r="F1404" i="2"/>
  <c r="F1448" i="2"/>
  <c r="H1349" i="2"/>
  <c r="I1467" i="2"/>
  <c r="F1399" i="2"/>
  <c r="H1378" i="2"/>
  <c r="D1378" i="2"/>
  <c r="G1378" i="2"/>
  <c r="C1399" i="2"/>
  <c r="D1349" i="2"/>
  <c r="G1399" i="2"/>
  <c r="D1328" i="2"/>
  <c r="I1328" i="2"/>
  <c r="H1399" i="2"/>
  <c r="C1349" i="2"/>
  <c r="H1328" i="2"/>
  <c r="H1467" i="2"/>
  <c r="C1378" i="2"/>
  <c r="F1328" i="2"/>
  <c r="F1467" i="2"/>
  <c r="D1467" i="2"/>
  <c r="I1349" i="2"/>
  <c r="F1349" i="2"/>
  <c r="I1399" i="2"/>
  <c r="G1328" i="2"/>
  <c r="I1378" i="2"/>
  <c r="G1467" i="2"/>
  <c r="C1328" i="2"/>
  <c r="D1399" i="2"/>
  <c r="C1467" i="2"/>
  <c r="F1378" i="2"/>
  <c r="G1349" i="2"/>
  <c r="I1127" i="2"/>
  <c r="H1127" i="2"/>
  <c r="I1122" i="2"/>
  <c r="D1127" i="2"/>
  <c r="F1122" i="2"/>
  <c r="A1127" i="2"/>
  <c r="D1082" i="2"/>
  <c r="A1122" i="2"/>
  <c r="H1082" i="2"/>
  <c r="D1122" i="2"/>
  <c r="G1127" i="2"/>
  <c r="A1082" i="2"/>
  <c r="G1082" i="2"/>
  <c r="H1122" i="2"/>
  <c r="G1122" i="2"/>
  <c r="F1127" i="2"/>
  <c r="I1082" i="2"/>
  <c r="F1082" i="2"/>
  <c r="I1431" i="2"/>
  <c r="H1428" i="2"/>
  <c r="H1431" i="2"/>
  <c r="I1428" i="2"/>
  <c r="D1420" i="2"/>
  <c r="D1370" i="2"/>
  <c r="H1320" i="2"/>
  <c r="I1320" i="2"/>
  <c r="C1420" i="2"/>
  <c r="G1320" i="2"/>
  <c r="I1370" i="2"/>
  <c r="C1320" i="2"/>
  <c r="H1370" i="2"/>
  <c r="H1420" i="2"/>
  <c r="D1320" i="2"/>
  <c r="I1420" i="2"/>
  <c r="G1370" i="2"/>
  <c r="G1420" i="2"/>
  <c r="C1370" i="2"/>
  <c r="B1457" i="2"/>
  <c r="D1358" i="2"/>
  <c r="B1336" i="2"/>
  <c r="I1408" i="2"/>
  <c r="I1418" i="2"/>
  <c r="C1357" i="2"/>
  <c r="F1452" i="2"/>
  <c r="H1457" i="2"/>
  <c r="B1357" i="2"/>
  <c r="H1418" i="2"/>
  <c r="D1492" i="2"/>
  <c r="C1418" i="2"/>
  <c r="F1492" i="2"/>
  <c r="I1358" i="2"/>
  <c r="B1477" i="2"/>
  <c r="D1477" i="2"/>
  <c r="F1413" i="2"/>
  <c r="I1492" i="2"/>
  <c r="H1408" i="2"/>
  <c r="D1408" i="2"/>
  <c r="F1357" i="2"/>
  <c r="F1418" i="2"/>
  <c r="G1457" i="2"/>
  <c r="F1408" i="2"/>
  <c r="I1477" i="2"/>
  <c r="G1413" i="2"/>
  <c r="F1477" i="2"/>
  <c r="B1452" i="2"/>
  <c r="H1358" i="2"/>
  <c r="B1408" i="2"/>
  <c r="C1477" i="2"/>
  <c r="B1358" i="2"/>
  <c r="H1413" i="2"/>
  <c r="F1358" i="2"/>
  <c r="C1457" i="2"/>
  <c r="H1452" i="2"/>
  <c r="C1492" i="2"/>
  <c r="C1408" i="2"/>
  <c r="D1418" i="2"/>
  <c r="I1452" i="2"/>
  <c r="C1336" i="2"/>
  <c r="D1452" i="2"/>
  <c r="G1357" i="2"/>
  <c r="B1492" i="2"/>
  <c r="H1336" i="2"/>
  <c r="I1357" i="2"/>
  <c r="F1336" i="2"/>
  <c r="D1336" i="2"/>
  <c r="G1492" i="2"/>
  <c r="F1457" i="2"/>
  <c r="C1413" i="2"/>
  <c r="I1336" i="2"/>
  <c r="C1358" i="2"/>
  <c r="H1357" i="2"/>
  <c r="D1357" i="2"/>
  <c r="G1452" i="2"/>
  <c r="D1413" i="2"/>
  <c r="H1477" i="2"/>
  <c r="G1408" i="2"/>
  <c r="G1477" i="2"/>
  <c r="G1418" i="2"/>
  <c r="G1336" i="2"/>
  <c r="B1418" i="2"/>
  <c r="C1452" i="2"/>
  <c r="I1457" i="2"/>
  <c r="H1492" i="2"/>
  <c r="B1413" i="2"/>
  <c r="G1358" i="2"/>
  <c r="I1413" i="2"/>
  <c r="D1457" i="2"/>
  <c r="B1400" i="2"/>
  <c r="I1405" i="2"/>
  <c r="C1315" i="2"/>
  <c r="I1345" i="2"/>
  <c r="A1400" i="2"/>
  <c r="I1400" i="2"/>
  <c r="H1405" i="2"/>
  <c r="C1395" i="2"/>
  <c r="G1405" i="2"/>
  <c r="A1405" i="2"/>
  <c r="G1400" i="2"/>
  <c r="C1355" i="2"/>
  <c r="B1360" i="2"/>
  <c r="I1365" i="2"/>
  <c r="G1365" i="2"/>
  <c r="B1395" i="2"/>
  <c r="D1350" i="2"/>
  <c r="G1410" i="2"/>
  <c r="D1355" i="2"/>
  <c r="G1315" i="2"/>
  <c r="C1360" i="2"/>
  <c r="A1315" i="2"/>
  <c r="A1360" i="2"/>
  <c r="H1360" i="2"/>
  <c r="C1365" i="2"/>
  <c r="H1350" i="2"/>
  <c r="H1355" i="2"/>
  <c r="I1360" i="2"/>
  <c r="H1345" i="2"/>
  <c r="D1345" i="2"/>
  <c r="A1410" i="2"/>
  <c r="D1400" i="2"/>
  <c r="C1410" i="2"/>
  <c r="B1355" i="2"/>
  <c r="H1410" i="2"/>
  <c r="B1365" i="2"/>
  <c r="A1350" i="2"/>
  <c r="A1365" i="2"/>
  <c r="G1350" i="2"/>
  <c r="G1360" i="2"/>
  <c r="B1350" i="2"/>
  <c r="H1365" i="2"/>
  <c r="A1395" i="2"/>
  <c r="G1345" i="2"/>
  <c r="I1350" i="2"/>
  <c r="G1355" i="2"/>
  <c r="I1410" i="2"/>
  <c r="C1400" i="2"/>
  <c r="D1410" i="2"/>
  <c r="D1315" i="2"/>
  <c r="H1395" i="2"/>
  <c r="B1410" i="2"/>
  <c r="D1405" i="2"/>
  <c r="C1345" i="2"/>
  <c r="A1355" i="2"/>
  <c r="H1315" i="2"/>
  <c r="B1315" i="2"/>
  <c r="D1365" i="2"/>
  <c r="C1405" i="2"/>
  <c r="D1360" i="2"/>
  <c r="B1345" i="2"/>
  <c r="G1395" i="2"/>
  <c r="H1400" i="2"/>
  <c r="I1315" i="2"/>
  <c r="I1395" i="2"/>
  <c r="C1350" i="2"/>
  <c r="D1395" i="2"/>
  <c r="A1345" i="2"/>
  <c r="I1355" i="2"/>
  <c r="B1405" i="2"/>
  <c r="D914" i="2"/>
  <c r="A209" i="2"/>
  <c r="A771" i="2"/>
  <c r="I1366" i="2"/>
  <c r="D209" i="2"/>
  <c r="D915" i="2"/>
  <c r="G450" i="2"/>
  <c r="D650" i="2"/>
  <c r="A123" i="2"/>
  <c r="F719" i="2"/>
  <c r="C771" i="2"/>
  <c r="G719" i="2"/>
  <c r="D123" i="2"/>
  <c r="F209" i="2"/>
  <c r="H91" i="2"/>
  <c r="D771" i="2"/>
  <c r="G209" i="2"/>
  <c r="A450" i="2"/>
  <c r="B91" i="2"/>
  <c r="G123" i="2"/>
  <c r="C91" i="2"/>
  <c r="B450" i="2"/>
  <c r="B771" i="2"/>
  <c r="C1366" i="2"/>
  <c r="G650" i="2"/>
  <c r="I914" i="2"/>
  <c r="A91" i="2"/>
  <c r="C123" i="2"/>
  <c r="B719" i="2"/>
  <c r="D1366" i="2"/>
  <c r="F650" i="2"/>
  <c r="H1366" i="2"/>
  <c r="H450" i="2"/>
  <c r="C915" i="2"/>
  <c r="I123" i="2"/>
  <c r="H915" i="2"/>
  <c r="B209" i="2"/>
  <c r="G91" i="2"/>
  <c r="I719" i="2"/>
  <c r="I209" i="2"/>
  <c r="C209" i="2"/>
  <c r="A914" i="2"/>
  <c r="B914" i="2"/>
  <c r="C650" i="2"/>
  <c r="F1366" i="2"/>
  <c r="I915" i="2"/>
  <c r="C914" i="2"/>
  <c r="B1366" i="2"/>
  <c r="A1366" i="2"/>
  <c r="F771" i="2"/>
  <c r="B650" i="2"/>
  <c r="H914" i="2"/>
  <c r="I771" i="2"/>
  <c r="G771" i="2"/>
  <c r="I650" i="2"/>
  <c r="F450" i="2"/>
  <c r="A719" i="2"/>
  <c r="I91" i="2"/>
  <c r="B123" i="2"/>
  <c r="H650" i="2"/>
  <c r="F914" i="2"/>
  <c r="D719" i="2"/>
  <c r="B915" i="2"/>
  <c r="D450" i="2"/>
  <c r="F91" i="2"/>
  <c r="F123" i="2"/>
  <c r="G915" i="2"/>
  <c r="C450" i="2"/>
  <c r="H719" i="2"/>
  <c r="A915" i="2"/>
  <c r="A650" i="2"/>
  <c r="H209" i="2"/>
  <c r="H771" i="2"/>
  <c r="F915" i="2"/>
  <c r="I450" i="2"/>
  <c r="D91" i="2"/>
  <c r="H123" i="2"/>
  <c r="G1366" i="2"/>
  <c r="C719" i="2"/>
  <c r="G914" i="2"/>
  <c r="D813" i="2"/>
  <c r="C667" i="2"/>
  <c r="F405" i="2"/>
  <c r="I395" i="2"/>
  <c r="F813" i="2"/>
  <c r="B813" i="2"/>
  <c r="I975" i="2"/>
  <c r="B1296" i="2"/>
  <c r="A667" i="2"/>
  <c r="A975" i="2"/>
  <c r="F975" i="2"/>
  <c r="H405" i="2"/>
  <c r="G395" i="2"/>
  <c r="C975" i="2"/>
  <c r="B411" i="2"/>
  <c r="I405" i="2"/>
  <c r="I667" i="2"/>
  <c r="A395" i="2"/>
  <c r="I833" i="2"/>
  <c r="A1296" i="2"/>
  <c r="C813" i="2"/>
  <c r="G411" i="2"/>
  <c r="G975" i="2"/>
  <c r="G405" i="2"/>
  <c r="H395" i="2"/>
  <c r="F667" i="2"/>
  <c r="B523" i="2"/>
  <c r="H667" i="2"/>
  <c r="B667" i="2"/>
  <c r="H411" i="2"/>
  <c r="I1296" i="2"/>
  <c r="H69" i="2"/>
  <c r="C411" i="2"/>
  <c r="D69" i="2"/>
  <c r="G1296" i="2"/>
  <c r="C69" i="2"/>
  <c r="G833" i="2"/>
  <c r="H975" i="2"/>
  <c r="D1296" i="2"/>
  <c r="F395" i="2"/>
  <c r="D667" i="2"/>
  <c r="B405" i="2"/>
  <c r="H523" i="2"/>
  <c r="I523" i="2"/>
  <c r="F69" i="2"/>
  <c r="D395" i="2"/>
  <c r="C523" i="2"/>
  <c r="C833" i="2"/>
  <c r="F523" i="2"/>
  <c r="F411" i="2"/>
  <c r="D411" i="2"/>
  <c r="B975" i="2"/>
  <c r="G813" i="2"/>
  <c r="G523" i="2"/>
  <c r="B395" i="2"/>
  <c r="F833" i="2"/>
  <c r="A69" i="2"/>
  <c r="C405" i="2"/>
  <c r="B833" i="2"/>
  <c r="F1296" i="2"/>
  <c r="I411" i="2"/>
  <c r="D523" i="2"/>
  <c r="H833" i="2"/>
  <c r="I69" i="2"/>
  <c r="A405" i="2"/>
  <c r="H813" i="2"/>
  <c r="B69" i="2"/>
  <c r="A411" i="2"/>
  <c r="A813" i="2"/>
  <c r="A833" i="2"/>
  <c r="G69" i="2"/>
  <c r="G667" i="2"/>
  <c r="C1296" i="2"/>
  <c r="D405" i="2"/>
  <c r="A523" i="2"/>
  <c r="C395" i="2"/>
  <c r="I813" i="2"/>
  <c r="D975" i="2"/>
  <c r="H1296" i="2"/>
  <c r="D833" i="2"/>
  <c r="G1498" i="2"/>
  <c r="B1473" i="2"/>
  <c r="H1473" i="2"/>
  <c r="H1498" i="2"/>
  <c r="G1493" i="2"/>
  <c r="H1488" i="2"/>
  <c r="H1493" i="2"/>
  <c r="G1488" i="2"/>
  <c r="B1488" i="2"/>
  <c r="B1493" i="2"/>
  <c r="B1498" i="2"/>
  <c r="G1473" i="2"/>
  <c r="F1497" i="2"/>
  <c r="C1373" i="2"/>
  <c r="I1323" i="2"/>
  <c r="I1363" i="2"/>
  <c r="B1318" i="2"/>
  <c r="D1442" i="2"/>
  <c r="C1363" i="2"/>
  <c r="C1472" i="2"/>
  <c r="H1323" i="2"/>
  <c r="H1386" i="2"/>
  <c r="D1353" i="2"/>
  <c r="G1386" i="2"/>
  <c r="F1323" i="2"/>
  <c r="B1407" i="2"/>
  <c r="C1323" i="2"/>
  <c r="B1373" i="2"/>
  <c r="B1497" i="2"/>
  <c r="B1472" i="2"/>
  <c r="C1407" i="2"/>
  <c r="D1363" i="2"/>
  <c r="G1407" i="2"/>
  <c r="I1472" i="2"/>
  <c r="G1442" i="2"/>
  <c r="F1373" i="2"/>
  <c r="H1363" i="2"/>
  <c r="D1386" i="2"/>
  <c r="I1373" i="2"/>
  <c r="C1318" i="2"/>
  <c r="H1472" i="2"/>
  <c r="C1497" i="2"/>
  <c r="G1363" i="2"/>
  <c r="F1442" i="2"/>
  <c r="G1373" i="2"/>
  <c r="H1497" i="2"/>
  <c r="F1318" i="2"/>
  <c r="B1363" i="2"/>
  <c r="B1386" i="2"/>
  <c r="D1472" i="2"/>
  <c r="I1318" i="2"/>
  <c r="G1323" i="2"/>
  <c r="C1442" i="2"/>
  <c r="B1323" i="2"/>
  <c r="H1407" i="2"/>
  <c r="G1318" i="2"/>
  <c r="I1407" i="2"/>
  <c r="C1386" i="2"/>
  <c r="D1373" i="2"/>
  <c r="I1353" i="2"/>
  <c r="C1353" i="2"/>
  <c r="I1497" i="2"/>
  <c r="G1497" i="2"/>
  <c r="F1386" i="2"/>
  <c r="F1353" i="2"/>
  <c r="G1472" i="2"/>
  <c r="F1472" i="2"/>
  <c r="H1353" i="2"/>
  <c r="D1323" i="2"/>
  <c r="D1318" i="2"/>
  <c r="H1318" i="2"/>
  <c r="B1353" i="2"/>
  <c r="I1386" i="2"/>
  <c r="G1353" i="2"/>
  <c r="F1363" i="2"/>
  <c r="I1442" i="2"/>
  <c r="H1373" i="2"/>
  <c r="H1442" i="2"/>
  <c r="B1442" i="2"/>
  <c r="D1407" i="2"/>
  <c r="F1407" i="2"/>
  <c r="D1497" i="2"/>
  <c r="D1077" i="2"/>
  <c r="B1077" i="2"/>
  <c r="G1077" i="2"/>
  <c r="F1077" i="2"/>
  <c r="H1077" i="2"/>
  <c r="I1077" i="2"/>
  <c r="A1077" i="2"/>
  <c r="I1611" i="2"/>
  <c r="I1590" i="2"/>
  <c r="I1556" i="2"/>
  <c r="I1444" i="2"/>
  <c r="B1560" i="2"/>
  <c r="B1596" i="2"/>
  <c r="B1610" i="2"/>
  <c r="B1581" i="2"/>
  <c r="I1581" i="2"/>
  <c r="I1560" i="2"/>
  <c r="I1610" i="2"/>
  <c r="B1537" i="2"/>
  <c r="B1531" i="2"/>
  <c r="I1531" i="2"/>
  <c r="I1596" i="2"/>
  <c r="I1537" i="2"/>
  <c r="H1619" i="2"/>
  <c r="H1597" i="2"/>
  <c r="H1504" i="2"/>
  <c r="H1425" i="2"/>
  <c r="H1598" i="2"/>
  <c r="H1626" i="2"/>
  <c r="H1628" i="2"/>
  <c r="H1612" i="2"/>
  <c r="H1547" i="2"/>
  <c r="D1455" i="2"/>
  <c r="G1455" i="2"/>
  <c r="I1481" i="2"/>
  <c r="F1481" i="2"/>
  <c r="I1471" i="2"/>
  <c r="I1476" i="2"/>
  <c r="F1471" i="2"/>
  <c r="I1506" i="2"/>
  <c r="B1501" i="2"/>
  <c r="C1476" i="2"/>
  <c r="F1501" i="2"/>
  <c r="B1506" i="2"/>
  <c r="C1501" i="2"/>
  <c r="I1496" i="2"/>
  <c r="B1496" i="2"/>
  <c r="I1501" i="2"/>
  <c r="F1496" i="2"/>
  <c r="C1506" i="2"/>
  <c r="F1506" i="2"/>
  <c r="C1496" i="2"/>
  <c r="B1471" i="2"/>
  <c r="F1476" i="2"/>
  <c r="C1481" i="2"/>
  <c r="C1471" i="2"/>
  <c r="B1481" i="2"/>
  <c r="B1476" i="2"/>
  <c r="D1569" i="2"/>
  <c r="H1569" i="2"/>
  <c r="H1548" i="2"/>
  <c r="D1548" i="2"/>
  <c r="D1546" i="2"/>
  <c r="I1546" i="2"/>
  <c r="F1521" i="2"/>
  <c r="B1526" i="2"/>
  <c r="B1516" i="2"/>
  <c r="F1511" i="2"/>
  <c r="I1521" i="2"/>
  <c r="I1511" i="2"/>
  <c r="I1526" i="2"/>
  <c r="I1516" i="2"/>
  <c r="B1521" i="2"/>
  <c r="F1516" i="2"/>
  <c r="B1511" i="2"/>
  <c r="F1526" i="2"/>
  <c r="I1441" i="2"/>
  <c r="C1441" i="2"/>
  <c r="D1441" i="2"/>
  <c r="F1441" i="2"/>
  <c r="A1426" i="2"/>
  <c r="H1426" i="2"/>
  <c r="I1426" i="2"/>
  <c r="F1426" i="2"/>
  <c r="B1426" i="2"/>
  <c r="C1426" i="2"/>
  <c r="D1426" i="2"/>
  <c r="H1468" i="2"/>
  <c r="G1463" i="2"/>
  <c r="H1463" i="2"/>
  <c r="B1463" i="2"/>
  <c r="I1463" i="2"/>
  <c r="B1468" i="2"/>
  <c r="G1468" i="2"/>
  <c r="I1468" i="2"/>
  <c r="G1475" i="2"/>
  <c r="B1475" i="2"/>
  <c r="D1500" i="2"/>
  <c r="C1475" i="2"/>
  <c r="D1475" i="2"/>
  <c r="C1500" i="2"/>
  <c r="G1500" i="2"/>
  <c r="B1500" i="2"/>
  <c r="C1480" i="2"/>
  <c r="G1445" i="2"/>
  <c r="C1505" i="2"/>
  <c r="B1515" i="2"/>
  <c r="D1505" i="2"/>
  <c r="B1485" i="2"/>
  <c r="A1485" i="2"/>
  <c r="B1525" i="2"/>
  <c r="D1465" i="2"/>
  <c r="C1515" i="2"/>
  <c r="G1465" i="2"/>
  <c r="G1525" i="2"/>
  <c r="B1445" i="2"/>
  <c r="C1465" i="2"/>
  <c r="B1480" i="2"/>
  <c r="G1515" i="2"/>
  <c r="D1485" i="2"/>
  <c r="A1515" i="2"/>
  <c r="D1525" i="2"/>
  <c r="B1450" i="2"/>
  <c r="B1505" i="2"/>
  <c r="B1510" i="2"/>
  <c r="G1450" i="2"/>
  <c r="C1450" i="2"/>
  <c r="G1480" i="2"/>
  <c r="A1525" i="2"/>
  <c r="A1510" i="2"/>
  <c r="A1480" i="2"/>
  <c r="D1445" i="2"/>
  <c r="C1445" i="2"/>
  <c r="C1485" i="2"/>
  <c r="D1450" i="2"/>
  <c r="A1505" i="2"/>
  <c r="C1510" i="2"/>
  <c r="B1465" i="2"/>
  <c r="D1480" i="2"/>
  <c r="D1510" i="2"/>
  <c r="A1460" i="2"/>
  <c r="A1445" i="2"/>
  <c r="G1510" i="2"/>
  <c r="A1450" i="2"/>
  <c r="D1515" i="2"/>
  <c r="G1460" i="2"/>
  <c r="G1485" i="2"/>
  <c r="D1460" i="2"/>
  <c r="C1460" i="2"/>
  <c r="B1460" i="2"/>
  <c r="C1525" i="2"/>
  <c r="A1465" i="2"/>
  <c r="G1505" i="2"/>
  <c r="A1618" i="2"/>
  <c r="H1568" i="2"/>
  <c r="H1618" i="2"/>
  <c r="H1539" i="2"/>
  <c r="A1568" i="2"/>
  <c r="A1539" i="2"/>
  <c r="D1643" i="2"/>
  <c r="D1571" i="2"/>
  <c r="D1641" i="2"/>
  <c r="D1640" i="2"/>
  <c r="D1550" i="2"/>
  <c r="D1615" i="2"/>
  <c r="D1646" i="2"/>
  <c r="D1635" i="2"/>
  <c r="D1601" i="2"/>
  <c r="D1600" i="2"/>
  <c r="C1558" i="2"/>
  <c r="I1558" i="2"/>
  <c r="A1234" i="2"/>
  <c r="I1234" i="2"/>
  <c r="C1259" i="2"/>
  <c r="C1279" i="2"/>
  <c r="D1264" i="2"/>
  <c r="I1289" i="2"/>
  <c r="D1269" i="2"/>
  <c r="A1289" i="2"/>
  <c r="I1169" i="2"/>
  <c r="B1169" i="2"/>
  <c r="C1219" i="2"/>
  <c r="D1219" i="2"/>
  <c r="A1279" i="2"/>
  <c r="A1224" i="2"/>
  <c r="B1289" i="2"/>
  <c r="C1184" i="2"/>
  <c r="I1269" i="2"/>
  <c r="B1264" i="2"/>
  <c r="D1289" i="2"/>
  <c r="A1219" i="2"/>
  <c r="D1259" i="2"/>
  <c r="D1224" i="2"/>
  <c r="A1269" i="2"/>
  <c r="C1234" i="2"/>
  <c r="B1184" i="2"/>
  <c r="B1279" i="2"/>
  <c r="B1224" i="2"/>
  <c r="D1184" i="2"/>
  <c r="A1259" i="2"/>
  <c r="D1169" i="2"/>
  <c r="I1264" i="2"/>
  <c r="B1234" i="2"/>
  <c r="I1279" i="2"/>
  <c r="B1259" i="2"/>
  <c r="C1224" i="2"/>
  <c r="A1184" i="2"/>
  <c r="B1269" i="2"/>
  <c r="C1169" i="2"/>
  <c r="A1264" i="2"/>
  <c r="A1169" i="2"/>
  <c r="D1234" i="2"/>
  <c r="I1259" i="2"/>
  <c r="I1219" i="2"/>
  <c r="B1219" i="2"/>
  <c r="I1224" i="2"/>
  <c r="D1279" i="2"/>
  <c r="I1184" i="2"/>
  <c r="C1289" i="2"/>
  <c r="C1269" i="2"/>
  <c r="C1264" i="2"/>
  <c r="C1194" i="2"/>
  <c r="C1179" i="2"/>
  <c r="D1159" i="2"/>
  <c r="B1179" i="2"/>
  <c r="B1194" i="2"/>
  <c r="B1149" i="2"/>
  <c r="D1229" i="2"/>
  <c r="D1209" i="2"/>
  <c r="C1284" i="2"/>
  <c r="I1209" i="2"/>
  <c r="C1214" i="2"/>
  <c r="B1284" i="2"/>
  <c r="A1179" i="2"/>
  <c r="C1159" i="2"/>
  <c r="B1209" i="2"/>
  <c r="A1284" i="2"/>
  <c r="C1149" i="2"/>
  <c r="A1214" i="2"/>
  <c r="D1214" i="2"/>
  <c r="A1239" i="2"/>
  <c r="A1164" i="2"/>
  <c r="D1164" i="2"/>
  <c r="I1229" i="2"/>
  <c r="D1179" i="2"/>
  <c r="I1164" i="2"/>
  <c r="A1159" i="2"/>
  <c r="A1194" i="2"/>
  <c r="I1149" i="2"/>
  <c r="C1209" i="2"/>
  <c r="C1229" i="2"/>
  <c r="C1164" i="2"/>
  <c r="D1239" i="2"/>
  <c r="I1284" i="2"/>
  <c r="A1149" i="2"/>
  <c r="I1239" i="2"/>
  <c r="B1239" i="2"/>
  <c r="I1159" i="2"/>
  <c r="A1209" i="2"/>
  <c r="A1229" i="2"/>
  <c r="D1149" i="2"/>
  <c r="B1164" i="2"/>
  <c r="D1194" i="2"/>
  <c r="I1194" i="2"/>
  <c r="C1239" i="2"/>
  <c r="B1214" i="2"/>
  <c r="B1159" i="2"/>
  <c r="D1284" i="2"/>
  <c r="B1229" i="2"/>
  <c r="I1214" i="2"/>
  <c r="I1179" i="2"/>
  <c r="C1538" i="2"/>
  <c r="A1538" i="2"/>
  <c r="F1538" i="2"/>
  <c r="F1578" i="2"/>
  <c r="A1578" i="2"/>
  <c r="A1549" i="2"/>
  <c r="F1549" i="2"/>
  <c r="D1484" i="2"/>
  <c r="I1484" i="2"/>
  <c r="A1439" i="2"/>
  <c r="G1494" i="2"/>
  <c r="G1469" i="2"/>
  <c r="A1489" i="2"/>
  <c r="I1439" i="2"/>
  <c r="G1484" i="2"/>
  <c r="H1469" i="2"/>
  <c r="D1449" i="2"/>
  <c r="D1494" i="2"/>
  <c r="I1469" i="2"/>
  <c r="H1489" i="2"/>
  <c r="A1494" i="2"/>
  <c r="H1449" i="2"/>
  <c r="H1439" i="2"/>
  <c r="D1439" i="2"/>
  <c r="D1489" i="2"/>
  <c r="I1464" i="2"/>
  <c r="A1484" i="2"/>
  <c r="H1494" i="2"/>
  <c r="D1469" i="2"/>
  <c r="G1489" i="2"/>
  <c r="G1464" i="2"/>
  <c r="I1494" i="2"/>
  <c r="I1449" i="2"/>
  <c r="H1484" i="2"/>
  <c r="A1464" i="2"/>
  <c r="I1489" i="2"/>
  <c r="A1449" i="2"/>
  <c r="G1439" i="2"/>
  <c r="A1469" i="2"/>
  <c r="D1464" i="2"/>
  <c r="H1464" i="2"/>
  <c r="G1449" i="2"/>
  <c r="D1154" i="2"/>
  <c r="D1199" i="2"/>
  <c r="C1144" i="2"/>
  <c r="B1189" i="2"/>
  <c r="B1144" i="2"/>
  <c r="A1189" i="2"/>
  <c r="I1174" i="2"/>
  <c r="B1154" i="2"/>
  <c r="B1204" i="2"/>
  <c r="C1254" i="2"/>
  <c r="C1199" i="2"/>
  <c r="A1274" i="2"/>
  <c r="C1189" i="2"/>
  <c r="C1174" i="2"/>
  <c r="A1144" i="2"/>
  <c r="I1199" i="2"/>
  <c r="A1204" i="2"/>
  <c r="C1274" i="2"/>
  <c r="I1189" i="2"/>
  <c r="I1204" i="2"/>
  <c r="B1174" i="2"/>
  <c r="D1249" i="2"/>
  <c r="D1174" i="2"/>
  <c r="D1244" i="2"/>
  <c r="D1204" i="2"/>
  <c r="B1254" i="2"/>
  <c r="C1249" i="2"/>
  <c r="D1144" i="2"/>
  <c r="A1254" i="2"/>
  <c r="I1244" i="2"/>
  <c r="B1274" i="2"/>
  <c r="B1244" i="2"/>
  <c r="A1174" i="2"/>
  <c r="I1249" i="2"/>
  <c r="A1249" i="2"/>
  <c r="A1199" i="2"/>
  <c r="D1274" i="2"/>
  <c r="A1154" i="2"/>
  <c r="C1244" i="2"/>
  <c r="C1154" i="2"/>
  <c r="B1249" i="2"/>
  <c r="A1244" i="2"/>
  <c r="I1274" i="2"/>
  <c r="I1144" i="2"/>
  <c r="B1199" i="2"/>
  <c r="D1254" i="2"/>
  <c r="I1254" i="2"/>
  <c r="I1154" i="2"/>
  <c r="D1189" i="2"/>
  <c r="C1204" i="2"/>
  <c r="A1530" i="2"/>
  <c r="G1530" i="2"/>
  <c r="D1530" i="2"/>
  <c r="B1530" i="2"/>
  <c r="A1572" i="2"/>
  <c r="F1572" i="2"/>
  <c r="H1572" i="2"/>
  <c r="I1453" i="2"/>
  <c r="F1438" i="2"/>
  <c r="G1438" i="2"/>
  <c r="I1438" i="2"/>
  <c r="G1453" i="2"/>
  <c r="H1453" i="2"/>
  <c r="B1453" i="2"/>
  <c r="F1453" i="2"/>
  <c r="B1438" i="2"/>
  <c r="H1438" i="2"/>
  <c r="C1559" i="2"/>
  <c r="F1559" i="2"/>
  <c r="F1429" i="2"/>
  <c r="D1429" i="2"/>
  <c r="I1429" i="2"/>
  <c r="A1429" i="2"/>
  <c r="C1429" i="2"/>
  <c r="H1429" i="2"/>
  <c r="G1429" i="2"/>
  <c r="G1532" i="2"/>
  <c r="H1532" i="2"/>
  <c r="C1532" i="2"/>
  <c r="F1119" i="2"/>
  <c r="A1084" i="2"/>
  <c r="I1119" i="2"/>
  <c r="F1084" i="2"/>
  <c r="C1104" i="2"/>
  <c r="D1084" i="2"/>
  <c r="A1119" i="2"/>
  <c r="C1119" i="2"/>
  <c r="B1084" i="2"/>
  <c r="B1446" i="2"/>
  <c r="D1139" i="2"/>
  <c r="I1104" i="2"/>
  <c r="F1139" i="2"/>
  <c r="I1139" i="2"/>
  <c r="B1104" i="2"/>
  <c r="A1104" i="2"/>
  <c r="F1104" i="2"/>
  <c r="D1104" i="2"/>
  <c r="C1446" i="2"/>
  <c r="I1084" i="2"/>
  <c r="F1446" i="2"/>
  <c r="A1139" i="2"/>
  <c r="D1446" i="2"/>
  <c r="C1139" i="2"/>
  <c r="B1139" i="2"/>
  <c r="I1446" i="2"/>
  <c r="B1119" i="2"/>
  <c r="A1446" i="2"/>
  <c r="C1084" i="2"/>
  <c r="D1119" i="2"/>
  <c r="C1502" i="2"/>
  <c r="G1502" i="2"/>
  <c r="I1502" i="2"/>
  <c r="F1423" i="2"/>
  <c r="H1502" i="2"/>
  <c r="I1423" i="2"/>
  <c r="F1502" i="2"/>
  <c r="B1423" i="2"/>
  <c r="H1423" i="2"/>
  <c r="G1423" i="2"/>
  <c r="C1423" i="2"/>
  <c r="B1502" i="2"/>
  <c r="A1533" i="2"/>
  <c r="H1533" i="2"/>
  <c r="A1583" i="2"/>
  <c r="C1583" i="2"/>
  <c r="H1583" i="2"/>
  <c r="C1533" i="2"/>
  <c r="I1561" i="2"/>
  <c r="F1561" i="2"/>
  <c r="C1089" i="2"/>
  <c r="D1109" i="2"/>
  <c r="F1094" i="2"/>
  <c r="A1114" i="2"/>
  <c r="D1129" i="2"/>
  <c r="A1436" i="2"/>
  <c r="C1134" i="2"/>
  <c r="B1129" i="2"/>
  <c r="A1129" i="2"/>
  <c r="F1114" i="2"/>
  <c r="I1114" i="2"/>
  <c r="F1129" i="2"/>
  <c r="A1124" i="2"/>
  <c r="D1134" i="2"/>
  <c r="A1094" i="2"/>
  <c r="F1109" i="2"/>
  <c r="I1094" i="2"/>
  <c r="I1079" i="2"/>
  <c r="I1089" i="2"/>
  <c r="B1094" i="2"/>
  <c r="F1436" i="2"/>
  <c r="B1124" i="2"/>
  <c r="I1134" i="2"/>
  <c r="A1109" i="2"/>
  <c r="D1079" i="2"/>
  <c r="B1134" i="2"/>
  <c r="C1114" i="2"/>
  <c r="A1099" i="2"/>
  <c r="C1079" i="2"/>
  <c r="A1089" i="2"/>
  <c r="I1124" i="2"/>
  <c r="C1099" i="2"/>
  <c r="C1129" i="2"/>
  <c r="F1124" i="2"/>
  <c r="B1089" i="2"/>
  <c r="C1094" i="2"/>
  <c r="F1089" i="2"/>
  <c r="D1124" i="2"/>
  <c r="B1114" i="2"/>
  <c r="I1436" i="2"/>
  <c r="A1079" i="2"/>
  <c r="C1436" i="2"/>
  <c r="B1099" i="2"/>
  <c r="B1109" i="2"/>
  <c r="A1134" i="2"/>
  <c r="D1436" i="2"/>
  <c r="I1099" i="2"/>
  <c r="I1109" i="2"/>
  <c r="F1099" i="2"/>
  <c r="C1124" i="2"/>
  <c r="I1129" i="2"/>
  <c r="D1114" i="2"/>
  <c r="D1099" i="2"/>
  <c r="F1079" i="2"/>
  <c r="C1109" i="2"/>
  <c r="F1134" i="2"/>
  <c r="B1436" i="2"/>
  <c r="D1094" i="2"/>
  <c r="D1089" i="2"/>
  <c r="B1079" i="2"/>
  <c r="C1456" i="2"/>
  <c r="B1461" i="2"/>
  <c r="B1456" i="2"/>
  <c r="C1461" i="2"/>
  <c r="D1456" i="2"/>
  <c r="I1461" i="2"/>
  <c r="I1456" i="2"/>
  <c r="F1461" i="2"/>
  <c r="F1456" i="2"/>
  <c r="D1461" i="2"/>
  <c r="I1540" i="2"/>
  <c r="G1540" i="2"/>
  <c r="F1540" i="2"/>
  <c r="G1541" i="2"/>
  <c r="G1570" i="2"/>
  <c r="B1541" i="2"/>
  <c r="B1570" i="2"/>
  <c r="F1527" i="2"/>
  <c r="F1507" i="2"/>
  <c r="C1512" i="2"/>
  <c r="H1512" i="2"/>
  <c r="B1433" i="2"/>
  <c r="B1522" i="2"/>
  <c r="B1517" i="2"/>
  <c r="B1512" i="2"/>
  <c r="G1512" i="2"/>
  <c r="F1517" i="2"/>
  <c r="H1527" i="2"/>
  <c r="H1522" i="2"/>
  <c r="G1522" i="2"/>
  <c r="H1433" i="2"/>
  <c r="C1517" i="2"/>
  <c r="H1517" i="2"/>
  <c r="C1433" i="2"/>
  <c r="F1433" i="2"/>
  <c r="F1512" i="2"/>
  <c r="B1527" i="2"/>
  <c r="C1507" i="2"/>
  <c r="G1433" i="2"/>
  <c r="H1507" i="2"/>
  <c r="C1527" i="2"/>
  <c r="G1527" i="2"/>
  <c r="C1522" i="2"/>
  <c r="F1522" i="2"/>
  <c r="G1517" i="2"/>
  <c r="G1507" i="2"/>
  <c r="B1507" i="2"/>
  <c r="H1562" i="2"/>
  <c r="B1562" i="2"/>
  <c r="F1557" i="2"/>
  <c r="F1634" i="2"/>
  <c r="F1542" i="2"/>
  <c r="F1593" i="2"/>
  <c r="F1629" i="2"/>
  <c r="A1553" i="2"/>
  <c r="G1553" i="2"/>
  <c r="A1574" i="2"/>
  <c r="G1574" i="2"/>
  <c r="F1584" i="2"/>
  <c r="F1599" i="2"/>
  <c r="F1614" i="2"/>
  <c r="F1567" i="2"/>
  <c r="F1592" i="2"/>
  <c r="F1563" i="2"/>
  <c r="F1637" i="2"/>
  <c r="F1534" i="2"/>
  <c r="F1613" i="2"/>
  <c r="F1632" i="2"/>
  <c r="C237" i="2"/>
  <c r="A365" i="2"/>
  <c r="I932" i="2"/>
  <c r="G52" i="2"/>
  <c r="A237" i="2"/>
  <c r="D1298" i="2"/>
  <c r="F1141" i="2"/>
  <c r="F1298" i="2"/>
  <c r="A1281" i="2"/>
  <c r="B996" i="2"/>
  <c r="I401" i="2"/>
  <c r="B1256" i="2"/>
  <c r="G365" i="2"/>
  <c r="D996" i="2"/>
  <c r="D932" i="2"/>
  <c r="H1256" i="2"/>
  <c r="H996" i="2"/>
  <c r="F237" i="2"/>
  <c r="I237" i="2"/>
  <c r="G1141" i="2"/>
  <c r="A996" i="2"/>
  <c r="C1298" i="2"/>
  <c r="D365" i="2"/>
  <c r="F1256" i="2"/>
  <c r="F365" i="2"/>
  <c r="C1141" i="2"/>
  <c r="B237" i="2"/>
  <c r="B365" i="2"/>
  <c r="H932" i="2"/>
  <c r="C1281" i="2"/>
  <c r="H1141" i="2"/>
  <c r="B401" i="2"/>
  <c r="B1298" i="2"/>
  <c r="D52" i="2"/>
  <c r="G1256" i="2"/>
  <c r="I1298" i="2"/>
  <c r="G237" i="2"/>
  <c r="F996" i="2"/>
  <c r="B932" i="2"/>
  <c r="F1281" i="2"/>
  <c r="I1281" i="2"/>
  <c r="H365" i="2"/>
  <c r="F401" i="2"/>
  <c r="A1256" i="2"/>
  <c r="I996" i="2"/>
  <c r="F52" i="2"/>
  <c r="C52" i="2"/>
  <c r="A932" i="2"/>
  <c r="B1281" i="2"/>
  <c r="A401" i="2"/>
  <c r="I365" i="2"/>
  <c r="C1256" i="2"/>
  <c r="D1141" i="2"/>
  <c r="H237" i="2"/>
  <c r="D1281" i="2"/>
  <c r="G1298" i="2"/>
  <c r="F932" i="2"/>
  <c r="I1256" i="2"/>
  <c r="G996" i="2"/>
  <c r="G932" i="2"/>
  <c r="I52" i="2"/>
  <c r="B1141" i="2"/>
  <c r="D401" i="2"/>
  <c r="B52" i="2"/>
  <c r="I1141" i="2"/>
  <c r="A52" i="2"/>
  <c r="H1298" i="2"/>
  <c r="G401" i="2"/>
  <c r="C401" i="2"/>
  <c r="H1281" i="2"/>
  <c r="C365" i="2"/>
  <c r="A1141" i="2"/>
  <c r="D237" i="2"/>
  <c r="C996" i="2"/>
  <c r="G1281" i="2"/>
  <c r="D1256" i="2"/>
  <c r="H401" i="2"/>
  <c r="A1298" i="2"/>
  <c r="H52" i="2"/>
  <c r="C932" i="2"/>
  <c r="D1520" i="2"/>
  <c r="G1520" i="2"/>
  <c r="A1520" i="2"/>
  <c r="B1520" i="2"/>
  <c r="C1520" i="2"/>
  <c r="D1638" i="2"/>
  <c r="B1503" i="2"/>
  <c r="B1458" i="2"/>
  <c r="B1602" i="2"/>
  <c r="B1595" i="2"/>
  <c r="B1466" i="2"/>
  <c r="B1617" i="2"/>
  <c r="B1616" i="2"/>
  <c r="B1575" i="2"/>
  <c r="B1552" i="2"/>
  <c r="I1359" i="2"/>
  <c r="A1359" i="2"/>
  <c r="B1359" i="2"/>
  <c r="H1359" i="2"/>
  <c r="C1093" i="2"/>
  <c r="G1160" i="2"/>
  <c r="D942" i="2"/>
  <c r="A565" i="2"/>
  <c r="D565" i="2"/>
  <c r="C1160" i="2"/>
  <c r="F1093" i="2"/>
  <c r="A84" i="2"/>
  <c r="B1093" i="2"/>
  <c r="D84" i="2"/>
  <c r="C942" i="2"/>
  <c r="C693" i="2"/>
  <c r="G639" i="2"/>
  <c r="H639" i="2"/>
  <c r="D1093" i="2"/>
  <c r="B639" i="2"/>
  <c r="F639" i="2"/>
  <c r="I639" i="2"/>
  <c r="I84" i="2"/>
  <c r="D693" i="2"/>
  <c r="H693" i="2"/>
  <c r="G84" i="2"/>
  <c r="A639" i="2"/>
  <c r="G565" i="2"/>
  <c r="G942" i="2"/>
  <c r="D1160" i="2"/>
  <c r="A942" i="2"/>
  <c r="F942" i="2"/>
  <c r="G693" i="2"/>
  <c r="C84" i="2"/>
  <c r="A1160" i="2"/>
  <c r="I693" i="2"/>
  <c r="H942" i="2"/>
  <c r="H1093" i="2"/>
  <c r="G1093" i="2"/>
  <c r="F84" i="2"/>
  <c r="B565" i="2"/>
  <c r="I565" i="2"/>
  <c r="C565" i="2"/>
  <c r="I942" i="2"/>
  <c r="B84" i="2"/>
  <c r="F693" i="2"/>
  <c r="B942" i="2"/>
  <c r="I1160" i="2"/>
  <c r="H565" i="2"/>
  <c r="D639" i="2"/>
  <c r="H1160" i="2"/>
  <c r="F565" i="2"/>
  <c r="C639" i="2"/>
  <c r="H84" i="2"/>
  <c r="B1160" i="2"/>
  <c r="A1093" i="2"/>
  <c r="B693" i="2"/>
  <c r="I1093" i="2"/>
  <c r="F1160" i="2"/>
  <c r="A693" i="2"/>
  <c r="B1368" i="2"/>
  <c r="D1368" i="2"/>
  <c r="C1368" i="2"/>
  <c r="H1368" i="2"/>
  <c r="G1368" i="2"/>
  <c r="I1368" i="2"/>
  <c r="F1368" i="2"/>
  <c r="B7" i="2"/>
  <c r="C1168" i="2"/>
  <c r="A272" i="2"/>
  <c r="D234" i="2"/>
  <c r="F234" i="2"/>
  <c r="F815" i="2"/>
  <c r="B1168" i="2"/>
  <c r="G1233" i="2"/>
  <c r="F272" i="2"/>
  <c r="A815" i="2"/>
  <c r="I234" i="2"/>
  <c r="G854" i="2"/>
  <c r="C815" i="2"/>
  <c r="A323" i="2"/>
  <c r="C323" i="2"/>
  <c r="A1201" i="2"/>
  <c r="B1233" i="2"/>
  <c r="B272" i="2"/>
  <c r="G1201" i="2"/>
  <c r="C1201" i="2"/>
  <c r="I1233" i="2"/>
  <c r="I1168" i="2"/>
  <c r="A1233" i="2"/>
  <c r="I987" i="2"/>
  <c r="C987" i="2"/>
  <c r="H1168" i="2"/>
  <c r="H815" i="2"/>
  <c r="B323" i="2"/>
  <c r="D1168" i="2"/>
  <c r="F854" i="2"/>
  <c r="H7" i="2"/>
  <c r="A7" i="2"/>
  <c r="G272" i="2"/>
  <c r="A987" i="2"/>
  <c r="G7" i="2"/>
  <c r="B854" i="2"/>
  <c r="G987" i="2"/>
  <c r="I323" i="2"/>
  <c r="F1233" i="2"/>
  <c r="D323" i="2"/>
  <c r="B987" i="2"/>
  <c r="D7" i="2"/>
  <c r="H854" i="2"/>
  <c r="H234" i="2"/>
  <c r="A234" i="2"/>
  <c r="F7" i="2"/>
  <c r="F987" i="2"/>
  <c r="C1233" i="2"/>
  <c r="C272" i="2"/>
  <c r="H323" i="2"/>
  <c r="H1201" i="2"/>
  <c r="I7" i="2"/>
  <c r="D1201" i="2"/>
  <c r="B1201" i="2"/>
  <c r="I854" i="2"/>
  <c r="C234" i="2"/>
  <c r="I1201" i="2"/>
  <c r="G815" i="2"/>
  <c r="G234" i="2"/>
  <c r="G323" i="2"/>
  <c r="D987" i="2"/>
  <c r="H272" i="2"/>
  <c r="G1168" i="2"/>
  <c r="C854" i="2"/>
  <c r="I815" i="2"/>
  <c r="F1168" i="2"/>
  <c r="B234" i="2"/>
  <c r="H1233" i="2"/>
  <c r="D272" i="2"/>
  <c r="B815" i="2"/>
  <c r="F323" i="2"/>
  <c r="D1233" i="2"/>
  <c r="D854" i="2"/>
  <c r="D815" i="2"/>
  <c r="C7" i="2"/>
  <c r="I272" i="2"/>
  <c r="A854" i="2"/>
  <c r="A1168" i="2"/>
  <c r="F1201" i="2"/>
  <c r="H987" i="2"/>
  <c r="D1415" i="2"/>
  <c r="C1415" i="2"/>
  <c r="I1415" i="2"/>
  <c r="A1415" i="2"/>
  <c r="B1415" i="2"/>
  <c r="H1415" i="2"/>
  <c r="G1415" i="2"/>
  <c r="A1058" i="2"/>
  <c r="C773" i="2"/>
  <c r="I1039" i="2"/>
  <c r="I569" i="2"/>
  <c r="I462" i="2"/>
  <c r="H1039" i="2"/>
  <c r="B342" i="2"/>
  <c r="B535" i="2"/>
  <c r="G1058" i="2"/>
  <c r="I731" i="2"/>
  <c r="C731" i="2"/>
  <c r="D773" i="2"/>
  <c r="A342" i="2"/>
  <c r="H462" i="2"/>
  <c r="D1039" i="2"/>
  <c r="C462" i="2"/>
  <c r="D462" i="2"/>
  <c r="A1039" i="2"/>
  <c r="G1039" i="2"/>
  <c r="G731" i="2"/>
  <c r="D930" i="2"/>
  <c r="F342" i="2"/>
  <c r="A462" i="2"/>
  <c r="I1058" i="2"/>
  <c r="C342" i="2"/>
  <c r="H1196" i="2"/>
  <c r="B930" i="2"/>
  <c r="F1058" i="2"/>
  <c r="H569" i="2"/>
  <c r="I1196" i="2"/>
  <c r="H342" i="2"/>
  <c r="H535" i="2"/>
  <c r="B569" i="2"/>
  <c r="C569" i="2"/>
  <c r="G1196" i="2"/>
  <c r="C535" i="2"/>
  <c r="B1196" i="2"/>
  <c r="A535" i="2"/>
  <c r="A773" i="2"/>
  <c r="B773" i="2"/>
  <c r="F1196" i="2"/>
  <c r="A731" i="2"/>
  <c r="B1058" i="2"/>
  <c r="G930" i="2"/>
  <c r="F462" i="2"/>
  <c r="I342" i="2"/>
  <c r="H1058" i="2"/>
  <c r="G569" i="2"/>
  <c r="H930" i="2"/>
  <c r="I535" i="2"/>
  <c r="F569" i="2"/>
  <c r="H773" i="2"/>
  <c r="C1039" i="2"/>
  <c r="B1039" i="2"/>
  <c r="I930" i="2"/>
  <c r="C1196" i="2"/>
  <c r="A569" i="2"/>
  <c r="D535" i="2"/>
  <c r="G535" i="2"/>
  <c r="A1196" i="2"/>
  <c r="C930" i="2"/>
  <c r="F731" i="2"/>
  <c r="G342" i="2"/>
  <c r="H731" i="2"/>
  <c r="F773" i="2"/>
  <c r="B462" i="2"/>
  <c r="F930" i="2"/>
  <c r="D1058" i="2"/>
  <c r="D342" i="2"/>
  <c r="B731" i="2"/>
  <c r="I773" i="2"/>
  <c r="G462" i="2"/>
  <c r="F1039" i="2"/>
  <c r="C1058" i="2"/>
  <c r="F535" i="2"/>
  <c r="D1196" i="2"/>
  <c r="G773" i="2"/>
  <c r="D731" i="2"/>
  <c r="A930" i="2"/>
  <c r="D569" i="2"/>
  <c r="F511" i="2"/>
  <c r="H613" i="2"/>
  <c r="G1313" i="2"/>
  <c r="G742" i="2"/>
  <c r="D345" i="2"/>
  <c r="C613" i="2"/>
  <c r="A1046" i="2"/>
  <c r="D511" i="2"/>
  <c r="A742" i="2"/>
  <c r="G846" i="2"/>
  <c r="A846" i="2"/>
  <c r="F613" i="2"/>
  <c r="C627" i="2"/>
  <c r="H33" i="2"/>
  <c r="G33" i="2"/>
  <c r="C33" i="2"/>
  <c r="F1046" i="2"/>
  <c r="A185" i="2"/>
  <c r="B1046" i="2"/>
  <c r="D33" i="2"/>
  <c r="D846" i="2"/>
  <c r="I185" i="2"/>
  <c r="B33" i="2"/>
  <c r="H846" i="2"/>
  <c r="H345" i="2"/>
  <c r="A627" i="2"/>
  <c r="D627" i="2"/>
  <c r="B613" i="2"/>
  <c r="F742" i="2"/>
  <c r="I345" i="2"/>
  <c r="H1313" i="2"/>
  <c r="I1313" i="2"/>
  <c r="D1313" i="2"/>
  <c r="G345" i="2"/>
  <c r="G613" i="2"/>
  <c r="F627" i="2"/>
  <c r="D613" i="2"/>
  <c r="C1313" i="2"/>
  <c r="I846" i="2"/>
  <c r="A1313" i="2"/>
  <c r="F185" i="2"/>
  <c r="H1046" i="2"/>
  <c r="A511" i="2"/>
  <c r="F846" i="2"/>
  <c r="H742" i="2"/>
  <c r="A345" i="2"/>
  <c r="I33" i="2"/>
  <c r="F1313" i="2"/>
  <c r="C345" i="2"/>
  <c r="H185" i="2"/>
  <c r="I613" i="2"/>
  <c r="C1046" i="2"/>
  <c r="A33" i="2"/>
  <c r="B742" i="2"/>
  <c r="B846" i="2"/>
  <c r="D742" i="2"/>
  <c r="B185" i="2"/>
  <c r="G627" i="2"/>
  <c r="G185" i="2"/>
  <c r="I511" i="2"/>
  <c r="G511" i="2"/>
  <c r="I742" i="2"/>
  <c r="B345" i="2"/>
  <c r="B511" i="2"/>
  <c r="D1046" i="2"/>
  <c r="H627" i="2"/>
  <c r="I627" i="2"/>
  <c r="G1046" i="2"/>
  <c r="C185" i="2"/>
  <c r="F33" i="2"/>
  <c r="B627" i="2"/>
  <c r="C742" i="2"/>
  <c r="C511" i="2"/>
  <c r="H511" i="2"/>
  <c r="C846" i="2"/>
  <c r="F345" i="2"/>
  <c r="A613" i="2"/>
  <c r="I1046" i="2"/>
  <c r="D185" i="2"/>
  <c r="B1313" i="2"/>
  <c r="F1403" i="2"/>
  <c r="C1403" i="2"/>
  <c r="G1403" i="2"/>
  <c r="H1403" i="2"/>
  <c r="B1403" i="2"/>
  <c r="D1403" i="2"/>
  <c r="A1580" i="2"/>
  <c r="A1454" i="2"/>
  <c r="G1580" i="2"/>
  <c r="D1454" i="2"/>
  <c r="D1551" i="2"/>
  <c r="D1580" i="2"/>
  <c r="A1551" i="2"/>
  <c r="G1551" i="2"/>
  <c r="G1454" i="2"/>
  <c r="I1409" i="2"/>
  <c r="A1409" i="2"/>
  <c r="H1409" i="2"/>
  <c r="G802" i="2"/>
  <c r="I989" i="2"/>
  <c r="F713" i="2"/>
  <c r="I420" i="2"/>
  <c r="H802" i="2"/>
  <c r="H689" i="2"/>
  <c r="I802" i="2"/>
  <c r="G90" i="2"/>
  <c r="B420" i="2"/>
  <c r="F802" i="2"/>
  <c r="F1128" i="2"/>
  <c r="C687" i="2"/>
  <c r="D802" i="2"/>
  <c r="C420" i="2"/>
  <c r="H687" i="2"/>
  <c r="I67" i="2"/>
  <c r="I90" i="2"/>
  <c r="I1128" i="2"/>
  <c r="G989" i="2"/>
  <c r="D90" i="2"/>
  <c r="H1128" i="2"/>
  <c r="A420" i="2"/>
  <c r="B687" i="2"/>
  <c r="C689" i="2"/>
  <c r="D1198" i="2"/>
  <c r="I689" i="2"/>
  <c r="F90" i="2"/>
  <c r="B1128" i="2"/>
  <c r="A989" i="2"/>
  <c r="A689" i="2"/>
  <c r="F989" i="2"/>
  <c r="H90" i="2"/>
  <c r="D420" i="2"/>
  <c r="A1198" i="2"/>
  <c r="G713" i="2"/>
  <c r="H989" i="2"/>
  <c r="A1128" i="2"/>
  <c r="I687" i="2"/>
  <c r="D67" i="2"/>
  <c r="F67" i="2"/>
  <c r="C1198" i="2"/>
  <c r="D713" i="2"/>
  <c r="F1198" i="2"/>
  <c r="C989" i="2"/>
  <c r="B713" i="2"/>
  <c r="I1198" i="2"/>
  <c r="H420" i="2"/>
  <c r="A90" i="2"/>
  <c r="C802" i="2"/>
  <c r="G689" i="2"/>
  <c r="A67" i="2"/>
  <c r="G1198" i="2"/>
  <c r="B90" i="2"/>
  <c r="F689" i="2"/>
  <c r="C67" i="2"/>
  <c r="A802" i="2"/>
  <c r="B689" i="2"/>
  <c r="H1198" i="2"/>
  <c r="A687" i="2"/>
  <c r="I713" i="2"/>
  <c r="G420" i="2"/>
  <c r="G687" i="2"/>
  <c r="H713" i="2"/>
  <c r="G1128" i="2"/>
  <c r="A713" i="2"/>
  <c r="D989" i="2"/>
  <c r="G67" i="2"/>
  <c r="D689" i="2"/>
  <c r="F687" i="2"/>
  <c r="D1128" i="2"/>
  <c r="H67" i="2"/>
  <c r="B989" i="2"/>
  <c r="C713" i="2"/>
  <c r="B802" i="2"/>
  <c r="C90" i="2"/>
  <c r="B67" i="2"/>
  <c r="D687" i="2"/>
  <c r="C1128" i="2"/>
  <c r="F420" i="2"/>
  <c r="B1198" i="2"/>
  <c r="D455" i="2"/>
  <c r="A524" i="2"/>
  <c r="A701" i="2"/>
  <c r="B1010" i="2"/>
  <c r="G1008" i="2"/>
  <c r="I524" i="2"/>
  <c r="C455" i="2"/>
  <c r="C701" i="2"/>
  <c r="H1008" i="2"/>
  <c r="G394" i="2"/>
  <c r="I178" i="2"/>
  <c r="D178" i="2"/>
  <c r="C415" i="2"/>
  <c r="C394" i="2"/>
  <c r="C524" i="2"/>
  <c r="A394" i="2"/>
  <c r="F455" i="2"/>
  <c r="F931" i="2"/>
  <c r="A208" i="2"/>
  <c r="G524" i="2"/>
  <c r="A931" i="2"/>
  <c r="H1010" i="2"/>
  <c r="H208" i="2"/>
  <c r="G931" i="2"/>
  <c r="A415" i="2"/>
  <c r="I701" i="2"/>
  <c r="H415" i="2"/>
  <c r="G178" i="2"/>
  <c r="D1008" i="2"/>
  <c r="B178" i="2"/>
  <c r="C208" i="2"/>
  <c r="A178" i="2"/>
  <c r="I1010" i="2"/>
  <c r="F1008" i="2"/>
  <c r="B524" i="2"/>
  <c r="A455" i="2"/>
  <c r="F701" i="2"/>
  <c r="D415" i="2"/>
  <c r="I931" i="2"/>
  <c r="B208" i="2"/>
  <c r="C178" i="2"/>
  <c r="C1010" i="2"/>
  <c r="H931" i="2"/>
  <c r="D394" i="2"/>
  <c r="F394" i="2"/>
  <c r="B701" i="2"/>
  <c r="B415" i="2"/>
  <c r="D524" i="2"/>
  <c r="F178" i="2"/>
  <c r="F415" i="2"/>
  <c r="G701" i="2"/>
  <c r="I455" i="2"/>
  <c r="D701" i="2"/>
  <c r="G455" i="2"/>
  <c r="D1010" i="2"/>
  <c r="I1008" i="2"/>
  <c r="F1010" i="2"/>
  <c r="I415" i="2"/>
  <c r="I394" i="2"/>
  <c r="B931" i="2"/>
  <c r="D208" i="2"/>
  <c r="B1008" i="2"/>
  <c r="C1008" i="2"/>
  <c r="I208" i="2"/>
  <c r="H455" i="2"/>
  <c r="F208" i="2"/>
  <c r="H394" i="2"/>
  <c r="H524" i="2"/>
  <c r="A1010" i="2"/>
  <c r="C931" i="2"/>
  <c r="G415" i="2"/>
  <c r="F524" i="2"/>
  <c r="G208" i="2"/>
  <c r="B394" i="2"/>
  <c r="H701" i="2"/>
  <c r="G1010" i="2"/>
  <c r="D931" i="2"/>
  <c r="H178" i="2"/>
  <c r="B455" i="2"/>
  <c r="A1008" i="2"/>
  <c r="D1286" i="2"/>
  <c r="I1286" i="2"/>
  <c r="C68" i="2"/>
  <c r="G371" i="2"/>
  <c r="A1096" i="2"/>
  <c r="D308" i="2"/>
  <c r="H895" i="2"/>
  <c r="G651" i="2"/>
  <c r="F493" i="2"/>
  <c r="F233" i="2"/>
  <c r="I308" i="2"/>
  <c r="G935" i="2"/>
  <c r="C233" i="2"/>
  <c r="D1183" i="2"/>
  <c r="H371" i="2"/>
  <c r="I371" i="2"/>
  <c r="G29" i="2"/>
  <c r="H704" i="2"/>
  <c r="I1133" i="2"/>
  <c r="B935" i="2"/>
  <c r="C308" i="2"/>
  <c r="I715" i="2"/>
  <c r="F29" i="2"/>
  <c r="F1025" i="2"/>
  <c r="C762" i="2"/>
  <c r="F330" i="2"/>
  <c r="G330" i="2"/>
  <c r="G762" i="2"/>
  <c r="I293" i="2"/>
  <c r="G308" i="2"/>
  <c r="H762" i="2"/>
  <c r="F1096" i="2"/>
  <c r="A233" i="2"/>
  <c r="I68" i="2"/>
  <c r="F696" i="2"/>
  <c r="H935" i="2"/>
  <c r="D704" i="2"/>
  <c r="C715" i="2"/>
  <c r="C696" i="2"/>
  <c r="A651" i="2"/>
  <c r="A1025" i="2"/>
  <c r="D1025" i="2"/>
  <c r="F715" i="2"/>
  <c r="B68" i="2"/>
  <c r="I696" i="2"/>
  <c r="H1286" i="2"/>
  <c r="B308" i="2"/>
  <c r="D330" i="2"/>
  <c r="F1286" i="2"/>
  <c r="G1096" i="2"/>
  <c r="H1133" i="2"/>
  <c r="H293" i="2"/>
  <c r="A493" i="2"/>
  <c r="B29" i="2"/>
  <c r="B1183" i="2"/>
  <c r="F895" i="2"/>
  <c r="H330" i="2"/>
  <c r="D493" i="2"/>
  <c r="C1133" i="2"/>
  <c r="I493" i="2"/>
  <c r="A895" i="2"/>
  <c r="B493" i="2"/>
  <c r="A762" i="2"/>
  <c r="D895" i="2"/>
  <c r="I1096" i="2"/>
  <c r="H1025" i="2"/>
  <c r="D935" i="2"/>
  <c r="I29" i="2"/>
  <c r="A1286" i="2"/>
  <c r="C1183" i="2"/>
  <c r="D1133" i="2"/>
  <c r="I762" i="2"/>
  <c r="I1183" i="2"/>
  <c r="B762" i="2"/>
  <c r="F308" i="2"/>
  <c r="D371" i="2"/>
  <c r="H1096" i="2"/>
  <c r="I233" i="2"/>
  <c r="H29" i="2"/>
  <c r="C935" i="2"/>
  <c r="C704" i="2"/>
  <c r="I704" i="2"/>
  <c r="G1133" i="2"/>
  <c r="B293" i="2"/>
  <c r="A704" i="2"/>
  <c r="D762" i="2"/>
  <c r="G293" i="2"/>
  <c r="B371" i="2"/>
  <c r="H715" i="2"/>
  <c r="C371" i="2"/>
  <c r="I1025" i="2"/>
  <c r="H308" i="2"/>
  <c r="D293" i="2"/>
  <c r="C1025" i="2"/>
  <c r="C493" i="2"/>
  <c r="B1133" i="2"/>
  <c r="F651" i="2"/>
  <c r="F68" i="2"/>
  <c r="A330" i="2"/>
  <c r="B651" i="2"/>
  <c r="D651" i="2"/>
  <c r="F1133" i="2"/>
  <c r="A68" i="2"/>
  <c r="D68" i="2"/>
  <c r="B330" i="2"/>
  <c r="A935" i="2"/>
  <c r="D715" i="2"/>
  <c r="C895" i="2"/>
  <c r="H696" i="2"/>
  <c r="F293" i="2"/>
  <c r="C330" i="2"/>
  <c r="G1286" i="2"/>
  <c r="A1183" i="2"/>
  <c r="D1096" i="2"/>
  <c r="B704" i="2"/>
  <c r="G715" i="2"/>
  <c r="I651" i="2"/>
  <c r="H1183" i="2"/>
  <c r="A715" i="2"/>
  <c r="C1286" i="2"/>
  <c r="C29" i="2"/>
  <c r="G1183" i="2"/>
  <c r="F371" i="2"/>
  <c r="C1096" i="2"/>
  <c r="G233" i="2"/>
  <c r="H651" i="2"/>
  <c r="H493" i="2"/>
  <c r="D233" i="2"/>
  <c r="H68" i="2"/>
  <c r="D29" i="2"/>
  <c r="D696" i="2"/>
  <c r="B233" i="2"/>
  <c r="G696" i="2"/>
  <c r="I895" i="2"/>
  <c r="A696" i="2"/>
  <c r="A293" i="2"/>
  <c r="G895" i="2"/>
  <c r="F704" i="2"/>
  <c r="B1286" i="2"/>
  <c r="A371" i="2"/>
  <c r="A308" i="2"/>
  <c r="B696" i="2"/>
  <c r="I330" i="2"/>
  <c r="G704" i="2"/>
  <c r="A29" i="2"/>
  <c r="F762" i="2"/>
  <c r="B715" i="2"/>
  <c r="F1183" i="2"/>
  <c r="G1025" i="2"/>
  <c r="I935" i="2"/>
  <c r="B1096" i="2"/>
  <c r="G493" i="2"/>
  <c r="B895" i="2"/>
  <c r="B1025" i="2"/>
  <c r="G68" i="2"/>
  <c r="F935" i="2"/>
  <c r="A1133" i="2"/>
  <c r="H233" i="2"/>
  <c r="C651" i="2"/>
  <c r="C293" i="2"/>
  <c r="A416" i="2"/>
  <c r="B489" i="2"/>
  <c r="I923" i="2"/>
  <c r="F1173" i="2"/>
  <c r="A1173" i="2"/>
  <c r="I782" i="2"/>
  <c r="F1263" i="2"/>
  <c r="I744" i="2"/>
  <c r="A782" i="2"/>
  <c r="I1173" i="2"/>
  <c r="D782" i="2"/>
  <c r="H782" i="2"/>
  <c r="B1173" i="2"/>
  <c r="A1263" i="2"/>
  <c r="H784" i="2"/>
  <c r="B744" i="2"/>
  <c r="F416" i="2"/>
  <c r="H1263" i="2"/>
  <c r="G1173" i="2"/>
  <c r="B1263" i="2"/>
  <c r="G1263" i="2"/>
  <c r="A744" i="2"/>
  <c r="B923" i="2"/>
  <c r="F744" i="2"/>
  <c r="B586" i="2"/>
  <c r="H1173" i="2"/>
  <c r="D586" i="2"/>
  <c r="B784" i="2"/>
  <c r="I784" i="2"/>
  <c r="H744" i="2"/>
  <c r="C645" i="2"/>
  <c r="I489" i="2"/>
  <c r="A645" i="2"/>
  <c r="H416" i="2"/>
  <c r="A784" i="2"/>
  <c r="F489" i="2"/>
  <c r="C784" i="2"/>
  <c r="A586" i="2"/>
  <c r="A489" i="2"/>
  <c r="C416" i="2"/>
  <c r="C586" i="2"/>
  <c r="C923" i="2"/>
  <c r="C744" i="2"/>
  <c r="F586" i="2"/>
  <c r="G782" i="2"/>
  <c r="D784" i="2"/>
  <c r="G586" i="2"/>
  <c r="H923" i="2"/>
  <c r="G416" i="2"/>
  <c r="H645" i="2"/>
  <c r="C1173" i="2"/>
  <c r="G489" i="2"/>
  <c r="B645" i="2"/>
  <c r="D489" i="2"/>
  <c r="D416" i="2"/>
  <c r="F782" i="2"/>
  <c r="G923" i="2"/>
  <c r="H489" i="2"/>
  <c r="I1263" i="2"/>
  <c r="B416" i="2"/>
  <c r="I645" i="2"/>
  <c r="B782" i="2"/>
  <c r="G645" i="2"/>
  <c r="G744" i="2"/>
  <c r="A923" i="2"/>
  <c r="F784" i="2"/>
  <c r="D1263" i="2"/>
  <c r="H586" i="2"/>
  <c r="D923" i="2"/>
  <c r="F645" i="2"/>
  <c r="D744" i="2"/>
  <c r="I586" i="2"/>
  <c r="D1173" i="2"/>
  <c r="C782" i="2"/>
  <c r="G784" i="2"/>
  <c r="D645" i="2"/>
  <c r="F923" i="2"/>
  <c r="C489" i="2"/>
  <c r="C1263" i="2"/>
  <c r="I416" i="2"/>
  <c r="H1443" i="2"/>
  <c r="F1443" i="2"/>
  <c r="G1443" i="2"/>
  <c r="B1443" i="2"/>
  <c r="D106" i="2"/>
  <c r="F181" i="2"/>
  <c r="C181" i="2"/>
  <c r="B1188" i="2"/>
  <c r="D85" i="2"/>
  <c r="D1108" i="2"/>
  <c r="F1095" i="2"/>
  <c r="A171" i="2"/>
  <c r="H181" i="2"/>
  <c r="F195" i="2"/>
  <c r="I1095" i="2"/>
  <c r="F1188" i="2"/>
  <c r="B76" i="2"/>
  <c r="B171" i="2"/>
  <c r="F76" i="2"/>
  <c r="A1188" i="2"/>
  <c r="G1260" i="2"/>
  <c r="I1260" i="2"/>
  <c r="G76" i="2"/>
  <c r="C1095" i="2"/>
  <c r="B1260" i="2"/>
  <c r="A181" i="2"/>
  <c r="H195" i="2"/>
  <c r="I106" i="2"/>
  <c r="F1108" i="2"/>
  <c r="C195" i="2"/>
  <c r="D76" i="2"/>
  <c r="G1108" i="2"/>
  <c r="C171" i="2"/>
  <c r="C1108" i="2"/>
  <c r="D181" i="2"/>
  <c r="B181" i="2"/>
  <c r="D1260" i="2"/>
  <c r="B106" i="2"/>
  <c r="C85" i="2"/>
  <c r="C106" i="2"/>
  <c r="B195" i="2"/>
  <c r="A195" i="2"/>
  <c r="F106" i="2"/>
  <c r="B1108" i="2"/>
  <c r="G195" i="2"/>
  <c r="H1188" i="2"/>
  <c r="I76" i="2"/>
  <c r="H1108" i="2"/>
  <c r="H1260" i="2"/>
  <c r="A1095" i="2"/>
  <c r="D1188" i="2"/>
  <c r="D1095" i="2"/>
  <c r="D171" i="2"/>
  <c r="H106" i="2"/>
  <c r="F171" i="2"/>
  <c r="A85" i="2"/>
  <c r="G1188" i="2"/>
  <c r="C76" i="2"/>
  <c r="G181" i="2"/>
  <c r="I1108" i="2"/>
  <c r="B85" i="2"/>
  <c r="G171" i="2"/>
  <c r="F85" i="2"/>
  <c r="H171" i="2"/>
  <c r="D195" i="2"/>
  <c r="G85" i="2"/>
  <c r="A1260" i="2"/>
  <c r="B1095" i="2"/>
  <c r="A106" i="2"/>
  <c r="H1095" i="2"/>
  <c r="C1260" i="2"/>
  <c r="I85" i="2"/>
  <c r="C1188" i="2"/>
  <c r="A76" i="2"/>
  <c r="I195" i="2"/>
  <c r="I1188" i="2"/>
  <c r="I171" i="2"/>
  <c r="A1108" i="2"/>
  <c r="G106" i="2"/>
  <c r="G1095" i="2"/>
  <c r="H85" i="2"/>
  <c r="I181" i="2"/>
  <c r="F1260" i="2"/>
  <c r="H76" i="2"/>
  <c r="B1462" i="2"/>
  <c r="C1462" i="2"/>
  <c r="H728" i="2"/>
  <c r="B522" i="2"/>
  <c r="C119" i="2"/>
  <c r="G1228" i="2"/>
  <c r="I579" i="2"/>
  <c r="H332" i="2"/>
  <c r="B803" i="2"/>
  <c r="D119" i="2"/>
  <c r="A728" i="2"/>
  <c r="A579" i="2"/>
  <c r="D1228" i="2"/>
  <c r="G119" i="2"/>
  <c r="I845" i="2"/>
  <c r="A522" i="2"/>
  <c r="H611" i="2"/>
  <c r="C803" i="2"/>
  <c r="G845" i="2"/>
  <c r="D728" i="2"/>
  <c r="F845" i="2"/>
  <c r="D18" i="2"/>
  <c r="F803" i="2"/>
  <c r="H845" i="2"/>
  <c r="I18" i="2"/>
  <c r="G579" i="2"/>
  <c r="A119" i="2"/>
  <c r="C579" i="2"/>
  <c r="B845" i="2"/>
  <c r="A611" i="2"/>
  <c r="G332" i="2"/>
  <c r="D845" i="2"/>
  <c r="D611" i="2"/>
  <c r="C332" i="2"/>
  <c r="C728" i="2"/>
  <c r="H18" i="2"/>
  <c r="F1228" i="2"/>
  <c r="H522" i="2"/>
  <c r="A845" i="2"/>
  <c r="C1228" i="2"/>
  <c r="D522" i="2"/>
  <c r="B579" i="2"/>
  <c r="C522" i="2"/>
  <c r="B1228" i="2"/>
  <c r="A332" i="2"/>
  <c r="G728" i="2"/>
  <c r="C18" i="2"/>
  <c r="H803" i="2"/>
  <c r="G803" i="2"/>
  <c r="F611" i="2"/>
  <c r="I522" i="2"/>
  <c r="B18" i="2"/>
  <c r="I119" i="2"/>
  <c r="H1228" i="2"/>
  <c r="G522" i="2"/>
  <c r="D803" i="2"/>
  <c r="I803" i="2"/>
  <c r="I728" i="2"/>
  <c r="H579" i="2"/>
  <c r="B611" i="2"/>
  <c r="B332" i="2"/>
  <c r="D332" i="2"/>
  <c r="G611" i="2"/>
  <c r="I332" i="2"/>
  <c r="B728" i="2"/>
  <c r="F18" i="2"/>
  <c r="F579" i="2"/>
  <c r="I1228" i="2"/>
  <c r="G18" i="2"/>
  <c r="C611" i="2"/>
  <c r="H119" i="2"/>
  <c r="B119" i="2"/>
  <c r="F522" i="2"/>
  <c r="D579" i="2"/>
  <c r="F119" i="2"/>
  <c r="F728" i="2"/>
  <c r="F332" i="2"/>
  <c r="A803" i="2"/>
  <c r="A18" i="2"/>
  <c r="C845" i="2"/>
  <c r="A1228" i="2"/>
  <c r="I611" i="2"/>
  <c r="B337" i="2"/>
  <c r="D337" i="2"/>
  <c r="I347" i="2"/>
  <c r="B224" i="2"/>
  <c r="G1038" i="2"/>
  <c r="I678" i="2"/>
  <c r="F37" i="2"/>
  <c r="A1007" i="2"/>
  <c r="H538" i="2"/>
  <c r="A538" i="2"/>
  <c r="I333" i="2"/>
  <c r="G37" i="2"/>
  <c r="G678" i="2"/>
  <c r="C37" i="2"/>
  <c r="F333" i="2"/>
  <c r="A37" i="2"/>
  <c r="B37" i="2"/>
  <c r="G367" i="2"/>
  <c r="G538" i="2"/>
  <c r="D678" i="2"/>
  <c r="H678" i="2"/>
  <c r="D224" i="2"/>
  <c r="G347" i="2"/>
  <c r="I538" i="2"/>
  <c r="B1007" i="2"/>
  <c r="I1007" i="2"/>
  <c r="H347" i="2"/>
  <c r="C367" i="2"/>
  <c r="A337" i="2"/>
  <c r="D367" i="2"/>
  <c r="I367" i="2"/>
  <c r="F678" i="2"/>
  <c r="A333" i="2"/>
  <c r="A224" i="2"/>
  <c r="D37" i="2"/>
  <c r="G333" i="2"/>
  <c r="F347" i="2"/>
  <c r="F224" i="2"/>
  <c r="H224" i="2"/>
  <c r="C337" i="2"/>
  <c r="C1007" i="2"/>
  <c r="I337" i="2"/>
  <c r="C1038" i="2"/>
  <c r="D1038" i="2"/>
  <c r="H1038" i="2"/>
  <c r="A347" i="2"/>
  <c r="G224" i="2"/>
  <c r="I37" i="2"/>
  <c r="F1038" i="2"/>
  <c r="H333" i="2"/>
  <c r="F367" i="2"/>
  <c r="C347" i="2"/>
  <c r="G337" i="2"/>
  <c r="F337" i="2"/>
  <c r="D333" i="2"/>
  <c r="G1007" i="2"/>
  <c r="B1038" i="2"/>
  <c r="D538" i="2"/>
  <c r="B538" i="2"/>
  <c r="B347" i="2"/>
  <c r="I1038" i="2"/>
  <c r="A367" i="2"/>
  <c r="D1007" i="2"/>
  <c r="C224" i="2"/>
  <c r="F538" i="2"/>
  <c r="A678" i="2"/>
  <c r="B367" i="2"/>
  <c r="C678" i="2"/>
  <c r="B333" i="2"/>
  <c r="H1007" i="2"/>
  <c r="H337" i="2"/>
  <c r="C333" i="2"/>
  <c r="H37" i="2"/>
  <c r="D347" i="2"/>
  <c r="I224" i="2"/>
  <c r="F1007" i="2"/>
  <c r="H367" i="2"/>
  <c r="C538" i="2"/>
  <c r="A1038" i="2"/>
  <c r="B678" i="2"/>
  <c r="C148" i="2"/>
  <c r="D532" i="2"/>
  <c r="A532" i="2"/>
  <c r="A720" i="2"/>
  <c r="C532" i="2"/>
  <c r="H1156" i="2"/>
  <c r="F720" i="2"/>
  <c r="G748" i="2"/>
  <c r="H720" i="2"/>
  <c r="B422" i="2"/>
  <c r="C748" i="2"/>
  <c r="D141" i="2"/>
  <c r="F238" i="2"/>
  <c r="A748" i="2"/>
  <c r="H677" i="2"/>
  <c r="B720" i="2"/>
  <c r="G141" i="2"/>
  <c r="A148" i="2"/>
  <c r="B677" i="2"/>
  <c r="G148" i="2"/>
  <c r="A1156" i="2"/>
  <c r="G238" i="2"/>
  <c r="F677" i="2"/>
  <c r="B1156" i="2"/>
  <c r="F422" i="2"/>
  <c r="B748" i="2"/>
  <c r="G720" i="2"/>
  <c r="B238" i="2"/>
  <c r="D422" i="2"/>
  <c r="I677" i="2"/>
  <c r="G677" i="2"/>
  <c r="H148" i="2"/>
  <c r="A677" i="2"/>
  <c r="D238" i="2"/>
  <c r="B141" i="2"/>
  <c r="F1156" i="2"/>
  <c r="C238" i="2"/>
  <c r="D748" i="2"/>
  <c r="I238" i="2"/>
  <c r="B444" i="2"/>
  <c r="G532" i="2"/>
  <c r="C1156" i="2"/>
  <c r="H532" i="2"/>
  <c r="F141" i="2"/>
  <c r="C720" i="2"/>
  <c r="C422" i="2"/>
  <c r="I748" i="2"/>
  <c r="D444" i="2"/>
  <c r="A422" i="2"/>
  <c r="A444" i="2"/>
  <c r="C141" i="2"/>
  <c r="F748" i="2"/>
  <c r="I141" i="2"/>
  <c r="G444" i="2"/>
  <c r="A238" i="2"/>
  <c r="D677" i="2"/>
  <c r="B532" i="2"/>
  <c r="G422" i="2"/>
  <c r="F532" i="2"/>
  <c r="I444" i="2"/>
  <c r="H444" i="2"/>
  <c r="G1156" i="2"/>
  <c r="B148" i="2"/>
  <c r="I422" i="2"/>
  <c r="A141" i="2"/>
  <c r="C444" i="2"/>
  <c r="D148" i="2"/>
  <c r="D720" i="2"/>
  <c r="D1156" i="2"/>
  <c r="I148" i="2"/>
  <c r="C677" i="2"/>
  <c r="I720" i="2"/>
  <c r="H422" i="2"/>
  <c r="I532" i="2"/>
  <c r="H141" i="2"/>
  <c r="F444" i="2"/>
  <c r="I1156" i="2"/>
  <c r="H748" i="2"/>
  <c r="H238" i="2"/>
  <c r="F148" i="2"/>
  <c r="A1319" i="2"/>
  <c r="F1411" i="2"/>
  <c r="C1411" i="2"/>
  <c r="A1369" i="2"/>
  <c r="G1319" i="2"/>
  <c r="A1411" i="2"/>
  <c r="D1369" i="2"/>
  <c r="G1369" i="2"/>
  <c r="G1411" i="2"/>
  <c r="F1369" i="2"/>
  <c r="D1319" i="2"/>
  <c r="C1369" i="2"/>
  <c r="B1319" i="2"/>
  <c r="B1369" i="2"/>
  <c r="F1319" i="2"/>
  <c r="D1411" i="2"/>
  <c r="B1411" i="2"/>
  <c r="C1319" i="2"/>
  <c r="B1414" i="2"/>
  <c r="A1414" i="2"/>
  <c r="C1414" i="2"/>
  <c r="A1278" i="2"/>
  <c r="F223" i="2"/>
  <c r="G220" i="2"/>
  <c r="G482" i="2"/>
  <c r="G745" i="2"/>
  <c r="G36" i="2"/>
  <c r="F36" i="2"/>
  <c r="F956" i="2"/>
  <c r="I220" i="2"/>
  <c r="C1278" i="2"/>
  <c r="C482" i="2"/>
  <c r="G1071" i="2"/>
  <c r="C816" i="2"/>
  <c r="D36" i="2"/>
  <c r="D1071" i="2"/>
  <c r="I745" i="2"/>
  <c r="D816" i="2"/>
  <c r="A1071" i="2"/>
  <c r="C1153" i="2"/>
  <c r="H816" i="2"/>
  <c r="H223" i="2"/>
  <c r="I816" i="2"/>
  <c r="B482" i="2"/>
  <c r="A1153" i="2"/>
  <c r="B223" i="2"/>
  <c r="D745" i="2"/>
  <c r="B220" i="2"/>
  <c r="G1278" i="2"/>
  <c r="I956" i="2"/>
  <c r="H745" i="2"/>
  <c r="H1153" i="2"/>
  <c r="A482" i="2"/>
  <c r="H956" i="2"/>
  <c r="F816" i="2"/>
  <c r="C36" i="2"/>
  <c r="C1071" i="2"/>
  <c r="A956" i="2"/>
  <c r="I482" i="2"/>
  <c r="H36" i="2"/>
  <c r="D220" i="2"/>
  <c r="G816" i="2"/>
  <c r="I1153" i="2"/>
  <c r="A36" i="2"/>
  <c r="H1071" i="2"/>
  <c r="B1278" i="2"/>
  <c r="H220" i="2"/>
  <c r="A816" i="2"/>
  <c r="I223" i="2"/>
  <c r="F220" i="2"/>
  <c r="A745" i="2"/>
  <c r="B1153" i="2"/>
  <c r="F1278" i="2"/>
  <c r="B745" i="2"/>
  <c r="C223" i="2"/>
  <c r="D956" i="2"/>
  <c r="F1153" i="2"/>
  <c r="F1071" i="2"/>
  <c r="C220" i="2"/>
  <c r="C745" i="2"/>
  <c r="G1153" i="2"/>
  <c r="D223" i="2"/>
  <c r="G956" i="2"/>
  <c r="C956" i="2"/>
  <c r="B36" i="2"/>
  <c r="A223" i="2"/>
  <c r="D482" i="2"/>
  <c r="I1278" i="2"/>
  <c r="H1278" i="2"/>
  <c r="H482" i="2"/>
  <c r="I36" i="2"/>
  <c r="I1071" i="2"/>
  <c r="D1153" i="2"/>
  <c r="F482" i="2"/>
  <c r="G223" i="2"/>
  <c r="B956" i="2"/>
  <c r="A220" i="2"/>
  <c r="B816" i="2"/>
  <c r="D1278" i="2"/>
  <c r="B1071" i="2"/>
  <c r="F745" i="2"/>
  <c r="B1440" i="2"/>
  <c r="A1440" i="2"/>
  <c r="F1486" i="2"/>
  <c r="B1486" i="2"/>
  <c r="C1486" i="2"/>
  <c r="B1123" i="2"/>
  <c r="G1123" i="2"/>
  <c r="C463" i="2"/>
  <c r="D297" i="2"/>
  <c r="I470" i="2"/>
  <c r="G774" i="2"/>
  <c r="D11" i="2"/>
  <c r="D463" i="2"/>
  <c r="F297" i="2"/>
  <c r="I11" i="2"/>
  <c r="I902" i="2"/>
  <c r="C1266" i="2"/>
  <c r="C297" i="2"/>
  <c r="I1088" i="2"/>
  <c r="F470" i="2"/>
  <c r="G463" i="2"/>
  <c r="F902" i="2"/>
  <c r="B902" i="2"/>
  <c r="H463" i="2"/>
  <c r="B463" i="2"/>
  <c r="F1266" i="2"/>
  <c r="C470" i="2"/>
  <c r="A1088" i="2"/>
  <c r="H1123" i="2"/>
  <c r="G1088" i="2"/>
  <c r="A1266" i="2"/>
  <c r="C1088" i="2"/>
  <c r="H774" i="2"/>
  <c r="A902" i="2"/>
  <c r="G297" i="2"/>
  <c r="I1123" i="2"/>
  <c r="F11" i="2"/>
  <c r="G1266" i="2"/>
  <c r="I463" i="2"/>
  <c r="G470" i="2"/>
  <c r="F313" i="2"/>
  <c r="B774" i="2"/>
  <c r="D470" i="2"/>
  <c r="C902" i="2"/>
  <c r="D902" i="2"/>
  <c r="G313" i="2"/>
  <c r="A463" i="2"/>
  <c r="G11" i="2"/>
  <c r="A470" i="2"/>
  <c r="H1088" i="2"/>
  <c r="C11" i="2"/>
  <c r="A313" i="2"/>
  <c r="A297" i="2"/>
  <c r="H313" i="2"/>
  <c r="C774" i="2"/>
  <c r="F1088" i="2"/>
  <c r="B470" i="2"/>
  <c r="B11" i="2"/>
  <c r="G902" i="2"/>
  <c r="I1266" i="2"/>
  <c r="D1123" i="2"/>
  <c r="I774" i="2"/>
  <c r="C313" i="2"/>
  <c r="I297" i="2"/>
  <c r="H1266" i="2"/>
  <c r="B1266" i="2"/>
  <c r="C1123" i="2"/>
  <c r="H297" i="2"/>
  <c r="D1088" i="2"/>
  <c r="B313" i="2"/>
  <c r="F774" i="2"/>
  <c r="D313" i="2"/>
  <c r="A1123" i="2"/>
  <c r="A774" i="2"/>
  <c r="A11" i="2"/>
  <c r="H902" i="2"/>
  <c r="D1266" i="2"/>
  <c r="D774" i="2"/>
  <c r="F463" i="2"/>
  <c r="I313" i="2"/>
  <c r="B297" i="2"/>
  <c r="B1088" i="2"/>
  <c r="H470" i="2"/>
  <c r="F1123" i="2"/>
  <c r="H11" i="2"/>
  <c r="G349" i="2"/>
  <c r="I349" i="2"/>
  <c r="A1241" i="2"/>
  <c r="B1241" i="2"/>
  <c r="G414" i="2"/>
  <c r="F884" i="2"/>
  <c r="C943" i="2"/>
  <c r="C349" i="2"/>
  <c r="C414" i="2"/>
  <c r="F596" i="2"/>
  <c r="C1241" i="2"/>
  <c r="I770" i="2"/>
  <c r="D943" i="2"/>
  <c r="I596" i="2"/>
  <c r="I943" i="2"/>
  <c r="I1241" i="2"/>
  <c r="G943" i="2"/>
  <c r="H257" i="2"/>
  <c r="G770" i="2"/>
  <c r="B1001" i="2"/>
  <c r="D257" i="2"/>
  <c r="B257" i="2"/>
  <c r="D414" i="2"/>
  <c r="H1001" i="2"/>
  <c r="B596" i="2"/>
  <c r="F943" i="2"/>
  <c r="H770" i="2"/>
  <c r="B770" i="2"/>
  <c r="I1001" i="2"/>
  <c r="B943" i="2"/>
  <c r="I414" i="2"/>
  <c r="C884" i="2"/>
  <c r="G58" i="2"/>
  <c r="D1241" i="2"/>
  <c r="B58" i="2"/>
  <c r="C770" i="2"/>
  <c r="B884" i="2"/>
  <c r="A1001" i="2"/>
  <c r="F1001" i="2"/>
  <c r="B414" i="2"/>
  <c r="A884" i="2"/>
  <c r="F349" i="2"/>
  <c r="A770" i="2"/>
  <c r="F58" i="2"/>
  <c r="C596" i="2"/>
  <c r="H943" i="2"/>
  <c r="A257" i="2"/>
  <c r="D58" i="2"/>
  <c r="H58" i="2"/>
  <c r="C58" i="2"/>
  <c r="C1001" i="2"/>
  <c r="H414" i="2"/>
  <c r="A414" i="2"/>
  <c r="H596" i="2"/>
  <c r="B349" i="2"/>
  <c r="I58" i="2"/>
  <c r="F1241" i="2"/>
  <c r="D884" i="2"/>
  <c r="I884" i="2"/>
  <c r="G1241" i="2"/>
  <c r="D1001" i="2"/>
  <c r="F257" i="2"/>
  <c r="D349" i="2"/>
  <c r="C257" i="2"/>
  <c r="H349" i="2"/>
  <c r="G257" i="2"/>
  <c r="D596" i="2"/>
  <c r="H884" i="2"/>
  <c r="F770" i="2"/>
  <c r="A58" i="2"/>
  <c r="G596" i="2"/>
  <c r="A596" i="2"/>
  <c r="G884" i="2"/>
  <c r="I257" i="2"/>
  <c r="F414" i="2"/>
  <c r="A943" i="2"/>
  <c r="H1241" i="2"/>
  <c r="A349" i="2"/>
  <c r="D770" i="2"/>
  <c r="G1001" i="2"/>
  <c r="H573" i="2"/>
  <c r="I573" i="2"/>
  <c r="C498" i="2"/>
  <c r="C295" i="2"/>
  <c r="H154" i="2"/>
  <c r="C680" i="2"/>
  <c r="G862" i="2"/>
  <c r="I488" i="2"/>
  <c r="F488" i="2"/>
  <c r="D284" i="2"/>
  <c r="B284" i="2"/>
  <c r="G498" i="2"/>
  <c r="A498" i="2"/>
  <c r="F862" i="2"/>
  <c r="F5" i="2"/>
  <c r="D295" i="2"/>
  <c r="D154" i="2"/>
  <c r="H680" i="2"/>
  <c r="A154" i="2"/>
  <c r="B680" i="2"/>
  <c r="I498" i="2"/>
  <c r="D699" i="2"/>
  <c r="B5" i="2"/>
  <c r="C5" i="2"/>
  <c r="D573" i="2"/>
  <c r="D488" i="2"/>
  <c r="F154" i="2"/>
  <c r="B862" i="2"/>
  <c r="B295" i="2"/>
  <c r="B498" i="2"/>
  <c r="I680" i="2"/>
  <c r="A295" i="2"/>
  <c r="G154" i="2"/>
  <c r="H284" i="2"/>
  <c r="F699" i="2"/>
  <c r="H498" i="2"/>
  <c r="C699" i="2"/>
  <c r="C284" i="2"/>
  <c r="C488" i="2"/>
  <c r="A284" i="2"/>
  <c r="D680" i="2"/>
  <c r="H5" i="2"/>
  <c r="G699" i="2"/>
  <c r="G680" i="2"/>
  <c r="A699" i="2"/>
  <c r="B488" i="2"/>
  <c r="I284" i="2"/>
  <c r="D498" i="2"/>
  <c r="B573" i="2"/>
  <c r="I295" i="2"/>
  <c r="G488" i="2"/>
  <c r="A5" i="2"/>
  <c r="F680" i="2"/>
  <c r="H488" i="2"/>
  <c r="F295" i="2"/>
  <c r="D862" i="2"/>
  <c r="D5" i="2"/>
  <c r="A862" i="2"/>
  <c r="I699" i="2"/>
  <c r="I862" i="2"/>
  <c r="I5" i="2"/>
  <c r="G284" i="2"/>
  <c r="F573" i="2"/>
  <c r="A573" i="2"/>
  <c r="G573" i="2"/>
  <c r="H862" i="2"/>
  <c r="B154" i="2"/>
  <c r="H699" i="2"/>
  <c r="G295" i="2"/>
  <c r="I154" i="2"/>
  <c r="A488" i="2"/>
  <c r="C862" i="2"/>
  <c r="H295" i="2"/>
  <c r="A680" i="2"/>
  <c r="F284" i="2"/>
  <c r="F498" i="2"/>
  <c r="G5" i="2"/>
  <c r="B699" i="2"/>
  <c r="C154" i="2"/>
  <c r="C573" i="2"/>
  <c r="I512" i="2"/>
  <c r="B724" i="2"/>
  <c r="F983" i="2"/>
  <c r="C630" i="2"/>
  <c r="C512" i="2"/>
  <c r="G1043" i="2"/>
  <c r="C724" i="2"/>
  <c r="B512" i="2"/>
  <c r="A392" i="2"/>
  <c r="F1176" i="2"/>
  <c r="C392" i="2"/>
  <c r="F392" i="2"/>
  <c r="A724" i="2"/>
  <c r="I1347" i="2"/>
  <c r="A630" i="2"/>
  <c r="I724" i="2"/>
  <c r="C1347" i="2"/>
  <c r="G512" i="2"/>
  <c r="I1043" i="2"/>
  <c r="D1043" i="2"/>
  <c r="H512" i="2"/>
  <c r="D486" i="2"/>
  <c r="F486" i="2"/>
  <c r="A1176" i="2"/>
  <c r="I622" i="2"/>
  <c r="I486" i="2"/>
  <c r="H724" i="2"/>
  <c r="G1347" i="2"/>
  <c r="G622" i="2"/>
  <c r="A622" i="2"/>
  <c r="H392" i="2"/>
  <c r="D512" i="2"/>
  <c r="F724" i="2"/>
  <c r="I1176" i="2"/>
  <c r="H1043" i="2"/>
  <c r="D1347" i="2"/>
  <c r="B1347" i="2"/>
  <c r="F630" i="2"/>
  <c r="F622" i="2"/>
  <c r="A1347" i="2"/>
  <c r="G486" i="2"/>
  <c r="H486" i="2"/>
  <c r="A983" i="2"/>
  <c r="F1347" i="2"/>
  <c r="G983" i="2"/>
  <c r="C622" i="2"/>
  <c r="F1043" i="2"/>
  <c r="B983" i="2"/>
  <c r="F512" i="2"/>
  <c r="A1043" i="2"/>
  <c r="C486" i="2"/>
  <c r="I630" i="2"/>
  <c r="I983" i="2"/>
  <c r="B630" i="2"/>
  <c r="H1176" i="2"/>
  <c r="G392" i="2"/>
  <c r="G724" i="2"/>
  <c r="C1043" i="2"/>
  <c r="I392" i="2"/>
  <c r="D392" i="2"/>
  <c r="H622" i="2"/>
  <c r="B622" i="2"/>
  <c r="H983" i="2"/>
  <c r="D630" i="2"/>
  <c r="D983" i="2"/>
  <c r="B1176" i="2"/>
  <c r="B486" i="2"/>
  <c r="H630" i="2"/>
  <c r="C1176" i="2"/>
  <c r="G1176" i="2"/>
  <c r="A486" i="2"/>
  <c r="A512" i="2"/>
  <c r="G630" i="2"/>
  <c r="C983" i="2"/>
  <c r="H1347" i="2"/>
  <c r="D1176" i="2"/>
  <c r="B392" i="2"/>
  <c r="D724" i="2"/>
  <c r="D622" i="2"/>
  <c r="B1043" i="2"/>
  <c r="G1585" i="2"/>
  <c r="C1585" i="2"/>
  <c r="G1631" i="2"/>
  <c r="G1582" i="2"/>
  <c r="G1591" i="2"/>
  <c r="G1620" i="2"/>
  <c r="I157" i="2"/>
  <c r="A380" i="2"/>
  <c r="G588" i="2"/>
  <c r="D938" i="2"/>
  <c r="D94" i="2"/>
  <c r="D157" i="2"/>
  <c r="G380" i="2"/>
  <c r="I94" i="2"/>
  <c r="I588" i="2"/>
  <c r="H288" i="2"/>
  <c r="I938" i="2"/>
  <c r="I853" i="2"/>
  <c r="G146" i="2"/>
  <c r="B207" i="2"/>
  <c r="I146" i="2"/>
  <c r="B288" i="2"/>
  <c r="D380" i="2"/>
  <c r="D288" i="2"/>
  <c r="F288" i="2"/>
  <c r="B588" i="2"/>
  <c r="F380" i="2"/>
  <c r="H94" i="2"/>
  <c r="F889" i="2"/>
  <c r="D207" i="2"/>
  <c r="I380" i="2"/>
  <c r="B889" i="2"/>
  <c r="B146" i="2"/>
  <c r="B938" i="2"/>
  <c r="H938" i="2"/>
  <c r="C938" i="2"/>
  <c r="B380" i="2"/>
  <c r="C288" i="2"/>
  <c r="H853" i="2"/>
  <c r="F588" i="2"/>
  <c r="C157" i="2"/>
  <c r="G94" i="2"/>
  <c r="G889" i="2"/>
  <c r="C853" i="2"/>
  <c r="H146" i="2"/>
  <c r="H889" i="2"/>
  <c r="H157" i="2"/>
  <c r="A94" i="2"/>
  <c r="B853" i="2"/>
  <c r="H207" i="2"/>
  <c r="F146" i="2"/>
  <c r="B157" i="2"/>
  <c r="C94" i="2"/>
  <c r="A288" i="2"/>
  <c r="B94" i="2"/>
  <c r="D853" i="2"/>
  <c r="D588" i="2"/>
  <c r="H588" i="2"/>
  <c r="I207" i="2"/>
  <c r="H380" i="2"/>
  <c r="D889" i="2"/>
  <c r="C207" i="2"/>
  <c r="A146" i="2"/>
  <c r="G207" i="2"/>
  <c r="I889" i="2"/>
  <c r="G288" i="2"/>
  <c r="G853" i="2"/>
  <c r="A853" i="2"/>
  <c r="A588" i="2"/>
  <c r="F207" i="2"/>
  <c r="A938" i="2"/>
  <c r="D146" i="2"/>
  <c r="G938" i="2"/>
  <c r="A157" i="2"/>
  <c r="F157" i="2"/>
  <c r="A889" i="2"/>
  <c r="F938" i="2"/>
  <c r="G157" i="2"/>
  <c r="A207" i="2"/>
  <c r="F94" i="2"/>
  <c r="C588" i="2"/>
  <c r="C380" i="2"/>
  <c r="F853" i="2"/>
  <c r="C146" i="2"/>
  <c r="C889" i="2"/>
  <c r="I288" i="2"/>
  <c r="C1135" i="2"/>
  <c r="G1389" i="2"/>
  <c r="H835" i="2"/>
  <c r="A516" i="2"/>
  <c r="I1389" i="2"/>
  <c r="D299" i="2"/>
  <c r="G901" i="2"/>
  <c r="A1135" i="2"/>
  <c r="D901" i="2"/>
  <c r="B729" i="2"/>
  <c r="H1389" i="2"/>
  <c r="B1151" i="2"/>
  <c r="A1303" i="2"/>
  <c r="C1303" i="2"/>
  <c r="B585" i="2"/>
  <c r="C1389" i="2"/>
  <c r="F901" i="2"/>
  <c r="G1135" i="2"/>
  <c r="I1151" i="2"/>
  <c r="I1303" i="2"/>
  <c r="G1151" i="2"/>
  <c r="I585" i="2"/>
  <c r="H585" i="2"/>
  <c r="I299" i="2"/>
  <c r="A1389" i="2"/>
  <c r="F585" i="2"/>
  <c r="D516" i="2"/>
  <c r="H299" i="2"/>
  <c r="A299" i="2"/>
  <c r="H901" i="2"/>
  <c r="I901" i="2"/>
  <c r="D835" i="2"/>
  <c r="I835" i="2"/>
  <c r="A1151" i="2"/>
  <c r="G585" i="2"/>
  <c r="B835" i="2"/>
  <c r="A901" i="2"/>
  <c r="A585" i="2"/>
  <c r="D1303" i="2"/>
  <c r="G729" i="2"/>
  <c r="H1135" i="2"/>
  <c r="H1151" i="2"/>
  <c r="F1303" i="2"/>
  <c r="F729" i="2"/>
  <c r="B299" i="2"/>
  <c r="G299" i="2"/>
  <c r="A835" i="2"/>
  <c r="F1151" i="2"/>
  <c r="D729" i="2"/>
  <c r="G1303" i="2"/>
  <c r="B1135" i="2"/>
  <c r="F1135" i="2"/>
  <c r="C585" i="2"/>
  <c r="B516" i="2"/>
  <c r="D1389" i="2"/>
  <c r="C729" i="2"/>
  <c r="B901" i="2"/>
  <c r="C516" i="2"/>
  <c r="H729" i="2"/>
  <c r="H516" i="2"/>
  <c r="D1135" i="2"/>
  <c r="F835" i="2"/>
  <c r="C1151" i="2"/>
  <c r="C835" i="2"/>
  <c r="G516" i="2"/>
  <c r="A729" i="2"/>
  <c r="F1389" i="2"/>
  <c r="H1303" i="2"/>
  <c r="F299" i="2"/>
  <c r="B1389" i="2"/>
  <c r="F516" i="2"/>
  <c r="C299" i="2"/>
  <c r="C901" i="2"/>
  <c r="D585" i="2"/>
  <c r="I516" i="2"/>
  <c r="G835" i="2"/>
  <c r="D1151" i="2"/>
  <c r="B1303" i="2"/>
  <c r="I729" i="2"/>
  <c r="I1135" i="2"/>
  <c r="D749" i="2"/>
  <c r="D137" i="2"/>
  <c r="B509" i="2"/>
  <c r="F864" i="2"/>
  <c r="C665" i="2"/>
  <c r="H509" i="2"/>
  <c r="G749" i="2"/>
  <c r="B62" i="2"/>
  <c r="H137" i="2"/>
  <c r="B137" i="2"/>
  <c r="H665" i="2"/>
  <c r="C1213" i="2"/>
  <c r="I62" i="2"/>
  <c r="C531" i="2"/>
  <c r="D509" i="2"/>
  <c r="B864" i="2"/>
  <c r="B665" i="2"/>
  <c r="D864" i="2"/>
  <c r="C749" i="2"/>
  <c r="B1213" i="2"/>
  <c r="C542" i="2"/>
  <c r="I864" i="2"/>
  <c r="I137" i="2"/>
  <c r="F107" i="2"/>
  <c r="D542" i="2"/>
  <c r="I665" i="2"/>
  <c r="G542" i="2"/>
  <c r="F1213" i="2"/>
  <c r="H749" i="2"/>
  <c r="H531" i="2"/>
  <c r="B107" i="2"/>
  <c r="A107" i="2"/>
  <c r="C107" i="2"/>
  <c r="D107" i="2"/>
  <c r="G531" i="2"/>
  <c r="F531" i="2"/>
  <c r="F509" i="2"/>
  <c r="H542" i="2"/>
  <c r="C864" i="2"/>
  <c r="A665" i="2"/>
  <c r="G107" i="2"/>
  <c r="A1213" i="2"/>
  <c r="B531" i="2"/>
  <c r="G509" i="2"/>
  <c r="A864" i="2"/>
  <c r="H62" i="2"/>
  <c r="G62" i="2"/>
  <c r="I509" i="2"/>
  <c r="H1213" i="2"/>
  <c r="G864" i="2"/>
  <c r="A137" i="2"/>
  <c r="F749" i="2"/>
  <c r="I749" i="2"/>
  <c r="H107" i="2"/>
  <c r="G665" i="2"/>
  <c r="D531" i="2"/>
  <c r="C509" i="2"/>
  <c r="D1213" i="2"/>
  <c r="C137" i="2"/>
  <c r="F62" i="2"/>
  <c r="C62" i="2"/>
  <c r="G1213" i="2"/>
  <c r="A531" i="2"/>
  <c r="F137" i="2"/>
  <c r="D665" i="2"/>
  <c r="A62" i="2"/>
  <c r="F542" i="2"/>
  <c r="B749" i="2"/>
  <c r="I542" i="2"/>
  <c r="A542" i="2"/>
  <c r="G137" i="2"/>
  <c r="A509" i="2"/>
  <c r="A749" i="2"/>
  <c r="D62" i="2"/>
  <c r="I107" i="2"/>
  <c r="I1213" i="2"/>
  <c r="I531" i="2"/>
  <c r="H864" i="2"/>
  <c r="B542" i="2"/>
  <c r="F665" i="2"/>
  <c r="B799" i="2"/>
  <c r="G936" i="2"/>
  <c r="A258" i="2"/>
  <c r="F936" i="2"/>
  <c r="F1006" i="2"/>
  <c r="F457" i="2"/>
  <c r="F684" i="2"/>
  <c r="F593" i="2"/>
  <c r="I684" i="2"/>
  <c r="A290" i="2"/>
  <c r="D684" i="2"/>
  <c r="G1006" i="2"/>
  <c r="I457" i="2"/>
  <c r="H936" i="2"/>
  <c r="G805" i="2"/>
  <c r="D457" i="2"/>
  <c r="I593" i="2"/>
  <c r="H290" i="2"/>
  <c r="B1006" i="2"/>
  <c r="H799" i="2"/>
  <c r="G290" i="2"/>
  <c r="A457" i="2"/>
  <c r="H805" i="2"/>
  <c r="I1006" i="2"/>
  <c r="D290" i="2"/>
  <c r="D61" i="2"/>
  <c r="D593" i="2"/>
  <c r="G684" i="2"/>
  <c r="A799" i="2"/>
  <c r="B593" i="2"/>
  <c r="C258" i="2"/>
  <c r="C936" i="2"/>
  <c r="C684" i="2"/>
  <c r="H258" i="2"/>
  <c r="I61" i="2"/>
  <c r="B684" i="2"/>
  <c r="D258" i="2"/>
  <c r="I290" i="2"/>
  <c r="D936" i="2"/>
  <c r="H61" i="2"/>
  <c r="H593" i="2"/>
  <c r="B805" i="2"/>
  <c r="C457" i="2"/>
  <c r="A1006" i="2"/>
  <c r="I258" i="2"/>
  <c r="G61" i="2"/>
  <c r="G799" i="2"/>
  <c r="D799" i="2"/>
  <c r="I805" i="2"/>
  <c r="I799" i="2"/>
  <c r="B936" i="2"/>
  <c r="B290" i="2"/>
  <c r="D1006" i="2"/>
  <c r="G258" i="2"/>
  <c r="H1006" i="2"/>
  <c r="A593" i="2"/>
  <c r="B258" i="2"/>
  <c r="C799" i="2"/>
  <c r="G457" i="2"/>
  <c r="F290" i="2"/>
  <c r="A61" i="2"/>
  <c r="B61" i="2"/>
  <c r="F61" i="2"/>
  <c r="C805" i="2"/>
  <c r="A684" i="2"/>
  <c r="G593" i="2"/>
  <c r="H457" i="2"/>
  <c r="F805" i="2"/>
  <c r="A936" i="2"/>
  <c r="F258" i="2"/>
  <c r="A805" i="2"/>
  <c r="H684" i="2"/>
  <c r="B457" i="2"/>
  <c r="C593" i="2"/>
  <c r="C1006" i="2"/>
  <c r="I936" i="2"/>
  <c r="D805" i="2"/>
  <c r="C61" i="2"/>
  <c r="C290" i="2"/>
  <c r="F799" i="2"/>
  <c r="D647" i="2"/>
  <c r="C30" i="2"/>
  <c r="I984" i="2"/>
  <c r="C882" i="2"/>
  <c r="A1295" i="2"/>
  <c r="G168" i="2"/>
  <c r="A27" i="2"/>
  <c r="B984" i="2"/>
  <c r="G158" i="2"/>
  <c r="C158" i="2"/>
  <c r="I168" i="2"/>
  <c r="D871" i="2"/>
  <c r="A168" i="2"/>
  <c r="I882" i="2"/>
  <c r="I158" i="2"/>
  <c r="H158" i="2"/>
  <c r="F984" i="2"/>
  <c r="F30" i="2"/>
  <c r="B158" i="2"/>
  <c r="B168" i="2"/>
  <c r="C893" i="2"/>
  <c r="A647" i="2"/>
  <c r="H882" i="2"/>
  <c r="D158" i="2"/>
  <c r="C1295" i="2"/>
  <c r="I647" i="2"/>
  <c r="D27" i="2"/>
  <c r="A871" i="2"/>
  <c r="I27" i="2"/>
  <c r="F893" i="2"/>
  <c r="F158" i="2"/>
  <c r="G882" i="2"/>
  <c r="B882" i="2"/>
  <c r="I1295" i="2"/>
  <c r="C984" i="2"/>
  <c r="B647" i="2"/>
  <c r="B30" i="2"/>
  <c r="I893" i="2"/>
  <c r="A893" i="2"/>
  <c r="G27" i="2"/>
  <c r="C647" i="2"/>
  <c r="D168" i="2"/>
  <c r="F27" i="2"/>
  <c r="D1295" i="2"/>
  <c r="A30" i="2"/>
  <c r="D984" i="2"/>
  <c r="G30" i="2"/>
  <c r="F1295" i="2"/>
  <c r="H27" i="2"/>
  <c r="C27" i="2"/>
  <c r="G984" i="2"/>
  <c r="H893" i="2"/>
  <c r="H30" i="2"/>
  <c r="I871" i="2"/>
  <c r="C871" i="2"/>
  <c r="F871" i="2"/>
  <c r="B1295" i="2"/>
  <c r="A882" i="2"/>
  <c r="G871" i="2"/>
  <c r="H984" i="2"/>
  <c r="H647" i="2"/>
  <c r="G647" i="2"/>
  <c r="C168" i="2"/>
  <c r="B871" i="2"/>
  <c r="D882" i="2"/>
  <c r="D893" i="2"/>
  <c r="B893" i="2"/>
  <c r="F168" i="2"/>
  <c r="I30" i="2"/>
  <c r="G1295" i="2"/>
  <c r="F647" i="2"/>
  <c r="H1295" i="2"/>
  <c r="D30" i="2"/>
  <c r="A158" i="2"/>
  <c r="H871" i="2"/>
  <c r="A984" i="2"/>
  <c r="G893" i="2"/>
  <c r="H168" i="2"/>
  <c r="F882" i="2"/>
  <c r="B27" i="2"/>
  <c r="F939" i="2"/>
  <c r="C239" i="2"/>
  <c r="G277" i="2"/>
  <c r="D658" i="2"/>
  <c r="G939" i="2"/>
  <c r="D808" i="2"/>
  <c r="H618" i="2"/>
  <c r="I658" i="2"/>
  <c r="I968" i="2"/>
  <c r="C618" i="2"/>
  <c r="D618" i="2"/>
  <c r="H277" i="2"/>
  <c r="I115" i="2"/>
  <c r="B830" i="2"/>
  <c r="B259" i="2"/>
  <c r="D939" i="2"/>
  <c r="G115" i="2"/>
  <c r="C115" i="2"/>
  <c r="D115" i="2"/>
  <c r="D239" i="2"/>
  <c r="H658" i="2"/>
  <c r="A939" i="2"/>
  <c r="I259" i="2"/>
  <c r="H968" i="2"/>
  <c r="I939" i="2"/>
  <c r="F239" i="2"/>
  <c r="F658" i="2"/>
  <c r="H239" i="2"/>
  <c r="G618" i="2"/>
  <c r="D968" i="2"/>
  <c r="I830" i="2"/>
  <c r="H830" i="2"/>
  <c r="F808" i="2"/>
  <c r="G968" i="2"/>
  <c r="B618" i="2"/>
  <c r="B115" i="2"/>
  <c r="D259" i="2"/>
  <c r="A239" i="2"/>
  <c r="B808" i="2"/>
  <c r="H808" i="2"/>
  <c r="F259" i="2"/>
  <c r="B968" i="2"/>
  <c r="A968" i="2"/>
  <c r="B239" i="2"/>
  <c r="D830" i="2"/>
  <c r="G830" i="2"/>
  <c r="C277" i="2"/>
  <c r="G259" i="2"/>
  <c r="B658" i="2"/>
  <c r="H115" i="2"/>
  <c r="I239" i="2"/>
  <c r="B939" i="2"/>
  <c r="I618" i="2"/>
  <c r="I808" i="2"/>
  <c r="A115" i="2"/>
  <c r="F830" i="2"/>
  <c r="G808" i="2"/>
  <c r="C658" i="2"/>
  <c r="I277" i="2"/>
  <c r="A618" i="2"/>
  <c r="C939" i="2"/>
  <c r="A259" i="2"/>
  <c r="C808" i="2"/>
  <c r="A658" i="2"/>
  <c r="F968" i="2"/>
  <c r="B277" i="2"/>
  <c r="D277" i="2"/>
  <c r="C830" i="2"/>
  <c r="A277" i="2"/>
  <c r="C259" i="2"/>
  <c r="C968" i="2"/>
  <c r="A830" i="2"/>
  <c r="G658" i="2"/>
  <c r="F115" i="2"/>
  <c r="G239" i="2"/>
  <c r="F618" i="2"/>
  <c r="H259" i="2"/>
  <c r="A808" i="2"/>
  <c r="H939" i="2"/>
  <c r="F277" i="2"/>
  <c r="C1035" i="2"/>
  <c r="C346" i="2"/>
  <c r="A637" i="2"/>
  <c r="F151" i="2"/>
  <c r="D346" i="2"/>
  <c r="I637" i="2"/>
  <c r="B513" i="2"/>
  <c r="G1035" i="2"/>
  <c r="I160" i="2"/>
  <c r="A1074" i="2"/>
  <c r="C160" i="2"/>
  <c r="C206" i="2"/>
  <c r="G528" i="2"/>
  <c r="A346" i="2"/>
  <c r="A528" i="2"/>
  <c r="C513" i="2"/>
  <c r="B1074" i="2"/>
  <c r="H1074" i="2"/>
  <c r="C528" i="2"/>
  <c r="F513" i="2"/>
  <c r="D151" i="2"/>
  <c r="D1074" i="2"/>
  <c r="I1074" i="2"/>
  <c r="I206" i="2"/>
  <c r="B637" i="2"/>
  <c r="I346" i="2"/>
  <c r="B528" i="2"/>
  <c r="F346" i="2"/>
  <c r="I66" i="2"/>
  <c r="A160" i="2"/>
  <c r="A151" i="2"/>
  <c r="H637" i="2"/>
  <c r="A513" i="2"/>
  <c r="F1035" i="2"/>
  <c r="G1074" i="2"/>
  <c r="F160" i="2"/>
  <c r="A1035" i="2"/>
  <c r="A206" i="2"/>
  <c r="H513" i="2"/>
  <c r="F637" i="2"/>
  <c r="B160" i="2"/>
  <c r="I151" i="2"/>
  <c r="C1074" i="2"/>
  <c r="H346" i="2"/>
  <c r="D206" i="2"/>
  <c r="D637" i="2"/>
  <c r="G513" i="2"/>
  <c r="H206" i="2"/>
  <c r="H160" i="2"/>
  <c r="I513" i="2"/>
  <c r="G206" i="2"/>
  <c r="C66" i="2"/>
  <c r="B66" i="2"/>
  <c r="A66" i="2"/>
  <c r="B1035" i="2"/>
  <c r="F206" i="2"/>
  <c r="H66" i="2"/>
  <c r="H151" i="2"/>
  <c r="G346" i="2"/>
  <c r="C151" i="2"/>
  <c r="C637" i="2"/>
  <c r="I1035" i="2"/>
  <c r="H1035" i="2"/>
  <c r="D160" i="2"/>
  <c r="F66" i="2"/>
  <c r="G66" i="2"/>
  <c r="H528" i="2"/>
  <c r="D528" i="2"/>
  <c r="B151" i="2"/>
  <c r="I528" i="2"/>
  <c r="B206" i="2"/>
  <c r="G151" i="2"/>
  <c r="B346" i="2"/>
  <c r="F528" i="2"/>
  <c r="D513" i="2"/>
  <c r="D1035" i="2"/>
  <c r="F1074" i="2"/>
  <c r="G160" i="2"/>
  <c r="D66" i="2"/>
  <c r="G637" i="2"/>
  <c r="F1543" i="2"/>
  <c r="F1564" i="2"/>
  <c r="B1564" i="2"/>
  <c r="B1543" i="2"/>
  <c r="D643" i="2"/>
  <c r="A1424" i="2"/>
  <c r="C1057" i="2"/>
  <c r="A49" i="2"/>
  <c r="I877" i="2"/>
  <c r="F1057" i="2"/>
  <c r="A1057" i="2"/>
  <c r="H1034" i="2"/>
  <c r="D1034" i="2"/>
  <c r="I1424" i="2"/>
  <c r="G396" i="2"/>
  <c r="A1034" i="2"/>
  <c r="B669" i="2"/>
  <c r="C669" i="2"/>
  <c r="I669" i="2"/>
  <c r="H291" i="2"/>
  <c r="G905" i="2"/>
  <c r="F877" i="2"/>
  <c r="F643" i="2"/>
  <c r="D49" i="2"/>
  <c r="D1057" i="2"/>
  <c r="H49" i="2"/>
  <c r="F905" i="2"/>
  <c r="G669" i="2"/>
  <c r="G877" i="2"/>
  <c r="C1034" i="2"/>
  <c r="F1424" i="2"/>
  <c r="I49" i="2"/>
  <c r="I291" i="2"/>
  <c r="B877" i="2"/>
  <c r="F49" i="2"/>
  <c r="D396" i="2"/>
  <c r="C396" i="2"/>
  <c r="G49" i="2"/>
  <c r="H643" i="2"/>
  <c r="C905" i="2"/>
  <c r="G1424" i="2"/>
  <c r="D669" i="2"/>
  <c r="C643" i="2"/>
  <c r="I905" i="2"/>
  <c r="D291" i="2"/>
  <c r="D905" i="2"/>
  <c r="B1424" i="2"/>
  <c r="B1034" i="2"/>
  <c r="G291" i="2"/>
  <c r="A396" i="2"/>
  <c r="F291" i="2"/>
  <c r="C1424" i="2"/>
  <c r="D877" i="2"/>
  <c r="F669" i="2"/>
  <c r="I396" i="2"/>
  <c r="H1057" i="2"/>
  <c r="A669" i="2"/>
  <c r="B396" i="2"/>
  <c r="B1057" i="2"/>
  <c r="B905" i="2"/>
  <c r="I1057" i="2"/>
  <c r="H396" i="2"/>
  <c r="G643" i="2"/>
  <c r="C877" i="2"/>
  <c r="F1034" i="2"/>
  <c r="B49" i="2"/>
  <c r="A643" i="2"/>
  <c r="I643" i="2"/>
  <c r="H877" i="2"/>
  <c r="A905" i="2"/>
  <c r="B291" i="2"/>
  <c r="D1424" i="2"/>
  <c r="G1034" i="2"/>
  <c r="A291" i="2"/>
  <c r="C291" i="2"/>
  <c r="F396" i="2"/>
  <c r="H905" i="2"/>
  <c r="I1034" i="2"/>
  <c r="H669" i="2"/>
  <c r="A877" i="2"/>
  <c r="C49" i="2"/>
  <c r="G1057" i="2"/>
  <c r="B643" i="2"/>
  <c r="H1424" i="2"/>
  <c r="A1136" i="2"/>
  <c r="G792" i="2"/>
  <c r="C787" i="2"/>
  <c r="C1261" i="2"/>
  <c r="C1392" i="2"/>
  <c r="B1261" i="2"/>
  <c r="A787" i="2"/>
  <c r="I1392" i="2"/>
  <c r="H1136" i="2"/>
  <c r="D792" i="2"/>
  <c r="H814" i="2"/>
  <c r="H400" i="2"/>
  <c r="C104" i="2"/>
  <c r="H1261" i="2"/>
  <c r="C1138" i="2"/>
  <c r="B104" i="2"/>
  <c r="D787" i="2"/>
  <c r="G1136" i="2"/>
  <c r="H104" i="2"/>
  <c r="I1136" i="2"/>
  <c r="C1136" i="2"/>
  <c r="I787" i="2"/>
  <c r="D814" i="2"/>
  <c r="A1261" i="2"/>
  <c r="H1240" i="2"/>
  <c r="I1138" i="2"/>
  <c r="F1261" i="2"/>
  <c r="D104" i="2"/>
  <c r="I1240" i="2"/>
  <c r="F1136" i="2"/>
  <c r="D1240" i="2"/>
  <c r="H1392" i="2"/>
  <c r="B787" i="2"/>
  <c r="F1392" i="2"/>
  <c r="A814" i="2"/>
  <c r="B1136" i="2"/>
  <c r="A792" i="2"/>
  <c r="D1392" i="2"/>
  <c r="A1392" i="2"/>
  <c r="H787" i="2"/>
  <c r="B814" i="2"/>
  <c r="A104" i="2"/>
  <c r="B1392" i="2"/>
  <c r="G787" i="2"/>
  <c r="C400" i="2"/>
  <c r="G400" i="2"/>
  <c r="A400" i="2"/>
  <c r="C1240" i="2"/>
  <c r="G1138" i="2"/>
  <c r="B1138" i="2"/>
  <c r="G1240" i="2"/>
  <c r="C792" i="2"/>
  <c r="B400" i="2"/>
  <c r="F1138" i="2"/>
  <c r="F814" i="2"/>
  <c r="H1138" i="2"/>
  <c r="I400" i="2"/>
  <c r="C814" i="2"/>
  <c r="A1240" i="2"/>
  <c r="I104" i="2"/>
  <c r="H792" i="2"/>
  <c r="B792" i="2"/>
  <c r="F400" i="2"/>
  <c r="I814" i="2"/>
  <c r="F104" i="2"/>
  <c r="I1261" i="2"/>
  <c r="B1240" i="2"/>
  <c r="A1138" i="2"/>
  <c r="D1261" i="2"/>
  <c r="D1136" i="2"/>
  <c r="G1261" i="2"/>
  <c r="G104" i="2"/>
  <c r="G814" i="2"/>
  <c r="F787" i="2"/>
  <c r="I792" i="2"/>
  <c r="F792" i="2"/>
  <c r="F1240" i="2"/>
  <c r="D400" i="2"/>
  <c r="G1392" i="2"/>
  <c r="D1138" i="2"/>
  <c r="I858" i="2"/>
  <c r="D933" i="2"/>
  <c r="H655" i="2"/>
  <c r="G72" i="2"/>
  <c r="A858" i="2"/>
  <c r="H386" i="2"/>
  <c r="F491" i="2"/>
  <c r="C386" i="2"/>
  <c r="C858" i="2"/>
  <c r="F848" i="2"/>
  <c r="A848" i="2"/>
  <c r="F933" i="2"/>
  <c r="C655" i="2"/>
  <c r="D858" i="2"/>
  <c r="I655" i="2"/>
  <c r="D320" i="2"/>
  <c r="B491" i="2"/>
  <c r="H858" i="2"/>
  <c r="G848" i="2"/>
  <c r="B320" i="2"/>
  <c r="G933" i="2"/>
  <c r="A320" i="2"/>
  <c r="B820" i="2"/>
  <c r="I72" i="2"/>
  <c r="H491" i="2"/>
  <c r="D655" i="2"/>
  <c r="A72" i="2"/>
  <c r="D491" i="2"/>
  <c r="A820" i="2"/>
  <c r="B419" i="2"/>
  <c r="C848" i="2"/>
  <c r="F72" i="2"/>
  <c r="C419" i="2"/>
  <c r="H933" i="2"/>
  <c r="I320" i="2"/>
  <c r="B386" i="2"/>
  <c r="B858" i="2"/>
  <c r="A419" i="2"/>
  <c r="C72" i="2"/>
  <c r="F320" i="2"/>
  <c r="F655" i="2"/>
  <c r="I820" i="2"/>
  <c r="F858" i="2"/>
  <c r="C320" i="2"/>
  <c r="D386" i="2"/>
  <c r="I419" i="2"/>
  <c r="G655" i="2"/>
  <c r="F820" i="2"/>
  <c r="H820" i="2"/>
  <c r="C491" i="2"/>
  <c r="B655" i="2"/>
  <c r="I933" i="2"/>
  <c r="F386" i="2"/>
  <c r="A386" i="2"/>
  <c r="F419" i="2"/>
  <c r="H419" i="2"/>
  <c r="C820" i="2"/>
  <c r="G419" i="2"/>
  <c r="B72" i="2"/>
  <c r="G491" i="2"/>
  <c r="I386" i="2"/>
  <c r="G820" i="2"/>
  <c r="H72" i="2"/>
  <c r="H848" i="2"/>
  <c r="I848" i="2"/>
  <c r="A933" i="2"/>
  <c r="B933" i="2"/>
  <c r="G320" i="2"/>
  <c r="B848" i="2"/>
  <c r="A491" i="2"/>
  <c r="H320" i="2"/>
  <c r="D820" i="2"/>
  <c r="D419" i="2"/>
  <c r="D848" i="2"/>
  <c r="G858" i="2"/>
  <c r="I491" i="2"/>
  <c r="A655" i="2"/>
  <c r="D72" i="2"/>
  <c r="C933" i="2"/>
  <c r="G386" i="2"/>
  <c r="B294" i="2"/>
  <c r="I294" i="2"/>
  <c r="D891" i="2"/>
  <c r="G198" i="2"/>
  <c r="D965" i="2"/>
  <c r="A294" i="2"/>
  <c r="I819" i="2"/>
  <c r="I473" i="2"/>
  <c r="B473" i="2"/>
  <c r="H965" i="2"/>
  <c r="B629" i="2"/>
  <c r="B198" i="2"/>
  <c r="H732" i="2"/>
  <c r="B819" i="2"/>
  <c r="F134" i="2"/>
  <c r="C198" i="2"/>
  <c r="A198" i="2"/>
  <c r="I198" i="2"/>
  <c r="F819" i="2"/>
  <c r="C294" i="2"/>
  <c r="C891" i="2"/>
  <c r="I629" i="2"/>
  <c r="C732" i="2"/>
  <c r="D819" i="2"/>
  <c r="A732" i="2"/>
  <c r="G965" i="2"/>
  <c r="D473" i="2"/>
  <c r="A965" i="2"/>
  <c r="G891" i="2"/>
  <c r="F198" i="2"/>
  <c r="G629" i="2"/>
  <c r="A1308" i="2"/>
  <c r="I891" i="2"/>
  <c r="C134" i="2"/>
  <c r="H629" i="2"/>
  <c r="G732" i="2"/>
  <c r="H1308" i="2"/>
  <c r="B891" i="2"/>
  <c r="A891" i="2"/>
  <c r="G473" i="2"/>
  <c r="G134" i="2"/>
  <c r="I134" i="2"/>
  <c r="F891" i="2"/>
  <c r="C965" i="2"/>
  <c r="C629" i="2"/>
  <c r="A473" i="2"/>
  <c r="H819" i="2"/>
  <c r="I1308" i="2"/>
  <c r="D134" i="2"/>
  <c r="B965" i="2"/>
  <c r="C473" i="2"/>
  <c r="D629" i="2"/>
  <c r="C1308" i="2"/>
  <c r="D1308" i="2"/>
  <c r="A819" i="2"/>
  <c r="G819" i="2"/>
  <c r="I965" i="2"/>
  <c r="G1308" i="2"/>
  <c r="H473" i="2"/>
  <c r="H198" i="2"/>
  <c r="D294" i="2"/>
  <c r="F629" i="2"/>
  <c r="I732" i="2"/>
  <c r="F294" i="2"/>
  <c r="H294" i="2"/>
  <c r="D732" i="2"/>
  <c r="F1308" i="2"/>
  <c r="A134" i="2"/>
  <c r="F732" i="2"/>
  <c r="B134" i="2"/>
  <c r="H891" i="2"/>
  <c r="H134" i="2"/>
  <c r="F965" i="2"/>
  <c r="C819" i="2"/>
  <c r="F473" i="2"/>
  <c r="G294" i="2"/>
  <c r="A629" i="2"/>
  <c r="B732" i="2"/>
  <c r="B1308" i="2"/>
  <c r="D198" i="2"/>
  <c r="D247" i="2"/>
  <c r="F356" i="2"/>
  <c r="G328" i="2"/>
  <c r="C247" i="2"/>
  <c r="H1101" i="2"/>
  <c r="F328" i="2"/>
  <c r="I247" i="2"/>
  <c r="A525" i="2"/>
  <c r="F1101" i="2"/>
  <c r="D827" i="2"/>
  <c r="F9" i="2"/>
  <c r="B1283" i="2"/>
  <c r="D1265" i="2"/>
  <c r="I430" i="2"/>
  <c r="A247" i="2"/>
  <c r="G1101" i="2"/>
  <c r="A9" i="2"/>
  <c r="C430" i="2"/>
  <c r="D328" i="2"/>
  <c r="I1283" i="2"/>
  <c r="D356" i="2"/>
  <c r="A1101" i="2"/>
  <c r="D9" i="2"/>
  <c r="I827" i="2"/>
  <c r="H827" i="2"/>
  <c r="C1101" i="2"/>
  <c r="A356" i="2"/>
  <c r="I525" i="2"/>
  <c r="A328" i="2"/>
  <c r="G9" i="2"/>
  <c r="F430" i="2"/>
  <c r="H328" i="2"/>
  <c r="B1101" i="2"/>
  <c r="H1283" i="2"/>
  <c r="F827" i="2"/>
  <c r="C356" i="2"/>
  <c r="B356" i="2"/>
  <c r="G1283" i="2"/>
  <c r="D525" i="2"/>
  <c r="H247" i="2"/>
  <c r="B328" i="2"/>
  <c r="H356" i="2"/>
  <c r="G525" i="2"/>
  <c r="F1265" i="2"/>
  <c r="B430" i="2"/>
  <c r="G827" i="2"/>
  <c r="G356" i="2"/>
  <c r="H9" i="2"/>
  <c r="F525" i="2"/>
  <c r="F247" i="2"/>
  <c r="I9" i="2"/>
  <c r="I1265" i="2"/>
  <c r="G430" i="2"/>
  <c r="H525" i="2"/>
  <c r="A827" i="2"/>
  <c r="G247" i="2"/>
  <c r="D1283" i="2"/>
  <c r="A1283" i="2"/>
  <c r="H1265" i="2"/>
  <c r="G1265" i="2"/>
  <c r="C827" i="2"/>
  <c r="I1101" i="2"/>
  <c r="C1283" i="2"/>
  <c r="C328" i="2"/>
  <c r="B525" i="2"/>
  <c r="B1265" i="2"/>
  <c r="B9" i="2"/>
  <c r="D430" i="2"/>
  <c r="C1265" i="2"/>
  <c r="H430" i="2"/>
  <c r="A430" i="2"/>
  <c r="B827" i="2"/>
  <c r="D1101" i="2"/>
  <c r="B247" i="2"/>
  <c r="A1265" i="2"/>
  <c r="C9" i="2"/>
  <c r="I328" i="2"/>
  <c r="I356" i="2"/>
  <c r="F1283" i="2"/>
  <c r="C525" i="2"/>
  <c r="D990" i="2"/>
  <c r="H958" i="2"/>
  <c r="G1040" i="2"/>
  <c r="D958" i="2"/>
  <c r="B1163" i="2"/>
  <c r="F766" i="2"/>
  <c r="B1253" i="2"/>
  <c r="H424" i="2"/>
  <c r="I1040" i="2"/>
  <c r="H102" i="2"/>
  <c r="F990" i="2"/>
  <c r="C838" i="2"/>
  <c r="C990" i="2"/>
  <c r="H1040" i="2"/>
  <c r="I424" i="2"/>
  <c r="G1230" i="2"/>
  <c r="B1230" i="2"/>
  <c r="D766" i="2"/>
  <c r="B990" i="2"/>
  <c r="G990" i="2"/>
  <c r="A1040" i="2"/>
  <c r="H990" i="2"/>
  <c r="F1163" i="2"/>
  <c r="H1163" i="2"/>
  <c r="H1253" i="2"/>
  <c r="A1253" i="2"/>
  <c r="B766" i="2"/>
  <c r="I102" i="2"/>
  <c r="F1230" i="2"/>
  <c r="G1253" i="2"/>
  <c r="G102" i="2"/>
  <c r="A990" i="2"/>
  <c r="D102" i="2"/>
  <c r="C766" i="2"/>
  <c r="G838" i="2"/>
  <c r="G424" i="2"/>
  <c r="B958" i="2"/>
  <c r="G958" i="2"/>
  <c r="C102" i="2"/>
  <c r="I1163" i="2"/>
  <c r="G766" i="2"/>
  <c r="B1040" i="2"/>
  <c r="F102" i="2"/>
  <c r="A766" i="2"/>
  <c r="H766" i="2"/>
  <c r="A102" i="2"/>
  <c r="F838" i="2"/>
  <c r="C1253" i="2"/>
  <c r="D1163" i="2"/>
  <c r="D424" i="2"/>
  <c r="F424" i="2"/>
  <c r="I958" i="2"/>
  <c r="A838" i="2"/>
  <c r="F958" i="2"/>
  <c r="C958" i="2"/>
  <c r="B838" i="2"/>
  <c r="C1040" i="2"/>
  <c r="D1230" i="2"/>
  <c r="A424" i="2"/>
  <c r="C1230" i="2"/>
  <c r="C1163" i="2"/>
  <c r="A1230" i="2"/>
  <c r="C424" i="2"/>
  <c r="D1253" i="2"/>
  <c r="D1040" i="2"/>
  <c r="I1253" i="2"/>
  <c r="A1163" i="2"/>
  <c r="D838" i="2"/>
  <c r="I838" i="2"/>
  <c r="H1230" i="2"/>
  <c r="I766" i="2"/>
  <c r="I990" i="2"/>
  <c r="G1163" i="2"/>
  <c r="A958" i="2"/>
  <c r="H838" i="2"/>
  <c r="I1230" i="2"/>
  <c r="B102" i="2"/>
  <c r="F1253" i="2"/>
  <c r="F1040" i="2"/>
  <c r="B424" i="2"/>
  <c r="B1075" i="2"/>
  <c r="H35" i="2"/>
  <c r="D497" i="2"/>
  <c r="D567" i="2"/>
  <c r="B286" i="2"/>
  <c r="F35" i="2"/>
  <c r="I35" i="2"/>
  <c r="B1344" i="2"/>
  <c r="F631" i="2"/>
  <c r="F370" i="2"/>
  <c r="B35" i="2"/>
  <c r="D1081" i="2"/>
  <c r="I370" i="2"/>
  <c r="B567" i="2"/>
  <c r="D35" i="2"/>
  <c r="H567" i="2"/>
  <c r="D1075" i="2"/>
  <c r="I1344" i="2"/>
  <c r="A567" i="2"/>
  <c r="C286" i="2"/>
  <c r="F1344" i="2"/>
  <c r="H497" i="2"/>
  <c r="I426" i="2"/>
  <c r="H1081" i="2"/>
  <c r="A631" i="2"/>
  <c r="A286" i="2"/>
  <c r="F286" i="2"/>
  <c r="C426" i="2"/>
  <c r="A1081" i="2"/>
  <c r="G1075" i="2"/>
  <c r="B426" i="2"/>
  <c r="F426" i="2"/>
  <c r="G631" i="2"/>
  <c r="F567" i="2"/>
  <c r="D1344" i="2"/>
  <c r="F1075" i="2"/>
  <c r="B497" i="2"/>
  <c r="C1081" i="2"/>
  <c r="C631" i="2"/>
  <c r="D631" i="2"/>
  <c r="G370" i="2"/>
  <c r="B1081" i="2"/>
  <c r="I567" i="2"/>
  <c r="H631" i="2"/>
  <c r="A497" i="2"/>
  <c r="I631" i="2"/>
  <c r="F1081" i="2"/>
  <c r="I497" i="2"/>
  <c r="C567" i="2"/>
  <c r="D426" i="2"/>
  <c r="G1344" i="2"/>
  <c r="B370" i="2"/>
  <c r="H426" i="2"/>
  <c r="G35" i="2"/>
  <c r="D370" i="2"/>
  <c r="I286" i="2"/>
  <c r="A1344" i="2"/>
  <c r="G426" i="2"/>
  <c r="G497" i="2"/>
  <c r="H1344" i="2"/>
  <c r="H1075" i="2"/>
  <c r="H286" i="2"/>
  <c r="I1081" i="2"/>
  <c r="F497" i="2"/>
  <c r="A1075" i="2"/>
  <c r="A370" i="2"/>
  <c r="G286" i="2"/>
  <c r="C370" i="2"/>
  <c r="C1075" i="2"/>
  <c r="A35" i="2"/>
  <c r="D286" i="2"/>
  <c r="A426" i="2"/>
  <c r="G1081" i="2"/>
  <c r="H370" i="2"/>
  <c r="G567" i="2"/>
  <c r="I1075" i="2"/>
  <c r="C1344" i="2"/>
  <c r="C35" i="2"/>
  <c r="B631" i="2"/>
  <c r="C497" i="2"/>
  <c r="I449" i="2"/>
  <c r="C900" i="2"/>
  <c r="F301" i="2"/>
  <c r="H269" i="2"/>
  <c r="H664" i="2"/>
  <c r="G301" i="2"/>
  <c r="A449" i="2"/>
  <c r="C1191" i="2"/>
  <c r="F1191" i="2"/>
  <c r="I900" i="2"/>
  <c r="G153" i="2"/>
  <c r="D1113" i="2"/>
  <c r="D269" i="2"/>
  <c r="G1113" i="2"/>
  <c r="G900" i="2"/>
  <c r="C63" i="2"/>
  <c r="I269" i="2"/>
  <c r="H301" i="2"/>
  <c r="H1113" i="2"/>
  <c r="F664" i="2"/>
  <c r="D301" i="2"/>
  <c r="A900" i="2"/>
  <c r="F153" i="2"/>
  <c r="G1191" i="2"/>
  <c r="C1113" i="2"/>
  <c r="H153" i="2"/>
  <c r="G604" i="2"/>
  <c r="D153" i="2"/>
  <c r="C664" i="2"/>
  <c r="F63" i="2"/>
  <c r="F449" i="2"/>
  <c r="G664" i="2"/>
  <c r="B153" i="2"/>
  <c r="H1191" i="2"/>
  <c r="I153" i="2"/>
  <c r="C269" i="2"/>
  <c r="D900" i="2"/>
  <c r="I301" i="2"/>
  <c r="A63" i="2"/>
  <c r="C153" i="2"/>
  <c r="B449" i="2"/>
  <c r="D1191" i="2"/>
  <c r="F604" i="2"/>
  <c r="B63" i="2"/>
  <c r="H63" i="2"/>
  <c r="B301" i="2"/>
  <c r="B900" i="2"/>
  <c r="G449" i="2"/>
  <c r="A1191" i="2"/>
  <c r="F1113" i="2"/>
  <c r="C604" i="2"/>
  <c r="A1113" i="2"/>
  <c r="G269" i="2"/>
  <c r="H604" i="2"/>
  <c r="I63" i="2"/>
  <c r="G63" i="2"/>
  <c r="B1113" i="2"/>
  <c r="B664" i="2"/>
  <c r="H900" i="2"/>
  <c r="D449" i="2"/>
  <c r="I604" i="2"/>
  <c r="I1191" i="2"/>
  <c r="I664" i="2"/>
  <c r="A269" i="2"/>
  <c r="B269" i="2"/>
  <c r="C449" i="2"/>
  <c r="D604" i="2"/>
  <c r="C301" i="2"/>
  <c r="B604" i="2"/>
  <c r="D664" i="2"/>
  <c r="A301" i="2"/>
  <c r="F900" i="2"/>
  <c r="F269" i="2"/>
  <c r="A664" i="2"/>
  <c r="D63" i="2"/>
  <c r="A153" i="2"/>
  <c r="A604" i="2"/>
  <c r="B1191" i="2"/>
  <c r="H449" i="2"/>
  <c r="I1113" i="2"/>
  <c r="B95" i="2"/>
  <c r="F980" i="2"/>
  <c r="F121" i="2"/>
  <c r="I582" i="2"/>
  <c r="F95" i="2"/>
  <c r="G628" i="2"/>
  <c r="B121" i="2"/>
  <c r="G307" i="2"/>
  <c r="I628" i="2"/>
  <c r="F307" i="2"/>
  <c r="D121" i="2"/>
  <c r="G26" i="2"/>
  <c r="C26" i="2"/>
  <c r="C302" i="2"/>
  <c r="F131" i="2"/>
  <c r="H582" i="2"/>
  <c r="F26" i="2"/>
  <c r="H628" i="2"/>
  <c r="I3" i="2"/>
  <c r="F582" i="2"/>
  <c r="D95" i="2"/>
  <c r="B26" i="2"/>
  <c r="D302" i="2"/>
  <c r="H131" i="2"/>
  <c r="G980" i="2"/>
  <c r="D980" i="2"/>
  <c r="B131" i="2"/>
  <c r="G131" i="2"/>
  <c r="I26" i="2"/>
  <c r="C95" i="2"/>
  <c r="A980" i="2"/>
  <c r="B3" i="2"/>
  <c r="I980" i="2"/>
  <c r="A121" i="2"/>
  <c r="D628" i="2"/>
  <c r="I131" i="2"/>
  <c r="B628" i="2"/>
  <c r="A302" i="2"/>
  <c r="A307" i="2"/>
  <c r="B307" i="2"/>
  <c r="C307" i="2"/>
  <c r="H121" i="2"/>
  <c r="G121" i="2"/>
  <c r="H3" i="2"/>
  <c r="B302" i="2"/>
  <c r="G582" i="2"/>
  <c r="A131" i="2"/>
  <c r="B980" i="2"/>
  <c r="G302" i="2"/>
  <c r="H307" i="2"/>
  <c r="D307" i="2"/>
  <c r="A95" i="2"/>
  <c r="F302" i="2"/>
  <c r="H26" i="2"/>
  <c r="H980" i="2"/>
  <c r="A628" i="2"/>
  <c r="D3" i="2"/>
  <c r="F3" i="2"/>
  <c r="C3" i="2"/>
  <c r="D582" i="2"/>
  <c r="D26" i="2"/>
  <c r="I302" i="2"/>
  <c r="F628" i="2"/>
  <c r="G95" i="2"/>
  <c r="A3" i="2"/>
  <c r="C121" i="2"/>
  <c r="C980" i="2"/>
  <c r="C582" i="2"/>
  <c r="I95" i="2"/>
  <c r="C131" i="2"/>
  <c r="B582" i="2"/>
  <c r="A26" i="2"/>
  <c r="G3" i="2"/>
  <c r="A582" i="2"/>
  <c r="H95" i="2"/>
  <c r="I121" i="2"/>
  <c r="D131" i="2"/>
  <c r="I307" i="2"/>
  <c r="H302" i="2"/>
  <c r="C628" i="2"/>
  <c r="H754" i="2"/>
  <c r="F476" i="2"/>
  <c r="B605" i="2"/>
  <c r="D541" i="2"/>
  <c r="G841" i="2"/>
  <c r="B979" i="2"/>
  <c r="D477" i="2"/>
  <c r="C841" i="2"/>
  <c r="G477" i="2"/>
  <c r="H477" i="2"/>
  <c r="G605" i="2"/>
  <c r="D476" i="2"/>
  <c r="A541" i="2"/>
  <c r="A979" i="2"/>
  <c r="I761" i="2"/>
  <c r="H476" i="2"/>
  <c r="I977" i="2"/>
  <c r="F761" i="2"/>
  <c r="I605" i="2"/>
  <c r="C477" i="2"/>
  <c r="A841" i="2"/>
  <c r="C476" i="2"/>
  <c r="A477" i="2"/>
  <c r="H541" i="2"/>
  <c r="B541" i="2"/>
  <c r="F253" i="2"/>
  <c r="C979" i="2"/>
  <c r="H605" i="2"/>
  <c r="H761" i="2"/>
  <c r="F605" i="2"/>
  <c r="D761" i="2"/>
  <c r="I541" i="2"/>
  <c r="B754" i="2"/>
  <c r="G977" i="2"/>
  <c r="A977" i="2"/>
  <c r="D754" i="2"/>
  <c r="A476" i="2"/>
  <c r="B841" i="2"/>
  <c r="C761" i="2"/>
  <c r="B977" i="2"/>
  <c r="C754" i="2"/>
  <c r="G541" i="2"/>
  <c r="I754" i="2"/>
  <c r="G761" i="2"/>
  <c r="I253" i="2"/>
  <c r="D841" i="2"/>
  <c r="C605" i="2"/>
  <c r="A605" i="2"/>
  <c r="H977" i="2"/>
  <c r="H841" i="2"/>
  <c r="I979" i="2"/>
  <c r="F541" i="2"/>
  <c r="F477" i="2"/>
  <c r="D253" i="2"/>
  <c r="F979" i="2"/>
  <c r="B477" i="2"/>
  <c r="A761" i="2"/>
  <c r="H979" i="2"/>
  <c r="C977" i="2"/>
  <c r="F754" i="2"/>
  <c r="G979" i="2"/>
  <c r="B253" i="2"/>
  <c r="G476" i="2"/>
  <c r="A253" i="2"/>
  <c r="A754" i="2"/>
  <c r="I476" i="2"/>
  <c r="C253" i="2"/>
  <c r="D977" i="2"/>
  <c r="F841" i="2"/>
  <c r="D979" i="2"/>
  <c r="D605" i="2"/>
  <c r="H253" i="2"/>
  <c r="G253" i="2"/>
  <c r="I841" i="2"/>
  <c r="C541" i="2"/>
  <c r="I477" i="2"/>
  <c r="G754" i="2"/>
  <c r="F977" i="2"/>
  <c r="B761" i="2"/>
  <c r="B476" i="2"/>
  <c r="C514" i="2"/>
  <c r="F245" i="2"/>
  <c r="F822" i="2"/>
  <c r="F514" i="2"/>
  <c r="A210" i="2"/>
  <c r="D1130" i="2"/>
  <c r="D245" i="2"/>
  <c r="I369" i="2"/>
  <c r="G1130" i="2"/>
  <c r="B822" i="2"/>
  <c r="D514" i="2"/>
  <c r="C822" i="2"/>
  <c r="C1181" i="2"/>
  <c r="I822" i="2"/>
  <c r="I245" i="2"/>
  <c r="F484" i="2"/>
  <c r="H210" i="2"/>
  <c r="F210" i="2"/>
  <c r="I210" i="2"/>
  <c r="D484" i="2"/>
  <c r="A822" i="2"/>
  <c r="H369" i="2"/>
  <c r="I1181" i="2"/>
  <c r="H1181" i="2"/>
  <c r="A484" i="2"/>
  <c r="G603" i="2"/>
  <c r="I652" i="2"/>
  <c r="H822" i="2"/>
  <c r="D652" i="2"/>
  <c r="F603" i="2"/>
  <c r="I603" i="2"/>
  <c r="C1130" i="2"/>
  <c r="B652" i="2"/>
  <c r="B369" i="2"/>
  <c r="H245" i="2"/>
  <c r="F1181" i="2"/>
  <c r="A652" i="2"/>
  <c r="D369" i="2"/>
  <c r="B603" i="2"/>
  <c r="C484" i="2"/>
  <c r="D822" i="2"/>
  <c r="H484" i="2"/>
  <c r="C245" i="2"/>
  <c r="C369" i="2"/>
  <c r="A1181" i="2"/>
  <c r="B514" i="2"/>
  <c r="A369" i="2"/>
  <c r="H652" i="2"/>
  <c r="I484" i="2"/>
  <c r="D603" i="2"/>
  <c r="B1130" i="2"/>
  <c r="I1130" i="2"/>
  <c r="G514" i="2"/>
  <c r="I514" i="2"/>
  <c r="F1130" i="2"/>
  <c r="F369" i="2"/>
  <c r="C652" i="2"/>
  <c r="G245" i="2"/>
  <c r="C603" i="2"/>
  <c r="B484" i="2"/>
  <c r="H1130" i="2"/>
  <c r="H514" i="2"/>
  <c r="G210" i="2"/>
  <c r="D1181" i="2"/>
  <c r="C210" i="2"/>
  <c r="B245" i="2"/>
  <c r="G1181" i="2"/>
  <c r="F652" i="2"/>
  <c r="B210" i="2"/>
  <c r="A603" i="2"/>
  <c r="A514" i="2"/>
  <c r="B1181" i="2"/>
  <c r="G369" i="2"/>
  <c r="A1130" i="2"/>
  <c r="H603" i="2"/>
  <c r="G484" i="2"/>
  <c r="G822" i="2"/>
  <c r="G652" i="2"/>
  <c r="D210" i="2"/>
  <c r="A245" i="2"/>
  <c r="F1301" i="2"/>
  <c r="D1301" i="2"/>
  <c r="A778" i="2"/>
  <c r="A672" i="2"/>
  <c r="G1301" i="2"/>
  <c r="A71" i="2"/>
  <c r="A173" i="2"/>
  <c r="B1301" i="2"/>
  <c r="I71" i="2"/>
  <c r="B757" i="2"/>
  <c r="G672" i="2"/>
  <c r="I672" i="2"/>
  <c r="H144" i="2"/>
  <c r="F144" i="2"/>
  <c r="D757" i="2"/>
  <c r="D456" i="2"/>
  <c r="D1145" i="2"/>
  <c r="D789" i="2"/>
  <c r="H789" i="2"/>
  <c r="C71" i="2"/>
  <c r="C456" i="2"/>
  <c r="A789" i="2"/>
  <c r="I173" i="2"/>
  <c r="A144" i="2"/>
  <c r="H173" i="2"/>
  <c r="B456" i="2"/>
  <c r="F778" i="2"/>
  <c r="B789" i="2"/>
  <c r="D672" i="2"/>
  <c r="D144" i="2"/>
  <c r="F672" i="2"/>
  <c r="C789" i="2"/>
  <c r="G1145" i="2"/>
  <c r="B144" i="2"/>
  <c r="B173" i="2"/>
  <c r="B778" i="2"/>
  <c r="H672" i="2"/>
  <c r="C757" i="2"/>
  <c r="B1145" i="2"/>
  <c r="D71" i="2"/>
  <c r="F789" i="2"/>
  <c r="H1145" i="2"/>
  <c r="F1145" i="2"/>
  <c r="G757" i="2"/>
  <c r="C173" i="2"/>
  <c r="F456" i="2"/>
  <c r="C1145" i="2"/>
  <c r="C144" i="2"/>
  <c r="H757" i="2"/>
  <c r="B71" i="2"/>
  <c r="I144" i="2"/>
  <c r="G778" i="2"/>
  <c r="I1145" i="2"/>
  <c r="D173" i="2"/>
  <c r="G789" i="2"/>
  <c r="C778" i="2"/>
  <c r="I456" i="2"/>
  <c r="G173" i="2"/>
  <c r="H71" i="2"/>
  <c r="C1301" i="2"/>
  <c r="H778" i="2"/>
  <c r="H1301" i="2"/>
  <c r="A456" i="2"/>
  <c r="C672" i="2"/>
  <c r="D778" i="2"/>
  <c r="I757" i="2"/>
  <c r="A757" i="2"/>
  <c r="G456" i="2"/>
  <c r="F71" i="2"/>
  <c r="A1301" i="2"/>
  <c r="I778" i="2"/>
  <c r="H456" i="2"/>
  <c r="F173" i="2"/>
  <c r="G144" i="2"/>
  <c r="B672" i="2"/>
  <c r="F757" i="2"/>
  <c r="G71" i="2"/>
  <c r="I789" i="2"/>
  <c r="I1301" i="2"/>
  <c r="A1145" i="2"/>
  <c r="H941" i="2"/>
  <c r="B746" i="2"/>
  <c r="I969" i="2"/>
  <c r="I1316" i="2"/>
  <c r="H1381" i="2"/>
  <c r="I688" i="2"/>
  <c r="G388" i="2"/>
  <c r="D688" i="2"/>
  <c r="G716" i="2"/>
  <c r="B1251" i="2"/>
  <c r="H688" i="2"/>
  <c r="C941" i="2"/>
  <c r="A746" i="2"/>
  <c r="D941" i="2"/>
  <c r="G688" i="2"/>
  <c r="H969" i="2"/>
  <c r="A1316" i="2"/>
  <c r="B388" i="2"/>
  <c r="A941" i="2"/>
  <c r="D1251" i="2"/>
  <c r="H746" i="2"/>
  <c r="D1316" i="2"/>
  <c r="G1381" i="2"/>
  <c r="A969" i="2"/>
  <c r="F969" i="2"/>
  <c r="H423" i="2"/>
  <c r="C423" i="2"/>
  <c r="B941" i="2"/>
  <c r="D388" i="2"/>
  <c r="D1381" i="2"/>
  <c r="I1251" i="2"/>
  <c r="D746" i="2"/>
  <c r="B716" i="2"/>
  <c r="I941" i="2"/>
  <c r="A388" i="2"/>
  <c r="F1251" i="2"/>
  <c r="F941" i="2"/>
  <c r="C688" i="2"/>
  <c r="A1381" i="2"/>
  <c r="B969" i="2"/>
  <c r="F1316" i="2"/>
  <c r="H1251" i="2"/>
  <c r="H716" i="2"/>
  <c r="C388" i="2"/>
  <c r="D423" i="2"/>
  <c r="H1316" i="2"/>
  <c r="F716" i="2"/>
  <c r="C1316" i="2"/>
  <c r="C716" i="2"/>
  <c r="A716" i="2"/>
  <c r="F1381" i="2"/>
  <c r="I388" i="2"/>
  <c r="B423" i="2"/>
  <c r="F388" i="2"/>
  <c r="B1381" i="2"/>
  <c r="G1316" i="2"/>
  <c r="I1381" i="2"/>
  <c r="C969" i="2"/>
  <c r="F423" i="2"/>
  <c r="D969" i="2"/>
  <c r="A423" i="2"/>
  <c r="A1251" i="2"/>
  <c r="G423" i="2"/>
  <c r="F746" i="2"/>
  <c r="G746" i="2"/>
  <c r="G1251" i="2"/>
  <c r="I716" i="2"/>
  <c r="A688" i="2"/>
  <c r="B688" i="2"/>
  <c r="I746" i="2"/>
  <c r="C1381" i="2"/>
  <c r="D716" i="2"/>
  <c r="G969" i="2"/>
  <c r="I423" i="2"/>
  <c r="G941" i="2"/>
  <c r="F688" i="2"/>
  <c r="C1251" i="2"/>
  <c r="C746" i="2"/>
  <c r="B1316" i="2"/>
  <c r="H388" i="2"/>
  <c r="A372" i="2"/>
  <c r="B227" i="2"/>
  <c r="D1236" i="2"/>
  <c r="A1236" i="2"/>
  <c r="B723" i="2"/>
  <c r="G454" i="2"/>
  <c r="D1022" i="2"/>
  <c r="F1022" i="2"/>
  <c r="D454" i="2"/>
  <c r="D183" i="2"/>
  <c r="C584" i="2"/>
  <c r="G183" i="2"/>
  <c r="D446" i="2"/>
  <c r="G1022" i="2"/>
  <c r="G446" i="2"/>
  <c r="F723" i="2"/>
  <c r="F490" i="2"/>
  <c r="H227" i="2"/>
  <c r="H723" i="2"/>
  <c r="H372" i="2"/>
  <c r="B1022" i="2"/>
  <c r="C454" i="2"/>
  <c r="F446" i="2"/>
  <c r="A1022" i="2"/>
  <c r="C183" i="2"/>
  <c r="B454" i="2"/>
  <c r="D490" i="2"/>
  <c r="D723" i="2"/>
  <c r="A446" i="2"/>
  <c r="C1236" i="2"/>
  <c r="A490" i="2"/>
  <c r="I1022" i="2"/>
  <c r="I584" i="2"/>
  <c r="C1022" i="2"/>
  <c r="C723" i="2"/>
  <c r="G490" i="2"/>
  <c r="I490" i="2"/>
  <c r="I372" i="2"/>
  <c r="I183" i="2"/>
  <c r="G372" i="2"/>
  <c r="D227" i="2"/>
  <c r="I446" i="2"/>
  <c r="H1236" i="2"/>
  <c r="A454" i="2"/>
  <c r="A227" i="2"/>
  <c r="G584" i="2"/>
  <c r="F1236" i="2"/>
  <c r="A584" i="2"/>
  <c r="F183" i="2"/>
  <c r="G1236" i="2"/>
  <c r="C372" i="2"/>
  <c r="I227" i="2"/>
  <c r="H584" i="2"/>
  <c r="F372" i="2"/>
  <c r="B446" i="2"/>
  <c r="B183" i="2"/>
  <c r="G227" i="2"/>
  <c r="F227" i="2"/>
  <c r="D584" i="2"/>
  <c r="A183" i="2"/>
  <c r="H490" i="2"/>
  <c r="A723" i="2"/>
  <c r="H454" i="2"/>
  <c r="C446" i="2"/>
  <c r="B372" i="2"/>
  <c r="B584" i="2"/>
  <c r="I454" i="2"/>
  <c r="I723" i="2"/>
  <c r="I1236" i="2"/>
  <c r="C490" i="2"/>
  <c r="H446" i="2"/>
  <c r="H183" i="2"/>
  <c r="B1236" i="2"/>
  <c r="G723" i="2"/>
  <c r="F454" i="2"/>
  <c r="B490" i="2"/>
  <c r="D372" i="2"/>
  <c r="C227" i="2"/>
  <c r="F584" i="2"/>
  <c r="H1022" i="2"/>
  <c r="A1175" i="2"/>
  <c r="B336" i="2"/>
  <c r="H318" i="2"/>
  <c r="G1062" i="2"/>
  <c r="I16" i="2"/>
  <c r="H16" i="2"/>
  <c r="H1200" i="2"/>
  <c r="G336" i="2"/>
  <c r="I1062" i="2"/>
  <c r="B120" i="2"/>
  <c r="D1050" i="2"/>
  <c r="A1062" i="2"/>
  <c r="B251" i="2"/>
  <c r="G251" i="2"/>
  <c r="I769" i="2"/>
  <c r="B16" i="2"/>
  <c r="C318" i="2"/>
  <c r="G318" i="2"/>
  <c r="A16" i="2"/>
  <c r="A318" i="2"/>
  <c r="G1050" i="2"/>
  <c r="I1050" i="2"/>
  <c r="F16" i="2"/>
  <c r="I251" i="2"/>
  <c r="D1200" i="2"/>
  <c r="H120" i="2"/>
  <c r="D1062" i="2"/>
  <c r="F1175" i="2"/>
  <c r="G1200" i="2"/>
  <c r="I318" i="2"/>
  <c r="F336" i="2"/>
  <c r="B318" i="2"/>
  <c r="D120" i="2"/>
  <c r="A1200" i="2"/>
  <c r="H251" i="2"/>
  <c r="I1175" i="2"/>
  <c r="H1050" i="2"/>
  <c r="A769" i="2"/>
  <c r="F769" i="2"/>
  <c r="D1175" i="2"/>
  <c r="B1175" i="2"/>
  <c r="C251" i="2"/>
  <c r="I120" i="2"/>
  <c r="D251" i="2"/>
  <c r="G769" i="2"/>
  <c r="B1200" i="2"/>
  <c r="I1200" i="2"/>
  <c r="B769" i="2"/>
  <c r="D336" i="2"/>
  <c r="F120" i="2"/>
  <c r="D16" i="2"/>
  <c r="B1050" i="2"/>
  <c r="F1062" i="2"/>
  <c r="B1062" i="2"/>
  <c r="G120" i="2"/>
  <c r="C1175" i="2"/>
  <c r="H1062" i="2"/>
  <c r="C16" i="2"/>
  <c r="F1200" i="2"/>
  <c r="D769" i="2"/>
  <c r="H769" i="2"/>
  <c r="C120" i="2"/>
  <c r="C336" i="2"/>
  <c r="F318" i="2"/>
  <c r="I336" i="2"/>
  <c r="F1050" i="2"/>
  <c r="C1050" i="2"/>
  <c r="A336" i="2"/>
  <c r="H1175" i="2"/>
  <c r="A251" i="2"/>
  <c r="A120" i="2"/>
  <c r="C1200" i="2"/>
  <c r="G16" i="2"/>
  <c r="A1050" i="2"/>
  <c r="D318" i="2"/>
  <c r="H336" i="2"/>
  <c r="C1062" i="2"/>
  <c r="G1175" i="2"/>
  <c r="F251" i="2"/>
  <c r="C769" i="2"/>
  <c r="F1009" i="2"/>
  <c r="I1009" i="2"/>
  <c r="C228" i="2"/>
  <c r="I949" i="2"/>
  <c r="F546" i="2"/>
  <c r="G695" i="2"/>
  <c r="G1009" i="2"/>
  <c r="H494" i="2"/>
  <c r="C649" i="2"/>
  <c r="A649" i="2"/>
  <c r="A494" i="2"/>
  <c r="I546" i="2"/>
  <c r="H228" i="2"/>
  <c r="F494" i="2"/>
  <c r="H649" i="2"/>
  <c r="G228" i="2"/>
  <c r="A1009" i="2"/>
  <c r="F695" i="2"/>
  <c r="F1026" i="2"/>
  <c r="G494" i="2"/>
  <c r="B228" i="2"/>
  <c r="D494" i="2"/>
  <c r="C1009" i="2"/>
  <c r="C1026" i="2"/>
  <c r="D949" i="2"/>
  <c r="A574" i="2"/>
  <c r="G794" i="2"/>
  <c r="G574" i="2"/>
  <c r="D1009" i="2"/>
  <c r="G546" i="2"/>
  <c r="A546" i="2"/>
  <c r="F574" i="2"/>
  <c r="C574" i="2"/>
  <c r="I649" i="2"/>
  <c r="D695" i="2"/>
  <c r="D228" i="2"/>
  <c r="G649" i="2"/>
  <c r="G1026" i="2"/>
  <c r="I794" i="2"/>
  <c r="I574" i="2"/>
  <c r="C794" i="2"/>
  <c r="H574" i="2"/>
  <c r="C949" i="2"/>
  <c r="D1026" i="2"/>
  <c r="D794" i="2"/>
  <c r="F949" i="2"/>
  <c r="H695" i="2"/>
  <c r="F649" i="2"/>
  <c r="F794" i="2"/>
  <c r="C494" i="2"/>
  <c r="H794" i="2"/>
  <c r="B794" i="2"/>
  <c r="B695" i="2"/>
  <c r="C695" i="2"/>
  <c r="I1026" i="2"/>
  <c r="A949" i="2"/>
  <c r="I228" i="2"/>
  <c r="B546" i="2"/>
  <c r="H949" i="2"/>
  <c r="I494" i="2"/>
  <c r="A1026" i="2"/>
  <c r="C546" i="2"/>
  <c r="B1009" i="2"/>
  <c r="B949" i="2"/>
  <c r="B649" i="2"/>
  <c r="D574" i="2"/>
  <c r="I695" i="2"/>
  <c r="A228" i="2"/>
  <c r="D546" i="2"/>
  <c r="B1026" i="2"/>
  <c r="F228" i="2"/>
  <c r="A695" i="2"/>
  <c r="G949" i="2"/>
  <c r="B494" i="2"/>
  <c r="A794" i="2"/>
  <c r="H1009" i="2"/>
  <c r="H546" i="2"/>
  <c r="D649" i="2"/>
  <c r="B574" i="2"/>
  <c r="H1026" i="2"/>
  <c r="G881" i="2"/>
  <c r="I881" i="2"/>
  <c r="D22" i="2"/>
  <c r="C1015" i="2"/>
  <c r="H22" i="2"/>
  <c r="B881" i="2"/>
  <c r="D1015" i="2"/>
  <c r="D1397" i="2"/>
  <c r="A1019" i="2"/>
  <c r="A1245" i="2"/>
  <c r="C928" i="2"/>
  <c r="A492" i="2"/>
  <c r="H1397" i="2"/>
  <c r="G492" i="2"/>
  <c r="A1015" i="2"/>
  <c r="I634" i="2"/>
  <c r="B1245" i="2"/>
  <c r="A881" i="2"/>
  <c r="B492" i="2"/>
  <c r="D812" i="2"/>
  <c r="F928" i="2"/>
  <c r="F881" i="2"/>
  <c r="G634" i="2"/>
  <c r="D492" i="2"/>
  <c r="H1015" i="2"/>
  <c r="G812" i="2"/>
  <c r="B1019" i="2"/>
  <c r="A634" i="2"/>
  <c r="A22" i="2"/>
  <c r="C1019" i="2"/>
  <c r="I812" i="2"/>
  <c r="D1019" i="2"/>
  <c r="G1245" i="2"/>
  <c r="F492" i="2"/>
  <c r="B928" i="2"/>
  <c r="F1015" i="2"/>
  <c r="H812" i="2"/>
  <c r="F1019" i="2"/>
  <c r="F812" i="2"/>
  <c r="H634" i="2"/>
  <c r="D634" i="2"/>
  <c r="A1397" i="2"/>
  <c r="I928" i="2"/>
  <c r="C22" i="2"/>
  <c r="H928" i="2"/>
  <c r="H881" i="2"/>
  <c r="G1397" i="2"/>
  <c r="I492" i="2"/>
  <c r="C881" i="2"/>
  <c r="D928" i="2"/>
  <c r="D1245" i="2"/>
  <c r="B1397" i="2"/>
  <c r="G1015" i="2"/>
  <c r="B634" i="2"/>
  <c r="C1245" i="2"/>
  <c r="C812" i="2"/>
  <c r="B22" i="2"/>
  <c r="G22" i="2"/>
  <c r="B1015" i="2"/>
  <c r="C492" i="2"/>
  <c r="I1397" i="2"/>
  <c r="I1019" i="2"/>
  <c r="G928" i="2"/>
  <c r="A812" i="2"/>
  <c r="H1019" i="2"/>
  <c r="I1245" i="2"/>
  <c r="C1397" i="2"/>
  <c r="F22" i="2"/>
  <c r="F1245" i="2"/>
  <c r="C634" i="2"/>
  <c r="D881" i="2"/>
  <c r="B812" i="2"/>
  <c r="F634" i="2"/>
  <c r="F1397" i="2"/>
  <c r="G1019" i="2"/>
  <c r="H492" i="2"/>
  <c r="H1245" i="2"/>
  <c r="I22" i="2"/>
  <c r="A928" i="2"/>
  <c r="I1015" i="2"/>
  <c r="C781" i="2"/>
  <c r="A362" i="2"/>
  <c r="A772" i="2"/>
  <c r="H772" i="2"/>
  <c r="C175" i="2"/>
  <c r="D362" i="2"/>
  <c r="H483" i="2"/>
  <c r="H362" i="2"/>
  <c r="D1064" i="2"/>
  <c r="D1059" i="2"/>
  <c r="D772" i="2"/>
  <c r="H781" i="2"/>
  <c r="A483" i="2"/>
  <c r="G916" i="2"/>
  <c r="G781" i="2"/>
  <c r="A175" i="2"/>
  <c r="C772" i="2"/>
  <c r="B54" i="2"/>
  <c r="D59" i="2"/>
  <c r="A781" i="2"/>
  <c r="H1064" i="2"/>
  <c r="D781" i="2"/>
  <c r="A59" i="2"/>
  <c r="G1059" i="2"/>
  <c r="F362" i="2"/>
  <c r="F54" i="2"/>
  <c r="H1059" i="2"/>
  <c r="I916" i="2"/>
  <c r="B175" i="2"/>
  <c r="I483" i="2"/>
  <c r="F1059" i="2"/>
  <c r="G175" i="2"/>
  <c r="B781" i="2"/>
  <c r="I1064" i="2"/>
  <c r="C916" i="2"/>
  <c r="A1064" i="2"/>
  <c r="I54" i="2"/>
  <c r="B772" i="2"/>
  <c r="G54" i="2"/>
  <c r="F59" i="2"/>
  <c r="C483" i="2"/>
  <c r="F781" i="2"/>
  <c r="C59" i="2"/>
  <c r="B483" i="2"/>
  <c r="G1064" i="2"/>
  <c r="D175" i="2"/>
  <c r="H59" i="2"/>
  <c r="C1064" i="2"/>
  <c r="D54" i="2"/>
  <c r="G362" i="2"/>
  <c r="B362" i="2"/>
  <c r="F916" i="2"/>
  <c r="F483" i="2"/>
  <c r="F1064" i="2"/>
  <c r="A1059" i="2"/>
  <c r="H54" i="2"/>
  <c r="F772" i="2"/>
  <c r="A916" i="2"/>
  <c r="B916" i="2"/>
  <c r="I1059" i="2"/>
  <c r="D916" i="2"/>
  <c r="B59" i="2"/>
  <c r="B1059" i="2"/>
  <c r="I772" i="2"/>
  <c r="A54" i="2"/>
  <c r="I362" i="2"/>
  <c r="F175" i="2"/>
  <c r="I59" i="2"/>
  <c r="D483" i="2"/>
  <c r="H175" i="2"/>
  <c r="I781" i="2"/>
  <c r="H916" i="2"/>
  <c r="C54" i="2"/>
  <c r="C1059" i="2"/>
  <c r="G483" i="2"/>
  <c r="C362" i="2"/>
  <c r="I175" i="2"/>
  <c r="B1064" i="2"/>
  <c r="G59" i="2"/>
  <c r="G772" i="2"/>
  <c r="B1255" i="2"/>
  <c r="C859" i="2"/>
  <c r="G947" i="2"/>
  <c r="C149" i="2"/>
  <c r="F1255" i="2"/>
  <c r="H1255" i="2"/>
  <c r="I795" i="2"/>
  <c r="G149" i="2"/>
  <c r="A149" i="2"/>
  <c r="D403" i="2"/>
  <c r="B177" i="2"/>
  <c r="D795" i="2"/>
  <c r="F795" i="2"/>
  <c r="B1121" i="2"/>
  <c r="C177" i="2"/>
  <c r="B859" i="2"/>
  <c r="D1211" i="2"/>
  <c r="B1211" i="2"/>
  <c r="G403" i="2"/>
  <c r="C403" i="2"/>
  <c r="G1255" i="2"/>
  <c r="G859" i="2"/>
  <c r="F432" i="2"/>
  <c r="B947" i="2"/>
  <c r="H177" i="2"/>
  <c r="H403" i="2"/>
  <c r="I432" i="2"/>
  <c r="H1121" i="2"/>
  <c r="D432" i="2"/>
  <c r="B432" i="2"/>
  <c r="H859" i="2"/>
  <c r="A403" i="2"/>
  <c r="D149" i="2"/>
  <c r="C947" i="2"/>
  <c r="I403" i="2"/>
  <c r="F859" i="2"/>
  <c r="F1211" i="2"/>
  <c r="H432" i="2"/>
  <c r="I1121" i="2"/>
  <c r="G795" i="2"/>
  <c r="F149" i="2"/>
  <c r="F403" i="2"/>
  <c r="D1121" i="2"/>
  <c r="C1255" i="2"/>
  <c r="D859" i="2"/>
  <c r="H795" i="2"/>
  <c r="C1121" i="2"/>
  <c r="D1255" i="2"/>
  <c r="G177" i="2"/>
  <c r="I947" i="2"/>
  <c r="A177" i="2"/>
  <c r="G1211" i="2"/>
  <c r="C432" i="2"/>
  <c r="A1255" i="2"/>
  <c r="I1211" i="2"/>
  <c r="I149" i="2"/>
  <c r="A795" i="2"/>
  <c r="A1211" i="2"/>
  <c r="D177" i="2"/>
  <c r="C1211" i="2"/>
  <c r="I177" i="2"/>
  <c r="A1121" i="2"/>
  <c r="F1121" i="2"/>
  <c r="B149" i="2"/>
  <c r="D947" i="2"/>
  <c r="A947" i="2"/>
  <c r="F947" i="2"/>
  <c r="G432" i="2"/>
  <c r="C795" i="2"/>
  <c r="I859" i="2"/>
  <c r="B795" i="2"/>
  <c r="H947" i="2"/>
  <c r="F177" i="2"/>
  <c r="A859" i="2"/>
  <c r="I1255" i="2"/>
  <c r="A432" i="2"/>
  <c r="G1121" i="2"/>
  <c r="B403" i="2"/>
  <c r="H1211" i="2"/>
  <c r="H149" i="2"/>
  <c r="G184" i="2"/>
  <c r="I885" i="2"/>
  <c r="I159" i="2"/>
  <c r="C352" i="2"/>
  <c r="D40" i="2"/>
  <c r="F908" i="2"/>
  <c r="H184" i="2"/>
  <c r="I375" i="2"/>
  <c r="F839" i="2"/>
  <c r="H885" i="2"/>
  <c r="D839" i="2"/>
  <c r="G826" i="2"/>
  <c r="H908" i="2"/>
  <c r="A885" i="2"/>
  <c r="F159" i="2"/>
  <c r="I40" i="2"/>
  <c r="B839" i="2"/>
  <c r="G839" i="2"/>
  <c r="A375" i="2"/>
  <c r="A352" i="2"/>
  <c r="F40" i="2"/>
  <c r="F375" i="2"/>
  <c r="H375" i="2"/>
  <c r="I908" i="2"/>
  <c r="C375" i="2"/>
  <c r="G40" i="2"/>
  <c r="C159" i="2"/>
  <c r="B908" i="2"/>
  <c r="G375" i="2"/>
  <c r="G885" i="2"/>
  <c r="B885" i="2"/>
  <c r="I826" i="2"/>
  <c r="I381" i="2"/>
  <c r="A184" i="2"/>
  <c r="A826" i="2"/>
  <c r="G908" i="2"/>
  <c r="H839" i="2"/>
  <c r="D885" i="2"/>
  <c r="D159" i="2"/>
  <c r="I184" i="2"/>
  <c r="C826" i="2"/>
  <c r="H826" i="2"/>
  <c r="I839" i="2"/>
  <c r="D352" i="2"/>
  <c r="A908" i="2"/>
  <c r="H352" i="2"/>
  <c r="C40" i="2"/>
  <c r="G381" i="2"/>
  <c r="A40" i="2"/>
  <c r="D381" i="2"/>
  <c r="H159" i="2"/>
  <c r="B184" i="2"/>
  <c r="D908" i="2"/>
  <c r="F381" i="2"/>
  <c r="C381" i="2"/>
  <c r="C885" i="2"/>
  <c r="F352" i="2"/>
  <c r="A839" i="2"/>
  <c r="C184" i="2"/>
  <c r="D826" i="2"/>
  <c r="B381" i="2"/>
  <c r="G352" i="2"/>
  <c r="B159" i="2"/>
  <c r="B826" i="2"/>
  <c r="H381" i="2"/>
  <c r="G159" i="2"/>
  <c r="B40" i="2"/>
  <c r="B352" i="2"/>
  <c r="B375" i="2"/>
  <c r="F184" i="2"/>
  <c r="F885" i="2"/>
  <c r="C908" i="2"/>
  <c r="I352" i="2"/>
  <c r="D375" i="2"/>
  <c r="D184" i="2"/>
  <c r="A159" i="2"/>
  <c r="A381" i="2"/>
  <c r="F826" i="2"/>
  <c r="C839" i="2"/>
  <c r="H40" i="2"/>
  <c r="A1293" i="2"/>
  <c r="F1066" i="2"/>
  <c r="G495" i="2"/>
  <c r="B390" i="2"/>
  <c r="H390" i="2"/>
  <c r="F1293" i="2"/>
  <c r="G282" i="2"/>
  <c r="F1225" i="2"/>
  <c r="A1066" i="2"/>
  <c r="C390" i="2"/>
  <c r="C1066" i="2"/>
  <c r="C1225" i="2"/>
  <c r="D1090" i="2"/>
  <c r="G1225" i="2"/>
  <c r="I373" i="2"/>
  <c r="H282" i="2"/>
  <c r="B282" i="2"/>
  <c r="G1293" i="2"/>
  <c r="C373" i="2"/>
  <c r="B1293" i="2"/>
  <c r="G278" i="2"/>
  <c r="B1226" i="2"/>
  <c r="F373" i="2"/>
  <c r="F1090" i="2"/>
  <c r="H1066" i="2"/>
  <c r="B373" i="2"/>
  <c r="C1226" i="2"/>
  <c r="C278" i="2"/>
  <c r="D282" i="2"/>
  <c r="H1293" i="2"/>
  <c r="H1225" i="2"/>
  <c r="C1090" i="2"/>
  <c r="C495" i="2"/>
  <c r="I1066" i="2"/>
  <c r="F390" i="2"/>
  <c r="D373" i="2"/>
  <c r="A495" i="2"/>
  <c r="D495" i="2"/>
  <c r="G1226" i="2"/>
  <c r="F282" i="2"/>
  <c r="G373" i="2"/>
  <c r="A1090" i="2"/>
  <c r="I282" i="2"/>
  <c r="D1225" i="2"/>
  <c r="B278" i="2"/>
  <c r="B495" i="2"/>
  <c r="H278" i="2"/>
  <c r="F278" i="2"/>
  <c r="A278" i="2"/>
  <c r="F495" i="2"/>
  <c r="D1066" i="2"/>
  <c r="F1226" i="2"/>
  <c r="I1090" i="2"/>
  <c r="A282" i="2"/>
  <c r="I495" i="2"/>
  <c r="D1226" i="2"/>
  <c r="I278" i="2"/>
  <c r="I390" i="2"/>
  <c r="A1226" i="2"/>
  <c r="G1066" i="2"/>
  <c r="D390" i="2"/>
  <c r="H373" i="2"/>
  <c r="I1225" i="2"/>
  <c r="H1226" i="2"/>
  <c r="C1293" i="2"/>
  <c r="D1293" i="2"/>
  <c r="B1090" i="2"/>
  <c r="G1090" i="2"/>
  <c r="A1225" i="2"/>
  <c r="G390" i="2"/>
  <c r="B1066" i="2"/>
  <c r="H495" i="2"/>
  <c r="D278" i="2"/>
  <c r="A390" i="2"/>
  <c r="C282" i="2"/>
  <c r="I1226" i="2"/>
  <c r="H1090" i="2"/>
  <c r="A373" i="2"/>
  <c r="I1293" i="2"/>
  <c r="B1225" i="2"/>
  <c r="D708" i="2"/>
  <c r="A578" i="2"/>
  <c r="C88" i="2"/>
  <c r="D1291" i="2"/>
  <c r="F578" i="2"/>
  <c r="H708" i="2"/>
  <c r="D934" i="2"/>
  <c r="F708" i="2"/>
  <c r="A1291" i="2"/>
  <c r="H283" i="2"/>
  <c r="C1170" i="2"/>
  <c r="B708" i="2"/>
  <c r="H1291" i="2"/>
  <c r="D578" i="2"/>
  <c r="H598" i="2"/>
  <c r="B934" i="2"/>
  <c r="C578" i="2"/>
  <c r="D283" i="2"/>
  <c r="D88" i="2"/>
  <c r="F88" i="2"/>
  <c r="A42" i="2"/>
  <c r="H42" i="2"/>
  <c r="G1170" i="2"/>
  <c r="C283" i="2"/>
  <c r="I934" i="2"/>
  <c r="I1170" i="2"/>
  <c r="C963" i="2"/>
  <c r="B283" i="2"/>
  <c r="G598" i="2"/>
  <c r="F934" i="2"/>
  <c r="I88" i="2"/>
  <c r="G283" i="2"/>
  <c r="I283" i="2"/>
  <c r="B578" i="2"/>
  <c r="G42" i="2"/>
  <c r="I963" i="2"/>
  <c r="B598" i="2"/>
  <c r="I708" i="2"/>
  <c r="A963" i="2"/>
  <c r="F283" i="2"/>
  <c r="H1170" i="2"/>
  <c r="G1291" i="2"/>
  <c r="B963" i="2"/>
  <c r="G963" i="2"/>
  <c r="D1170" i="2"/>
  <c r="C708" i="2"/>
  <c r="D42" i="2"/>
  <c r="B42" i="2"/>
  <c r="C1291" i="2"/>
  <c r="C934" i="2"/>
  <c r="G934" i="2"/>
  <c r="B1291" i="2"/>
  <c r="D598" i="2"/>
  <c r="I42" i="2"/>
  <c r="I598" i="2"/>
  <c r="A708" i="2"/>
  <c r="C598" i="2"/>
  <c r="I578" i="2"/>
  <c r="H578" i="2"/>
  <c r="F42" i="2"/>
  <c r="A598" i="2"/>
  <c r="F1170" i="2"/>
  <c r="H88" i="2"/>
  <c r="G88" i="2"/>
  <c r="A934" i="2"/>
  <c r="I1291" i="2"/>
  <c r="D963" i="2"/>
  <c r="F963" i="2"/>
  <c r="B88" i="2"/>
  <c r="B1170" i="2"/>
  <c r="A283" i="2"/>
  <c r="F1291" i="2"/>
  <c r="H963" i="2"/>
  <c r="H934" i="2"/>
  <c r="F598" i="2"/>
  <c r="A1170" i="2"/>
  <c r="G578" i="2"/>
  <c r="G708" i="2"/>
  <c r="C42" i="2"/>
  <c r="A88" i="2"/>
  <c r="H644" i="2"/>
  <c r="G1193" i="2"/>
  <c r="C644" i="2"/>
  <c r="C1324" i="2"/>
  <c r="G883" i="2"/>
  <c r="B921" i="2"/>
  <c r="B883" i="2"/>
  <c r="H70" i="2"/>
  <c r="H670" i="2"/>
  <c r="A1193" i="2"/>
  <c r="B517" i="2"/>
  <c r="H1193" i="2"/>
  <c r="A595" i="2"/>
  <c r="H595" i="2"/>
  <c r="D670" i="2"/>
  <c r="F70" i="2"/>
  <c r="B1324" i="2"/>
  <c r="C517" i="2"/>
  <c r="H921" i="2"/>
  <c r="I670" i="2"/>
  <c r="A517" i="2"/>
  <c r="H517" i="2"/>
  <c r="F1023" i="2"/>
  <c r="G644" i="2"/>
  <c r="B644" i="2"/>
  <c r="I883" i="2"/>
  <c r="A1324" i="2"/>
  <c r="G1023" i="2"/>
  <c r="C883" i="2"/>
  <c r="A883" i="2"/>
  <c r="I1193" i="2"/>
  <c r="D517" i="2"/>
  <c r="D1193" i="2"/>
  <c r="C670" i="2"/>
  <c r="B1023" i="2"/>
  <c r="D70" i="2"/>
  <c r="A1023" i="2"/>
  <c r="D595" i="2"/>
  <c r="F1324" i="2"/>
  <c r="B595" i="2"/>
  <c r="H1324" i="2"/>
  <c r="D1023" i="2"/>
  <c r="C1193" i="2"/>
  <c r="I644" i="2"/>
  <c r="I921" i="2"/>
  <c r="C70" i="2"/>
  <c r="I595" i="2"/>
  <c r="C595" i="2"/>
  <c r="G517" i="2"/>
  <c r="A921" i="2"/>
  <c r="A70" i="2"/>
  <c r="G595" i="2"/>
  <c r="I1023" i="2"/>
  <c r="A644" i="2"/>
  <c r="G70" i="2"/>
  <c r="D883" i="2"/>
  <c r="D921" i="2"/>
  <c r="I517" i="2"/>
  <c r="B70" i="2"/>
  <c r="A670" i="2"/>
  <c r="C1023" i="2"/>
  <c r="C921" i="2"/>
  <c r="B670" i="2"/>
  <c r="F644" i="2"/>
  <c r="G921" i="2"/>
  <c r="G1324" i="2"/>
  <c r="F670" i="2"/>
  <c r="B1193" i="2"/>
  <c r="I1324" i="2"/>
  <c r="F883" i="2"/>
  <c r="G670" i="2"/>
  <c r="H883" i="2"/>
  <c r="D1324" i="2"/>
  <c r="F1193" i="2"/>
  <c r="F595" i="2"/>
  <c r="D644" i="2"/>
  <c r="F517" i="2"/>
  <c r="I70" i="2"/>
  <c r="H1023" i="2"/>
  <c r="F921" i="2"/>
  <c r="C566" i="2"/>
  <c r="I241" i="2"/>
  <c r="C241" i="2"/>
  <c r="A241" i="2"/>
  <c r="C166" i="2"/>
  <c r="D453" i="2"/>
  <c r="C1150" i="2"/>
  <c r="G1150" i="2"/>
  <c r="A575" i="2"/>
  <c r="I453" i="2"/>
  <c r="F1432" i="2"/>
  <c r="G453" i="2"/>
  <c r="I575" i="2"/>
  <c r="H1374" i="2"/>
  <c r="B1432" i="2"/>
  <c r="I1374" i="2"/>
  <c r="F1305" i="2"/>
  <c r="F566" i="2"/>
  <c r="D1305" i="2"/>
  <c r="B1374" i="2"/>
  <c r="H566" i="2"/>
  <c r="B566" i="2"/>
  <c r="F1374" i="2"/>
  <c r="F575" i="2"/>
  <c r="G566" i="2"/>
  <c r="C1432" i="2"/>
  <c r="H1432" i="2"/>
  <c r="G166" i="2"/>
  <c r="I1305" i="2"/>
  <c r="A453" i="2"/>
  <c r="B1150" i="2"/>
  <c r="D1150" i="2"/>
  <c r="C1305" i="2"/>
  <c r="B351" i="2"/>
  <c r="H166" i="2"/>
  <c r="H241" i="2"/>
  <c r="H1150" i="2"/>
  <c r="I351" i="2"/>
  <c r="G1374" i="2"/>
  <c r="D1432" i="2"/>
  <c r="D575" i="2"/>
  <c r="C351" i="2"/>
  <c r="A351" i="2"/>
  <c r="I166" i="2"/>
  <c r="F351" i="2"/>
  <c r="D166" i="2"/>
  <c r="B166" i="2"/>
  <c r="B453" i="2"/>
  <c r="D1374" i="2"/>
  <c r="A1432" i="2"/>
  <c r="G1432" i="2"/>
  <c r="F1150" i="2"/>
  <c r="G1305" i="2"/>
  <c r="B575" i="2"/>
  <c r="A566" i="2"/>
  <c r="I566" i="2"/>
  <c r="C575" i="2"/>
  <c r="A1305" i="2"/>
  <c r="H453" i="2"/>
  <c r="H1305" i="2"/>
  <c r="A1374" i="2"/>
  <c r="B241" i="2"/>
  <c r="G575" i="2"/>
  <c r="D241" i="2"/>
  <c r="G241" i="2"/>
  <c r="F453" i="2"/>
  <c r="I1150" i="2"/>
  <c r="H351" i="2"/>
  <c r="F166" i="2"/>
  <c r="I1432" i="2"/>
  <c r="G351" i="2"/>
  <c r="F241" i="2"/>
  <c r="C1374" i="2"/>
  <c r="A1150" i="2"/>
  <c r="D566" i="2"/>
  <c r="D351" i="2"/>
  <c r="C453" i="2"/>
  <c r="B1305" i="2"/>
  <c r="H575" i="2"/>
  <c r="A166" i="2"/>
  <c r="A756" i="2"/>
  <c r="D339" i="2"/>
  <c r="C191" i="2"/>
  <c r="D706" i="2"/>
  <c r="G339" i="2"/>
  <c r="H888" i="2"/>
  <c r="F706" i="2"/>
  <c r="F339" i="2"/>
  <c r="G358" i="2"/>
  <c r="H358" i="2"/>
  <c r="G404" i="2"/>
  <c r="G756" i="2"/>
  <c r="F78" i="2"/>
  <c r="B706" i="2"/>
  <c r="F888" i="2"/>
  <c r="I706" i="2"/>
  <c r="C339" i="2"/>
  <c r="D756" i="2"/>
  <c r="I339" i="2"/>
  <c r="H1072" i="2"/>
  <c r="C358" i="2"/>
  <c r="D358" i="2"/>
  <c r="C279" i="2"/>
  <c r="D191" i="2"/>
  <c r="G888" i="2"/>
  <c r="C404" i="2"/>
  <c r="G279" i="2"/>
  <c r="G706" i="2"/>
  <c r="A279" i="2"/>
  <c r="H756" i="2"/>
  <c r="H191" i="2"/>
  <c r="B78" i="2"/>
  <c r="B404" i="2"/>
  <c r="F756" i="2"/>
  <c r="I78" i="2"/>
  <c r="H404" i="2"/>
  <c r="A706" i="2"/>
  <c r="I191" i="2"/>
  <c r="B358" i="2"/>
  <c r="F358" i="2"/>
  <c r="I404" i="2"/>
  <c r="B888" i="2"/>
  <c r="H706" i="2"/>
  <c r="G191" i="2"/>
  <c r="G1072" i="2"/>
  <c r="A339" i="2"/>
  <c r="D78" i="2"/>
  <c r="B339" i="2"/>
  <c r="B1072" i="2"/>
  <c r="I358" i="2"/>
  <c r="C1072" i="2"/>
  <c r="B279" i="2"/>
  <c r="F279" i="2"/>
  <c r="F404" i="2"/>
  <c r="C78" i="2"/>
  <c r="A404" i="2"/>
  <c r="A191" i="2"/>
  <c r="F1072" i="2"/>
  <c r="F191" i="2"/>
  <c r="A888" i="2"/>
  <c r="H279" i="2"/>
  <c r="D888" i="2"/>
  <c r="C756" i="2"/>
  <c r="I1072" i="2"/>
  <c r="A78" i="2"/>
  <c r="I279" i="2"/>
  <c r="D1072" i="2"/>
  <c r="I756" i="2"/>
  <c r="I888" i="2"/>
  <c r="H78" i="2"/>
  <c r="H339" i="2"/>
  <c r="C706" i="2"/>
  <c r="D404" i="2"/>
  <c r="A358" i="2"/>
  <c r="D279" i="2"/>
  <c r="A1072" i="2"/>
  <c r="B191" i="2"/>
  <c r="B756" i="2"/>
  <c r="C888" i="2"/>
  <c r="G78" i="2"/>
  <c r="C306" i="2"/>
  <c r="F306" i="2"/>
  <c r="G570" i="2"/>
  <c r="B1115" i="2"/>
  <c r="I1394" i="2"/>
  <c r="H214" i="2"/>
  <c r="B709" i="2"/>
  <c r="G1115" i="2"/>
  <c r="I1334" i="2"/>
  <c r="B276" i="2"/>
  <c r="C276" i="2"/>
  <c r="D437" i="2"/>
  <c r="A214" i="2"/>
  <c r="F1394" i="2"/>
  <c r="D709" i="2"/>
  <c r="G437" i="2"/>
  <c r="A437" i="2"/>
  <c r="I437" i="2"/>
  <c r="C570" i="2"/>
  <c r="H570" i="2"/>
  <c r="B570" i="2"/>
  <c r="F214" i="2"/>
  <c r="I267" i="2"/>
  <c r="C1394" i="2"/>
  <c r="B437" i="2"/>
  <c r="G214" i="2"/>
  <c r="H306" i="2"/>
  <c r="A1115" i="2"/>
  <c r="G267" i="2"/>
  <c r="B1394" i="2"/>
  <c r="A1394" i="2"/>
  <c r="I570" i="2"/>
  <c r="C1334" i="2"/>
  <c r="B1334" i="2"/>
  <c r="G276" i="2"/>
  <c r="H709" i="2"/>
  <c r="D1115" i="2"/>
  <c r="D276" i="2"/>
  <c r="I306" i="2"/>
  <c r="D214" i="2"/>
  <c r="C267" i="2"/>
  <c r="H1115" i="2"/>
  <c r="A267" i="2"/>
  <c r="A276" i="2"/>
  <c r="B306" i="2"/>
  <c r="D570" i="2"/>
  <c r="G306" i="2"/>
  <c r="I709" i="2"/>
  <c r="G709" i="2"/>
  <c r="D1334" i="2"/>
  <c r="H1334" i="2"/>
  <c r="A306" i="2"/>
  <c r="B214" i="2"/>
  <c r="F709" i="2"/>
  <c r="F267" i="2"/>
  <c r="C709" i="2"/>
  <c r="F276" i="2"/>
  <c r="A570" i="2"/>
  <c r="I1115" i="2"/>
  <c r="I276" i="2"/>
  <c r="F1334" i="2"/>
  <c r="H437" i="2"/>
  <c r="C437" i="2"/>
  <c r="G1334" i="2"/>
  <c r="H267" i="2"/>
  <c r="H1394" i="2"/>
  <c r="I214" i="2"/>
  <c r="F1115" i="2"/>
  <c r="D1394" i="2"/>
  <c r="D267" i="2"/>
  <c r="C1115" i="2"/>
  <c r="G1394" i="2"/>
  <c r="F437" i="2"/>
  <c r="C214" i="2"/>
  <c r="H276" i="2"/>
  <c r="A709" i="2"/>
  <c r="F570" i="2"/>
  <c r="A1334" i="2"/>
  <c r="B267" i="2"/>
  <c r="D306" i="2"/>
  <c r="C262" i="2"/>
  <c r="G387" i="2"/>
  <c r="A1051" i="2"/>
  <c r="B738" i="2"/>
  <c r="I262" i="2"/>
  <c r="I298" i="2"/>
  <c r="I1051" i="2"/>
  <c r="I387" i="2"/>
  <c r="G1051" i="2"/>
  <c r="B580" i="2"/>
  <c r="C506" i="2"/>
  <c r="D262" i="2"/>
  <c r="I218" i="2"/>
  <c r="A387" i="2"/>
  <c r="F506" i="2"/>
  <c r="H298" i="2"/>
  <c r="A738" i="2"/>
  <c r="C387" i="2"/>
  <c r="C734" i="2"/>
  <c r="H341" i="2"/>
  <c r="I738" i="2"/>
  <c r="F218" i="2"/>
  <c r="A298" i="2"/>
  <c r="G298" i="2"/>
  <c r="B341" i="2"/>
  <c r="F298" i="2"/>
  <c r="C580" i="2"/>
  <c r="G738" i="2"/>
  <c r="B1051" i="2"/>
  <c r="I580" i="2"/>
  <c r="A218" i="2"/>
  <c r="B298" i="2"/>
  <c r="F262" i="2"/>
  <c r="C738" i="2"/>
  <c r="B734" i="2"/>
  <c r="A506" i="2"/>
  <c r="H580" i="2"/>
  <c r="D341" i="2"/>
  <c r="F387" i="2"/>
  <c r="D580" i="2"/>
  <c r="H387" i="2"/>
  <c r="C1051" i="2"/>
  <c r="C341" i="2"/>
  <c r="I506" i="2"/>
  <c r="A262" i="2"/>
  <c r="F734" i="2"/>
  <c r="D506" i="2"/>
  <c r="G734" i="2"/>
  <c r="H734" i="2"/>
  <c r="C218" i="2"/>
  <c r="G580" i="2"/>
  <c r="C298" i="2"/>
  <c r="D218" i="2"/>
  <c r="H1051" i="2"/>
  <c r="F580" i="2"/>
  <c r="H738" i="2"/>
  <c r="H262" i="2"/>
  <c r="B262" i="2"/>
  <c r="H506" i="2"/>
  <c r="D387" i="2"/>
  <c r="D738" i="2"/>
  <c r="B506" i="2"/>
  <c r="D1051" i="2"/>
  <c r="H218" i="2"/>
  <c r="G341" i="2"/>
  <c r="A341" i="2"/>
  <c r="A734" i="2"/>
  <c r="I734" i="2"/>
  <c r="B218" i="2"/>
  <c r="G262" i="2"/>
  <c r="F341" i="2"/>
  <c r="G506" i="2"/>
  <c r="G218" i="2"/>
  <c r="F738" i="2"/>
  <c r="F1051" i="2"/>
  <c r="A580" i="2"/>
  <c r="I341" i="2"/>
  <c r="D298" i="2"/>
  <c r="B387" i="2"/>
  <c r="D734" i="2"/>
  <c r="A260" i="2"/>
  <c r="H966" i="2"/>
  <c r="I1018" i="2"/>
  <c r="I242" i="2"/>
  <c r="G82" i="2"/>
  <c r="C242" i="2"/>
  <c r="G172" i="2"/>
  <c r="H64" i="2"/>
  <c r="A966" i="2"/>
  <c r="D64" i="2"/>
  <c r="C82" i="2"/>
  <c r="H101" i="2"/>
  <c r="I487" i="2"/>
  <c r="F82" i="2"/>
  <c r="F1018" i="2"/>
  <c r="I260" i="2"/>
  <c r="B64" i="2"/>
  <c r="A863" i="2"/>
  <c r="B863" i="2"/>
  <c r="A101" i="2"/>
  <c r="H260" i="2"/>
  <c r="D260" i="2"/>
  <c r="B82" i="2"/>
  <c r="F966" i="2"/>
  <c r="C101" i="2"/>
  <c r="F64" i="2"/>
  <c r="C64" i="2"/>
  <c r="D242" i="2"/>
  <c r="G101" i="2"/>
  <c r="D487" i="2"/>
  <c r="G260" i="2"/>
  <c r="A82" i="2"/>
  <c r="F242" i="2"/>
  <c r="C487" i="2"/>
  <c r="B242" i="2"/>
  <c r="G863" i="2"/>
  <c r="C863" i="2"/>
  <c r="F487" i="2"/>
  <c r="D172" i="2"/>
  <c r="B260" i="2"/>
  <c r="A172" i="2"/>
  <c r="C1018" i="2"/>
  <c r="A1018" i="2"/>
  <c r="D966" i="2"/>
  <c r="I172" i="2"/>
  <c r="A242" i="2"/>
  <c r="H1018" i="2"/>
  <c r="H863" i="2"/>
  <c r="I82" i="2"/>
  <c r="H242" i="2"/>
  <c r="D863" i="2"/>
  <c r="C172" i="2"/>
  <c r="G64" i="2"/>
  <c r="D1018" i="2"/>
  <c r="I64" i="2"/>
  <c r="C966" i="2"/>
  <c r="B487" i="2"/>
  <c r="I863" i="2"/>
  <c r="B966" i="2"/>
  <c r="F172" i="2"/>
  <c r="I101" i="2"/>
  <c r="B101" i="2"/>
  <c r="G966" i="2"/>
  <c r="F260" i="2"/>
  <c r="F101" i="2"/>
  <c r="H487" i="2"/>
  <c r="B1018" i="2"/>
  <c r="H82" i="2"/>
  <c r="B172" i="2"/>
  <c r="A487" i="2"/>
  <c r="G487" i="2"/>
  <c r="D101" i="2"/>
  <c r="F863" i="2"/>
  <c r="G1018" i="2"/>
  <c r="D82" i="2"/>
  <c r="C260" i="2"/>
  <c r="A64" i="2"/>
  <c r="G242" i="2"/>
  <c r="H172" i="2"/>
  <c r="I966" i="2"/>
  <c r="B334" i="2"/>
  <c r="B162" i="2"/>
  <c r="D568" i="2"/>
  <c r="I568" i="2"/>
  <c r="D612" i="2"/>
  <c r="F951" i="2"/>
  <c r="C180" i="2"/>
  <c r="D334" i="2"/>
  <c r="A960" i="2"/>
  <c r="A1002" i="2"/>
  <c r="D951" i="2"/>
  <c r="G180" i="2"/>
  <c r="F960" i="2"/>
  <c r="B817" i="2"/>
  <c r="C162" i="2"/>
  <c r="G334" i="2"/>
  <c r="F612" i="2"/>
  <c r="B1070" i="2"/>
  <c r="A951" i="2"/>
  <c r="I960" i="2"/>
  <c r="D960" i="2"/>
  <c r="B612" i="2"/>
  <c r="I951" i="2"/>
  <c r="G568" i="2"/>
  <c r="C960" i="2"/>
  <c r="F1070" i="2"/>
  <c r="I180" i="2"/>
  <c r="F1002" i="2"/>
  <c r="A568" i="2"/>
  <c r="G1070" i="2"/>
  <c r="F180" i="2"/>
  <c r="H180" i="2"/>
  <c r="G612" i="2"/>
  <c r="I1070" i="2"/>
  <c r="G817" i="2"/>
  <c r="A334" i="2"/>
  <c r="B960" i="2"/>
  <c r="D162" i="2"/>
  <c r="F162" i="2"/>
  <c r="H817" i="2"/>
  <c r="C334" i="2"/>
  <c r="D180" i="2"/>
  <c r="H162" i="2"/>
  <c r="F568" i="2"/>
  <c r="H1002" i="2"/>
  <c r="A180" i="2"/>
  <c r="A817" i="2"/>
  <c r="D1002" i="2"/>
  <c r="C951" i="2"/>
  <c r="H951" i="2"/>
  <c r="D817" i="2"/>
  <c r="H1070" i="2"/>
  <c r="C612" i="2"/>
  <c r="B951" i="2"/>
  <c r="G960" i="2"/>
  <c r="C1002" i="2"/>
  <c r="H334" i="2"/>
  <c r="I612" i="2"/>
  <c r="A162" i="2"/>
  <c r="B1002" i="2"/>
  <c r="A612" i="2"/>
  <c r="I334" i="2"/>
  <c r="F817" i="2"/>
  <c r="G1002" i="2"/>
  <c r="A1070" i="2"/>
  <c r="C817" i="2"/>
  <c r="I162" i="2"/>
  <c r="D1070" i="2"/>
  <c r="H568" i="2"/>
  <c r="C568" i="2"/>
  <c r="C1070" i="2"/>
  <c r="I817" i="2"/>
  <c r="B180" i="2"/>
  <c r="H612" i="2"/>
  <c r="I1002" i="2"/>
  <c r="G162" i="2"/>
  <c r="H960" i="2"/>
  <c r="G951" i="2"/>
  <c r="B568" i="2"/>
  <c r="F334" i="2"/>
  <c r="A559" i="2"/>
  <c r="H534" i="2"/>
  <c r="B735" i="2"/>
  <c r="B534" i="2"/>
  <c r="I997" i="2"/>
  <c r="H735" i="2"/>
  <c r="H1337" i="2"/>
  <c r="G997" i="2"/>
  <c r="A1083" i="2"/>
  <c r="F1337" i="2"/>
  <c r="F997" i="2"/>
  <c r="A997" i="2"/>
  <c r="A1100" i="2"/>
  <c r="D534" i="2"/>
  <c r="I534" i="2"/>
  <c r="C1100" i="2"/>
  <c r="H188" i="2"/>
  <c r="G1100" i="2"/>
  <c r="G910" i="2"/>
  <c r="A903" i="2"/>
  <c r="G1337" i="2"/>
  <c r="G534" i="2"/>
  <c r="I559" i="2"/>
  <c r="I1337" i="2"/>
  <c r="B997" i="2"/>
  <c r="G188" i="2"/>
  <c r="C997" i="2"/>
  <c r="C903" i="2"/>
  <c r="A534" i="2"/>
  <c r="D559" i="2"/>
  <c r="D910" i="2"/>
  <c r="D903" i="2"/>
  <c r="A1337" i="2"/>
  <c r="F559" i="2"/>
  <c r="H903" i="2"/>
  <c r="I1083" i="2"/>
  <c r="A188" i="2"/>
  <c r="I910" i="2"/>
  <c r="D1337" i="2"/>
  <c r="G903" i="2"/>
  <c r="D735" i="2"/>
  <c r="G1083" i="2"/>
  <c r="A735" i="2"/>
  <c r="C559" i="2"/>
  <c r="H1100" i="2"/>
  <c r="B903" i="2"/>
  <c r="I188" i="2"/>
  <c r="B1083" i="2"/>
  <c r="C910" i="2"/>
  <c r="D997" i="2"/>
  <c r="H910" i="2"/>
  <c r="B188" i="2"/>
  <c r="F188" i="2"/>
  <c r="F1100" i="2"/>
  <c r="B1337" i="2"/>
  <c r="F534" i="2"/>
  <c r="G559" i="2"/>
  <c r="C1083" i="2"/>
  <c r="D1100" i="2"/>
  <c r="C188" i="2"/>
  <c r="F735" i="2"/>
  <c r="C735" i="2"/>
  <c r="B910" i="2"/>
  <c r="F1083" i="2"/>
  <c r="B1100" i="2"/>
  <c r="I903" i="2"/>
  <c r="H559" i="2"/>
  <c r="H1083" i="2"/>
  <c r="G735" i="2"/>
  <c r="F910" i="2"/>
  <c r="D188" i="2"/>
  <c r="F903" i="2"/>
  <c r="B559" i="2"/>
  <c r="H997" i="2"/>
  <c r="C1337" i="2"/>
  <c r="C534" i="2"/>
  <c r="I735" i="2"/>
  <c r="A910" i="2"/>
  <c r="D1083" i="2"/>
  <c r="I1100" i="2"/>
  <c r="D540" i="2"/>
  <c r="G503" i="2"/>
  <c r="B118" i="2"/>
  <c r="A540" i="2"/>
  <c r="I176" i="2"/>
  <c r="G1216" i="2"/>
  <c r="G118" i="2"/>
  <c r="B176" i="2"/>
  <c r="A710" i="2"/>
  <c r="H710" i="2"/>
  <c r="F503" i="2"/>
  <c r="D270" i="2"/>
  <c r="C461" i="2"/>
  <c r="I461" i="2"/>
  <c r="F139" i="2"/>
  <c r="I139" i="2"/>
  <c r="B710" i="2"/>
  <c r="F710" i="2"/>
  <c r="C270" i="2"/>
  <c r="B540" i="2"/>
  <c r="C1216" i="2"/>
  <c r="I710" i="2"/>
  <c r="I540" i="2"/>
  <c r="H1032" i="2"/>
  <c r="F270" i="2"/>
  <c r="F461" i="2"/>
  <c r="H461" i="2"/>
  <c r="B1216" i="2"/>
  <c r="A176" i="2"/>
  <c r="C503" i="2"/>
  <c r="C139" i="2"/>
  <c r="G139" i="2"/>
  <c r="D503" i="2"/>
  <c r="C118" i="2"/>
  <c r="B139" i="2"/>
  <c r="F1032" i="2"/>
  <c r="D1032" i="2"/>
  <c r="H118" i="2"/>
  <c r="H176" i="2"/>
  <c r="D461" i="2"/>
  <c r="D710" i="2"/>
  <c r="D118" i="2"/>
  <c r="D176" i="2"/>
  <c r="B270" i="2"/>
  <c r="H139" i="2"/>
  <c r="I1032" i="2"/>
  <c r="C176" i="2"/>
  <c r="I270" i="2"/>
  <c r="F540" i="2"/>
  <c r="B503" i="2"/>
  <c r="I1216" i="2"/>
  <c r="G270" i="2"/>
  <c r="G461" i="2"/>
  <c r="A1216" i="2"/>
  <c r="C540" i="2"/>
  <c r="A461" i="2"/>
  <c r="G710" i="2"/>
  <c r="A1032" i="2"/>
  <c r="H1216" i="2"/>
  <c r="C1032" i="2"/>
  <c r="I118" i="2"/>
  <c r="D139" i="2"/>
  <c r="H503" i="2"/>
  <c r="G1032" i="2"/>
  <c r="F118" i="2"/>
  <c r="F1216" i="2"/>
  <c r="H270" i="2"/>
  <c r="G176" i="2"/>
  <c r="A503" i="2"/>
  <c r="H540" i="2"/>
  <c r="B461" i="2"/>
  <c r="I503" i="2"/>
  <c r="B1032" i="2"/>
  <c r="A270" i="2"/>
  <c r="G540" i="2"/>
  <c r="A118" i="2"/>
  <c r="C710" i="2"/>
  <c r="D1216" i="2"/>
  <c r="F176" i="2"/>
  <c r="A139" i="2"/>
  <c r="D472" i="2"/>
  <c r="A472" i="2"/>
  <c r="G397" i="2"/>
  <c r="A972" i="2"/>
  <c r="B397" i="2"/>
  <c r="C874" i="2"/>
  <c r="A397" i="2"/>
  <c r="F671" i="2"/>
  <c r="H972" i="2"/>
  <c r="C625" i="2"/>
  <c r="I625" i="2"/>
  <c r="G458" i="2"/>
  <c r="D874" i="2"/>
  <c r="G671" i="2"/>
  <c r="C397" i="2"/>
  <c r="C201" i="2"/>
  <c r="F458" i="2"/>
  <c r="G861" i="2"/>
  <c r="F763" i="2"/>
  <c r="B972" i="2"/>
  <c r="C763" i="2"/>
  <c r="A874" i="2"/>
  <c r="G874" i="2"/>
  <c r="F472" i="2"/>
  <c r="G763" i="2"/>
  <c r="G625" i="2"/>
  <c r="I458" i="2"/>
  <c r="B671" i="2"/>
  <c r="A763" i="2"/>
  <c r="A861" i="2"/>
  <c r="B874" i="2"/>
  <c r="B861" i="2"/>
  <c r="B472" i="2"/>
  <c r="H201" i="2"/>
  <c r="I763" i="2"/>
  <c r="D397" i="2"/>
  <c r="I671" i="2"/>
  <c r="F972" i="2"/>
  <c r="A671" i="2"/>
  <c r="I874" i="2"/>
  <c r="H625" i="2"/>
  <c r="H397" i="2"/>
  <c r="I972" i="2"/>
  <c r="D972" i="2"/>
  <c r="D458" i="2"/>
  <c r="F625" i="2"/>
  <c r="C861" i="2"/>
  <c r="B458" i="2"/>
  <c r="F201" i="2"/>
  <c r="G972" i="2"/>
  <c r="C671" i="2"/>
  <c r="H861" i="2"/>
  <c r="A201" i="2"/>
  <c r="A458" i="2"/>
  <c r="I397" i="2"/>
  <c r="A625" i="2"/>
  <c r="B763" i="2"/>
  <c r="H472" i="2"/>
  <c r="D625" i="2"/>
  <c r="D763" i="2"/>
  <c r="G472" i="2"/>
  <c r="H458" i="2"/>
  <c r="D201" i="2"/>
  <c r="D671" i="2"/>
  <c r="D861" i="2"/>
  <c r="I201" i="2"/>
  <c r="B201" i="2"/>
  <c r="I861" i="2"/>
  <c r="C472" i="2"/>
  <c r="H874" i="2"/>
  <c r="I472" i="2"/>
  <c r="C458" i="2"/>
  <c r="F874" i="2"/>
  <c r="H671" i="2"/>
  <c r="F397" i="2"/>
  <c r="H763" i="2"/>
  <c r="B625" i="2"/>
  <c r="G201" i="2"/>
  <c r="C972" i="2"/>
  <c r="F861" i="2"/>
  <c r="A109" i="2"/>
  <c r="C109" i="2"/>
  <c r="F408" i="2"/>
  <c r="D1190" i="2"/>
  <c r="D109" i="2"/>
  <c r="D890" i="2"/>
  <c r="G45" i="2"/>
  <c r="B15" i="2"/>
  <c r="I408" i="2"/>
  <c r="G408" i="2"/>
  <c r="G1190" i="2"/>
  <c r="C1190" i="2"/>
  <c r="B560" i="2"/>
  <c r="C869" i="2"/>
  <c r="H15" i="2"/>
  <c r="B408" i="2"/>
  <c r="A1190" i="2"/>
  <c r="H45" i="2"/>
  <c r="G869" i="2"/>
  <c r="F633" i="2"/>
  <c r="C952" i="2"/>
  <c r="B890" i="2"/>
  <c r="C15" i="2"/>
  <c r="I560" i="2"/>
  <c r="I109" i="2"/>
  <c r="G633" i="2"/>
  <c r="H560" i="2"/>
  <c r="I15" i="2"/>
  <c r="D45" i="2"/>
  <c r="C890" i="2"/>
  <c r="F560" i="2"/>
  <c r="H109" i="2"/>
  <c r="C560" i="2"/>
  <c r="I45" i="2"/>
  <c r="I952" i="2"/>
  <c r="C633" i="2"/>
  <c r="F890" i="2"/>
  <c r="A890" i="2"/>
  <c r="H952" i="2"/>
  <c r="A952" i="2"/>
  <c r="C408" i="2"/>
  <c r="F869" i="2"/>
  <c r="B869" i="2"/>
  <c r="H633" i="2"/>
  <c r="F109" i="2"/>
  <c r="B952" i="2"/>
  <c r="I633" i="2"/>
  <c r="G15" i="2"/>
  <c r="D869" i="2"/>
  <c r="C45" i="2"/>
  <c r="H869" i="2"/>
  <c r="F15" i="2"/>
  <c r="I1190" i="2"/>
  <c r="G109" i="2"/>
  <c r="H408" i="2"/>
  <c r="D633" i="2"/>
  <c r="F952" i="2"/>
  <c r="A408" i="2"/>
  <c r="I869" i="2"/>
  <c r="D952" i="2"/>
  <c r="G890" i="2"/>
  <c r="A15" i="2"/>
  <c r="A45" i="2"/>
  <c r="D560" i="2"/>
  <c r="A560" i="2"/>
  <c r="F1190" i="2"/>
  <c r="H890" i="2"/>
  <c r="F45" i="2"/>
  <c r="H1190" i="2"/>
  <c r="A633" i="2"/>
  <c r="B633" i="2"/>
  <c r="G952" i="2"/>
  <c r="D15" i="2"/>
  <c r="D408" i="2"/>
  <c r="G560" i="2"/>
  <c r="B45" i="2"/>
  <c r="I890" i="2"/>
  <c r="B109" i="2"/>
  <c r="A869" i="2"/>
  <c r="B1190" i="2"/>
  <c r="I681" i="2"/>
  <c r="I759" i="2"/>
  <c r="D23" i="2"/>
  <c r="H112" i="2"/>
  <c r="C681" i="2"/>
  <c r="C23" i="2"/>
  <c r="C564" i="2"/>
  <c r="F564" i="2"/>
  <c r="A681" i="2"/>
  <c r="B1210" i="2"/>
  <c r="H1037" i="2"/>
  <c r="I112" i="2"/>
  <c r="D564" i="2"/>
  <c r="D681" i="2"/>
  <c r="B973" i="2"/>
  <c r="C112" i="2"/>
  <c r="A1037" i="2"/>
  <c r="B571" i="2"/>
  <c r="I187" i="2"/>
  <c r="H187" i="2"/>
  <c r="G187" i="2"/>
  <c r="D112" i="2"/>
  <c r="A112" i="2"/>
  <c r="B112" i="2"/>
  <c r="G759" i="2"/>
  <c r="D571" i="2"/>
  <c r="C973" i="2"/>
  <c r="I1210" i="2"/>
  <c r="B681" i="2"/>
  <c r="F112" i="2"/>
  <c r="I973" i="2"/>
  <c r="A759" i="2"/>
  <c r="D187" i="2"/>
  <c r="H23" i="2"/>
  <c r="F187" i="2"/>
  <c r="I571" i="2"/>
  <c r="H1210" i="2"/>
  <c r="H759" i="2"/>
  <c r="C187" i="2"/>
  <c r="G1210" i="2"/>
  <c r="B759" i="2"/>
  <c r="A564" i="2"/>
  <c r="G564" i="2"/>
  <c r="G571" i="2"/>
  <c r="G973" i="2"/>
  <c r="A1210" i="2"/>
  <c r="B23" i="2"/>
  <c r="D759" i="2"/>
  <c r="H681" i="2"/>
  <c r="I564" i="2"/>
  <c r="G1037" i="2"/>
  <c r="C1210" i="2"/>
  <c r="H564" i="2"/>
  <c r="F681" i="2"/>
  <c r="F1210" i="2"/>
  <c r="G23" i="2"/>
  <c r="C759" i="2"/>
  <c r="B1037" i="2"/>
  <c r="A571" i="2"/>
  <c r="F1037" i="2"/>
  <c r="F973" i="2"/>
  <c r="B187" i="2"/>
  <c r="I1037" i="2"/>
  <c r="H973" i="2"/>
  <c r="F571" i="2"/>
  <c r="F23" i="2"/>
  <c r="I23" i="2"/>
  <c r="C571" i="2"/>
  <c r="A973" i="2"/>
  <c r="C1037" i="2"/>
  <c r="D1037" i="2"/>
  <c r="H571" i="2"/>
  <c r="D1210" i="2"/>
  <c r="B564" i="2"/>
  <c r="A187" i="2"/>
  <c r="F759" i="2"/>
  <c r="A23" i="2"/>
  <c r="D973" i="2"/>
  <c r="G112" i="2"/>
  <c r="G681" i="2"/>
  <c r="C79" i="2"/>
  <c r="I427" i="2"/>
  <c r="F236" i="2"/>
  <c r="B601" i="2"/>
  <c r="I4" i="2"/>
  <c r="F4" i="2"/>
  <c r="G236" i="2"/>
  <c r="F992" i="2"/>
  <c r="I79" i="2"/>
  <c r="F601" i="2"/>
  <c r="A1054" i="2"/>
  <c r="F79" i="2"/>
  <c r="A79" i="2"/>
  <c r="H832" i="2"/>
  <c r="A940" i="2"/>
  <c r="G940" i="2"/>
  <c r="I1054" i="2"/>
  <c r="I940" i="2"/>
  <c r="H601" i="2"/>
  <c r="I236" i="2"/>
  <c r="C971" i="2"/>
  <c r="B971" i="2"/>
  <c r="G79" i="2"/>
  <c r="D601" i="2"/>
  <c r="A236" i="2"/>
  <c r="A427" i="2"/>
  <c r="C236" i="2"/>
  <c r="G971" i="2"/>
  <c r="G601" i="2"/>
  <c r="F427" i="2"/>
  <c r="D4" i="2"/>
  <c r="A4" i="2"/>
  <c r="A971" i="2"/>
  <c r="D1054" i="2"/>
  <c r="F940" i="2"/>
  <c r="D940" i="2"/>
  <c r="H79" i="2"/>
  <c r="C601" i="2"/>
  <c r="A992" i="2"/>
  <c r="B4" i="2"/>
  <c r="I971" i="2"/>
  <c r="B992" i="2"/>
  <c r="D427" i="2"/>
  <c r="G427" i="2"/>
  <c r="C1054" i="2"/>
  <c r="H992" i="2"/>
  <c r="B940" i="2"/>
  <c r="C4" i="2"/>
  <c r="B236" i="2"/>
  <c r="H236" i="2"/>
  <c r="D832" i="2"/>
  <c r="A601" i="2"/>
  <c r="A832" i="2"/>
  <c r="C992" i="2"/>
  <c r="H427" i="2"/>
  <c r="G832" i="2"/>
  <c r="B832" i="2"/>
  <c r="F971" i="2"/>
  <c r="H4" i="2"/>
  <c r="I992" i="2"/>
  <c r="F832" i="2"/>
  <c r="D79" i="2"/>
  <c r="D992" i="2"/>
  <c r="I832" i="2"/>
  <c r="H940" i="2"/>
  <c r="F1054" i="2"/>
  <c r="B427" i="2"/>
  <c r="B1054" i="2"/>
  <c r="D971" i="2"/>
  <c r="H1054" i="2"/>
  <c r="G1054" i="2"/>
  <c r="G4" i="2"/>
  <c r="G992" i="2"/>
  <c r="C832" i="2"/>
  <c r="C427" i="2"/>
  <c r="H971" i="2"/>
  <c r="I601" i="2"/>
  <c r="C940" i="2"/>
  <c r="B79" i="2"/>
  <c r="D236" i="2"/>
  <c r="D254" i="2"/>
  <c r="G807" i="2"/>
  <c r="H254" i="2"/>
  <c r="C1053" i="2"/>
  <c r="A621" i="2"/>
  <c r="B1053" i="2"/>
  <c r="B597" i="2"/>
  <c r="F621" i="2"/>
  <c r="D127" i="2"/>
  <c r="F317" i="2"/>
  <c r="I254" i="2"/>
  <c r="C807" i="2"/>
  <c r="H758" i="2"/>
  <c r="C597" i="2"/>
  <c r="F254" i="2"/>
  <c r="G621" i="2"/>
  <c r="H621" i="2"/>
  <c r="A597" i="2"/>
  <c r="H1053" i="2"/>
  <c r="A1053" i="2"/>
  <c r="G317" i="2"/>
  <c r="C621" i="2"/>
  <c r="G751" i="2"/>
  <c r="H597" i="2"/>
  <c r="I127" i="2"/>
  <c r="A317" i="2"/>
  <c r="B807" i="2"/>
  <c r="A254" i="2"/>
  <c r="F597" i="2"/>
  <c r="A807" i="2"/>
  <c r="C127" i="2"/>
  <c r="D597" i="2"/>
  <c r="I621" i="2"/>
  <c r="G127" i="2"/>
  <c r="F758" i="2"/>
  <c r="C113" i="2"/>
  <c r="H317" i="2"/>
  <c r="H807" i="2"/>
  <c r="H113" i="2"/>
  <c r="G597" i="2"/>
  <c r="I113" i="2"/>
  <c r="B113" i="2"/>
  <c r="C758" i="2"/>
  <c r="B751" i="2"/>
  <c r="G1053" i="2"/>
  <c r="A127" i="2"/>
  <c r="B127" i="2"/>
  <c r="D1053" i="2"/>
  <c r="A113" i="2"/>
  <c r="D113" i="2"/>
  <c r="I807" i="2"/>
  <c r="A758" i="2"/>
  <c r="C751" i="2"/>
  <c r="H751" i="2"/>
  <c r="C254" i="2"/>
  <c r="D758" i="2"/>
  <c r="F751" i="2"/>
  <c r="I758" i="2"/>
  <c r="I751" i="2"/>
  <c r="G254" i="2"/>
  <c r="F1053" i="2"/>
  <c r="I1053" i="2"/>
  <c r="B317" i="2"/>
  <c r="F127" i="2"/>
  <c r="D317" i="2"/>
  <c r="F113" i="2"/>
  <c r="A751" i="2"/>
  <c r="G758" i="2"/>
  <c r="B621" i="2"/>
  <c r="F807" i="2"/>
  <c r="B758" i="2"/>
  <c r="I597" i="2"/>
  <c r="D751" i="2"/>
  <c r="B254" i="2"/>
  <c r="G113" i="2"/>
  <c r="D621" i="2"/>
  <c r="H127" i="2"/>
  <c r="D807" i="2"/>
  <c r="C317" i="2"/>
  <c r="I317" i="2"/>
  <c r="H105" i="2"/>
  <c r="B406" i="2"/>
  <c r="B737" i="2"/>
  <c r="D383" i="2"/>
  <c r="B918" i="2"/>
  <c r="G406" i="2"/>
  <c r="I594" i="2"/>
  <c r="C326" i="2"/>
  <c r="F406" i="2"/>
  <c r="C252" i="2"/>
  <c r="G918" i="2"/>
  <c r="A256" i="2"/>
  <c r="F1218" i="2"/>
  <c r="H256" i="2"/>
  <c r="C918" i="2"/>
  <c r="A1218" i="2"/>
  <c r="C1218" i="2"/>
  <c r="D256" i="2"/>
  <c r="F256" i="2"/>
  <c r="D1218" i="2"/>
  <c r="I105" i="2"/>
  <c r="G252" i="2"/>
  <c r="I406" i="2"/>
  <c r="G737" i="2"/>
  <c r="I256" i="2"/>
  <c r="B594" i="2"/>
  <c r="D918" i="2"/>
  <c r="B1218" i="2"/>
  <c r="G105" i="2"/>
  <c r="H1218" i="2"/>
  <c r="C105" i="2"/>
  <c r="D406" i="2"/>
  <c r="B383" i="2"/>
  <c r="D326" i="2"/>
  <c r="C256" i="2"/>
  <c r="I383" i="2"/>
  <c r="B252" i="2"/>
  <c r="C406" i="2"/>
  <c r="F383" i="2"/>
  <c r="D737" i="2"/>
  <c r="C594" i="2"/>
  <c r="A918" i="2"/>
  <c r="A105" i="2"/>
  <c r="F326" i="2"/>
  <c r="G383" i="2"/>
  <c r="D105" i="2"/>
  <c r="C737" i="2"/>
  <c r="F105" i="2"/>
  <c r="I252" i="2"/>
  <c r="H594" i="2"/>
  <c r="H252" i="2"/>
  <c r="A326" i="2"/>
  <c r="A252" i="2"/>
  <c r="G256" i="2"/>
  <c r="F594" i="2"/>
  <c r="B326" i="2"/>
  <c r="D594" i="2"/>
  <c r="A737" i="2"/>
  <c r="H737" i="2"/>
  <c r="A383" i="2"/>
  <c r="C383" i="2"/>
  <c r="F737" i="2"/>
  <c r="I918" i="2"/>
  <c r="G1218" i="2"/>
  <c r="G594" i="2"/>
  <c r="I326" i="2"/>
  <c r="A406" i="2"/>
  <c r="H918" i="2"/>
  <c r="H326" i="2"/>
  <c r="F252" i="2"/>
  <c r="H406" i="2"/>
  <c r="F918" i="2"/>
  <c r="D252" i="2"/>
  <c r="B256" i="2"/>
  <c r="A594" i="2"/>
  <c r="B105" i="2"/>
  <c r="I1218" i="2"/>
  <c r="I737" i="2"/>
  <c r="H383" i="2"/>
  <c r="G326" i="2"/>
  <c r="G1086" i="2"/>
  <c r="D1086" i="2"/>
  <c r="B1017" i="2"/>
  <c r="F305" i="2"/>
  <c r="F1086" i="2"/>
  <c r="F329" i="2"/>
  <c r="C305" i="2"/>
  <c r="H1203" i="2"/>
  <c r="G777" i="2"/>
  <c r="G329" i="2"/>
  <c r="D329" i="2"/>
  <c r="I329" i="2"/>
  <c r="C1203" i="2"/>
  <c r="D1017" i="2"/>
  <c r="G1270" i="2"/>
  <c r="D1060" i="2"/>
  <c r="F777" i="2"/>
  <c r="I1017" i="2"/>
  <c r="H777" i="2"/>
  <c r="H700" i="2"/>
  <c r="I700" i="2"/>
  <c r="B1203" i="2"/>
  <c r="I305" i="2"/>
  <c r="C544" i="2"/>
  <c r="C1017" i="2"/>
  <c r="G1203" i="2"/>
  <c r="C329" i="2"/>
  <c r="B329" i="2"/>
  <c r="A544" i="2"/>
  <c r="A1270" i="2"/>
  <c r="C1270" i="2"/>
  <c r="G544" i="2"/>
  <c r="B544" i="2"/>
  <c r="H1270" i="2"/>
  <c r="A1060" i="2"/>
  <c r="D1203" i="2"/>
  <c r="A1203" i="2"/>
  <c r="H544" i="2"/>
  <c r="I1060" i="2"/>
  <c r="G305" i="2"/>
  <c r="I544" i="2"/>
  <c r="I777" i="2"/>
  <c r="D777" i="2"/>
  <c r="F544" i="2"/>
  <c r="B305" i="2"/>
  <c r="C700" i="2"/>
  <c r="D1270" i="2"/>
  <c r="F700" i="2"/>
  <c r="B700" i="2"/>
  <c r="H1017" i="2"/>
  <c r="H1060" i="2"/>
  <c r="C777" i="2"/>
  <c r="A777" i="2"/>
  <c r="D700" i="2"/>
  <c r="C1086" i="2"/>
  <c r="F1017" i="2"/>
  <c r="B1086" i="2"/>
  <c r="D305" i="2"/>
  <c r="I1086" i="2"/>
  <c r="I1270" i="2"/>
  <c r="F1270" i="2"/>
  <c r="B1060" i="2"/>
  <c r="G700" i="2"/>
  <c r="G1017" i="2"/>
  <c r="H305" i="2"/>
  <c r="A329" i="2"/>
  <c r="G1060" i="2"/>
  <c r="F1060" i="2"/>
  <c r="A1086" i="2"/>
  <c r="I1203" i="2"/>
  <c r="A700" i="2"/>
  <c r="H329" i="2"/>
  <c r="D544" i="2"/>
  <c r="F1203" i="2"/>
  <c r="B777" i="2"/>
  <c r="B1270" i="2"/>
  <c r="H1086" i="2"/>
  <c r="A305" i="2"/>
  <c r="C1060" i="2"/>
  <c r="A1017" i="2"/>
  <c r="F550" i="2"/>
  <c r="I953" i="2"/>
  <c r="I946" i="2"/>
  <c r="C1055" i="2"/>
  <c r="F246" i="2"/>
  <c r="D550" i="2"/>
  <c r="C1238" i="2"/>
  <c r="G1055" i="2"/>
  <c r="B1238" i="2"/>
  <c r="C550" i="2"/>
  <c r="I425" i="2"/>
  <c r="H1238" i="2"/>
  <c r="F1021" i="2"/>
  <c r="G946" i="2"/>
  <c r="I550" i="2"/>
  <c r="A953" i="2"/>
  <c r="D1238" i="2"/>
  <c r="F1416" i="2"/>
  <c r="A425" i="2"/>
  <c r="H1021" i="2"/>
  <c r="H1055" i="2"/>
  <c r="D1416" i="2"/>
  <c r="B31" i="2"/>
  <c r="D953" i="2"/>
  <c r="I1021" i="2"/>
  <c r="A946" i="2"/>
  <c r="C953" i="2"/>
  <c r="D1021" i="2"/>
  <c r="B953" i="2"/>
  <c r="B246" i="2"/>
  <c r="F1238" i="2"/>
  <c r="A1021" i="2"/>
  <c r="D31" i="2"/>
  <c r="G246" i="2"/>
  <c r="D1055" i="2"/>
  <c r="A31" i="2"/>
  <c r="B946" i="2"/>
  <c r="A1055" i="2"/>
  <c r="F1055" i="2"/>
  <c r="H425" i="2"/>
  <c r="G31" i="2"/>
  <c r="G550" i="2"/>
  <c r="G1238" i="2"/>
  <c r="I246" i="2"/>
  <c r="F31" i="2"/>
  <c r="A1238" i="2"/>
  <c r="C246" i="2"/>
  <c r="B1416" i="2"/>
  <c r="C1021" i="2"/>
  <c r="G953" i="2"/>
  <c r="H246" i="2"/>
  <c r="A246" i="2"/>
  <c r="B550" i="2"/>
  <c r="G425" i="2"/>
  <c r="G1021" i="2"/>
  <c r="H946" i="2"/>
  <c r="A1416" i="2"/>
  <c r="F425" i="2"/>
  <c r="F946" i="2"/>
  <c r="B425" i="2"/>
  <c r="I1055" i="2"/>
  <c r="F953" i="2"/>
  <c r="I31" i="2"/>
  <c r="C31" i="2"/>
  <c r="A550" i="2"/>
  <c r="G1416" i="2"/>
  <c r="C946" i="2"/>
  <c r="C1416" i="2"/>
  <c r="D425" i="2"/>
  <c r="H1416" i="2"/>
  <c r="B1055" i="2"/>
  <c r="I1238" i="2"/>
  <c r="C425" i="2"/>
  <c r="H550" i="2"/>
  <c r="D246" i="2"/>
  <c r="B1021" i="2"/>
  <c r="D946" i="2"/>
  <c r="H31" i="2"/>
  <c r="H953" i="2"/>
  <c r="I1416" i="2"/>
  <c r="I1180" i="2"/>
  <c r="I562" i="2"/>
  <c r="G577" i="2"/>
  <c r="C712" i="2"/>
  <c r="C1148" i="2"/>
  <c r="C1180" i="2"/>
  <c r="C577" i="2"/>
  <c r="G1180" i="2"/>
  <c r="D311" i="2"/>
  <c r="G712" i="2"/>
  <c r="A350" i="2"/>
  <c r="D1148" i="2"/>
  <c r="F562" i="2"/>
  <c r="D577" i="2"/>
  <c r="F350" i="2"/>
  <c r="C685" i="2"/>
  <c r="A577" i="2"/>
  <c r="C562" i="2"/>
  <c r="G1148" i="2"/>
  <c r="B712" i="2"/>
  <c r="A311" i="2"/>
  <c r="H1180" i="2"/>
  <c r="F311" i="2"/>
  <c r="A685" i="2"/>
  <c r="H685" i="2"/>
  <c r="H712" i="2"/>
  <c r="A562" i="2"/>
  <c r="H562" i="2"/>
  <c r="I1148" i="2"/>
  <c r="D562" i="2"/>
  <c r="G350" i="2"/>
  <c r="H350" i="2"/>
  <c r="C389" i="2"/>
  <c r="H1148" i="2"/>
  <c r="F1180" i="2"/>
  <c r="B350" i="2"/>
  <c r="D685" i="2"/>
  <c r="G640" i="2"/>
  <c r="G389" i="2"/>
  <c r="D712" i="2"/>
  <c r="D389" i="2"/>
  <c r="C350" i="2"/>
  <c r="B562" i="2"/>
  <c r="H640" i="2"/>
  <c r="F577" i="2"/>
  <c r="I389" i="2"/>
  <c r="B577" i="2"/>
  <c r="F685" i="2"/>
  <c r="A1148" i="2"/>
  <c r="G685" i="2"/>
  <c r="C311" i="2"/>
  <c r="F640" i="2"/>
  <c r="A640" i="2"/>
  <c r="H577" i="2"/>
  <c r="A389" i="2"/>
  <c r="F389" i="2"/>
  <c r="H389" i="2"/>
  <c r="D640" i="2"/>
  <c r="D1180" i="2"/>
  <c r="F712" i="2"/>
  <c r="C640" i="2"/>
  <c r="H311" i="2"/>
  <c r="B640" i="2"/>
  <c r="F1148" i="2"/>
  <c r="I685" i="2"/>
  <c r="B1180" i="2"/>
  <c r="A712" i="2"/>
  <c r="D350" i="2"/>
  <c r="I311" i="2"/>
  <c r="G311" i="2"/>
  <c r="G562" i="2"/>
  <c r="B1148" i="2"/>
  <c r="B389" i="2"/>
  <c r="I640" i="2"/>
  <c r="I577" i="2"/>
  <c r="B311" i="2"/>
  <c r="I350" i="2"/>
  <c r="A1180" i="2"/>
  <c r="I712" i="2"/>
  <c r="B685" i="2"/>
  <c r="A1004" i="2"/>
  <c r="C203" i="2"/>
  <c r="H925" i="2"/>
  <c r="B1215" i="2"/>
  <c r="G558" i="2"/>
  <c r="G1171" i="2"/>
  <c r="G1215" i="2"/>
  <c r="D925" i="2"/>
  <c r="A1215" i="2"/>
  <c r="G28" i="2"/>
  <c r="C925" i="2"/>
  <c r="D203" i="2"/>
  <c r="I551" i="2"/>
  <c r="C558" i="2"/>
  <c r="A676" i="2"/>
  <c r="B1171" i="2"/>
  <c r="H203" i="2"/>
  <c r="C551" i="2"/>
  <c r="D28" i="2"/>
  <c r="D551" i="2"/>
  <c r="F1171" i="2"/>
  <c r="F551" i="2"/>
  <c r="I310" i="2"/>
  <c r="C1004" i="2"/>
  <c r="F676" i="2"/>
  <c r="F1004" i="2"/>
  <c r="A28" i="2"/>
  <c r="C1215" i="2"/>
  <c r="A1171" i="2"/>
  <c r="I28" i="2"/>
  <c r="B310" i="2"/>
  <c r="F1215" i="2"/>
  <c r="H1004" i="2"/>
  <c r="H551" i="2"/>
  <c r="B1004" i="2"/>
  <c r="I558" i="2"/>
  <c r="I1004" i="2"/>
  <c r="F558" i="2"/>
  <c r="F28" i="2"/>
  <c r="C1171" i="2"/>
  <c r="G1004" i="2"/>
  <c r="I1215" i="2"/>
  <c r="D676" i="2"/>
  <c r="H310" i="2"/>
  <c r="B203" i="2"/>
  <c r="A925" i="2"/>
  <c r="G925" i="2"/>
  <c r="A203" i="2"/>
  <c r="F203" i="2"/>
  <c r="D310" i="2"/>
  <c r="A310" i="2"/>
  <c r="G310" i="2"/>
  <c r="D558" i="2"/>
  <c r="I203" i="2"/>
  <c r="H558" i="2"/>
  <c r="F925" i="2"/>
  <c r="I925" i="2"/>
  <c r="A558" i="2"/>
  <c r="A551" i="2"/>
  <c r="I676" i="2"/>
  <c r="B28" i="2"/>
  <c r="C310" i="2"/>
  <c r="H1215" i="2"/>
  <c r="I1171" i="2"/>
  <c r="C28" i="2"/>
  <c r="C676" i="2"/>
  <c r="H676" i="2"/>
  <c r="D1171" i="2"/>
  <c r="B676" i="2"/>
  <c r="G551" i="2"/>
  <c r="D1004" i="2"/>
  <c r="D1215" i="2"/>
  <c r="G203" i="2"/>
  <c r="F310" i="2"/>
  <c r="G676" i="2"/>
  <c r="B925" i="2"/>
  <c r="H28" i="2"/>
  <c r="B558" i="2"/>
  <c r="B551" i="2"/>
  <c r="H1171" i="2"/>
  <c r="D1376" i="2"/>
  <c r="I111" i="2"/>
  <c r="B1221" i="2"/>
  <c r="G1221" i="2"/>
  <c r="D111" i="2"/>
  <c r="I1376" i="2"/>
  <c r="C1116" i="2"/>
  <c r="G768" i="2"/>
  <c r="H736" i="2"/>
  <c r="I89" i="2"/>
  <c r="B739" i="2"/>
  <c r="D739" i="2"/>
  <c r="D736" i="2"/>
  <c r="D89" i="2"/>
  <c r="H1221" i="2"/>
  <c r="C1221" i="2"/>
  <c r="A111" i="2"/>
  <c r="H1376" i="2"/>
  <c r="H1116" i="2"/>
  <c r="G202" i="2"/>
  <c r="B1376" i="2"/>
  <c r="D1221" i="2"/>
  <c r="B533" i="2"/>
  <c r="H89" i="2"/>
  <c r="B736" i="2"/>
  <c r="H111" i="2"/>
  <c r="F1376" i="2"/>
  <c r="F533" i="2"/>
  <c r="I202" i="2"/>
  <c r="C111" i="2"/>
  <c r="F202" i="2"/>
  <c r="A1116" i="2"/>
  <c r="F111" i="2"/>
  <c r="A768" i="2"/>
  <c r="F1116" i="2"/>
  <c r="B1116" i="2"/>
  <c r="B768" i="2"/>
  <c r="H768" i="2"/>
  <c r="G736" i="2"/>
  <c r="G1376" i="2"/>
  <c r="D533" i="2"/>
  <c r="B111" i="2"/>
  <c r="I533" i="2"/>
  <c r="A202" i="2"/>
  <c r="C1376" i="2"/>
  <c r="C533" i="2"/>
  <c r="C739" i="2"/>
  <c r="H533" i="2"/>
  <c r="B89" i="2"/>
  <c r="A739" i="2"/>
  <c r="D768" i="2"/>
  <c r="C768" i="2"/>
  <c r="G739" i="2"/>
  <c r="B202" i="2"/>
  <c r="G1116" i="2"/>
  <c r="F736" i="2"/>
  <c r="A89" i="2"/>
  <c r="C202" i="2"/>
  <c r="F739" i="2"/>
  <c r="I768" i="2"/>
  <c r="F1221" i="2"/>
  <c r="A736" i="2"/>
  <c r="A533" i="2"/>
  <c r="G89" i="2"/>
  <c r="H739" i="2"/>
  <c r="D202" i="2"/>
  <c r="F89" i="2"/>
  <c r="C736" i="2"/>
  <c r="A1221" i="2"/>
  <c r="I1116" i="2"/>
  <c r="I736" i="2"/>
  <c r="G111" i="2"/>
  <c r="F768" i="2"/>
  <c r="I1221" i="2"/>
  <c r="C89" i="2"/>
  <c r="A1376" i="2"/>
  <c r="I739" i="2"/>
  <c r="G533" i="2"/>
  <c r="H202" i="2"/>
  <c r="D1116" i="2"/>
  <c r="A143" i="2"/>
  <c r="B376" i="2"/>
  <c r="B682" i="2"/>
  <c r="C872" i="2"/>
  <c r="D974" i="2"/>
  <c r="B143" i="2"/>
  <c r="B243" i="2"/>
  <c r="F434" i="2"/>
  <c r="G376" i="2"/>
  <c r="H635" i="2"/>
  <c r="D243" i="2"/>
  <c r="I974" i="2"/>
  <c r="D434" i="2"/>
  <c r="H87" i="2"/>
  <c r="A974" i="2"/>
  <c r="F143" i="2"/>
  <c r="F682" i="2"/>
  <c r="H872" i="2"/>
  <c r="I143" i="2"/>
  <c r="G635" i="2"/>
  <c r="I87" i="2"/>
  <c r="B87" i="2"/>
  <c r="C974" i="2"/>
  <c r="H376" i="2"/>
  <c r="D143" i="2"/>
  <c r="C376" i="2"/>
  <c r="I872" i="2"/>
  <c r="F974" i="2"/>
  <c r="G434" i="2"/>
  <c r="A635" i="2"/>
  <c r="G682" i="2"/>
  <c r="H1246" i="2"/>
  <c r="B434" i="2"/>
  <c r="C682" i="2"/>
  <c r="A434" i="2"/>
  <c r="B635" i="2"/>
  <c r="D376" i="2"/>
  <c r="F635" i="2"/>
  <c r="A1246" i="2"/>
  <c r="D1246" i="2"/>
  <c r="D682" i="2"/>
  <c r="I682" i="2"/>
  <c r="I243" i="2"/>
  <c r="F872" i="2"/>
  <c r="C143" i="2"/>
  <c r="A376" i="2"/>
  <c r="F376" i="2"/>
  <c r="G143" i="2"/>
  <c r="A872" i="2"/>
  <c r="F87" i="2"/>
  <c r="G1246" i="2"/>
  <c r="G872" i="2"/>
  <c r="B1246" i="2"/>
  <c r="G87" i="2"/>
  <c r="B872" i="2"/>
  <c r="I1246" i="2"/>
  <c r="A243" i="2"/>
  <c r="F243" i="2"/>
  <c r="I434" i="2"/>
  <c r="C1246" i="2"/>
  <c r="A87" i="2"/>
  <c r="C434" i="2"/>
  <c r="I635" i="2"/>
  <c r="G974" i="2"/>
  <c r="H243" i="2"/>
  <c r="G243" i="2"/>
  <c r="D87" i="2"/>
  <c r="H682" i="2"/>
  <c r="C635" i="2"/>
  <c r="B974" i="2"/>
  <c r="H143" i="2"/>
  <c r="H434" i="2"/>
  <c r="I376" i="2"/>
  <c r="D635" i="2"/>
  <c r="D872" i="2"/>
  <c r="F1246" i="2"/>
  <c r="H974" i="2"/>
  <c r="A682" i="2"/>
  <c r="C243" i="2"/>
  <c r="C87" i="2"/>
  <c r="I211" i="2"/>
  <c r="H213" i="2"/>
  <c r="B211" i="2"/>
  <c r="B215" i="2"/>
  <c r="D576" i="2"/>
  <c r="I496" i="2"/>
  <c r="B705" i="2"/>
  <c r="H164" i="2"/>
  <c r="C496" i="2"/>
  <c r="I213" i="2"/>
  <c r="F215" i="2"/>
  <c r="C211" i="2"/>
  <c r="D215" i="2"/>
  <c r="I215" i="2"/>
  <c r="A213" i="2"/>
  <c r="H576" i="2"/>
  <c r="A496" i="2"/>
  <c r="G464" i="2"/>
  <c r="A211" i="2"/>
  <c r="D440" i="2"/>
  <c r="C213" i="2"/>
  <c r="B496" i="2"/>
  <c r="H496" i="2"/>
  <c r="H215" i="2"/>
  <c r="I576" i="2"/>
  <c r="A440" i="2"/>
  <c r="G440" i="2"/>
  <c r="H150" i="2"/>
  <c r="C215" i="2"/>
  <c r="D705" i="2"/>
  <c r="B213" i="2"/>
  <c r="D164" i="2"/>
  <c r="C705" i="2"/>
  <c r="G150" i="2"/>
  <c r="F496" i="2"/>
  <c r="F464" i="2"/>
  <c r="G164" i="2"/>
  <c r="B464" i="2"/>
  <c r="C440" i="2"/>
  <c r="H705" i="2"/>
  <c r="F576" i="2"/>
  <c r="C576" i="2"/>
  <c r="D211" i="2"/>
  <c r="A705" i="2"/>
  <c r="A164" i="2"/>
  <c r="B164" i="2"/>
  <c r="F213" i="2"/>
  <c r="C464" i="2"/>
  <c r="F211" i="2"/>
  <c r="A150" i="2"/>
  <c r="C164" i="2"/>
  <c r="I440" i="2"/>
  <c r="D150" i="2"/>
  <c r="F440" i="2"/>
  <c r="F150" i="2"/>
  <c r="H440" i="2"/>
  <c r="I705" i="2"/>
  <c r="G213" i="2"/>
  <c r="B576" i="2"/>
  <c r="A576" i="2"/>
  <c r="F164" i="2"/>
  <c r="C150" i="2"/>
  <c r="D464" i="2"/>
  <c r="G496" i="2"/>
  <c r="I464" i="2"/>
  <c r="F705" i="2"/>
  <c r="A464" i="2"/>
  <c r="G211" i="2"/>
  <c r="I150" i="2"/>
  <c r="G215" i="2"/>
  <c r="H464" i="2"/>
  <c r="G705" i="2"/>
  <c r="A215" i="2"/>
  <c r="D213" i="2"/>
  <c r="B440" i="2"/>
  <c r="B150" i="2"/>
  <c r="G576" i="2"/>
  <c r="D496" i="2"/>
  <c r="H211" i="2"/>
  <c r="I164" i="2"/>
  <c r="D465" i="2"/>
  <c r="C1339" i="2"/>
  <c r="A448" i="2"/>
  <c r="A13" i="2"/>
  <c r="D192" i="2"/>
  <c r="D592" i="2"/>
  <c r="H13" i="2"/>
  <c r="H1339" i="2"/>
  <c r="H417" i="2"/>
  <c r="B478" i="2"/>
  <c r="F448" i="2"/>
  <c r="I592" i="2"/>
  <c r="G465" i="2"/>
  <c r="B465" i="2"/>
  <c r="I192" i="2"/>
  <c r="I465" i="2"/>
  <c r="G1076" i="2"/>
  <c r="A417" i="2"/>
  <c r="G1339" i="2"/>
  <c r="A192" i="2"/>
  <c r="F1339" i="2"/>
  <c r="C417" i="2"/>
  <c r="F13" i="2"/>
  <c r="D13" i="2"/>
  <c r="B448" i="2"/>
  <c r="F192" i="2"/>
  <c r="F592" i="2"/>
  <c r="H465" i="2"/>
  <c r="A478" i="2"/>
  <c r="B592" i="2"/>
  <c r="I417" i="2"/>
  <c r="G478" i="2"/>
  <c r="G443" i="2"/>
  <c r="G192" i="2"/>
  <c r="B443" i="2"/>
  <c r="H592" i="2"/>
  <c r="F443" i="2"/>
  <c r="A1339" i="2"/>
  <c r="I1339" i="2"/>
  <c r="D478" i="2"/>
  <c r="F1076" i="2"/>
  <c r="C192" i="2"/>
  <c r="I13" i="2"/>
  <c r="G448" i="2"/>
  <c r="H1076" i="2"/>
  <c r="F478" i="2"/>
  <c r="C592" i="2"/>
  <c r="I443" i="2"/>
  <c r="C448" i="2"/>
  <c r="A1076" i="2"/>
  <c r="D1076" i="2"/>
  <c r="F465" i="2"/>
  <c r="H448" i="2"/>
  <c r="C465" i="2"/>
  <c r="F417" i="2"/>
  <c r="G417" i="2"/>
  <c r="I478" i="2"/>
  <c r="C1076" i="2"/>
  <c r="H478" i="2"/>
  <c r="A443" i="2"/>
  <c r="I448" i="2"/>
  <c r="D443" i="2"/>
  <c r="B417" i="2"/>
  <c r="H443" i="2"/>
  <c r="B1076" i="2"/>
  <c r="B1339" i="2"/>
  <c r="G592" i="2"/>
  <c r="C13" i="2"/>
  <c r="B192" i="2"/>
  <c r="D417" i="2"/>
  <c r="B13" i="2"/>
  <c r="A592" i="2"/>
  <c r="D448" i="2"/>
  <c r="I1076" i="2"/>
  <c r="C443" i="2"/>
  <c r="G13" i="2"/>
  <c r="D1339" i="2"/>
  <c r="A465" i="2"/>
  <c r="H192" i="2"/>
  <c r="C478" i="2"/>
  <c r="D359" i="2"/>
  <c r="D823" i="2"/>
  <c r="G1285" i="2"/>
  <c r="F906" i="2"/>
  <c r="G471" i="2"/>
  <c r="H906" i="2"/>
  <c r="F359" i="2"/>
  <c r="G359" i="2"/>
  <c r="B471" i="2"/>
  <c r="I240" i="2"/>
  <c r="D821" i="2"/>
  <c r="D1205" i="2"/>
  <c r="B359" i="2"/>
  <c r="D1285" i="2"/>
  <c r="G823" i="2"/>
  <c r="F1285" i="2"/>
  <c r="D906" i="2"/>
  <c r="A1285" i="2"/>
  <c r="G1131" i="2"/>
  <c r="D471" i="2"/>
  <c r="H471" i="2"/>
  <c r="F823" i="2"/>
  <c r="A1205" i="2"/>
  <c r="B1205" i="2"/>
  <c r="I821" i="2"/>
  <c r="D240" i="2"/>
  <c r="B1285" i="2"/>
  <c r="B240" i="2"/>
  <c r="F471" i="2"/>
  <c r="B821" i="2"/>
  <c r="I906" i="2"/>
  <c r="H1131" i="2"/>
  <c r="A471" i="2"/>
  <c r="C823" i="2"/>
  <c r="D194" i="2"/>
  <c r="G821" i="2"/>
  <c r="A194" i="2"/>
  <c r="I194" i="2"/>
  <c r="B1131" i="2"/>
  <c r="A1131" i="2"/>
  <c r="F194" i="2"/>
  <c r="F240" i="2"/>
  <c r="I823" i="2"/>
  <c r="I359" i="2"/>
  <c r="G906" i="2"/>
  <c r="C194" i="2"/>
  <c r="B823" i="2"/>
  <c r="H821" i="2"/>
  <c r="I1131" i="2"/>
  <c r="C1205" i="2"/>
  <c r="H823" i="2"/>
  <c r="C240" i="2"/>
  <c r="F821" i="2"/>
  <c r="G194" i="2"/>
  <c r="I1205" i="2"/>
  <c r="B194" i="2"/>
  <c r="H1205" i="2"/>
  <c r="C1131" i="2"/>
  <c r="F1131" i="2"/>
  <c r="C471" i="2"/>
  <c r="H359" i="2"/>
  <c r="C359" i="2"/>
  <c r="G1205" i="2"/>
  <c r="C906" i="2"/>
  <c r="C1285" i="2"/>
  <c r="I1285" i="2"/>
  <c r="A906" i="2"/>
  <c r="A240" i="2"/>
  <c r="G240" i="2"/>
  <c r="C821" i="2"/>
  <c r="A823" i="2"/>
  <c r="H194" i="2"/>
  <c r="B906" i="2"/>
  <c r="F1205" i="2"/>
  <c r="I471" i="2"/>
  <c r="H1285" i="2"/>
  <c r="A821" i="2"/>
  <c r="A359" i="2"/>
  <c r="D1131" i="2"/>
  <c r="H240" i="2"/>
  <c r="B197" i="2"/>
  <c r="H1195" i="2"/>
  <c r="I548" i="2"/>
  <c r="G982" i="2"/>
  <c r="B1342" i="2"/>
  <c r="H197" i="2"/>
  <c r="H1063" i="2"/>
  <c r="B189" i="2"/>
  <c r="B1178" i="2"/>
  <c r="H1342" i="2"/>
  <c r="F1195" i="2"/>
  <c r="F1178" i="2"/>
  <c r="F189" i="2"/>
  <c r="H548" i="2"/>
  <c r="I1243" i="2"/>
  <c r="H1178" i="2"/>
  <c r="I197" i="2"/>
  <c r="F197" i="2"/>
  <c r="D982" i="2"/>
  <c r="D1243" i="2"/>
  <c r="A548" i="2"/>
  <c r="F1063" i="2"/>
  <c r="G1195" i="2"/>
  <c r="A1243" i="2"/>
  <c r="C548" i="2"/>
  <c r="G1063" i="2"/>
  <c r="C1195" i="2"/>
  <c r="I189" i="2"/>
  <c r="I439" i="2"/>
  <c r="F1342" i="2"/>
  <c r="F982" i="2"/>
  <c r="C1342" i="2"/>
  <c r="H1243" i="2"/>
  <c r="G548" i="2"/>
  <c r="G1342" i="2"/>
  <c r="C189" i="2"/>
  <c r="G197" i="2"/>
  <c r="G439" i="2"/>
  <c r="A1063" i="2"/>
  <c r="A1178" i="2"/>
  <c r="B1063" i="2"/>
  <c r="G1178" i="2"/>
  <c r="H982" i="2"/>
  <c r="C439" i="2"/>
  <c r="A197" i="2"/>
  <c r="D1178" i="2"/>
  <c r="F548" i="2"/>
  <c r="H189" i="2"/>
  <c r="A439" i="2"/>
  <c r="C197" i="2"/>
  <c r="D1063" i="2"/>
  <c r="B439" i="2"/>
  <c r="D1342" i="2"/>
  <c r="H439" i="2"/>
  <c r="F1243" i="2"/>
  <c r="C1243" i="2"/>
  <c r="I982" i="2"/>
  <c r="B1243" i="2"/>
  <c r="C1178" i="2"/>
  <c r="A982" i="2"/>
  <c r="I1195" i="2"/>
  <c r="C1063" i="2"/>
  <c r="A189" i="2"/>
  <c r="B548" i="2"/>
  <c r="I1342" i="2"/>
  <c r="G189" i="2"/>
  <c r="C982" i="2"/>
  <c r="D439" i="2"/>
  <c r="D1195" i="2"/>
  <c r="A1195" i="2"/>
  <c r="D197" i="2"/>
  <c r="I1063" i="2"/>
  <c r="G1243" i="2"/>
  <c r="A1342" i="2"/>
  <c r="F439" i="2"/>
  <c r="D189" i="2"/>
  <c r="B982" i="2"/>
  <c r="B1195" i="2"/>
  <c r="D548" i="2"/>
  <c r="I1178" i="2"/>
  <c r="I378" i="2"/>
  <c r="F378" i="2"/>
  <c r="G322" i="2"/>
  <c r="A609" i="2"/>
  <c r="B626" i="2"/>
  <c r="H765" i="2"/>
  <c r="I609" i="2"/>
  <c r="C322" i="2"/>
  <c r="D322" i="2"/>
  <c r="F765" i="2"/>
  <c r="B850" i="2"/>
  <c r="D378" i="2"/>
  <c r="C626" i="2"/>
  <c r="A43" i="2"/>
  <c r="A692" i="2"/>
  <c r="H626" i="2"/>
  <c r="F944" i="2"/>
  <c r="H43" i="2"/>
  <c r="C44" i="2"/>
  <c r="B765" i="2"/>
  <c r="F692" i="2"/>
  <c r="H609" i="2"/>
  <c r="A378" i="2"/>
  <c r="G944" i="2"/>
  <c r="B378" i="2"/>
  <c r="B609" i="2"/>
  <c r="G44" i="2"/>
  <c r="B43" i="2"/>
  <c r="D626" i="2"/>
  <c r="C43" i="2"/>
  <c r="H322" i="2"/>
  <c r="C378" i="2"/>
  <c r="I322" i="2"/>
  <c r="D43" i="2"/>
  <c r="B944" i="2"/>
  <c r="I850" i="2"/>
  <c r="C765" i="2"/>
  <c r="I626" i="2"/>
  <c r="D944" i="2"/>
  <c r="G43" i="2"/>
  <c r="C609" i="2"/>
  <c r="B692" i="2"/>
  <c r="A322" i="2"/>
  <c r="H850" i="2"/>
  <c r="G692" i="2"/>
  <c r="I692" i="2"/>
  <c r="C944" i="2"/>
  <c r="D765" i="2"/>
  <c r="A944" i="2"/>
  <c r="G850" i="2"/>
  <c r="I43" i="2"/>
  <c r="A44" i="2"/>
  <c r="D692" i="2"/>
  <c r="A850" i="2"/>
  <c r="D44" i="2"/>
  <c r="F44" i="2"/>
  <c r="F626" i="2"/>
  <c r="I44" i="2"/>
  <c r="B322" i="2"/>
  <c r="C850" i="2"/>
  <c r="G609" i="2"/>
  <c r="I765" i="2"/>
  <c r="G378" i="2"/>
  <c r="I944" i="2"/>
  <c r="C692" i="2"/>
  <c r="D850" i="2"/>
  <c r="D609" i="2"/>
  <c r="A626" i="2"/>
  <c r="A765" i="2"/>
  <c r="B44" i="2"/>
  <c r="F609" i="2"/>
  <c r="H44" i="2"/>
  <c r="F322" i="2"/>
  <c r="F850" i="2"/>
  <c r="G765" i="2"/>
  <c r="H378" i="2"/>
  <c r="F43" i="2"/>
  <c r="H692" i="2"/>
  <c r="G626" i="2"/>
  <c r="H944" i="2"/>
  <c r="G255" i="2"/>
  <c r="F287" i="2"/>
  <c r="A899" i="2"/>
  <c r="C554" i="2"/>
  <c r="B752" i="2"/>
  <c r="C961" i="2"/>
  <c r="C368" i="2"/>
  <c r="F230" i="2"/>
  <c r="F407" i="2"/>
  <c r="B554" i="2"/>
  <c r="G752" i="2"/>
  <c r="A554" i="2"/>
  <c r="A976" i="2"/>
  <c r="D641" i="2"/>
  <c r="G961" i="2"/>
  <c r="C255" i="2"/>
  <c r="D811" i="2"/>
  <c r="D368" i="2"/>
  <c r="G212" i="2"/>
  <c r="H707" i="2"/>
  <c r="G368" i="2"/>
  <c r="B961" i="2"/>
  <c r="G673" i="2"/>
  <c r="I438" i="2"/>
  <c r="D552" i="2"/>
  <c r="A108" i="2"/>
  <c r="F438" i="2"/>
  <c r="B641" i="2"/>
  <c r="H961" i="2"/>
  <c r="I212" i="2"/>
  <c r="F707" i="2"/>
  <c r="A438" i="2"/>
  <c r="H230" i="2"/>
  <c r="D1280" i="2"/>
  <c r="B860" i="2"/>
  <c r="B368" i="2"/>
  <c r="I641" i="2"/>
  <c r="I407" i="2"/>
  <c r="A961" i="2"/>
  <c r="F641" i="2"/>
  <c r="D707" i="2"/>
  <c r="A641" i="2"/>
  <c r="A860" i="2"/>
  <c r="I552" i="2"/>
  <c r="I230" i="2"/>
  <c r="G108" i="2"/>
  <c r="G287" i="2"/>
  <c r="A287" i="2"/>
  <c r="H554" i="2"/>
  <c r="A673" i="2"/>
  <c r="F212" i="2"/>
  <c r="C230" i="2"/>
  <c r="H899" i="2"/>
  <c r="G811" i="2"/>
  <c r="C108" i="2"/>
  <c r="I673" i="2"/>
  <c r="C287" i="2"/>
  <c r="F811" i="2"/>
  <c r="B287" i="2"/>
  <c r="D230" i="2"/>
  <c r="H752" i="2"/>
  <c r="C860" i="2"/>
  <c r="B438" i="2"/>
  <c r="H860" i="2"/>
  <c r="H212" i="2"/>
  <c r="B1280" i="2"/>
  <c r="I255" i="2"/>
  <c r="H673" i="2"/>
  <c r="F552" i="2"/>
  <c r="A255" i="2"/>
  <c r="I752" i="2"/>
  <c r="F1280" i="2"/>
  <c r="C811" i="2"/>
  <c r="F976" i="2"/>
  <c r="F673" i="2"/>
  <c r="A212" i="2"/>
  <c r="C438" i="2"/>
  <c r="B230" i="2"/>
  <c r="H811" i="2"/>
  <c r="I1280" i="2"/>
  <c r="D407" i="2"/>
  <c r="H552" i="2"/>
  <c r="I554" i="2"/>
  <c r="F961" i="2"/>
  <c r="D255" i="2"/>
  <c r="F899" i="2"/>
  <c r="I860" i="2"/>
  <c r="B255" i="2"/>
  <c r="C212" i="2"/>
  <c r="C407" i="2"/>
  <c r="I961" i="2"/>
  <c r="B976" i="2"/>
  <c r="G230" i="2"/>
  <c r="A752" i="2"/>
  <c r="A707" i="2"/>
  <c r="G552" i="2"/>
  <c r="F752" i="2"/>
  <c r="F108" i="2"/>
  <c r="D899" i="2"/>
  <c r="C641" i="2"/>
  <c r="B811" i="2"/>
  <c r="I707" i="2"/>
  <c r="D673" i="2"/>
  <c r="H438" i="2"/>
  <c r="G554" i="2"/>
  <c r="G899" i="2"/>
  <c r="B899" i="2"/>
  <c r="F368" i="2"/>
  <c r="F860" i="2"/>
  <c r="H287" i="2"/>
  <c r="H641" i="2"/>
  <c r="B707" i="2"/>
  <c r="H976" i="2"/>
  <c r="H368" i="2"/>
  <c r="D212" i="2"/>
  <c r="G438" i="2"/>
  <c r="I811" i="2"/>
  <c r="A1280" i="2"/>
  <c r="A552" i="2"/>
  <c r="H407" i="2"/>
  <c r="I976" i="2"/>
  <c r="C707" i="2"/>
  <c r="A368" i="2"/>
  <c r="C1280" i="2"/>
  <c r="H1280" i="2"/>
  <c r="G860" i="2"/>
  <c r="I108" i="2"/>
  <c r="B407" i="2"/>
  <c r="F255" i="2"/>
  <c r="B673" i="2"/>
  <c r="G976" i="2"/>
  <c r="D554" i="2"/>
  <c r="A407" i="2"/>
  <c r="C976" i="2"/>
  <c r="H108" i="2"/>
  <c r="C552" i="2"/>
  <c r="D752" i="2"/>
  <c r="I899" i="2"/>
  <c r="D108" i="2"/>
  <c r="D287" i="2"/>
  <c r="C899" i="2"/>
  <c r="A230" i="2"/>
  <c r="G641" i="2"/>
  <c r="I368" i="2"/>
  <c r="I287" i="2"/>
  <c r="C752" i="2"/>
  <c r="B212" i="2"/>
  <c r="C673" i="2"/>
  <c r="D976" i="2"/>
  <c r="G707" i="2"/>
  <c r="G1280" i="2"/>
  <c r="D438" i="2"/>
  <c r="F554" i="2"/>
  <c r="B108" i="2"/>
  <c r="A811" i="2"/>
  <c r="G407" i="2"/>
  <c r="H255" i="2"/>
  <c r="D860" i="2"/>
  <c r="B552" i="2"/>
  <c r="D961" i="2"/>
  <c r="B536" i="2"/>
  <c r="C536" i="2"/>
  <c r="D399" i="2"/>
  <c r="C136" i="2"/>
  <c r="B364" i="2"/>
  <c r="G217" i="2"/>
  <c r="I536" i="2"/>
  <c r="I399" i="2"/>
  <c r="B950" i="2"/>
  <c r="C364" i="2"/>
  <c r="F1206" i="2"/>
  <c r="D675" i="2"/>
  <c r="A753" i="2"/>
  <c r="G364" i="2"/>
  <c r="C399" i="2"/>
  <c r="I1206" i="2"/>
  <c r="B399" i="2"/>
  <c r="A950" i="2"/>
  <c r="A536" i="2"/>
  <c r="F515" i="2"/>
  <c r="F753" i="2"/>
  <c r="I217" i="2"/>
  <c r="G399" i="2"/>
  <c r="D364" i="2"/>
  <c r="C1206" i="2"/>
  <c r="B753" i="2"/>
  <c r="H675" i="2"/>
  <c r="A515" i="2"/>
  <c r="F364" i="2"/>
  <c r="H1206" i="2"/>
  <c r="F217" i="2"/>
  <c r="C217" i="2"/>
  <c r="G950" i="2"/>
  <c r="H515" i="2"/>
  <c r="H753" i="2"/>
  <c r="D950" i="2"/>
  <c r="I515" i="2"/>
  <c r="I136" i="2"/>
  <c r="F536" i="2"/>
  <c r="F399" i="2"/>
  <c r="C515" i="2"/>
  <c r="G536" i="2"/>
  <c r="G753" i="2"/>
  <c r="A364" i="2"/>
  <c r="D136" i="2"/>
  <c r="D515" i="2"/>
  <c r="D217" i="2"/>
  <c r="D536" i="2"/>
  <c r="A136" i="2"/>
  <c r="A217" i="2"/>
  <c r="B217" i="2"/>
  <c r="H950" i="2"/>
  <c r="H136" i="2"/>
  <c r="B136" i="2"/>
  <c r="D1206" i="2"/>
  <c r="C675" i="2"/>
  <c r="F950" i="2"/>
  <c r="G675" i="2"/>
  <c r="F675" i="2"/>
  <c r="B675" i="2"/>
  <c r="G1206" i="2"/>
  <c r="C753" i="2"/>
  <c r="A399" i="2"/>
  <c r="I753" i="2"/>
  <c r="A675" i="2"/>
  <c r="I364" i="2"/>
  <c r="B515" i="2"/>
  <c r="B1206" i="2"/>
  <c r="C950" i="2"/>
  <c r="G136" i="2"/>
  <c r="H536" i="2"/>
  <c r="D753" i="2"/>
  <c r="G515" i="2"/>
  <c r="H217" i="2"/>
  <c r="H364" i="2"/>
  <c r="I950" i="2"/>
  <c r="F136" i="2"/>
  <c r="A1206" i="2"/>
  <c r="I675" i="2"/>
  <c r="H399" i="2"/>
  <c r="C674" i="2"/>
  <c r="A327" i="2"/>
  <c r="G327" i="2"/>
  <c r="A384" i="2"/>
  <c r="D221" i="2"/>
  <c r="D508" i="2"/>
  <c r="F674" i="2"/>
  <c r="F309" i="2"/>
  <c r="B722" i="2"/>
  <c r="I508" i="2"/>
  <c r="G309" i="2"/>
  <c r="D674" i="2"/>
  <c r="D722" i="2"/>
  <c r="I221" i="2"/>
  <c r="I96" i="2"/>
  <c r="C96" i="2"/>
  <c r="B674" i="2"/>
  <c r="F96" i="2"/>
  <c r="D831" i="2"/>
  <c r="I831" i="2"/>
  <c r="B831" i="2"/>
  <c r="A722" i="2"/>
  <c r="B309" i="2"/>
  <c r="G998" i="2"/>
  <c r="C384" i="2"/>
  <c r="H309" i="2"/>
  <c r="I998" i="2"/>
  <c r="F831" i="2"/>
  <c r="D96" i="2"/>
  <c r="H96" i="2"/>
  <c r="G722" i="2"/>
  <c r="D327" i="2"/>
  <c r="H384" i="2"/>
  <c r="F998" i="2"/>
  <c r="G221" i="2"/>
  <c r="G674" i="2"/>
  <c r="I674" i="2"/>
  <c r="C309" i="2"/>
  <c r="F508" i="2"/>
  <c r="A508" i="2"/>
  <c r="F384" i="2"/>
  <c r="H221" i="2"/>
  <c r="B96" i="2"/>
  <c r="H831" i="2"/>
  <c r="G508" i="2"/>
  <c r="C508" i="2"/>
  <c r="B384" i="2"/>
  <c r="C327" i="2"/>
  <c r="G831" i="2"/>
  <c r="B998" i="2"/>
  <c r="C221" i="2"/>
  <c r="D384" i="2"/>
  <c r="H722" i="2"/>
  <c r="F221" i="2"/>
  <c r="F327" i="2"/>
  <c r="G384" i="2"/>
  <c r="D998" i="2"/>
  <c r="A831" i="2"/>
  <c r="I722" i="2"/>
  <c r="C998" i="2"/>
  <c r="A309" i="2"/>
  <c r="A96" i="2"/>
  <c r="D309" i="2"/>
  <c r="F722" i="2"/>
  <c r="H508" i="2"/>
  <c r="A674" i="2"/>
  <c r="H998" i="2"/>
  <c r="B221" i="2"/>
  <c r="H327" i="2"/>
  <c r="I327" i="2"/>
  <c r="H674" i="2"/>
  <c r="A998" i="2"/>
  <c r="G96" i="2"/>
  <c r="B327" i="2"/>
  <c r="C722" i="2"/>
  <c r="C831" i="2"/>
  <c r="A221" i="2"/>
  <c r="I309" i="2"/>
  <c r="B508" i="2"/>
  <c r="I384" i="2"/>
  <c r="C809" i="2"/>
  <c r="H775" i="2"/>
  <c r="A999" i="2"/>
  <c r="F999" i="2"/>
  <c r="A21" i="2"/>
  <c r="F809" i="2"/>
  <c r="B591" i="2"/>
  <c r="C775" i="2"/>
  <c r="D591" i="2"/>
  <c r="G591" i="2"/>
  <c r="C697" i="2"/>
  <c r="A591" i="2"/>
  <c r="A829" i="2"/>
  <c r="D21" i="2"/>
  <c r="G829" i="2"/>
  <c r="A775" i="2"/>
  <c r="C21" i="2"/>
  <c r="A809" i="2"/>
  <c r="G697" i="2"/>
  <c r="H614" i="2"/>
  <c r="I999" i="2"/>
  <c r="I697" i="2"/>
  <c r="A697" i="2"/>
  <c r="F775" i="2"/>
  <c r="F614" i="2"/>
  <c r="A614" i="2"/>
  <c r="G316" i="2"/>
  <c r="G809" i="2"/>
  <c r="C1069" i="2"/>
  <c r="D775" i="2"/>
  <c r="I316" i="2"/>
  <c r="B1069" i="2"/>
  <c r="D316" i="2"/>
  <c r="G1069" i="2"/>
  <c r="D829" i="2"/>
  <c r="H829" i="2"/>
  <c r="A316" i="2"/>
  <c r="F591" i="2"/>
  <c r="B775" i="2"/>
  <c r="I21" i="2"/>
  <c r="H1069" i="2"/>
  <c r="B614" i="2"/>
  <c r="B697" i="2"/>
  <c r="I614" i="2"/>
  <c r="I809" i="2"/>
  <c r="G21" i="2"/>
  <c r="B999" i="2"/>
  <c r="A1069" i="2"/>
  <c r="H591" i="2"/>
  <c r="C999" i="2"/>
  <c r="I1069" i="2"/>
  <c r="F829" i="2"/>
  <c r="G999" i="2"/>
  <c r="H21" i="2"/>
  <c r="H999" i="2"/>
  <c r="F697" i="2"/>
  <c r="C614" i="2"/>
  <c r="D809" i="2"/>
  <c r="D1069" i="2"/>
  <c r="C829" i="2"/>
  <c r="D614" i="2"/>
  <c r="F316" i="2"/>
  <c r="H809" i="2"/>
  <c r="I591" i="2"/>
  <c r="I775" i="2"/>
  <c r="I829" i="2"/>
  <c r="D697" i="2"/>
  <c r="F21" i="2"/>
  <c r="B316" i="2"/>
  <c r="C316" i="2"/>
  <c r="H316" i="2"/>
  <c r="B829" i="2"/>
  <c r="G614" i="2"/>
  <c r="H697" i="2"/>
  <c r="G775" i="2"/>
  <c r="D999" i="2"/>
  <c r="B21" i="2"/>
  <c r="F1069" i="2"/>
  <c r="B809" i="2"/>
  <c r="C591" i="2"/>
  <c r="D155" i="2"/>
  <c r="I804" i="2"/>
  <c r="G126" i="2"/>
  <c r="B353" i="2"/>
  <c r="G47" i="2"/>
  <c r="D179" i="2"/>
  <c r="B126" i="2"/>
  <c r="C353" i="2"/>
  <c r="D481" i="2"/>
  <c r="H1311" i="2"/>
  <c r="A321" i="2"/>
  <c r="D353" i="2"/>
  <c r="A721" i="2"/>
  <c r="C321" i="2"/>
  <c r="H804" i="2"/>
  <c r="I126" i="2"/>
  <c r="I321" i="2"/>
  <c r="I721" i="2"/>
  <c r="C804" i="2"/>
  <c r="I353" i="2"/>
  <c r="H353" i="2"/>
  <c r="F47" i="2"/>
  <c r="G1311" i="2"/>
  <c r="H721" i="2"/>
  <c r="H126" i="2"/>
  <c r="C481" i="2"/>
  <c r="F481" i="2"/>
  <c r="F353" i="2"/>
  <c r="D126" i="2"/>
  <c r="F1311" i="2"/>
  <c r="G155" i="2"/>
  <c r="C179" i="2"/>
  <c r="I155" i="2"/>
  <c r="G321" i="2"/>
  <c r="A126" i="2"/>
  <c r="H321" i="2"/>
  <c r="B481" i="2"/>
  <c r="A179" i="2"/>
  <c r="F804" i="2"/>
  <c r="H47" i="2"/>
  <c r="D1311" i="2"/>
  <c r="B1311" i="2"/>
  <c r="D721" i="2"/>
  <c r="H155" i="2"/>
  <c r="B155" i="2"/>
  <c r="A804" i="2"/>
  <c r="C47" i="2"/>
  <c r="H481" i="2"/>
  <c r="C126" i="2"/>
  <c r="A47" i="2"/>
  <c r="I481" i="2"/>
  <c r="D804" i="2"/>
  <c r="F179" i="2"/>
  <c r="D47" i="2"/>
  <c r="B179" i="2"/>
  <c r="G179" i="2"/>
  <c r="A1311" i="2"/>
  <c r="C1311" i="2"/>
  <c r="B721" i="2"/>
  <c r="I47" i="2"/>
  <c r="F721" i="2"/>
  <c r="G353" i="2"/>
  <c r="F155" i="2"/>
  <c r="G481" i="2"/>
  <c r="D321" i="2"/>
  <c r="C721" i="2"/>
  <c r="B804" i="2"/>
  <c r="C155" i="2"/>
  <c r="B321" i="2"/>
  <c r="I179" i="2"/>
  <c r="A353" i="2"/>
  <c r="A481" i="2"/>
  <c r="I1311" i="2"/>
  <c r="A155" i="2"/>
  <c r="H179" i="2"/>
  <c r="F321" i="2"/>
  <c r="G721" i="2"/>
  <c r="F126" i="2"/>
  <c r="B47" i="2"/>
  <c r="G804" i="2"/>
  <c r="C1275" i="2"/>
  <c r="F855" i="2"/>
  <c r="I1065" i="2"/>
  <c r="D986" i="2"/>
  <c r="F526" i="2"/>
  <c r="C818" i="2"/>
  <c r="A1275" i="2"/>
  <c r="A1065" i="2"/>
  <c r="B1306" i="2"/>
  <c r="C1306" i="2"/>
  <c r="H1275" i="2"/>
  <c r="A818" i="2"/>
  <c r="D25" i="2"/>
  <c r="C529" i="2"/>
  <c r="A970" i="2"/>
  <c r="H526" i="2"/>
  <c r="I855" i="2"/>
  <c r="C526" i="2"/>
  <c r="B1275" i="2"/>
  <c r="A855" i="2"/>
  <c r="H986" i="2"/>
  <c r="A529" i="2"/>
  <c r="G1275" i="2"/>
  <c r="H818" i="2"/>
  <c r="C970" i="2"/>
  <c r="F529" i="2"/>
  <c r="F25" i="2"/>
  <c r="I1306" i="2"/>
  <c r="G986" i="2"/>
  <c r="C986" i="2"/>
  <c r="H1065" i="2"/>
  <c r="C855" i="2"/>
  <c r="C1065" i="2"/>
  <c r="I529" i="2"/>
  <c r="B855" i="2"/>
  <c r="B986" i="2"/>
  <c r="F986" i="2"/>
  <c r="A1306" i="2"/>
  <c r="B25" i="2"/>
  <c r="D1306" i="2"/>
  <c r="F818" i="2"/>
  <c r="A25" i="2"/>
  <c r="C25" i="2"/>
  <c r="H970" i="2"/>
  <c r="G818" i="2"/>
  <c r="D818" i="2"/>
  <c r="A526" i="2"/>
  <c r="I986" i="2"/>
  <c r="G529" i="2"/>
  <c r="D1065" i="2"/>
  <c r="D1275" i="2"/>
  <c r="B529" i="2"/>
  <c r="I1275" i="2"/>
  <c r="G25" i="2"/>
  <c r="G526" i="2"/>
  <c r="B526" i="2"/>
  <c r="D970" i="2"/>
  <c r="H855" i="2"/>
  <c r="G970" i="2"/>
  <c r="F1065" i="2"/>
  <c r="I526" i="2"/>
  <c r="H25" i="2"/>
  <c r="D855" i="2"/>
  <c r="B1065" i="2"/>
  <c r="F1306" i="2"/>
  <c r="I818" i="2"/>
  <c r="D529" i="2"/>
  <c r="G1306" i="2"/>
  <c r="I970" i="2"/>
  <c r="B970" i="2"/>
  <c r="F1275" i="2"/>
  <c r="H1306" i="2"/>
  <c r="A986" i="2"/>
  <c r="G1065" i="2"/>
  <c r="G855" i="2"/>
  <c r="I25" i="2"/>
  <c r="D526" i="2"/>
  <c r="F970" i="2"/>
  <c r="H529" i="2"/>
  <c r="B818" i="2"/>
  <c r="I587" i="2"/>
  <c r="I1120" i="2"/>
  <c r="I583" i="2"/>
  <c r="F518" i="2"/>
  <c r="H518" i="2"/>
  <c r="C125" i="2"/>
  <c r="B499" i="2"/>
  <c r="D865" i="2"/>
  <c r="I518" i="2"/>
  <c r="H1120" i="2"/>
  <c r="D599" i="2"/>
  <c r="F587" i="2"/>
  <c r="D499" i="2"/>
  <c r="A125" i="2"/>
  <c r="G125" i="2"/>
  <c r="G1352" i="2"/>
  <c r="B1352" i="2"/>
  <c r="G599" i="2"/>
  <c r="G587" i="2"/>
  <c r="C587" i="2"/>
  <c r="C865" i="2"/>
  <c r="I499" i="2"/>
  <c r="I865" i="2"/>
  <c r="A587" i="2"/>
  <c r="C518" i="2"/>
  <c r="A1352" i="2"/>
  <c r="A1120" i="2"/>
  <c r="C599" i="2"/>
  <c r="D583" i="2"/>
  <c r="D1352" i="2"/>
  <c r="I776" i="2"/>
  <c r="I125" i="2"/>
  <c r="B865" i="2"/>
  <c r="D587" i="2"/>
  <c r="C583" i="2"/>
  <c r="B587" i="2"/>
  <c r="B583" i="2"/>
  <c r="C499" i="2"/>
  <c r="D1120" i="2"/>
  <c r="F583" i="2"/>
  <c r="F599" i="2"/>
  <c r="A776" i="2"/>
  <c r="F1120" i="2"/>
  <c r="A599" i="2"/>
  <c r="C776" i="2"/>
  <c r="D518" i="2"/>
  <c r="H776" i="2"/>
  <c r="F865" i="2"/>
  <c r="F776" i="2"/>
  <c r="G499" i="2"/>
  <c r="B518" i="2"/>
  <c r="D776" i="2"/>
  <c r="C1120" i="2"/>
  <c r="G518" i="2"/>
  <c r="A865" i="2"/>
  <c r="G865" i="2"/>
  <c r="B776" i="2"/>
  <c r="F1352" i="2"/>
  <c r="H599" i="2"/>
  <c r="B599" i="2"/>
  <c r="I1352" i="2"/>
  <c r="G1120" i="2"/>
  <c r="A499" i="2"/>
  <c r="B125" i="2"/>
  <c r="H583" i="2"/>
  <c r="D125" i="2"/>
  <c r="H1352" i="2"/>
  <c r="F499" i="2"/>
  <c r="F125" i="2"/>
  <c r="G583" i="2"/>
  <c r="H587" i="2"/>
  <c r="I599" i="2"/>
  <c r="H125" i="2"/>
  <c r="B1120" i="2"/>
  <c r="A583" i="2"/>
  <c r="A518" i="2"/>
  <c r="C1352" i="2"/>
  <c r="G776" i="2"/>
  <c r="H499" i="2"/>
  <c r="H865" i="2"/>
  <c r="I81" i="2"/>
  <c r="C442" i="2"/>
  <c r="D436" i="2"/>
  <c r="I442" i="2"/>
  <c r="G780" i="2"/>
  <c r="A244" i="2"/>
  <c r="D545" i="2"/>
  <c r="H545" i="2"/>
  <c r="A263" i="2"/>
  <c r="G436" i="2"/>
  <c r="C244" i="2"/>
  <c r="B545" i="2"/>
  <c r="H343" i="2"/>
  <c r="A442" i="2"/>
  <c r="G39" i="2"/>
  <c r="I545" i="2"/>
  <c r="F263" i="2"/>
  <c r="B263" i="2"/>
  <c r="H39" i="2"/>
  <c r="H244" i="2"/>
  <c r="A343" i="2"/>
  <c r="C263" i="2"/>
  <c r="B442" i="2"/>
  <c r="F545" i="2"/>
  <c r="D343" i="2"/>
  <c r="F780" i="2"/>
  <c r="C343" i="2"/>
  <c r="A436" i="2"/>
  <c r="C436" i="2"/>
  <c r="D810" i="2"/>
  <c r="I39" i="2"/>
  <c r="H442" i="2"/>
  <c r="I343" i="2"/>
  <c r="B39" i="2"/>
  <c r="D780" i="2"/>
  <c r="B244" i="2"/>
  <c r="F81" i="2"/>
  <c r="C810" i="2"/>
  <c r="B436" i="2"/>
  <c r="D442" i="2"/>
  <c r="H780" i="2"/>
  <c r="G545" i="2"/>
  <c r="G810" i="2"/>
  <c r="A545" i="2"/>
  <c r="H810" i="2"/>
  <c r="B780" i="2"/>
  <c r="G343" i="2"/>
  <c r="C39" i="2"/>
  <c r="B81" i="2"/>
  <c r="H263" i="2"/>
  <c r="A81" i="2"/>
  <c r="A780" i="2"/>
  <c r="F442" i="2"/>
  <c r="D244" i="2"/>
  <c r="I810" i="2"/>
  <c r="I263" i="2"/>
  <c r="C81" i="2"/>
  <c r="A810" i="2"/>
  <c r="G263" i="2"/>
  <c r="I780" i="2"/>
  <c r="B810" i="2"/>
  <c r="F39" i="2"/>
  <c r="D81" i="2"/>
  <c r="H436" i="2"/>
  <c r="F436" i="2"/>
  <c r="A39" i="2"/>
  <c r="B343" i="2"/>
  <c r="F244" i="2"/>
  <c r="H81" i="2"/>
  <c r="I244" i="2"/>
  <c r="G81" i="2"/>
  <c r="F343" i="2"/>
  <c r="C780" i="2"/>
  <c r="G442" i="2"/>
  <c r="F810" i="2"/>
  <c r="D263" i="2"/>
  <c r="C545" i="2"/>
  <c r="G244" i="2"/>
  <c r="D39" i="2"/>
  <c r="I436" i="2"/>
  <c r="D1326" i="2"/>
  <c r="A656" i="2"/>
  <c r="A275" i="2"/>
  <c r="H1384" i="2"/>
  <c r="I231" i="2"/>
  <c r="B1056" i="2"/>
  <c r="B412" i="2"/>
  <c r="F1056" i="2"/>
  <c r="A549" i="2"/>
  <c r="I549" i="2"/>
  <c r="G1056" i="2"/>
  <c r="I1384" i="2"/>
  <c r="A205" i="2"/>
  <c r="H412" i="2"/>
  <c r="D412" i="2"/>
  <c r="B1384" i="2"/>
  <c r="H656" i="2"/>
  <c r="A1056" i="2"/>
  <c r="G231" i="2"/>
  <c r="C412" i="2"/>
  <c r="I205" i="2"/>
  <c r="H231" i="2"/>
  <c r="I412" i="2"/>
  <c r="H275" i="2"/>
  <c r="C275" i="2"/>
  <c r="I1056" i="2"/>
  <c r="D231" i="2"/>
  <c r="B1326" i="2"/>
  <c r="G1326" i="2"/>
  <c r="C1384" i="2"/>
  <c r="C1056" i="2"/>
  <c r="I275" i="2"/>
  <c r="B275" i="2"/>
  <c r="F205" i="2"/>
  <c r="D656" i="2"/>
  <c r="G549" i="2"/>
  <c r="A38" i="2"/>
  <c r="I1326" i="2"/>
  <c r="D38" i="2"/>
  <c r="D1384" i="2"/>
  <c r="C231" i="2"/>
  <c r="D549" i="2"/>
  <c r="B656" i="2"/>
  <c r="B38" i="2"/>
  <c r="A231" i="2"/>
  <c r="F656" i="2"/>
  <c r="D205" i="2"/>
  <c r="G275" i="2"/>
  <c r="C549" i="2"/>
  <c r="H205" i="2"/>
  <c r="I38" i="2"/>
  <c r="A1326" i="2"/>
  <c r="C656" i="2"/>
  <c r="F549" i="2"/>
  <c r="D275" i="2"/>
  <c r="F1326" i="2"/>
  <c r="B205" i="2"/>
  <c r="F1384" i="2"/>
  <c r="G205" i="2"/>
  <c r="A1384" i="2"/>
  <c r="F412" i="2"/>
  <c r="H38" i="2"/>
  <c r="H549" i="2"/>
  <c r="A412" i="2"/>
  <c r="H1056" i="2"/>
  <c r="G656" i="2"/>
  <c r="C1326" i="2"/>
  <c r="F38" i="2"/>
  <c r="B231" i="2"/>
  <c r="C38" i="2"/>
  <c r="G412" i="2"/>
  <c r="G1384" i="2"/>
  <c r="D1056" i="2"/>
  <c r="H1326" i="2"/>
  <c r="B549" i="2"/>
  <c r="F275" i="2"/>
  <c r="F231" i="2"/>
  <c r="C205" i="2"/>
  <c r="I656" i="2"/>
  <c r="G38" i="2"/>
  <c r="C653" i="2"/>
  <c r="I1371" i="2"/>
  <c r="H261" i="2"/>
  <c r="C50" i="2"/>
  <c r="B653" i="2"/>
  <c r="F967" i="2"/>
  <c r="C624" i="2"/>
  <c r="A114" i="2"/>
  <c r="D468" i="2"/>
  <c r="F114" i="2"/>
  <c r="I624" i="2"/>
  <c r="F624" i="2"/>
  <c r="I653" i="2"/>
  <c r="I747" i="2"/>
  <c r="D261" i="2"/>
  <c r="F1371" i="2"/>
  <c r="A50" i="2"/>
  <c r="B261" i="2"/>
  <c r="A1036" i="2"/>
  <c r="B468" i="2"/>
  <c r="I261" i="2"/>
  <c r="B747" i="2"/>
  <c r="C1036" i="2"/>
  <c r="B50" i="2"/>
  <c r="G967" i="2"/>
  <c r="F468" i="2"/>
  <c r="G653" i="2"/>
  <c r="F1036" i="2"/>
  <c r="F261" i="2"/>
  <c r="B967" i="2"/>
  <c r="C114" i="2"/>
  <c r="G1036" i="2"/>
  <c r="B1036" i="2"/>
  <c r="D624" i="2"/>
  <c r="H50" i="2"/>
  <c r="G468" i="2"/>
  <c r="H468" i="2"/>
  <c r="H747" i="2"/>
  <c r="A261" i="2"/>
  <c r="D114" i="2"/>
  <c r="D1371" i="2"/>
  <c r="F747" i="2"/>
  <c r="C468" i="2"/>
  <c r="A624" i="2"/>
  <c r="H114" i="2"/>
  <c r="C967" i="2"/>
  <c r="G624" i="2"/>
  <c r="D50" i="2"/>
  <c r="C1371" i="2"/>
  <c r="B114" i="2"/>
  <c r="D747" i="2"/>
  <c r="I468" i="2"/>
  <c r="H1371" i="2"/>
  <c r="D967" i="2"/>
  <c r="I1036" i="2"/>
  <c r="I967" i="2"/>
  <c r="G261" i="2"/>
  <c r="H653" i="2"/>
  <c r="G747" i="2"/>
  <c r="A653" i="2"/>
  <c r="G114" i="2"/>
  <c r="H624" i="2"/>
  <c r="A1371" i="2"/>
  <c r="C747" i="2"/>
  <c r="A967" i="2"/>
  <c r="F653" i="2"/>
  <c r="G50" i="2"/>
  <c r="G1371" i="2"/>
  <c r="F50" i="2"/>
  <c r="A747" i="2"/>
  <c r="D1036" i="2"/>
  <c r="B624" i="2"/>
  <c r="H967" i="2"/>
  <c r="D653" i="2"/>
  <c r="I114" i="2"/>
  <c r="H1036" i="2"/>
  <c r="C261" i="2"/>
  <c r="B1371" i="2"/>
  <c r="A468" i="2"/>
  <c r="I50" i="2"/>
  <c r="H124" i="2"/>
  <c r="D98" i="2"/>
  <c r="C398" i="2"/>
  <c r="G433" i="2"/>
  <c r="A1045" i="2"/>
  <c r="C2" i="2"/>
  <c r="A878" i="2"/>
  <c r="H1045" i="2"/>
  <c r="A98" i="2"/>
  <c r="D2" i="2"/>
  <c r="G398" i="2"/>
  <c r="C124" i="2"/>
  <c r="G135" i="2"/>
  <c r="H135" i="2"/>
  <c r="B825" i="2"/>
  <c r="C135" i="2"/>
  <c r="G1045" i="2"/>
  <c r="F398" i="2"/>
  <c r="C433" i="2"/>
  <c r="B878" i="2"/>
  <c r="I2" i="2"/>
  <c r="C1045" i="2"/>
  <c r="A505" i="2"/>
  <c r="C505" i="2"/>
  <c r="F505" i="2"/>
  <c r="A825" i="2"/>
  <c r="B135" i="2"/>
  <c r="H433" i="2"/>
  <c r="D505" i="2"/>
  <c r="H825" i="2"/>
  <c r="H2" i="2"/>
  <c r="D1045" i="2"/>
  <c r="B505" i="2"/>
  <c r="D135" i="2"/>
  <c r="I124" i="2"/>
  <c r="I825" i="2"/>
  <c r="I1045" i="2"/>
  <c r="H505" i="2"/>
  <c r="C825" i="2"/>
  <c r="A398" i="2"/>
  <c r="A135" i="2"/>
  <c r="G878" i="2"/>
  <c r="I98" i="2"/>
  <c r="A2" i="2"/>
  <c r="B98" i="2"/>
  <c r="I135" i="2"/>
  <c r="F98" i="2"/>
  <c r="A433" i="2"/>
  <c r="D878" i="2"/>
  <c r="F825" i="2"/>
  <c r="I433" i="2"/>
  <c r="I398" i="2"/>
  <c r="I505" i="2"/>
  <c r="C878" i="2"/>
  <c r="D398" i="2"/>
  <c r="F124" i="2"/>
  <c r="D124" i="2"/>
  <c r="D433" i="2"/>
  <c r="F878" i="2"/>
  <c r="G98" i="2"/>
  <c r="B398" i="2"/>
  <c r="F2" i="2"/>
  <c r="B433" i="2"/>
  <c r="H878" i="2"/>
  <c r="G825" i="2"/>
  <c r="B2" i="2"/>
  <c r="C98" i="2"/>
  <c r="G124" i="2"/>
  <c r="A124" i="2"/>
  <c r="F1045" i="2"/>
  <c r="I878" i="2"/>
  <c r="H398" i="2"/>
  <c r="G505" i="2"/>
  <c r="H98" i="2"/>
  <c r="B124" i="2"/>
  <c r="F433" i="2"/>
  <c r="B1045" i="2"/>
  <c r="D825" i="2"/>
  <c r="G2" i="2"/>
  <c r="F135" i="2"/>
  <c r="B663" i="2"/>
  <c r="C357" i="2"/>
  <c r="I391" i="2"/>
  <c r="B847" i="2"/>
  <c r="B1223" i="2"/>
  <c r="F1223" i="2"/>
  <c r="G391" i="2"/>
  <c r="B1126" i="2"/>
  <c r="G590" i="2"/>
  <c r="G847" i="2"/>
  <c r="F1125" i="2"/>
  <c r="F663" i="2"/>
  <c r="F847" i="2"/>
  <c r="G1125" i="2"/>
  <c r="C847" i="2"/>
  <c r="H1125" i="2"/>
  <c r="F959" i="2"/>
  <c r="F357" i="2"/>
  <c r="A847" i="2"/>
  <c r="A590" i="2"/>
  <c r="B959" i="2"/>
  <c r="A959" i="2"/>
  <c r="H847" i="2"/>
  <c r="C1223" i="2"/>
  <c r="H55" i="2"/>
  <c r="D357" i="2"/>
  <c r="B391" i="2"/>
  <c r="H1223" i="2"/>
  <c r="I959" i="2"/>
  <c r="H663" i="2"/>
  <c r="I847" i="2"/>
  <c r="D590" i="2"/>
  <c r="G959" i="2"/>
  <c r="D1126" i="2"/>
  <c r="F391" i="2"/>
  <c r="I357" i="2"/>
  <c r="A357" i="2"/>
  <c r="A663" i="2"/>
  <c r="A55" i="2"/>
  <c r="I1126" i="2"/>
  <c r="C590" i="2"/>
  <c r="I1223" i="2"/>
  <c r="C663" i="2"/>
  <c r="H959" i="2"/>
  <c r="C55" i="2"/>
  <c r="F55" i="2"/>
  <c r="H391" i="2"/>
  <c r="D959" i="2"/>
  <c r="I590" i="2"/>
  <c r="B55" i="2"/>
  <c r="H590" i="2"/>
  <c r="B357" i="2"/>
  <c r="F1126" i="2"/>
  <c r="D663" i="2"/>
  <c r="D1223" i="2"/>
  <c r="A1126" i="2"/>
  <c r="G1126" i="2"/>
  <c r="C1126" i="2"/>
  <c r="B1125" i="2"/>
  <c r="I55" i="2"/>
  <c r="D55" i="2"/>
  <c r="G357" i="2"/>
  <c r="B590" i="2"/>
  <c r="D391" i="2"/>
  <c r="I1125" i="2"/>
  <c r="A1125" i="2"/>
  <c r="A391" i="2"/>
  <c r="G663" i="2"/>
  <c r="A1223" i="2"/>
  <c r="C1125" i="2"/>
  <c r="D1125" i="2"/>
  <c r="H357" i="2"/>
  <c r="H1126" i="2"/>
  <c r="G1223" i="2"/>
  <c r="G55" i="2"/>
  <c r="I663" i="2"/>
  <c r="C391" i="2"/>
  <c r="F590" i="2"/>
  <c r="C959" i="2"/>
  <c r="D847" i="2"/>
  <c r="G56" i="2"/>
  <c r="F285" i="2"/>
  <c r="H1030" i="2"/>
  <c r="H919" i="2"/>
  <c r="H702" i="2"/>
  <c r="H285" i="2"/>
  <c r="D702" i="2"/>
  <c r="D232" i="2"/>
  <c r="C285" i="2"/>
  <c r="G616" i="2"/>
  <c r="F331" i="2"/>
  <c r="G962" i="2"/>
  <c r="B285" i="2"/>
  <c r="C920" i="2"/>
  <c r="H56" i="2"/>
  <c r="D920" i="2"/>
  <c r="G232" i="2"/>
  <c r="H232" i="2"/>
  <c r="F920" i="2"/>
  <c r="A702" i="2"/>
  <c r="G331" i="2"/>
  <c r="A962" i="2"/>
  <c r="A919" i="2"/>
  <c r="I285" i="2"/>
  <c r="F56" i="2"/>
  <c r="D962" i="2"/>
  <c r="A331" i="2"/>
  <c r="C702" i="2"/>
  <c r="I331" i="2"/>
  <c r="F919" i="2"/>
  <c r="I56" i="2"/>
  <c r="F1030" i="2"/>
  <c r="C1030" i="2"/>
  <c r="C962" i="2"/>
  <c r="C232" i="2"/>
  <c r="I616" i="2"/>
  <c r="A1030" i="2"/>
  <c r="B331" i="2"/>
  <c r="G1030" i="2"/>
  <c r="C56" i="2"/>
  <c r="F616" i="2"/>
  <c r="I702" i="2"/>
  <c r="A232" i="2"/>
  <c r="D331" i="2"/>
  <c r="D919" i="2"/>
  <c r="C919" i="2"/>
  <c r="B920" i="2"/>
  <c r="G702" i="2"/>
  <c r="I1030" i="2"/>
  <c r="I962" i="2"/>
  <c r="B1030" i="2"/>
  <c r="F232" i="2"/>
  <c r="B232" i="2"/>
  <c r="H331" i="2"/>
  <c r="H920" i="2"/>
  <c r="A285" i="2"/>
  <c r="B702" i="2"/>
  <c r="F962" i="2"/>
  <c r="G919" i="2"/>
  <c r="B962" i="2"/>
  <c r="D56" i="2"/>
  <c r="D285" i="2"/>
  <c r="D616" i="2"/>
  <c r="I920" i="2"/>
  <c r="H616" i="2"/>
  <c r="C616" i="2"/>
  <c r="B56" i="2"/>
  <c r="I919" i="2"/>
  <c r="H962" i="2"/>
  <c r="A616" i="2"/>
  <c r="I232" i="2"/>
  <c r="B616" i="2"/>
  <c r="G285" i="2"/>
  <c r="A920" i="2"/>
  <c r="G920" i="2"/>
  <c r="D1030" i="2"/>
  <c r="C331" i="2"/>
  <c r="B919" i="2"/>
  <c r="F702" i="2"/>
  <c r="A56" i="2"/>
  <c r="A843" i="2"/>
  <c r="D467" i="2"/>
  <c r="A788" i="2"/>
  <c r="I459" i="2"/>
  <c r="H92" i="2"/>
  <c r="D485" i="2"/>
  <c r="C379" i="2"/>
  <c r="H467" i="2"/>
  <c r="A92" i="2"/>
  <c r="B917" i="2"/>
  <c r="G379" i="2"/>
  <c r="C163" i="2"/>
  <c r="B788" i="2"/>
  <c r="C917" i="2"/>
  <c r="F92" i="2"/>
  <c r="H379" i="2"/>
  <c r="G459" i="2"/>
  <c r="C843" i="2"/>
  <c r="B379" i="2"/>
  <c r="H843" i="2"/>
  <c r="B92" i="2"/>
  <c r="I92" i="2"/>
  <c r="I485" i="2"/>
  <c r="I467" i="2"/>
  <c r="F459" i="2"/>
  <c r="H459" i="2"/>
  <c r="A796" i="2"/>
  <c r="G788" i="2"/>
  <c r="I379" i="2"/>
  <c r="G843" i="2"/>
  <c r="F796" i="2"/>
  <c r="F843" i="2"/>
  <c r="D788" i="2"/>
  <c r="D379" i="2"/>
  <c r="G92" i="2"/>
  <c r="B843" i="2"/>
  <c r="A485" i="2"/>
  <c r="A163" i="2"/>
  <c r="B485" i="2"/>
  <c r="A917" i="2"/>
  <c r="H917" i="2"/>
  <c r="A459" i="2"/>
  <c r="F379" i="2"/>
  <c r="A467" i="2"/>
  <c r="H163" i="2"/>
  <c r="H788" i="2"/>
  <c r="I788" i="2"/>
  <c r="G163" i="2"/>
  <c r="C92" i="2"/>
  <c r="I843" i="2"/>
  <c r="I796" i="2"/>
  <c r="C467" i="2"/>
  <c r="B163" i="2"/>
  <c r="D917" i="2"/>
  <c r="H796" i="2"/>
  <c r="G467" i="2"/>
  <c r="F917" i="2"/>
  <c r="F485" i="2"/>
  <c r="D459" i="2"/>
  <c r="G485" i="2"/>
  <c r="B459" i="2"/>
  <c r="F467" i="2"/>
  <c r="C796" i="2"/>
  <c r="B796" i="2"/>
  <c r="F163" i="2"/>
  <c r="D796" i="2"/>
  <c r="I163" i="2"/>
  <c r="H485" i="2"/>
  <c r="F788" i="2"/>
  <c r="I917" i="2"/>
  <c r="D843" i="2"/>
  <c r="D92" i="2"/>
  <c r="C485" i="2"/>
  <c r="C788" i="2"/>
  <c r="B467" i="2"/>
  <c r="C459" i="2"/>
  <c r="A379" i="2"/>
  <c r="G917" i="2"/>
  <c r="G796" i="2"/>
  <c r="D163" i="2"/>
  <c r="G129" i="2"/>
  <c r="G225" i="2"/>
  <c r="B760" i="2"/>
  <c r="A65" i="2"/>
  <c r="D57" i="2"/>
  <c r="H1208" i="2"/>
  <c r="B57" i="2"/>
  <c r="I147" i="2"/>
  <c r="G130" i="2"/>
  <c r="D147" i="2"/>
  <c r="B147" i="2"/>
  <c r="D607" i="2"/>
  <c r="C129" i="2"/>
  <c r="F147" i="2"/>
  <c r="B646" i="2"/>
  <c r="F130" i="2"/>
  <c r="F129" i="2"/>
  <c r="I130" i="2"/>
  <c r="D130" i="2"/>
  <c r="I57" i="2"/>
  <c r="A760" i="2"/>
  <c r="F760" i="2"/>
  <c r="C646" i="2"/>
  <c r="D129" i="2"/>
  <c r="H57" i="2"/>
  <c r="C607" i="2"/>
  <c r="F57" i="2"/>
  <c r="G1208" i="2"/>
  <c r="I225" i="2"/>
  <c r="G65" i="2"/>
  <c r="C225" i="2"/>
  <c r="C130" i="2"/>
  <c r="B1208" i="2"/>
  <c r="H130" i="2"/>
  <c r="I129" i="2"/>
  <c r="A129" i="2"/>
  <c r="A646" i="2"/>
  <c r="I607" i="2"/>
  <c r="C1208" i="2"/>
  <c r="H147" i="2"/>
  <c r="A57" i="2"/>
  <c r="F225" i="2"/>
  <c r="A225" i="2"/>
  <c r="H65" i="2"/>
  <c r="F607" i="2"/>
  <c r="D65" i="2"/>
  <c r="H760" i="2"/>
  <c r="G646" i="2"/>
  <c r="G57" i="2"/>
  <c r="B65" i="2"/>
  <c r="H607" i="2"/>
  <c r="H225" i="2"/>
  <c r="I1208" i="2"/>
  <c r="B607" i="2"/>
  <c r="A147" i="2"/>
  <c r="C65" i="2"/>
  <c r="H646" i="2"/>
  <c r="A607" i="2"/>
  <c r="I760" i="2"/>
  <c r="H129" i="2"/>
  <c r="D1208" i="2"/>
  <c r="G760" i="2"/>
  <c r="F646" i="2"/>
  <c r="A130" i="2"/>
  <c r="G147" i="2"/>
  <c r="C760" i="2"/>
  <c r="A1208" i="2"/>
  <c r="B225" i="2"/>
  <c r="I646" i="2"/>
  <c r="F65" i="2"/>
  <c r="G607" i="2"/>
  <c r="D646" i="2"/>
  <c r="D760" i="2"/>
  <c r="B129" i="2"/>
  <c r="D225" i="2"/>
  <c r="I65" i="2"/>
  <c r="B130" i="2"/>
  <c r="C57" i="2"/>
  <c r="F1208" i="2"/>
  <c r="C147" i="2"/>
  <c r="A80" i="2"/>
  <c r="D1288" i="2"/>
  <c r="H474" i="2"/>
  <c r="G740" i="2"/>
  <c r="I474" i="2"/>
  <c r="H1143" i="2"/>
  <c r="B1143" i="2"/>
  <c r="D1143" i="2"/>
  <c r="D1140" i="2"/>
  <c r="D1106" i="2"/>
  <c r="B250" i="2"/>
  <c r="C1143" i="2"/>
  <c r="A268" i="2"/>
  <c r="F474" i="2"/>
  <c r="F80" i="2"/>
  <c r="G268" i="2"/>
  <c r="I1288" i="2"/>
  <c r="C250" i="2"/>
  <c r="C1288" i="2"/>
  <c r="H250" i="2"/>
  <c r="F1288" i="2"/>
  <c r="G250" i="2"/>
  <c r="G1011" i="2"/>
  <c r="H1140" i="2"/>
  <c r="D740" i="2"/>
  <c r="B1011" i="2"/>
  <c r="C1011" i="2"/>
  <c r="F268" i="2"/>
  <c r="A740" i="2"/>
  <c r="A1143" i="2"/>
  <c r="I80" i="2"/>
  <c r="I1011" i="2"/>
  <c r="I250" i="2"/>
  <c r="F250" i="2"/>
  <c r="H740" i="2"/>
  <c r="F1106" i="2"/>
  <c r="B740" i="2"/>
  <c r="B1106" i="2"/>
  <c r="A474" i="2"/>
  <c r="F1140" i="2"/>
  <c r="B1140" i="2"/>
  <c r="C474" i="2"/>
  <c r="B268" i="2"/>
  <c r="H1011" i="2"/>
  <c r="I268" i="2"/>
  <c r="F1011" i="2"/>
  <c r="H268" i="2"/>
  <c r="G80" i="2"/>
  <c r="C1140" i="2"/>
  <c r="D250" i="2"/>
  <c r="I740" i="2"/>
  <c r="C80" i="2"/>
  <c r="B80" i="2"/>
  <c r="C740" i="2"/>
  <c r="B1288" i="2"/>
  <c r="A1288" i="2"/>
  <c r="C268" i="2"/>
  <c r="A1106" i="2"/>
  <c r="G1106" i="2"/>
  <c r="H1106" i="2"/>
  <c r="G1143" i="2"/>
  <c r="G1140" i="2"/>
  <c r="H1288" i="2"/>
  <c r="C1106" i="2"/>
  <c r="B474" i="2"/>
  <c r="D1011" i="2"/>
  <c r="I1140" i="2"/>
  <c r="I1143" i="2"/>
  <c r="G474" i="2"/>
  <c r="F740" i="2"/>
  <c r="A250" i="2"/>
  <c r="F1143" i="2"/>
  <c r="D474" i="2"/>
  <c r="A1011" i="2"/>
  <c r="D80" i="2"/>
  <c r="D268" i="2"/>
  <c r="G1288" i="2"/>
  <c r="I1106" i="2"/>
  <c r="A1140" i="2"/>
  <c r="H80" i="2"/>
  <c r="G34" i="2"/>
  <c r="I34" i="2"/>
  <c r="G170" i="2"/>
  <c r="F273" i="2"/>
  <c r="A77" i="2"/>
  <c r="D204" i="2"/>
  <c r="F867" i="2"/>
  <c r="I867" i="2"/>
  <c r="A521" i="2"/>
  <c r="I204" i="2"/>
  <c r="G507" i="2"/>
  <c r="D666" i="2"/>
  <c r="G77" i="2"/>
  <c r="A507" i="2"/>
  <c r="C867" i="2"/>
  <c r="H77" i="2"/>
  <c r="G1310" i="2"/>
  <c r="F204" i="2"/>
  <c r="I666" i="2"/>
  <c r="F77" i="2"/>
  <c r="A666" i="2"/>
  <c r="H204" i="2"/>
  <c r="C521" i="2"/>
  <c r="A1310" i="2"/>
  <c r="A204" i="2"/>
  <c r="D170" i="2"/>
  <c r="I273" i="2"/>
  <c r="I170" i="2"/>
  <c r="B170" i="2"/>
  <c r="C666" i="2"/>
  <c r="G666" i="2"/>
  <c r="A867" i="2"/>
  <c r="B521" i="2"/>
  <c r="I507" i="2"/>
  <c r="D273" i="2"/>
  <c r="A34" i="2"/>
  <c r="H34" i="2"/>
  <c r="G521" i="2"/>
  <c r="H1310" i="2"/>
  <c r="F170" i="2"/>
  <c r="B273" i="2"/>
  <c r="I77" i="2"/>
  <c r="C1310" i="2"/>
  <c r="D521" i="2"/>
  <c r="H867" i="2"/>
  <c r="B204" i="2"/>
  <c r="F34" i="2"/>
  <c r="C273" i="2"/>
  <c r="F507" i="2"/>
  <c r="H507" i="2"/>
  <c r="I1310" i="2"/>
  <c r="B34" i="2"/>
  <c r="H666" i="2"/>
  <c r="H170" i="2"/>
  <c r="A170" i="2"/>
  <c r="B867" i="2"/>
  <c r="D1310" i="2"/>
  <c r="D507" i="2"/>
  <c r="F1310" i="2"/>
  <c r="B666" i="2"/>
  <c r="G273" i="2"/>
  <c r="G204" i="2"/>
  <c r="C34" i="2"/>
  <c r="A273" i="2"/>
  <c r="F521" i="2"/>
  <c r="B507" i="2"/>
  <c r="C77" i="2"/>
  <c r="G867" i="2"/>
  <c r="D77" i="2"/>
  <c r="F666" i="2"/>
  <c r="I521" i="2"/>
  <c r="C507" i="2"/>
  <c r="B1310" i="2"/>
  <c r="C170" i="2"/>
  <c r="H521" i="2"/>
  <c r="B77" i="2"/>
  <c r="C204" i="2"/>
  <c r="D867" i="2"/>
  <c r="D34" i="2"/>
  <c r="H273" i="2"/>
  <c r="B354" i="2"/>
  <c r="G964" i="2"/>
  <c r="H354" i="2"/>
  <c r="A93" i="2"/>
  <c r="C638" i="2"/>
  <c r="G355" i="2"/>
  <c r="D1048" i="2"/>
  <c r="B1300" i="2"/>
  <c r="D691" i="2"/>
  <c r="A638" i="2"/>
  <c r="F1300" i="2"/>
  <c r="C354" i="2"/>
  <c r="H911" i="2"/>
  <c r="C964" i="2"/>
  <c r="C1048" i="2"/>
  <c r="B93" i="2"/>
  <c r="I520" i="2"/>
  <c r="I911" i="2"/>
  <c r="A1300" i="2"/>
  <c r="C93" i="2"/>
  <c r="D911" i="2"/>
  <c r="A964" i="2"/>
  <c r="F355" i="2"/>
  <c r="I354" i="2"/>
  <c r="C691" i="2"/>
  <c r="F638" i="2"/>
  <c r="G520" i="2"/>
  <c r="C1300" i="2"/>
  <c r="C911" i="2"/>
  <c r="G354" i="2"/>
  <c r="B355" i="2"/>
  <c r="G638" i="2"/>
  <c r="F520" i="2"/>
  <c r="F93" i="2"/>
  <c r="I93" i="2"/>
  <c r="F691" i="2"/>
  <c r="I1048" i="2"/>
  <c r="B1048" i="2"/>
  <c r="I691" i="2"/>
  <c r="H691" i="2"/>
  <c r="I1300" i="2"/>
  <c r="I355" i="2"/>
  <c r="C520" i="2"/>
  <c r="B638" i="2"/>
  <c r="A355" i="2"/>
  <c r="H638" i="2"/>
  <c r="H355" i="2"/>
  <c r="D964" i="2"/>
  <c r="A1048" i="2"/>
  <c r="G1300" i="2"/>
  <c r="B520" i="2"/>
  <c r="D93" i="2"/>
  <c r="D638" i="2"/>
  <c r="G93" i="2"/>
  <c r="G911" i="2"/>
  <c r="D520" i="2"/>
  <c r="G1048" i="2"/>
  <c r="F964" i="2"/>
  <c r="D354" i="2"/>
  <c r="G691" i="2"/>
  <c r="A691" i="2"/>
  <c r="A354" i="2"/>
  <c r="B964" i="2"/>
  <c r="H1300" i="2"/>
  <c r="B911" i="2"/>
  <c r="F1048" i="2"/>
  <c r="H520" i="2"/>
  <c r="D355" i="2"/>
  <c r="H964" i="2"/>
  <c r="F354" i="2"/>
  <c r="A911" i="2"/>
  <c r="H93" i="2"/>
  <c r="I638" i="2"/>
  <c r="A520" i="2"/>
  <c r="C355" i="2"/>
  <c r="B691" i="2"/>
  <c r="I964" i="2"/>
  <c r="H1048" i="2"/>
  <c r="D1300" i="2"/>
  <c r="F911" i="2"/>
  <c r="A410" i="2"/>
  <c r="F410" i="2"/>
  <c r="H741" i="2"/>
  <c r="D292" i="2"/>
  <c r="H981" i="2"/>
  <c r="I981" i="2"/>
  <c r="H714" i="2"/>
  <c r="I741" i="2"/>
  <c r="I880" i="2"/>
  <c r="F530" i="2"/>
  <c r="B880" i="2"/>
  <c r="I897" i="2"/>
  <c r="I292" i="2"/>
  <c r="F741" i="2"/>
  <c r="I896" i="2"/>
  <c r="C981" i="2"/>
  <c r="F896" i="2"/>
  <c r="H896" i="2"/>
  <c r="A714" i="2"/>
  <c r="B714" i="2"/>
  <c r="G714" i="2"/>
  <c r="I452" i="2"/>
  <c r="D741" i="2"/>
  <c r="C410" i="2"/>
  <c r="D896" i="2"/>
  <c r="I530" i="2"/>
  <c r="A880" i="2"/>
  <c r="F452" i="2"/>
  <c r="B452" i="2"/>
  <c r="B897" i="2"/>
  <c r="D410" i="2"/>
  <c r="D714" i="2"/>
  <c r="A530" i="2"/>
  <c r="A897" i="2"/>
  <c r="G880" i="2"/>
  <c r="D452" i="2"/>
  <c r="C880" i="2"/>
  <c r="H292" i="2"/>
  <c r="C714" i="2"/>
  <c r="I714" i="2"/>
  <c r="A452" i="2"/>
  <c r="F897" i="2"/>
  <c r="H410" i="2"/>
  <c r="H880" i="2"/>
  <c r="F880" i="2"/>
  <c r="A896" i="2"/>
  <c r="C530" i="2"/>
  <c r="C896" i="2"/>
  <c r="G897" i="2"/>
  <c r="D530" i="2"/>
  <c r="G292" i="2"/>
  <c r="C897" i="2"/>
  <c r="G896" i="2"/>
  <c r="G452" i="2"/>
  <c r="F981" i="2"/>
  <c r="C741" i="2"/>
  <c r="A981" i="2"/>
  <c r="B741" i="2"/>
  <c r="G530" i="2"/>
  <c r="G981" i="2"/>
  <c r="B292" i="2"/>
  <c r="I410" i="2"/>
  <c r="B410" i="2"/>
  <c r="B530" i="2"/>
  <c r="H452" i="2"/>
  <c r="H897" i="2"/>
  <c r="C292" i="2"/>
  <c r="G741" i="2"/>
  <c r="D981" i="2"/>
  <c r="A292" i="2"/>
  <c r="F714" i="2"/>
  <c r="D897" i="2"/>
  <c r="B896" i="2"/>
  <c r="G410" i="2"/>
  <c r="D880" i="2"/>
  <c r="H530" i="2"/>
  <c r="A741" i="2"/>
  <c r="C452" i="2"/>
  <c r="F292" i="2"/>
  <c r="B981" i="2"/>
  <c r="B110" i="2"/>
  <c r="C319" i="2"/>
  <c r="A152" i="2"/>
  <c r="B557" i="2"/>
  <c r="A1387" i="2"/>
  <c r="G319" i="2"/>
  <c r="G679" i="2"/>
  <c r="H152" i="2"/>
  <c r="A319" i="2"/>
  <c r="I679" i="2"/>
  <c r="D110" i="2"/>
  <c r="H1387" i="2"/>
  <c r="B152" i="2"/>
  <c r="F110" i="2"/>
  <c r="D319" i="2"/>
  <c r="H557" i="2"/>
  <c r="C557" i="2"/>
  <c r="G690" i="2"/>
  <c r="H6" i="2"/>
  <c r="H1105" i="2"/>
  <c r="B679" i="2"/>
  <c r="A6" i="2"/>
  <c r="C152" i="2"/>
  <c r="F690" i="2"/>
  <c r="D289" i="2"/>
  <c r="I557" i="2"/>
  <c r="A289" i="2"/>
  <c r="I152" i="2"/>
  <c r="C1105" i="2"/>
  <c r="C6" i="2"/>
  <c r="H690" i="2"/>
  <c r="H110" i="2"/>
  <c r="C690" i="2"/>
  <c r="A690" i="2"/>
  <c r="I690" i="2"/>
  <c r="B6" i="2"/>
  <c r="C289" i="2"/>
  <c r="I1387" i="2"/>
  <c r="H319" i="2"/>
  <c r="D152" i="2"/>
  <c r="F679" i="2"/>
  <c r="F6" i="2"/>
  <c r="C679" i="2"/>
  <c r="B319" i="2"/>
  <c r="F557" i="2"/>
  <c r="G110" i="2"/>
  <c r="I289" i="2"/>
  <c r="F319" i="2"/>
  <c r="D1105" i="2"/>
  <c r="D6" i="2"/>
  <c r="A679" i="2"/>
  <c r="H289" i="2"/>
  <c r="F1105" i="2"/>
  <c r="G152" i="2"/>
  <c r="A1105" i="2"/>
  <c r="C1387" i="2"/>
  <c r="C110" i="2"/>
  <c r="G557" i="2"/>
  <c r="B289" i="2"/>
  <c r="F1387" i="2"/>
  <c r="I6" i="2"/>
  <c r="G1105" i="2"/>
  <c r="D557" i="2"/>
  <c r="D679" i="2"/>
  <c r="G289" i="2"/>
  <c r="D1387" i="2"/>
  <c r="D690" i="2"/>
  <c r="I110" i="2"/>
  <c r="B1105" i="2"/>
  <c r="B1387" i="2"/>
  <c r="H679" i="2"/>
  <c r="I1105" i="2"/>
  <c r="F289" i="2"/>
  <c r="F152" i="2"/>
  <c r="A110" i="2"/>
  <c r="G1387" i="2"/>
  <c r="G6" i="2"/>
  <c r="I319" i="2"/>
  <c r="B690" i="2"/>
  <c r="A557" i="2"/>
  <c r="H886" i="2"/>
  <c r="C1068" i="2"/>
  <c r="G100" i="2"/>
  <c r="D801" i="2"/>
  <c r="G619" i="2"/>
  <c r="B1068" i="2"/>
  <c r="A1068" i="2"/>
  <c r="C335" i="2"/>
  <c r="I8" i="2"/>
  <c r="H335" i="2"/>
  <c r="D912" i="2"/>
  <c r="F619" i="2"/>
  <c r="D619" i="2"/>
  <c r="H801" i="2"/>
  <c r="F801" i="2"/>
  <c r="G1068" i="2"/>
  <c r="D642" i="2"/>
  <c r="I100" i="2"/>
  <c r="C886" i="2"/>
  <c r="C281" i="2"/>
  <c r="I912" i="2"/>
  <c r="A801" i="2"/>
  <c r="A912" i="2"/>
  <c r="D281" i="2"/>
  <c r="A8" i="2"/>
  <c r="H100" i="2"/>
  <c r="A100" i="2"/>
  <c r="H642" i="2"/>
  <c r="G886" i="2"/>
  <c r="G281" i="2"/>
  <c r="I642" i="2"/>
  <c r="H8" i="2"/>
  <c r="C619" i="2"/>
  <c r="I281" i="2"/>
  <c r="A886" i="2"/>
  <c r="H912" i="2"/>
  <c r="A642" i="2"/>
  <c r="B886" i="2"/>
  <c r="B619" i="2"/>
  <c r="F1068" i="2"/>
  <c r="G912" i="2"/>
  <c r="A619" i="2"/>
  <c r="G8" i="2"/>
  <c r="B912" i="2"/>
  <c r="F886" i="2"/>
  <c r="I1068" i="2"/>
  <c r="F642" i="2"/>
  <c r="D886" i="2"/>
  <c r="C642" i="2"/>
  <c r="G642" i="2"/>
  <c r="I801" i="2"/>
  <c r="B335" i="2"/>
  <c r="B8" i="2"/>
  <c r="D1068" i="2"/>
  <c r="C912" i="2"/>
  <c r="B100" i="2"/>
  <c r="F100" i="2"/>
  <c r="B801" i="2"/>
  <c r="C801" i="2"/>
  <c r="I335" i="2"/>
  <c r="F335" i="2"/>
  <c r="B281" i="2"/>
  <c r="A281" i="2"/>
  <c r="C100" i="2"/>
  <c r="D335" i="2"/>
  <c r="D8" i="2"/>
  <c r="F8" i="2"/>
  <c r="A335" i="2"/>
  <c r="H619" i="2"/>
  <c r="G335" i="2"/>
  <c r="H281" i="2"/>
  <c r="F281" i="2"/>
  <c r="F912" i="2"/>
  <c r="I619" i="2"/>
  <c r="I886" i="2"/>
  <c r="B642" i="2"/>
  <c r="C8" i="2"/>
  <c r="H1068" i="2"/>
  <c r="D100" i="2"/>
  <c r="G801" i="2"/>
  <c r="A445" i="2"/>
  <c r="A927" i="2"/>
  <c r="A271" i="2"/>
  <c r="D366" i="2"/>
  <c r="D445" i="2"/>
  <c r="C441" i="2"/>
  <c r="C907" i="2"/>
  <c r="H790" i="2"/>
  <c r="G445" i="2"/>
  <c r="D790" i="2"/>
  <c r="A441" i="2"/>
  <c r="G271" i="2"/>
  <c r="B366" i="2"/>
  <c r="C138" i="2"/>
  <c r="C790" i="2"/>
  <c r="H366" i="2"/>
  <c r="I726" i="2"/>
  <c r="G726" i="2"/>
  <c r="H907" i="2"/>
  <c r="D441" i="2"/>
  <c r="D907" i="2"/>
  <c r="F927" i="2"/>
  <c r="I138" i="2"/>
  <c r="H271" i="2"/>
  <c r="F726" i="2"/>
  <c r="I790" i="2"/>
  <c r="B927" i="2"/>
  <c r="G296" i="2"/>
  <c r="C445" i="2"/>
  <c r="I441" i="2"/>
  <c r="G366" i="2"/>
  <c r="C271" i="2"/>
  <c r="I366" i="2"/>
  <c r="D927" i="2"/>
  <c r="C296" i="2"/>
  <c r="H445" i="2"/>
  <c r="B445" i="2"/>
  <c r="B441" i="2"/>
  <c r="A907" i="2"/>
  <c r="C726" i="2"/>
  <c r="F441" i="2"/>
  <c r="B138" i="2"/>
  <c r="H726" i="2"/>
  <c r="C927" i="2"/>
  <c r="B907" i="2"/>
  <c r="D138" i="2"/>
  <c r="B726" i="2"/>
  <c r="F296" i="2"/>
  <c r="G790" i="2"/>
  <c r="I927" i="2"/>
  <c r="C366" i="2"/>
  <c r="F790" i="2"/>
  <c r="H138" i="2"/>
  <c r="B271" i="2"/>
  <c r="B296" i="2"/>
  <c r="D271" i="2"/>
  <c r="F907" i="2"/>
  <c r="F366" i="2"/>
  <c r="A138" i="2"/>
  <c r="F271" i="2"/>
  <c r="G907" i="2"/>
  <c r="H927" i="2"/>
  <c r="G138" i="2"/>
  <c r="D726" i="2"/>
  <c r="A790" i="2"/>
  <c r="H441" i="2"/>
  <c r="F445" i="2"/>
  <c r="H296" i="2"/>
  <c r="A296" i="2"/>
  <c r="D296" i="2"/>
  <c r="A726" i="2"/>
  <c r="A366" i="2"/>
  <c r="I296" i="2"/>
  <c r="G927" i="2"/>
  <c r="I445" i="2"/>
  <c r="B790" i="2"/>
  <c r="G441" i="2"/>
  <c r="I271" i="2"/>
  <c r="I907" i="2"/>
  <c r="F138" i="2"/>
  <c r="F1329" i="2"/>
  <c r="I937" i="2"/>
  <c r="D12" i="2"/>
  <c r="G382" i="2"/>
  <c r="G99" i="2"/>
  <c r="I99" i="2"/>
  <c r="B19" i="2"/>
  <c r="H834" i="2"/>
  <c r="I1329" i="2"/>
  <c r="F937" i="2"/>
  <c r="D995" i="2"/>
  <c r="G834" i="2"/>
  <c r="I382" i="2"/>
  <c r="B99" i="2"/>
  <c r="F834" i="2"/>
  <c r="B537" i="2"/>
  <c r="A834" i="2"/>
  <c r="G868" i="2"/>
  <c r="D537" i="2"/>
  <c r="F19" i="2"/>
  <c r="H19" i="2"/>
  <c r="I19" i="2"/>
  <c r="C995" i="2"/>
  <c r="D937" i="2"/>
  <c r="D382" i="2"/>
  <c r="C12" i="2"/>
  <c r="D19" i="2"/>
  <c r="B834" i="2"/>
  <c r="C868" i="2"/>
  <c r="H382" i="2"/>
  <c r="H995" i="2"/>
  <c r="A382" i="2"/>
  <c r="D868" i="2"/>
  <c r="F537" i="2"/>
  <c r="C19" i="2"/>
  <c r="H1329" i="2"/>
  <c r="B937" i="2"/>
  <c r="A1329" i="2"/>
  <c r="H12" i="2"/>
  <c r="B1329" i="2"/>
  <c r="C1329" i="2"/>
  <c r="F382" i="2"/>
  <c r="B12" i="2"/>
  <c r="H937" i="2"/>
  <c r="B382" i="2"/>
  <c r="A12" i="2"/>
  <c r="F868" i="2"/>
  <c r="I537" i="2"/>
  <c r="B868" i="2"/>
  <c r="G995" i="2"/>
  <c r="I995" i="2"/>
  <c r="H537" i="2"/>
  <c r="H868" i="2"/>
  <c r="C537" i="2"/>
  <c r="A537" i="2"/>
  <c r="I868" i="2"/>
  <c r="A99" i="2"/>
  <c r="F12" i="2"/>
  <c r="A19" i="2"/>
  <c r="H99" i="2"/>
  <c r="G1329" i="2"/>
  <c r="G12" i="2"/>
  <c r="D99" i="2"/>
  <c r="C99" i="2"/>
  <c r="F995" i="2"/>
  <c r="C937" i="2"/>
  <c r="G937" i="2"/>
  <c r="D834" i="2"/>
  <c r="I834" i="2"/>
  <c r="G19" i="2"/>
  <c r="A995" i="2"/>
  <c r="G537" i="2"/>
  <c r="F99" i="2"/>
  <c r="B995" i="2"/>
  <c r="A868" i="2"/>
  <c r="D1329" i="2"/>
  <c r="A937" i="2"/>
  <c r="C382" i="2"/>
  <c r="C834" i="2"/>
  <c r="I12" i="2"/>
  <c r="B519" i="2"/>
  <c r="I1268" i="2"/>
  <c r="A338" i="2"/>
  <c r="F519" i="2"/>
  <c r="H249" i="2"/>
  <c r="G519" i="2"/>
  <c r="B866" i="2"/>
  <c r="C1005" i="2"/>
  <c r="A475" i="2"/>
  <c r="A1268" i="2"/>
  <c r="G866" i="2"/>
  <c r="C338" i="2"/>
  <c r="G264" i="2"/>
  <c r="H1005" i="2"/>
  <c r="D116" i="2"/>
  <c r="G1268" i="2"/>
  <c r="A249" i="2"/>
  <c r="B249" i="2"/>
  <c r="I116" i="2"/>
  <c r="I475" i="2"/>
  <c r="A116" i="2"/>
  <c r="I264" i="2"/>
  <c r="B475" i="2"/>
  <c r="A866" i="2"/>
  <c r="B1078" i="2"/>
  <c r="D249" i="2"/>
  <c r="F264" i="2"/>
  <c r="D264" i="2"/>
  <c r="I866" i="2"/>
  <c r="G1078" i="2"/>
  <c r="C264" i="2"/>
  <c r="A1005" i="2"/>
  <c r="B116" i="2"/>
  <c r="B1268" i="2"/>
  <c r="B338" i="2"/>
  <c r="H1078" i="2"/>
  <c r="F1078" i="2"/>
  <c r="A519" i="2"/>
  <c r="C519" i="2"/>
  <c r="I1078" i="2"/>
  <c r="F116" i="2"/>
  <c r="I519" i="2"/>
  <c r="H264" i="2"/>
  <c r="D475" i="2"/>
  <c r="D1268" i="2"/>
  <c r="H866" i="2"/>
  <c r="I249" i="2"/>
  <c r="D338" i="2"/>
  <c r="G1005" i="2"/>
  <c r="F475" i="2"/>
  <c r="C116" i="2"/>
  <c r="B264" i="2"/>
  <c r="F866" i="2"/>
  <c r="C1268" i="2"/>
  <c r="I338" i="2"/>
  <c r="H475" i="2"/>
  <c r="F1005" i="2"/>
  <c r="C249" i="2"/>
  <c r="G338" i="2"/>
  <c r="A1078" i="2"/>
  <c r="C1078" i="2"/>
  <c r="D866" i="2"/>
  <c r="F1268" i="2"/>
  <c r="I1005" i="2"/>
  <c r="H338" i="2"/>
  <c r="G116" i="2"/>
  <c r="D519" i="2"/>
  <c r="B1005" i="2"/>
  <c r="G249" i="2"/>
  <c r="C866" i="2"/>
  <c r="D1005" i="2"/>
  <c r="D1078" i="2"/>
  <c r="H116" i="2"/>
  <c r="F249" i="2"/>
  <c r="H1268" i="2"/>
  <c r="F338" i="2"/>
  <c r="A264" i="2"/>
  <c r="G475" i="2"/>
  <c r="C475" i="2"/>
  <c r="H519" i="2"/>
  <c r="B1033" i="2"/>
  <c r="H1067" i="2"/>
  <c r="B10" i="2"/>
  <c r="A1067" i="2"/>
  <c r="F186" i="2"/>
  <c r="C20" i="2"/>
  <c r="B727" i="2"/>
  <c r="G1379" i="2"/>
  <c r="D1379" i="2"/>
  <c r="F1033" i="2"/>
  <c r="A186" i="2"/>
  <c r="B20" i="2"/>
  <c r="G20" i="2"/>
  <c r="D502" i="2"/>
  <c r="I10" i="2"/>
  <c r="D20" i="2"/>
  <c r="D10" i="2"/>
  <c r="D727" i="2"/>
  <c r="F20" i="2"/>
  <c r="G727" i="2"/>
  <c r="B502" i="2"/>
  <c r="D904" i="2"/>
  <c r="H1379" i="2"/>
  <c r="I186" i="2"/>
  <c r="A10" i="2"/>
  <c r="A20" i="2"/>
  <c r="C727" i="2"/>
  <c r="F727" i="2"/>
  <c r="A1379" i="2"/>
  <c r="C1067" i="2"/>
  <c r="B1067" i="2"/>
  <c r="I20" i="2"/>
  <c r="F10" i="2"/>
  <c r="F502" i="2"/>
  <c r="I1379" i="2"/>
  <c r="A924" i="2"/>
  <c r="G924" i="2"/>
  <c r="D1033" i="2"/>
  <c r="C1379" i="2"/>
  <c r="D186" i="2"/>
  <c r="G186" i="2"/>
  <c r="G904" i="2"/>
  <c r="B924" i="2"/>
  <c r="A1033" i="2"/>
  <c r="C904" i="2"/>
  <c r="I1067" i="2"/>
  <c r="G1067" i="2"/>
  <c r="F904" i="2"/>
  <c r="H1033" i="2"/>
  <c r="C186" i="2"/>
  <c r="G10" i="2"/>
  <c r="I502" i="2"/>
  <c r="F924" i="2"/>
  <c r="H727" i="2"/>
  <c r="B904" i="2"/>
  <c r="B1379" i="2"/>
  <c r="H502" i="2"/>
  <c r="G502" i="2"/>
  <c r="H10" i="2"/>
  <c r="C1033" i="2"/>
  <c r="H186" i="2"/>
  <c r="H924" i="2"/>
  <c r="F1067" i="2"/>
  <c r="I904" i="2"/>
  <c r="A727" i="2"/>
  <c r="G1033" i="2"/>
  <c r="H904" i="2"/>
  <c r="C502" i="2"/>
  <c r="I924" i="2"/>
  <c r="D924" i="2"/>
  <c r="I727" i="2"/>
  <c r="F1379" i="2"/>
  <c r="B186" i="2"/>
  <c r="I1033" i="2"/>
  <c r="C924" i="2"/>
  <c r="A502" i="2"/>
  <c r="A904" i="2"/>
  <c r="C10" i="2"/>
  <c r="D1067" i="2"/>
  <c r="H20" i="2"/>
  <c r="G174" i="2"/>
  <c r="B363" i="2"/>
  <c r="B314" i="2"/>
  <c r="D174" i="2"/>
  <c r="F348" i="2"/>
  <c r="I892" i="2"/>
  <c r="F363" i="2"/>
  <c r="A852" i="2"/>
  <c r="I852" i="2"/>
  <c r="I363" i="2"/>
  <c r="F892" i="2"/>
  <c r="C413" i="2"/>
  <c r="H413" i="2"/>
  <c r="D363" i="2"/>
  <c r="G1041" i="2"/>
  <c r="D413" i="2"/>
  <c r="H314" i="2"/>
  <c r="I413" i="2"/>
  <c r="F314" i="2"/>
  <c r="C1016" i="2"/>
  <c r="A1016" i="2"/>
  <c r="F413" i="2"/>
  <c r="B1016" i="2"/>
  <c r="G1016" i="2"/>
  <c r="C1041" i="2"/>
  <c r="B852" i="2"/>
  <c r="C314" i="2"/>
  <c r="A892" i="2"/>
  <c r="B1031" i="2"/>
  <c r="B174" i="2"/>
  <c r="F1016" i="2"/>
  <c r="G852" i="2"/>
  <c r="G1031" i="2"/>
  <c r="D1016" i="2"/>
  <c r="C852" i="2"/>
  <c r="H363" i="2"/>
  <c r="A174" i="2"/>
  <c r="H852" i="2"/>
  <c r="H174" i="2"/>
  <c r="A1041" i="2"/>
  <c r="H1041" i="2"/>
  <c r="D1041" i="2"/>
  <c r="D892" i="2"/>
  <c r="F1031" i="2"/>
  <c r="D314" i="2"/>
  <c r="H348" i="2"/>
  <c r="H892" i="2"/>
  <c r="C1031" i="2"/>
  <c r="I1016" i="2"/>
  <c r="A1031" i="2"/>
  <c r="D348" i="2"/>
  <c r="A363" i="2"/>
  <c r="G892" i="2"/>
  <c r="C892" i="2"/>
  <c r="G348" i="2"/>
  <c r="C363" i="2"/>
  <c r="A314" i="2"/>
  <c r="F1041" i="2"/>
  <c r="D1031" i="2"/>
  <c r="D852" i="2"/>
  <c r="G413" i="2"/>
  <c r="I174" i="2"/>
  <c r="G314" i="2"/>
  <c r="I348" i="2"/>
  <c r="A348" i="2"/>
  <c r="B348" i="2"/>
  <c r="C174" i="2"/>
  <c r="H1031" i="2"/>
  <c r="A413" i="2"/>
  <c r="B1041" i="2"/>
  <c r="C348" i="2"/>
  <c r="B413" i="2"/>
  <c r="H1016" i="2"/>
  <c r="I1041" i="2"/>
  <c r="B892" i="2"/>
  <c r="I1031" i="2"/>
  <c r="F174" i="2"/>
  <c r="F852" i="2"/>
  <c r="I314" i="2"/>
  <c r="G363" i="2"/>
  <c r="F589" i="2"/>
  <c r="D460" i="2"/>
  <c r="I480" i="2"/>
  <c r="G266" i="2"/>
  <c r="C460" i="2"/>
  <c r="G733" i="2"/>
  <c r="H303" i="2"/>
  <c r="I725" i="2"/>
  <c r="H266" i="2"/>
  <c r="H480" i="2"/>
  <c r="C480" i="2"/>
  <c r="F303" i="2"/>
  <c r="I733" i="2"/>
  <c r="F1118" i="2"/>
  <c r="D266" i="2"/>
  <c r="H1118" i="2"/>
  <c r="A460" i="2"/>
  <c r="B589" i="2"/>
  <c r="B303" i="2"/>
  <c r="F460" i="2"/>
  <c r="A303" i="2"/>
  <c r="G480" i="2"/>
  <c r="B460" i="2"/>
  <c r="C725" i="2"/>
  <c r="B909" i="2"/>
  <c r="C1118" i="2"/>
  <c r="I589" i="2"/>
  <c r="C589" i="2"/>
  <c r="I879" i="2"/>
  <c r="F266" i="2"/>
  <c r="F879" i="2"/>
  <c r="I303" i="2"/>
  <c r="D909" i="2"/>
  <c r="F725" i="2"/>
  <c r="D1118" i="2"/>
  <c r="B725" i="2"/>
  <c r="H909" i="2"/>
  <c r="G303" i="2"/>
  <c r="H879" i="2"/>
  <c r="B733" i="2"/>
  <c r="A909" i="2"/>
  <c r="B1118" i="2"/>
  <c r="I460" i="2"/>
  <c r="G725" i="2"/>
  <c r="C733" i="2"/>
  <c r="H725" i="2"/>
  <c r="F480" i="2"/>
  <c r="H589" i="2"/>
  <c r="B879" i="2"/>
  <c r="F733" i="2"/>
  <c r="A1118" i="2"/>
  <c r="I909" i="2"/>
  <c r="B480" i="2"/>
  <c r="D733" i="2"/>
  <c r="D725" i="2"/>
  <c r="G879" i="2"/>
  <c r="G909" i="2"/>
  <c r="D480" i="2"/>
  <c r="B266" i="2"/>
  <c r="A589" i="2"/>
  <c r="G1118" i="2"/>
  <c r="D303" i="2"/>
  <c r="A733" i="2"/>
  <c r="A266" i="2"/>
  <c r="C266" i="2"/>
  <c r="H460" i="2"/>
  <c r="C909" i="2"/>
  <c r="C879" i="2"/>
  <c r="A879" i="2"/>
  <c r="G589" i="2"/>
  <c r="D879" i="2"/>
  <c r="A480" i="2"/>
  <c r="C303" i="2"/>
  <c r="F909" i="2"/>
  <c r="I266" i="2"/>
  <c r="A725" i="2"/>
  <c r="D589" i="2"/>
  <c r="H733" i="2"/>
  <c r="I1118" i="2"/>
  <c r="G460" i="2"/>
  <c r="D767" i="2"/>
  <c r="G563" i="2"/>
  <c r="A563" i="2"/>
  <c r="C1110" i="2"/>
  <c r="D1331" i="2"/>
  <c r="F870" i="2"/>
  <c r="I870" i="2"/>
  <c r="G617" i="2"/>
  <c r="F86" i="2"/>
  <c r="H1331" i="2"/>
  <c r="G1110" i="2"/>
  <c r="C86" i="2"/>
  <c r="A767" i="2"/>
  <c r="F617" i="2"/>
  <c r="H870" i="2"/>
  <c r="B86" i="2"/>
  <c r="D1110" i="2"/>
  <c r="D730" i="2"/>
  <c r="G767" i="2"/>
  <c r="G555" i="2"/>
  <c r="I730" i="2"/>
  <c r="H730" i="2"/>
  <c r="H617" i="2"/>
  <c r="C1085" i="2"/>
  <c r="A555" i="2"/>
  <c r="G1085" i="2"/>
  <c r="B555" i="2"/>
  <c r="B1110" i="2"/>
  <c r="C730" i="2"/>
  <c r="I1331" i="2"/>
  <c r="B767" i="2"/>
  <c r="I555" i="2"/>
  <c r="F555" i="2"/>
  <c r="A1085" i="2"/>
  <c r="B1085" i="2"/>
  <c r="B563" i="2"/>
  <c r="A86" i="2"/>
  <c r="H86" i="2"/>
  <c r="C563" i="2"/>
  <c r="D86" i="2"/>
  <c r="I1085" i="2"/>
  <c r="C767" i="2"/>
  <c r="B730" i="2"/>
  <c r="B617" i="2"/>
  <c r="H555" i="2"/>
  <c r="A1110" i="2"/>
  <c r="A730" i="2"/>
  <c r="D1085" i="2"/>
  <c r="B1331" i="2"/>
  <c r="D563" i="2"/>
  <c r="C1331" i="2"/>
  <c r="G870" i="2"/>
  <c r="B870" i="2"/>
  <c r="C870" i="2"/>
  <c r="G86" i="2"/>
  <c r="F730" i="2"/>
  <c r="D617" i="2"/>
  <c r="F1331" i="2"/>
  <c r="F767" i="2"/>
  <c r="A617" i="2"/>
  <c r="I617" i="2"/>
  <c r="F1085" i="2"/>
  <c r="I563" i="2"/>
  <c r="G1331" i="2"/>
  <c r="H563" i="2"/>
  <c r="D870" i="2"/>
  <c r="H767" i="2"/>
  <c r="D555" i="2"/>
  <c r="H1110" i="2"/>
  <c r="I1110" i="2"/>
  <c r="C555" i="2"/>
  <c r="H1085" i="2"/>
  <c r="G730" i="2"/>
  <c r="A870" i="2"/>
  <c r="F1110" i="2"/>
  <c r="I86" i="2"/>
  <c r="A1331" i="2"/>
  <c r="F563" i="2"/>
  <c r="I767" i="2"/>
  <c r="C617" i="2"/>
  <c r="H1271" i="2"/>
  <c r="H793" i="2"/>
  <c r="D659" i="2"/>
  <c r="F662" i="2"/>
  <c r="F402" i="2"/>
  <c r="I1271" i="2"/>
  <c r="D785" i="2"/>
  <c r="G662" i="2"/>
  <c r="H17" i="2"/>
  <c r="B1271" i="2"/>
  <c r="A662" i="2"/>
  <c r="D1271" i="2"/>
  <c r="A793" i="2"/>
  <c r="G659" i="2"/>
  <c r="F17" i="2"/>
  <c r="I844" i="2"/>
  <c r="F600" i="2"/>
  <c r="I785" i="2"/>
  <c r="B17" i="2"/>
  <c r="A1271" i="2"/>
  <c r="H659" i="2"/>
  <c r="D17" i="2"/>
  <c r="C662" i="2"/>
  <c r="A402" i="2"/>
  <c r="A844" i="2"/>
  <c r="D431" i="2"/>
  <c r="G431" i="2"/>
  <c r="C431" i="2"/>
  <c r="F793" i="2"/>
  <c r="B431" i="2"/>
  <c r="G785" i="2"/>
  <c r="B793" i="2"/>
  <c r="B662" i="2"/>
  <c r="F1271" i="2"/>
  <c r="D600" i="2"/>
  <c r="I662" i="2"/>
  <c r="D402" i="2"/>
  <c r="I659" i="2"/>
  <c r="G793" i="2"/>
  <c r="F844" i="2"/>
  <c r="I600" i="2"/>
  <c r="A431" i="2"/>
  <c r="B402" i="2"/>
  <c r="F659" i="2"/>
  <c r="I17" i="2"/>
  <c r="F785" i="2"/>
  <c r="C659" i="2"/>
  <c r="A600" i="2"/>
  <c r="H662" i="2"/>
  <c r="H402" i="2"/>
  <c r="C785" i="2"/>
  <c r="G600" i="2"/>
  <c r="G17" i="2"/>
  <c r="C402" i="2"/>
  <c r="A785" i="2"/>
  <c r="G402" i="2"/>
  <c r="B844" i="2"/>
  <c r="B785" i="2"/>
  <c r="H844" i="2"/>
  <c r="D793" i="2"/>
  <c r="F431" i="2"/>
  <c r="C600" i="2"/>
  <c r="C844" i="2"/>
  <c r="G844" i="2"/>
  <c r="C1271" i="2"/>
  <c r="H600" i="2"/>
  <c r="I793" i="2"/>
  <c r="I431" i="2"/>
  <c r="B659" i="2"/>
  <c r="A17" i="2"/>
  <c r="I402" i="2"/>
  <c r="D662" i="2"/>
  <c r="G1271" i="2"/>
  <c r="C17" i="2"/>
  <c r="H785" i="2"/>
  <c r="C793" i="2"/>
  <c r="B600" i="2"/>
  <c r="D844" i="2"/>
  <c r="H431" i="2"/>
  <c r="A659" i="2"/>
  <c r="D929" i="2"/>
  <c r="A543" i="2"/>
  <c r="B1276" i="2"/>
  <c r="C929" i="2"/>
  <c r="I955" i="2"/>
  <c r="G929" i="2"/>
  <c r="H1276" i="2"/>
  <c r="A988" i="2"/>
  <c r="B929" i="2"/>
  <c r="D32" i="2"/>
  <c r="D1276" i="2"/>
  <c r="D1185" i="2"/>
  <c r="B32" i="2"/>
  <c r="C1003" i="2"/>
  <c r="G1276" i="2"/>
  <c r="I145" i="2"/>
  <c r="C182" i="2"/>
  <c r="H988" i="2"/>
  <c r="G955" i="2"/>
  <c r="G182" i="2"/>
  <c r="G1003" i="2"/>
  <c r="B988" i="2"/>
  <c r="B1185" i="2"/>
  <c r="H929" i="2"/>
  <c r="I1185" i="2"/>
  <c r="D543" i="2"/>
  <c r="I988" i="2"/>
  <c r="G543" i="2"/>
  <c r="G32" i="2"/>
  <c r="B955" i="2"/>
  <c r="A32" i="2"/>
  <c r="H182" i="2"/>
  <c r="H1003" i="2"/>
  <c r="H955" i="2"/>
  <c r="C955" i="2"/>
  <c r="F988" i="2"/>
  <c r="H32" i="2"/>
  <c r="A182" i="2"/>
  <c r="F32" i="2"/>
  <c r="H145" i="2"/>
  <c r="H1185" i="2"/>
  <c r="C145" i="2"/>
  <c r="I929" i="2"/>
  <c r="C1185" i="2"/>
  <c r="G1185" i="2"/>
  <c r="G988" i="2"/>
  <c r="I543" i="2"/>
  <c r="C988" i="2"/>
  <c r="H543" i="2"/>
  <c r="A1185" i="2"/>
  <c r="D1003" i="2"/>
  <c r="C1276" i="2"/>
  <c r="B145" i="2"/>
  <c r="A929" i="2"/>
  <c r="F145" i="2"/>
  <c r="F1003" i="2"/>
  <c r="A955" i="2"/>
  <c r="I1276" i="2"/>
  <c r="B182" i="2"/>
  <c r="F182" i="2"/>
  <c r="A1276" i="2"/>
  <c r="B1003" i="2"/>
  <c r="D955" i="2"/>
  <c r="I1003" i="2"/>
  <c r="A145" i="2"/>
  <c r="C543" i="2"/>
  <c r="D182" i="2"/>
  <c r="C32" i="2"/>
  <c r="G145" i="2"/>
  <c r="F543" i="2"/>
  <c r="I32" i="2"/>
  <c r="B543" i="2"/>
  <c r="D988" i="2"/>
  <c r="A1003" i="2"/>
  <c r="F929" i="2"/>
  <c r="F1185" i="2"/>
  <c r="F1276" i="2"/>
  <c r="D145" i="2"/>
  <c r="I182" i="2"/>
  <c r="F955" i="2"/>
  <c r="B660" i="2"/>
  <c r="C948" i="2"/>
  <c r="F948" i="2"/>
  <c r="A683" i="2"/>
  <c r="D623" i="2"/>
  <c r="I1091" i="2"/>
  <c r="F623" i="2"/>
  <c r="H948" i="2"/>
  <c r="H660" i="2"/>
  <c r="A1165" i="2"/>
  <c r="G409" i="2"/>
  <c r="G128" i="2"/>
  <c r="F610" i="2"/>
  <c r="D948" i="2"/>
  <c r="C610" i="2"/>
  <c r="H409" i="2"/>
  <c r="B623" i="2"/>
  <c r="G1091" i="2"/>
  <c r="F683" i="2"/>
  <c r="D409" i="2"/>
  <c r="I128" i="2"/>
  <c r="C683" i="2"/>
  <c r="C623" i="2"/>
  <c r="B553" i="2"/>
  <c r="A948" i="2"/>
  <c r="I1165" i="2"/>
  <c r="F1165" i="2"/>
  <c r="I683" i="2"/>
  <c r="D128" i="2"/>
  <c r="C553" i="2"/>
  <c r="B610" i="2"/>
  <c r="D660" i="2"/>
  <c r="H610" i="2"/>
  <c r="A610" i="2"/>
  <c r="G610" i="2"/>
  <c r="G660" i="2"/>
  <c r="A128" i="2"/>
  <c r="G948" i="2"/>
  <c r="I660" i="2"/>
  <c r="F553" i="2"/>
  <c r="F128" i="2"/>
  <c r="D553" i="2"/>
  <c r="A553" i="2"/>
  <c r="B1091" i="2"/>
  <c r="I553" i="2"/>
  <c r="I623" i="2"/>
  <c r="F409" i="2"/>
  <c r="B1165" i="2"/>
  <c r="H1091" i="2"/>
  <c r="G623" i="2"/>
  <c r="H683" i="2"/>
  <c r="H553" i="2"/>
  <c r="A1091" i="2"/>
  <c r="I409" i="2"/>
  <c r="G1165" i="2"/>
  <c r="C660" i="2"/>
  <c r="G683" i="2"/>
  <c r="H1165" i="2"/>
  <c r="C1091" i="2"/>
  <c r="A660" i="2"/>
  <c r="F1091" i="2"/>
  <c r="D610" i="2"/>
  <c r="B128" i="2"/>
  <c r="B948" i="2"/>
  <c r="C128" i="2"/>
  <c r="D683" i="2"/>
  <c r="D1165" i="2"/>
  <c r="C409" i="2"/>
  <c r="A623" i="2"/>
  <c r="B409" i="2"/>
  <c r="C1165" i="2"/>
  <c r="I948" i="2"/>
  <c r="D1091" i="2"/>
  <c r="A409" i="2"/>
  <c r="I610" i="2"/>
  <c r="G553" i="2"/>
  <c r="H623" i="2"/>
  <c r="B683" i="2"/>
  <c r="F660" i="2"/>
  <c r="H128" i="2"/>
  <c r="F428" i="2"/>
  <c r="D1103" i="2"/>
  <c r="C1290" i="2"/>
  <c r="B14" i="2"/>
  <c r="F1290" i="2"/>
  <c r="H1013" i="2"/>
  <c r="F340" i="2"/>
  <c r="B1248" i="2"/>
  <c r="B1290" i="2"/>
  <c r="F1248" i="2"/>
  <c r="A14" i="2"/>
  <c r="A469" i="2"/>
  <c r="B842" i="2"/>
  <c r="G340" i="2"/>
  <c r="H1103" i="2"/>
  <c r="H14" i="2"/>
  <c r="A1290" i="2"/>
  <c r="H1290" i="2"/>
  <c r="B791" i="2"/>
  <c r="A1013" i="2"/>
  <c r="G1103" i="2"/>
  <c r="B1013" i="2"/>
  <c r="F1103" i="2"/>
  <c r="H842" i="2"/>
  <c r="D428" i="2"/>
  <c r="C428" i="2"/>
  <c r="I14" i="2"/>
  <c r="C842" i="2"/>
  <c r="F469" i="2"/>
  <c r="G428" i="2"/>
  <c r="F1013" i="2"/>
  <c r="C340" i="2"/>
  <c r="D1290" i="2"/>
  <c r="A1103" i="2"/>
  <c r="A340" i="2"/>
  <c r="A842" i="2"/>
  <c r="G469" i="2"/>
  <c r="D791" i="2"/>
  <c r="A1248" i="2"/>
  <c r="I1103" i="2"/>
  <c r="I842" i="2"/>
  <c r="F791" i="2"/>
  <c r="B1103" i="2"/>
  <c r="I1248" i="2"/>
  <c r="F842" i="2"/>
  <c r="G842" i="2"/>
  <c r="H340" i="2"/>
  <c r="D340" i="2"/>
  <c r="F14" i="2"/>
  <c r="C1248" i="2"/>
  <c r="C14" i="2"/>
  <c r="G791" i="2"/>
  <c r="H428" i="2"/>
  <c r="C791" i="2"/>
  <c r="I1013" i="2"/>
  <c r="A428" i="2"/>
  <c r="D1248" i="2"/>
  <c r="I791" i="2"/>
  <c r="C1013" i="2"/>
  <c r="G1248" i="2"/>
  <c r="C469" i="2"/>
  <c r="A791" i="2"/>
  <c r="I340" i="2"/>
  <c r="I428" i="2"/>
  <c r="G14" i="2"/>
  <c r="D469" i="2"/>
  <c r="G1290" i="2"/>
  <c r="H469" i="2"/>
  <c r="I469" i="2"/>
  <c r="G1013" i="2"/>
  <c r="B428" i="2"/>
  <c r="B469" i="2"/>
  <c r="D842" i="2"/>
  <c r="B340" i="2"/>
  <c r="D1013" i="2"/>
  <c r="D14" i="2"/>
  <c r="C1103" i="2"/>
  <c r="H1248" i="2"/>
  <c r="H791" i="2"/>
  <c r="I1290" i="2"/>
  <c r="G344" i="2"/>
  <c r="F361" i="2"/>
  <c r="F199" i="2"/>
  <c r="A764" i="2"/>
  <c r="B1061" i="2"/>
  <c r="C1235" i="2"/>
  <c r="I750" i="2"/>
  <c r="I926" i="2"/>
  <c r="F764" i="2"/>
  <c r="I527" i="2"/>
  <c r="I1235" i="2"/>
  <c r="I344" i="2"/>
  <c r="G764" i="2"/>
  <c r="I764" i="2"/>
  <c r="H750" i="2"/>
  <c r="A1235" i="2"/>
  <c r="I199" i="2"/>
  <c r="D764" i="2"/>
  <c r="D1061" i="2"/>
  <c r="G1235" i="2"/>
  <c r="C1402" i="2"/>
  <c r="G199" i="2"/>
  <c r="A361" i="2"/>
  <c r="F1235" i="2"/>
  <c r="A344" i="2"/>
  <c r="H344" i="2"/>
  <c r="D344" i="2"/>
  <c r="D527" i="2"/>
  <c r="H361" i="2"/>
  <c r="F1402" i="2"/>
  <c r="H1402" i="2"/>
  <c r="H527" i="2"/>
  <c r="I1061" i="2"/>
  <c r="C361" i="2"/>
  <c r="A199" i="2"/>
  <c r="C344" i="2"/>
  <c r="B1402" i="2"/>
  <c r="H926" i="2"/>
  <c r="G750" i="2"/>
  <c r="A926" i="2"/>
  <c r="F750" i="2"/>
  <c r="G1402" i="2"/>
  <c r="D1235" i="2"/>
  <c r="A750" i="2"/>
  <c r="H764" i="2"/>
  <c r="D926" i="2"/>
  <c r="B361" i="2"/>
  <c r="F527" i="2"/>
  <c r="B527" i="2"/>
  <c r="D1402" i="2"/>
  <c r="B926" i="2"/>
  <c r="G361" i="2"/>
  <c r="D750" i="2"/>
  <c r="D361" i="2"/>
  <c r="A527" i="2"/>
  <c r="G527" i="2"/>
  <c r="A1061" i="2"/>
  <c r="B199" i="2"/>
  <c r="D199" i="2"/>
  <c r="C1061" i="2"/>
  <c r="B1235" i="2"/>
  <c r="C199" i="2"/>
  <c r="F344" i="2"/>
  <c r="G1061" i="2"/>
  <c r="F926" i="2"/>
  <c r="C764" i="2"/>
  <c r="F1061" i="2"/>
  <c r="G926" i="2"/>
  <c r="B750" i="2"/>
  <c r="I1402" i="2"/>
  <c r="C926" i="2"/>
  <c r="H199" i="2"/>
  <c r="B764" i="2"/>
  <c r="A1402" i="2"/>
  <c r="B344" i="2"/>
  <c r="C527" i="2"/>
  <c r="H1061" i="2"/>
  <c r="I361" i="2"/>
  <c r="H1235" i="2"/>
  <c r="C750" i="2"/>
  <c r="D1080" i="2"/>
  <c r="H1049" i="2"/>
  <c r="A797" i="2"/>
  <c r="G1028" i="2"/>
  <c r="F856" i="2"/>
  <c r="C1080" i="2"/>
  <c r="C479" i="2"/>
  <c r="C539" i="2"/>
  <c r="B1049" i="2"/>
  <c r="H1080" i="2"/>
  <c r="G797" i="2"/>
  <c r="F1080" i="2"/>
  <c r="C797" i="2"/>
  <c r="B694" i="2"/>
  <c r="A235" i="2"/>
  <c r="H235" i="2"/>
  <c r="A451" i="2"/>
  <c r="A1028" i="2"/>
  <c r="I451" i="2"/>
  <c r="H451" i="2"/>
  <c r="B797" i="2"/>
  <c r="G539" i="2"/>
  <c r="F539" i="2"/>
  <c r="C1049" i="2"/>
  <c r="F797" i="2"/>
  <c r="B479" i="2"/>
  <c r="C1028" i="2"/>
  <c r="B856" i="2"/>
  <c r="B451" i="2"/>
  <c r="F479" i="2"/>
  <c r="F1049" i="2"/>
  <c r="I479" i="2"/>
  <c r="I856" i="2"/>
  <c r="I797" i="2"/>
  <c r="D856" i="2"/>
  <c r="G856" i="2"/>
  <c r="C235" i="2"/>
  <c r="G1049" i="2"/>
  <c r="B1028" i="2"/>
  <c r="G1080" i="2"/>
  <c r="H694" i="2"/>
  <c r="A479" i="2"/>
  <c r="D235" i="2"/>
  <c r="F694" i="2"/>
  <c r="F1028" i="2"/>
  <c r="C856" i="2"/>
  <c r="H539" i="2"/>
  <c r="B539" i="2"/>
  <c r="D451" i="2"/>
  <c r="I1028" i="2"/>
  <c r="A539" i="2"/>
  <c r="D479" i="2"/>
  <c r="H797" i="2"/>
  <c r="A694" i="2"/>
  <c r="F451" i="2"/>
  <c r="H856" i="2"/>
  <c r="G451" i="2"/>
  <c r="B1080" i="2"/>
  <c r="B235" i="2"/>
  <c r="H1028" i="2"/>
  <c r="I235" i="2"/>
  <c r="G694" i="2"/>
  <c r="I1049" i="2"/>
  <c r="I694" i="2"/>
  <c r="G235" i="2"/>
  <c r="D694" i="2"/>
  <c r="I539" i="2"/>
  <c r="A1049" i="2"/>
  <c r="A1080" i="2"/>
  <c r="H479" i="2"/>
  <c r="D539" i="2"/>
  <c r="D1028" i="2"/>
  <c r="A856" i="2"/>
  <c r="F235" i="2"/>
  <c r="D1049" i="2"/>
  <c r="I1080" i="2"/>
  <c r="C451" i="2"/>
  <c r="D797" i="2"/>
  <c r="G479" i="2"/>
  <c r="C694" i="2"/>
  <c r="G1174" i="2"/>
  <c r="G1219" i="2"/>
  <c r="H1174" i="2"/>
  <c r="G1244" i="2"/>
  <c r="H1214" i="2"/>
  <c r="H1244" i="2"/>
  <c r="H1144" i="2"/>
  <c r="H1239" i="2"/>
  <c r="H1154" i="2"/>
  <c r="F1219" i="2"/>
  <c r="F1269" i="2"/>
  <c r="F1214" i="2"/>
  <c r="H1274" i="2"/>
  <c r="G1144" i="2"/>
  <c r="G1274" i="2"/>
  <c r="F1189" i="2"/>
  <c r="F1239" i="2"/>
  <c r="H1269" i="2"/>
  <c r="G1239" i="2"/>
  <c r="F1274" i="2"/>
  <c r="H1189" i="2"/>
  <c r="G1154" i="2"/>
  <c r="G1189" i="2"/>
  <c r="F1144" i="2"/>
  <c r="G1214" i="2"/>
  <c r="H1219" i="2"/>
  <c r="F1244" i="2"/>
  <c r="G1269" i="2"/>
  <c r="F1174" i="2"/>
  <c r="F1154" i="2"/>
  <c r="D1014" i="2"/>
  <c r="C1258" i="2"/>
  <c r="G1029" i="2"/>
  <c r="A717" i="2"/>
  <c r="A1258" i="2"/>
  <c r="F1161" i="2"/>
  <c r="D1258" i="2"/>
  <c r="I1024" i="2"/>
  <c r="F1014" i="2"/>
  <c r="H1258" i="2"/>
  <c r="H1029" i="2"/>
  <c r="B1029" i="2"/>
  <c r="B1258" i="2"/>
  <c r="D1024" i="2"/>
  <c r="G1161" i="2"/>
  <c r="H1161" i="2"/>
  <c r="F717" i="2"/>
  <c r="A248" i="2"/>
  <c r="I1014" i="2"/>
  <c r="F556" i="2"/>
  <c r="A1024" i="2"/>
  <c r="H1024" i="2"/>
  <c r="C1158" i="2"/>
  <c r="B1161" i="2"/>
  <c r="H717" i="2"/>
  <c r="C806" i="2"/>
  <c r="C717" i="2"/>
  <c r="D1029" i="2"/>
  <c r="C1029" i="2"/>
  <c r="I556" i="2"/>
  <c r="C1024" i="2"/>
  <c r="C1161" i="2"/>
  <c r="B556" i="2"/>
  <c r="G556" i="2"/>
  <c r="I248" i="2"/>
  <c r="D1161" i="2"/>
  <c r="A556" i="2"/>
  <c r="D717" i="2"/>
  <c r="B806" i="2"/>
  <c r="H806" i="2"/>
  <c r="B1158" i="2"/>
  <c r="B1024" i="2"/>
  <c r="B1014" i="2"/>
  <c r="H248" i="2"/>
  <c r="H1014" i="2"/>
  <c r="I806" i="2"/>
  <c r="C248" i="2"/>
  <c r="C556" i="2"/>
  <c r="G1158" i="2"/>
  <c r="I717" i="2"/>
  <c r="A1158" i="2"/>
  <c r="I1029" i="2"/>
  <c r="G248" i="2"/>
  <c r="G806" i="2"/>
  <c r="B248" i="2"/>
  <c r="D1158" i="2"/>
  <c r="F248" i="2"/>
  <c r="F1258" i="2"/>
  <c r="G1024" i="2"/>
  <c r="B717" i="2"/>
  <c r="I1258" i="2"/>
  <c r="D806" i="2"/>
  <c r="A1014" i="2"/>
  <c r="A1161" i="2"/>
  <c r="H556" i="2"/>
  <c r="F1029" i="2"/>
  <c r="G1014" i="2"/>
  <c r="F806" i="2"/>
  <c r="F1158" i="2"/>
  <c r="I1158" i="2"/>
  <c r="G717" i="2"/>
  <c r="H1158" i="2"/>
  <c r="A806" i="2"/>
  <c r="A1029" i="2"/>
  <c r="D556" i="2"/>
  <c r="G1258" i="2"/>
  <c r="F1024" i="2"/>
  <c r="D248" i="2"/>
  <c r="C1014" i="2"/>
  <c r="I1161" i="2"/>
  <c r="I117" i="2"/>
  <c r="H167" i="2"/>
  <c r="I1000" i="2"/>
  <c r="A1273" i="2"/>
  <c r="H510" i="2"/>
  <c r="I1273" i="2"/>
  <c r="I274" i="2"/>
  <c r="A274" i="2"/>
  <c r="B1027" i="2"/>
  <c r="G117" i="2"/>
  <c r="G48" i="2"/>
  <c r="G1000" i="2"/>
  <c r="F1027" i="2"/>
  <c r="F167" i="2"/>
  <c r="A122" i="2"/>
  <c r="F122" i="2"/>
  <c r="F510" i="2"/>
  <c r="I167" i="2"/>
  <c r="B167" i="2"/>
  <c r="H122" i="2"/>
  <c r="F274" i="2"/>
  <c r="H48" i="2"/>
  <c r="D117" i="2"/>
  <c r="G510" i="2"/>
  <c r="D1027" i="2"/>
  <c r="C274" i="2"/>
  <c r="C122" i="2"/>
  <c r="B1273" i="2"/>
  <c r="B122" i="2"/>
  <c r="H117" i="2"/>
  <c r="C48" i="2"/>
  <c r="F1000" i="2"/>
  <c r="A161" i="2"/>
  <c r="C117" i="2"/>
  <c r="A167" i="2"/>
  <c r="F161" i="2"/>
  <c r="B274" i="2"/>
  <c r="G1027" i="2"/>
  <c r="D1000" i="2"/>
  <c r="H274" i="2"/>
  <c r="A48" i="2"/>
  <c r="D167" i="2"/>
  <c r="C1000" i="2"/>
  <c r="D1273" i="2"/>
  <c r="D274" i="2"/>
  <c r="A1027" i="2"/>
  <c r="F48" i="2"/>
  <c r="H1000" i="2"/>
  <c r="G1273" i="2"/>
  <c r="G167" i="2"/>
  <c r="C510" i="2"/>
  <c r="H1273" i="2"/>
  <c r="D48" i="2"/>
  <c r="B161" i="2"/>
  <c r="B48" i="2"/>
  <c r="B510" i="2"/>
  <c r="I122" i="2"/>
  <c r="G161" i="2"/>
  <c r="H161" i="2"/>
  <c r="H1027" i="2"/>
  <c r="C161" i="2"/>
  <c r="I161" i="2"/>
  <c r="D122" i="2"/>
  <c r="I1027" i="2"/>
  <c r="A117" i="2"/>
  <c r="A510" i="2"/>
  <c r="B1000" i="2"/>
  <c r="B117" i="2"/>
  <c r="C1273" i="2"/>
  <c r="D510" i="2"/>
  <c r="I510" i="2"/>
  <c r="G122" i="2"/>
  <c r="F1273" i="2"/>
  <c r="A1000" i="2"/>
  <c r="F117" i="2"/>
  <c r="D161" i="2"/>
  <c r="I48" i="2"/>
  <c r="C167" i="2"/>
  <c r="G274" i="2"/>
  <c r="C1027" i="2"/>
  <c r="I466" i="2"/>
  <c r="F800" i="2"/>
  <c r="B74" i="2"/>
  <c r="G74" i="2"/>
  <c r="F46" i="2"/>
  <c r="I60" i="2"/>
  <c r="H200" i="2"/>
  <c r="H1020" i="2"/>
  <c r="B200" i="2"/>
  <c r="I280" i="2"/>
  <c r="G60" i="2"/>
  <c r="C46" i="2"/>
  <c r="C800" i="2"/>
  <c r="C60" i="2"/>
  <c r="A800" i="2"/>
  <c r="H800" i="2"/>
  <c r="C1020" i="2"/>
  <c r="G280" i="2"/>
  <c r="B60" i="2"/>
  <c r="I800" i="2"/>
  <c r="A74" i="2"/>
  <c r="B1020" i="2"/>
  <c r="D1020" i="2"/>
  <c r="B53" i="2"/>
  <c r="F466" i="2"/>
  <c r="A53" i="2"/>
  <c r="H74" i="2"/>
  <c r="G466" i="2"/>
  <c r="F53" i="2"/>
  <c r="F743" i="2"/>
  <c r="H466" i="2"/>
  <c r="C743" i="2"/>
  <c r="A743" i="2"/>
  <c r="D60" i="2"/>
  <c r="D74" i="2"/>
  <c r="H743" i="2"/>
  <c r="F280" i="2"/>
  <c r="D46" i="2"/>
  <c r="C53" i="2"/>
  <c r="A46" i="2"/>
  <c r="A200" i="2"/>
  <c r="G743" i="2"/>
  <c r="H53" i="2"/>
  <c r="D200" i="2"/>
  <c r="I46" i="2"/>
  <c r="D280" i="2"/>
  <c r="A466" i="2"/>
  <c r="A280" i="2"/>
  <c r="G46" i="2"/>
  <c r="C74" i="2"/>
  <c r="F60" i="2"/>
  <c r="C466" i="2"/>
  <c r="H60" i="2"/>
  <c r="D800" i="2"/>
  <c r="I1020" i="2"/>
  <c r="D743" i="2"/>
  <c r="D53" i="2"/>
  <c r="A1020" i="2"/>
  <c r="C280" i="2"/>
  <c r="H46" i="2"/>
  <c r="B280" i="2"/>
  <c r="I53" i="2"/>
  <c r="B800" i="2"/>
  <c r="B466" i="2"/>
  <c r="G200" i="2"/>
  <c r="C200" i="2"/>
  <c r="G1020" i="2"/>
  <c r="B743" i="2"/>
  <c r="I74" i="2"/>
  <c r="I200" i="2"/>
  <c r="H280" i="2"/>
  <c r="F74" i="2"/>
  <c r="F200" i="2"/>
  <c r="G53" i="2"/>
  <c r="D466" i="2"/>
  <c r="I743" i="2"/>
  <c r="B46" i="2"/>
  <c r="F1020" i="2"/>
  <c r="A60" i="2"/>
  <c r="G800" i="2"/>
  <c r="F265" i="2"/>
  <c r="H703" i="2"/>
  <c r="B385" i="2"/>
  <c r="D265" i="2"/>
  <c r="B1220" i="2"/>
  <c r="I265" i="2"/>
  <c r="F312" i="2"/>
  <c r="H654" i="2"/>
  <c r="F698" i="2"/>
  <c r="B165" i="2"/>
  <c r="F385" i="2"/>
  <c r="G265" i="2"/>
  <c r="D165" i="2"/>
  <c r="C265" i="2"/>
  <c r="I703" i="2"/>
  <c r="A654" i="2"/>
  <c r="I312" i="2"/>
  <c r="H1220" i="2"/>
  <c r="A985" i="2"/>
  <c r="G798" i="2"/>
  <c r="I798" i="2"/>
  <c r="H698" i="2"/>
  <c r="A1220" i="2"/>
  <c r="A165" i="2"/>
  <c r="D385" i="2"/>
  <c r="B703" i="2"/>
  <c r="G312" i="2"/>
  <c r="F798" i="2"/>
  <c r="I1220" i="2"/>
  <c r="D703" i="2"/>
  <c r="H985" i="2"/>
  <c r="H265" i="2"/>
  <c r="A312" i="2"/>
  <c r="F165" i="2"/>
  <c r="C1220" i="2"/>
  <c r="B798" i="2"/>
  <c r="C654" i="2"/>
  <c r="D798" i="2"/>
  <c r="C385" i="2"/>
  <c r="F703" i="2"/>
  <c r="A385" i="2"/>
  <c r="B312" i="2"/>
  <c r="H798" i="2"/>
  <c r="D698" i="2"/>
  <c r="F654" i="2"/>
  <c r="B654" i="2"/>
  <c r="F985" i="2"/>
  <c r="G698" i="2"/>
  <c r="C985" i="2"/>
  <c r="I698" i="2"/>
  <c r="G985" i="2"/>
  <c r="I985" i="2"/>
  <c r="C798" i="2"/>
  <c r="G1220" i="2"/>
  <c r="H385" i="2"/>
  <c r="C703" i="2"/>
  <c r="A265" i="2"/>
  <c r="G165" i="2"/>
  <c r="B698" i="2"/>
  <c r="H312" i="2"/>
  <c r="I165" i="2"/>
  <c r="C312" i="2"/>
  <c r="F1220" i="2"/>
  <c r="H165" i="2"/>
  <c r="D985" i="2"/>
  <c r="D654" i="2"/>
  <c r="C698" i="2"/>
  <c r="G654" i="2"/>
  <c r="G385" i="2"/>
  <c r="A703" i="2"/>
  <c r="D1220" i="2"/>
  <c r="A698" i="2"/>
  <c r="B265" i="2"/>
  <c r="I654" i="2"/>
  <c r="B985" i="2"/>
  <c r="C165" i="2"/>
  <c r="D312" i="2"/>
  <c r="I385" i="2"/>
  <c r="G703" i="2"/>
  <c r="A798" i="2"/>
  <c r="F547" i="2"/>
  <c r="B547" i="2"/>
  <c r="I894" i="2"/>
  <c r="A686" i="2"/>
  <c r="G547" i="2"/>
  <c r="H547" i="2"/>
  <c r="A657" i="2"/>
  <c r="F636" i="2"/>
  <c r="A547" i="2"/>
  <c r="A393" i="2"/>
  <c r="B636" i="2"/>
  <c r="G393" i="2"/>
  <c r="I547" i="2"/>
  <c r="H374" i="2"/>
  <c r="I97" i="2"/>
  <c r="B657" i="2"/>
  <c r="G657" i="2"/>
  <c r="A374" i="2"/>
  <c r="D686" i="2"/>
  <c r="D393" i="2"/>
  <c r="G686" i="2"/>
  <c r="D636" i="2"/>
  <c r="H97" i="2"/>
  <c r="I686" i="2"/>
  <c r="B97" i="2"/>
  <c r="I393" i="2"/>
  <c r="I374" i="2"/>
  <c r="C894" i="2"/>
  <c r="F140" i="2"/>
  <c r="F374" i="2"/>
  <c r="A140" i="2"/>
  <c r="G97" i="2"/>
  <c r="H657" i="2"/>
  <c r="F686" i="2"/>
  <c r="F657" i="2"/>
  <c r="A97" i="2"/>
  <c r="H636" i="2"/>
  <c r="C657" i="2"/>
  <c r="A581" i="2"/>
  <c r="C636" i="2"/>
  <c r="G636" i="2"/>
  <c r="F393" i="2"/>
  <c r="C97" i="2"/>
  <c r="D657" i="2"/>
  <c r="G374" i="2"/>
  <c r="H581" i="2"/>
  <c r="G140" i="2"/>
  <c r="F581" i="2"/>
  <c r="B581" i="2"/>
  <c r="A894" i="2"/>
  <c r="C374" i="2"/>
  <c r="D374" i="2"/>
  <c r="D140" i="2"/>
  <c r="C547" i="2"/>
  <c r="I581" i="2"/>
  <c r="B894" i="2"/>
  <c r="B140" i="2"/>
  <c r="C140" i="2"/>
  <c r="H686" i="2"/>
  <c r="F894" i="2"/>
  <c r="H894" i="2"/>
  <c r="C393" i="2"/>
  <c r="I636" i="2"/>
  <c r="I140" i="2"/>
  <c r="H393" i="2"/>
  <c r="G894" i="2"/>
  <c r="D581" i="2"/>
  <c r="C686" i="2"/>
  <c r="C581" i="2"/>
  <c r="D894" i="2"/>
  <c r="D97" i="2"/>
  <c r="B393" i="2"/>
  <c r="G581" i="2"/>
  <c r="D547" i="2"/>
  <c r="I657" i="2"/>
  <c r="B686" i="2"/>
  <c r="B374" i="2"/>
  <c r="F97" i="2"/>
  <c r="H140" i="2"/>
  <c r="A636" i="2"/>
  <c r="D41" i="2"/>
  <c r="A606" i="2"/>
  <c r="B1166" i="2"/>
  <c r="A1166" i="2"/>
  <c r="B222" i="2"/>
  <c r="A222" i="2"/>
  <c r="I190" i="2"/>
  <c r="B190" i="2"/>
  <c r="C606" i="2"/>
  <c r="A190" i="2"/>
  <c r="G190" i="2"/>
  <c r="C222" i="2"/>
  <c r="A360" i="2"/>
  <c r="I1166" i="2"/>
  <c r="F945" i="2"/>
  <c r="H156" i="2"/>
  <c r="G945" i="2"/>
  <c r="F1166" i="2"/>
  <c r="B606" i="2"/>
  <c r="G156" i="2"/>
  <c r="I222" i="2"/>
  <c r="C41" i="2"/>
  <c r="C190" i="2"/>
  <c r="I606" i="2"/>
  <c r="F360" i="2"/>
  <c r="H945" i="2"/>
  <c r="G41" i="2"/>
  <c r="C500" i="2"/>
  <c r="B156" i="2"/>
  <c r="A156" i="2"/>
  <c r="F606" i="2"/>
  <c r="C360" i="2"/>
  <c r="G1321" i="2"/>
  <c r="A41" i="2"/>
  <c r="A500" i="2"/>
  <c r="H41" i="2"/>
  <c r="B1321" i="2"/>
  <c r="D606" i="2"/>
  <c r="H606" i="2"/>
  <c r="H500" i="2"/>
  <c r="G360" i="2"/>
  <c r="H1321" i="2"/>
  <c r="H190" i="2"/>
  <c r="D222" i="2"/>
  <c r="G500" i="2"/>
  <c r="B945" i="2"/>
  <c r="D360" i="2"/>
  <c r="B41" i="2"/>
  <c r="F222" i="2"/>
  <c r="C1321" i="2"/>
  <c r="G222" i="2"/>
  <c r="D945" i="2"/>
  <c r="I500" i="2"/>
  <c r="I156" i="2"/>
  <c r="C945" i="2"/>
  <c r="I41" i="2"/>
  <c r="H360" i="2"/>
  <c r="D156" i="2"/>
  <c r="B360" i="2"/>
  <c r="A945" i="2"/>
  <c r="A1321" i="2"/>
  <c r="D1321" i="2"/>
  <c r="F1321" i="2"/>
  <c r="G1166" i="2"/>
  <c r="F156" i="2"/>
  <c r="D1166" i="2"/>
  <c r="F190" i="2"/>
  <c r="F500" i="2"/>
  <c r="D500" i="2"/>
  <c r="H1166" i="2"/>
  <c r="C156" i="2"/>
  <c r="I945" i="2"/>
  <c r="C1166" i="2"/>
  <c r="F41" i="2"/>
  <c r="I1321" i="2"/>
  <c r="I360" i="2"/>
  <c r="D190" i="2"/>
  <c r="G606" i="2"/>
  <c r="B500" i="2"/>
  <c r="H222" i="2"/>
  <c r="A501" i="2"/>
  <c r="C304" i="2"/>
  <c r="F875" i="2"/>
  <c r="H828" i="2"/>
  <c r="A875" i="2"/>
  <c r="C501" i="2"/>
  <c r="F83" i="2"/>
  <c r="I51" i="2"/>
  <c r="A828" i="2"/>
  <c r="D83" i="2"/>
  <c r="A132" i="2"/>
  <c r="C1155" i="2"/>
  <c r="A1421" i="2"/>
  <c r="B828" i="2"/>
  <c r="F501" i="2"/>
  <c r="G755" i="2"/>
  <c r="C83" i="2"/>
  <c r="A755" i="2"/>
  <c r="C755" i="2"/>
  <c r="H1421" i="2"/>
  <c r="B132" i="2"/>
  <c r="G1421" i="2"/>
  <c r="D1155" i="2"/>
  <c r="G875" i="2"/>
  <c r="G132" i="2"/>
  <c r="F304" i="2"/>
  <c r="F1155" i="2"/>
  <c r="H83" i="2"/>
  <c r="C875" i="2"/>
  <c r="C828" i="2"/>
  <c r="I304" i="2"/>
  <c r="A83" i="2"/>
  <c r="D875" i="2"/>
  <c r="D828" i="2"/>
  <c r="I828" i="2"/>
  <c r="F755" i="2"/>
  <c r="I1421" i="2"/>
  <c r="C1421" i="2"/>
  <c r="A1155" i="2"/>
  <c r="H755" i="2"/>
  <c r="B51" i="2"/>
  <c r="G51" i="2"/>
  <c r="C132" i="2"/>
  <c r="I132" i="2"/>
  <c r="I875" i="2"/>
  <c r="B304" i="2"/>
  <c r="G501" i="2"/>
  <c r="I83" i="2"/>
  <c r="D304" i="2"/>
  <c r="G828" i="2"/>
  <c r="H304" i="2"/>
  <c r="H51" i="2"/>
  <c r="H875" i="2"/>
  <c r="G83" i="2"/>
  <c r="B755" i="2"/>
  <c r="D51" i="2"/>
  <c r="H501" i="2"/>
  <c r="B1155" i="2"/>
  <c r="D1421" i="2"/>
  <c r="D132" i="2"/>
  <c r="G304" i="2"/>
  <c r="I501" i="2"/>
  <c r="I1155" i="2"/>
  <c r="F1421" i="2"/>
  <c r="F51" i="2"/>
  <c r="D501" i="2"/>
  <c r="H1155" i="2"/>
  <c r="I755" i="2"/>
  <c r="A51" i="2"/>
  <c r="F132" i="2"/>
  <c r="B501" i="2"/>
  <c r="A304" i="2"/>
  <c r="C51" i="2"/>
  <c r="D755" i="2"/>
  <c r="H132" i="2"/>
  <c r="F828" i="2"/>
  <c r="B83" i="2"/>
  <c r="B1421" i="2"/>
  <c r="B875" i="2"/>
  <c r="G1155" i="2"/>
  <c r="I1231" i="2"/>
  <c r="A377" i="2"/>
  <c r="D1231" i="2"/>
  <c r="H24" i="2"/>
  <c r="H572" i="2"/>
  <c r="D1250" i="2"/>
  <c r="F572" i="2"/>
  <c r="I786" i="2"/>
  <c r="I377" i="2"/>
  <c r="C572" i="2"/>
  <c r="D377" i="2"/>
  <c r="C24" i="2"/>
  <c r="G572" i="2"/>
  <c r="F957" i="2"/>
  <c r="I1250" i="2"/>
  <c r="G169" i="2"/>
  <c r="F75" i="2"/>
  <c r="B1146" i="2"/>
  <c r="H1250" i="2"/>
  <c r="F377" i="2"/>
  <c r="C169" i="2"/>
  <c r="H75" i="2"/>
  <c r="C1231" i="2"/>
  <c r="F24" i="2"/>
  <c r="D957" i="2"/>
  <c r="A786" i="2"/>
  <c r="H1231" i="2"/>
  <c r="A957" i="2"/>
  <c r="A1250" i="2"/>
  <c r="G1231" i="2"/>
  <c r="A75" i="2"/>
  <c r="A169" i="2"/>
  <c r="C957" i="2"/>
  <c r="F169" i="2"/>
  <c r="B75" i="2"/>
  <c r="B786" i="2"/>
  <c r="A572" i="2"/>
  <c r="F1146" i="2"/>
  <c r="I75" i="2"/>
  <c r="G1250" i="2"/>
  <c r="D24" i="2"/>
  <c r="D1146" i="2"/>
  <c r="B572" i="2"/>
  <c r="B1231" i="2"/>
  <c r="G957" i="2"/>
  <c r="D169" i="2"/>
  <c r="C75" i="2"/>
  <c r="I24" i="2"/>
  <c r="A1146" i="2"/>
  <c r="F1231" i="2"/>
  <c r="B24" i="2"/>
  <c r="F786" i="2"/>
  <c r="I169" i="2"/>
  <c r="I957" i="2"/>
  <c r="G24" i="2"/>
  <c r="I1146" i="2"/>
  <c r="C377" i="2"/>
  <c r="C786" i="2"/>
  <c r="H377" i="2"/>
  <c r="G377" i="2"/>
  <c r="G75" i="2"/>
  <c r="G1146" i="2"/>
  <c r="H169" i="2"/>
  <c r="H786" i="2"/>
  <c r="D786" i="2"/>
  <c r="H957" i="2"/>
  <c r="C1250" i="2"/>
  <c r="B1250" i="2"/>
  <c r="H1146" i="2"/>
  <c r="A1231" i="2"/>
  <c r="D572" i="2"/>
  <c r="I572" i="2"/>
  <c r="D75" i="2"/>
  <c r="B169" i="2"/>
  <c r="G786" i="2"/>
  <c r="B957" i="2"/>
  <c r="F1250" i="2"/>
  <c r="B377" i="2"/>
  <c r="A24" i="2"/>
  <c r="C1146" i="2"/>
  <c r="C876" i="2"/>
  <c r="D325" i="2"/>
  <c r="B229" i="2"/>
  <c r="I196" i="2"/>
  <c r="I1111" i="2"/>
  <c r="C840" i="2"/>
  <c r="C193" i="2"/>
  <c r="C196" i="2"/>
  <c r="D193" i="2"/>
  <c r="C1111" i="2"/>
  <c r="A325" i="2"/>
  <c r="H196" i="2"/>
  <c r="F1042" i="2"/>
  <c r="H1042" i="2"/>
  <c r="G229" i="2"/>
  <c r="G840" i="2"/>
  <c r="G325" i="2"/>
  <c r="H876" i="2"/>
  <c r="D1111" i="2"/>
  <c r="A876" i="2"/>
  <c r="H325" i="2"/>
  <c r="H193" i="2"/>
  <c r="B196" i="2"/>
  <c r="B876" i="2"/>
  <c r="H1111" i="2"/>
  <c r="I325" i="2"/>
  <c r="I849" i="2"/>
  <c r="G876" i="2"/>
  <c r="C229" i="2"/>
  <c r="A229" i="2"/>
  <c r="C325" i="2"/>
  <c r="A840" i="2"/>
  <c r="D840" i="2"/>
  <c r="H849" i="2"/>
  <c r="I193" i="2"/>
  <c r="F1186" i="2"/>
  <c r="A193" i="2"/>
  <c r="A196" i="2"/>
  <c r="G1186" i="2"/>
  <c r="G193" i="2"/>
  <c r="I876" i="2"/>
  <c r="H229" i="2"/>
  <c r="G1111" i="2"/>
  <c r="D876" i="2"/>
  <c r="G849" i="2"/>
  <c r="F325" i="2"/>
  <c r="F196" i="2"/>
  <c r="I229" i="2"/>
  <c r="I1186" i="2"/>
  <c r="F840" i="2"/>
  <c r="A1042" i="2"/>
  <c r="F1111" i="2"/>
  <c r="B849" i="2"/>
  <c r="D1042" i="2"/>
  <c r="B193" i="2"/>
  <c r="D1186" i="2"/>
  <c r="D196" i="2"/>
  <c r="A1111" i="2"/>
  <c r="F849" i="2"/>
  <c r="D849" i="2"/>
  <c r="C849" i="2"/>
  <c r="G1042" i="2"/>
  <c r="B840" i="2"/>
  <c r="I840" i="2"/>
  <c r="A1186" i="2"/>
  <c r="B1042" i="2"/>
  <c r="C1186" i="2"/>
  <c r="F229" i="2"/>
  <c r="C1042" i="2"/>
  <c r="H1186" i="2"/>
  <c r="H840" i="2"/>
  <c r="F876" i="2"/>
  <c r="A849" i="2"/>
  <c r="B325" i="2"/>
  <c r="B1186" i="2"/>
  <c r="I1042" i="2"/>
  <c r="B1111" i="2"/>
  <c r="F193" i="2"/>
  <c r="D229" i="2"/>
  <c r="G196" i="2"/>
  <c r="F300" i="2"/>
  <c r="F1044" i="2"/>
  <c r="A300" i="2"/>
  <c r="G421" i="2"/>
  <c r="A1047" i="2"/>
  <c r="G779" i="2"/>
  <c r="B779" i="2"/>
  <c r="B1044" i="2"/>
  <c r="D648" i="2"/>
  <c r="F718" i="2"/>
  <c r="C873" i="2"/>
  <c r="B133" i="2"/>
  <c r="D133" i="2"/>
  <c r="C718" i="2"/>
  <c r="H994" i="2"/>
  <c r="I718" i="2"/>
  <c r="H1044" i="2"/>
  <c r="G300" i="2"/>
  <c r="H1047" i="2"/>
  <c r="H779" i="2"/>
  <c r="C648" i="2"/>
  <c r="D1047" i="2"/>
  <c r="G1044" i="2"/>
  <c r="A1044" i="2"/>
  <c r="I779" i="2"/>
  <c r="C779" i="2"/>
  <c r="A873" i="2"/>
  <c r="F994" i="2"/>
  <c r="H873" i="2"/>
  <c r="G873" i="2"/>
  <c r="D779" i="2"/>
  <c r="G133" i="2"/>
  <c r="F421" i="2"/>
  <c r="B873" i="2"/>
  <c r="D718" i="2"/>
  <c r="I300" i="2"/>
  <c r="I1044" i="2"/>
  <c r="I873" i="2"/>
  <c r="A779" i="2"/>
  <c r="C421" i="2"/>
  <c r="I421" i="2"/>
  <c r="I1047" i="2"/>
  <c r="C994" i="2"/>
  <c r="A718" i="2"/>
  <c r="H421" i="2"/>
  <c r="G648" i="2"/>
  <c r="B994" i="2"/>
  <c r="H300" i="2"/>
  <c r="B421" i="2"/>
  <c r="B718" i="2"/>
  <c r="G994" i="2"/>
  <c r="G718" i="2"/>
  <c r="F1047" i="2"/>
  <c r="A648" i="2"/>
  <c r="D1044" i="2"/>
  <c r="D994" i="2"/>
  <c r="F873" i="2"/>
  <c r="A421" i="2"/>
  <c r="F648" i="2"/>
  <c r="H648" i="2"/>
  <c r="B1047" i="2"/>
  <c r="F133" i="2"/>
  <c r="I648" i="2"/>
  <c r="C133" i="2"/>
  <c r="C1047" i="2"/>
  <c r="H133" i="2"/>
  <c r="B300" i="2"/>
  <c r="I994" i="2"/>
  <c r="C300" i="2"/>
  <c r="C1044" i="2"/>
  <c r="A133" i="2"/>
  <c r="D421" i="2"/>
  <c r="F779" i="2"/>
  <c r="B648" i="2"/>
  <c r="H718" i="2"/>
  <c r="D300" i="2"/>
  <c r="D873" i="2"/>
  <c r="G1047" i="2"/>
  <c r="A994" i="2"/>
  <c r="I133" i="2"/>
  <c r="F1098" i="2"/>
  <c r="B429" i="2"/>
  <c r="I602" i="2"/>
  <c r="F632" i="2"/>
  <c r="H1098" i="2"/>
  <c r="G103" i="2"/>
  <c r="I837" i="2"/>
  <c r="G602" i="2"/>
  <c r="I668" i="2"/>
  <c r="G668" i="2"/>
  <c r="C103" i="2"/>
  <c r="D602" i="2"/>
  <c r="H103" i="2"/>
  <c r="F429" i="2"/>
  <c r="G837" i="2"/>
  <c r="D103" i="2"/>
  <c r="A837" i="2"/>
  <c r="D837" i="2"/>
  <c r="B447" i="2"/>
  <c r="F447" i="2"/>
  <c r="I632" i="2"/>
  <c r="H429" i="2"/>
  <c r="I1098" i="2"/>
  <c r="B1098" i="2"/>
  <c r="B632" i="2"/>
  <c r="H447" i="2"/>
  <c r="A632" i="2"/>
  <c r="A978" i="2"/>
  <c r="F103" i="2"/>
  <c r="C632" i="2"/>
  <c r="H602" i="2"/>
  <c r="I103" i="2"/>
  <c r="H632" i="2"/>
  <c r="H887" i="2"/>
  <c r="B887" i="2"/>
  <c r="F602" i="2"/>
  <c r="C978" i="2"/>
  <c r="D1098" i="2"/>
  <c r="G887" i="2"/>
  <c r="A447" i="2"/>
  <c r="D632" i="2"/>
  <c r="I978" i="2"/>
  <c r="A429" i="2"/>
  <c r="A602" i="2"/>
  <c r="H668" i="2"/>
  <c r="F978" i="2"/>
  <c r="A668" i="2"/>
  <c r="C837" i="2"/>
  <c r="C447" i="2"/>
  <c r="B668" i="2"/>
  <c r="A1098" i="2"/>
  <c r="B602" i="2"/>
  <c r="C668" i="2"/>
  <c r="G978" i="2"/>
  <c r="F668" i="2"/>
  <c r="D887" i="2"/>
  <c r="I887" i="2"/>
  <c r="I447" i="2"/>
  <c r="A887" i="2"/>
  <c r="A103" i="2"/>
  <c r="F887" i="2"/>
  <c r="G1098" i="2"/>
  <c r="H837" i="2"/>
  <c r="B978" i="2"/>
  <c r="I429" i="2"/>
  <c r="B837" i="2"/>
  <c r="G447" i="2"/>
  <c r="G429" i="2"/>
  <c r="C429" i="2"/>
  <c r="D978" i="2"/>
  <c r="G632" i="2"/>
  <c r="D429" i="2"/>
  <c r="H978" i="2"/>
  <c r="F837" i="2"/>
  <c r="C887" i="2"/>
  <c r="D668" i="2"/>
  <c r="D447" i="2"/>
  <c r="C1098" i="2"/>
  <c r="C602" i="2"/>
  <c r="B103" i="2"/>
  <c r="D608" i="2"/>
  <c r="B226" i="2"/>
  <c r="F857" i="2"/>
  <c r="C898" i="2"/>
  <c r="I851" i="2"/>
  <c r="F851" i="2"/>
  <c r="A608" i="2"/>
  <c r="C857" i="2"/>
  <c r="B991" i="2"/>
  <c r="D711" i="2"/>
  <c r="F226" i="2"/>
  <c r="G608" i="2"/>
  <c r="G851" i="2"/>
  <c r="H851" i="2"/>
  <c r="H836" i="2"/>
  <c r="B504" i="2"/>
  <c r="F836" i="2"/>
  <c r="D857" i="2"/>
  <c r="B608" i="2"/>
  <c r="B857" i="2"/>
  <c r="H991" i="2"/>
  <c r="A315" i="2"/>
  <c r="F504" i="2"/>
  <c r="A898" i="2"/>
  <c r="C851" i="2"/>
  <c r="A857" i="2"/>
  <c r="B711" i="2"/>
  <c r="G857" i="2"/>
  <c r="D504" i="2"/>
  <c r="G836" i="2"/>
  <c r="G991" i="2"/>
  <c r="C991" i="2"/>
  <c r="I711" i="2"/>
  <c r="D991" i="2"/>
  <c r="I991" i="2"/>
  <c r="D898" i="2"/>
  <c r="B836" i="2"/>
  <c r="H504" i="2"/>
  <c r="B898" i="2"/>
  <c r="I898" i="2"/>
  <c r="A836" i="2"/>
  <c r="H898" i="2"/>
  <c r="I504" i="2"/>
  <c r="B315" i="2"/>
  <c r="I857" i="2"/>
  <c r="A711" i="2"/>
  <c r="C315" i="2"/>
  <c r="H315" i="2"/>
  <c r="F898" i="2"/>
  <c r="A504" i="2"/>
  <c r="A226" i="2"/>
  <c r="D851" i="2"/>
  <c r="H711" i="2"/>
  <c r="H608" i="2"/>
  <c r="I608" i="2"/>
  <c r="B851" i="2"/>
  <c r="C504" i="2"/>
  <c r="I226" i="2"/>
  <c r="C226" i="2"/>
  <c r="I836" i="2"/>
  <c r="D226" i="2"/>
  <c r="F991" i="2"/>
  <c r="H226" i="2"/>
  <c r="D836" i="2"/>
  <c r="G315" i="2"/>
  <c r="D315" i="2"/>
  <c r="I315" i="2"/>
  <c r="F711" i="2"/>
  <c r="C711" i="2"/>
  <c r="C608" i="2"/>
  <c r="A851" i="2"/>
  <c r="G226" i="2"/>
  <c r="H857" i="2"/>
  <c r="C836" i="2"/>
  <c r="G711" i="2"/>
  <c r="A991" i="2"/>
  <c r="F608" i="2"/>
  <c r="G898" i="2"/>
  <c r="G504" i="2"/>
  <c r="F315" i="2"/>
  <c r="F1234" i="2"/>
  <c r="G1204" i="2"/>
  <c r="H1194" i="2"/>
  <c r="G1229" i="2"/>
  <c r="H1184" i="2"/>
  <c r="F1184" i="2"/>
  <c r="G1284" i="2"/>
  <c r="H1279" i="2"/>
  <c r="H1209" i="2"/>
  <c r="G1159" i="2"/>
  <c r="F1279" i="2"/>
  <c r="H1159" i="2"/>
  <c r="F1229" i="2"/>
  <c r="F1209" i="2"/>
  <c r="G1234" i="2"/>
  <c r="H1224" i="2"/>
  <c r="F1284" i="2"/>
  <c r="G1194" i="2"/>
  <c r="H1234" i="2"/>
  <c r="F1159" i="2"/>
  <c r="H1229" i="2"/>
  <c r="F1204" i="2"/>
  <c r="G1224" i="2"/>
  <c r="H1284" i="2"/>
  <c r="H1204" i="2"/>
  <c r="G1184" i="2"/>
  <c r="F1224" i="2"/>
  <c r="G1279" i="2"/>
  <c r="G1209" i="2"/>
  <c r="F1194" i="2"/>
  <c r="H620" i="2"/>
  <c r="G324" i="2"/>
  <c r="G561" i="2"/>
  <c r="F142" i="2"/>
  <c r="I620" i="2"/>
  <c r="H219" i="2"/>
  <c r="A620" i="2"/>
  <c r="C922" i="2"/>
  <c r="C1012" i="2"/>
  <c r="A783" i="2"/>
  <c r="C783" i="2"/>
  <c r="I783" i="2"/>
  <c r="A561" i="2"/>
  <c r="I219" i="2"/>
  <c r="G993" i="2"/>
  <c r="D783" i="2"/>
  <c r="H993" i="2"/>
  <c r="F561" i="2"/>
  <c r="I561" i="2"/>
  <c r="D954" i="2"/>
  <c r="C219" i="2"/>
  <c r="A324" i="2"/>
  <c r="F954" i="2"/>
  <c r="A954" i="2"/>
  <c r="I142" i="2"/>
  <c r="B993" i="2"/>
  <c r="H142" i="2"/>
  <c r="D561" i="2"/>
  <c r="H1012" i="2"/>
  <c r="I324" i="2"/>
  <c r="B324" i="2"/>
  <c r="I922" i="2"/>
  <c r="D1012" i="2"/>
  <c r="D142" i="2"/>
  <c r="D620" i="2"/>
  <c r="D219" i="2"/>
  <c r="A922" i="2"/>
  <c r="I993" i="2"/>
  <c r="H954" i="2"/>
  <c r="D922" i="2"/>
  <c r="B1012" i="2"/>
  <c r="C142" i="2"/>
  <c r="I1012" i="2"/>
  <c r="F993" i="2"/>
  <c r="G783" i="2"/>
  <c r="H324" i="2"/>
  <c r="F1012" i="2"/>
  <c r="A219" i="2"/>
  <c r="B142" i="2"/>
  <c r="B561" i="2"/>
  <c r="C620" i="2"/>
  <c r="F219" i="2"/>
  <c r="G219" i="2"/>
  <c r="G954" i="2"/>
  <c r="C561" i="2"/>
  <c r="B922" i="2"/>
  <c r="B783" i="2"/>
  <c r="A1012" i="2"/>
  <c r="F783" i="2"/>
  <c r="I954" i="2"/>
  <c r="G620" i="2"/>
  <c r="B620" i="2"/>
  <c r="G142" i="2"/>
  <c r="H922" i="2"/>
  <c r="C324" i="2"/>
  <c r="A993" i="2"/>
  <c r="D324" i="2"/>
  <c r="B954" i="2"/>
  <c r="C993" i="2"/>
  <c r="G922" i="2"/>
  <c r="H783" i="2"/>
  <c r="C954" i="2"/>
  <c r="G1012" i="2"/>
  <c r="A142" i="2"/>
  <c r="H561" i="2"/>
  <c r="B219" i="2"/>
  <c r="F922" i="2"/>
  <c r="F620" i="2"/>
  <c r="D993" i="2"/>
  <c r="F324" i="2"/>
  <c r="B615" i="2"/>
  <c r="F1073" i="2"/>
  <c r="G418" i="2"/>
  <c r="C824" i="2"/>
  <c r="F824" i="2"/>
  <c r="H418" i="2"/>
  <c r="D1073" i="2"/>
  <c r="B1052" i="2"/>
  <c r="F615" i="2"/>
  <c r="C1052" i="2"/>
  <c r="H661" i="2"/>
  <c r="I661" i="2"/>
  <c r="A73" i="2"/>
  <c r="H824" i="2"/>
  <c r="C661" i="2"/>
  <c r="A615" i="2"/>
  <c r="A435" i="2"/>
  <c r="A216" i="2"/>
  <c r="G216" i="2"/>
  <c r="I418" i="2"/>
  <c r="F73" i="2"/>
  <c r="A418" i="2"/>
  <c r="B1073" i="2"/>
  <c r="B913" i="2"/>
  <c r="B824" i="2"/>
  <c r="D661" i="2"/>
  <c r="G1052" i="2"/>
  <c r="I73" i="2"/>
  <c r="D1052" i="2"/>
  <c r="H73" i="2"/>
  <c r="B73" i="2"/>
  <c r="C1073" i="2"/>
  <c r="D824" i="2"/>
  <c r="G661" i="2"/>
  <c r="I1052" i="2"/>
  <c r="C73" i="2"/>
  <c r="H615" i="2"/>
  <c r="H435" i="2"/>
  <c r="C913" i="2"/>
  <c r="I913" i="2"/>
  <c r="D615" i="2"/>
  <c r="I1073" i="2"/>
  <c r="B418" i="2"/>
  <c r="D418" i="2"/>
  <c r="I824" i="2"/>
  <c r="G615" i="2"/>
  <c r="A913" i="2"/>
  <c r="G1073" i="2"/>
  <c r="A1073" i="2"/>
  <c r="H216" i="2"/>
  <c r="B435" i="2"/>
  <c r="F913" i="2"/>
  <c r="C615" i="2"/>
  <c r="F1052" i="2"/>
  <c r="C435" i="2"/>
  <c r="F435" i="2"/>
  <c r="G73" i="2"/>
  <c r="D913" i="2"/>
  <c r="H913" i="2"/>
  <c r="I216" i="2"/>
  <c r="A1052" i="2"/>
  <c r="B661" i="2"/>
  <c r="C216" i="2"/>
  <c r="A824" i="2"/>
  <c r="A661" i="2"/>
  <c r="F216" i="2"/>
  <c r="B216" i="2"/>
  <c r="F418" i="2"/>
  <c r="I435" i="2"/>
  <c r="G435" i="2"/>
  <c r="F661" i="2"/>
  <c r="G824" i="2"/>
  <c r="C418" i="2"/>
  <c r="G913" i="2"/>
  <c r="H1052" i="2"/>
  <c r="D73" i="2"/>
  <c r="I615" i="2"/>
  <c r="D435" i="2"/>
  <c r="D216" i="2"/>
  <c r="H1073" i="2"/>
  <c r="H1346" i="2"/>
  <c r="I1317" i="2"/>
  <c r="A1367" i="2"/>
  <c r="G1367" i="2"/>
  <c r="G1396" i="2"/>
  <c r="H1367" i="2"/>
  <c r="G1317" i="2"/>
  <c r="I1396" i="2"/>
  <c r="I1346" i="2"/>
  <c r="I1367" i="2"/>
  <c r="H1396" i="2"/>
  <c r="A1396" i="2"/>
  <c r="H1317" i="2"/>
  <c r="A1346" i="2"/>
  <c r="A1317" i="2"/>
  <c r="G1346" i="2"/>
  <c r="H1179" i="2"/>
  <c r="G1179" i="2"/>
  <c r="G1164" i="2"/>
  <c r="F1289" i="2"/>
  <c r="H1199" i="2"/>
  <c r="H1254" i="2"/>
  <c r="F1169" i="2"/>
  <c r="H1169" i="2"/>
  <c r="G1149" i="2"/>
  <c r="F1249" i="2"/>
  <c r="H1164" i="2"/>
  <c r="F1254" i="2"/>
  <c r="H1264" i="2"/>
  <c r="H1289" i="2"/>
  <c r="G1169" i="2"/>
  <c r="G1199" i="2"/>
  <c r="G1254" i="2"/>
  <c r="F1164" i="2"/>
  <c r="G1249" i="2"/>
  <c r="F1149" i="2"/>
  <c r="H1249" i="2"/>
  <c r="F1264" i="2"/>
  <c r="F1179" i="2"/>
  <c r="H1259" i="2"/>
  <c r="H1149" i="2"/>
  <c r="G1289" i="2"/>
  <c r="F1199" i="2"/>
  <c r="G1264" i="2"/>
  <c r="F1259" i="2"/>
  <c r="G1259" i="2"/>
  <c r="H1596" i="2"/>
  <c r="C1537" i="2"/>
  <c r="D1537" i="2"/>
  <c r="C1610" i="2"/>
  <c r="H1560" i="2"/>
  <c r="A1560" i="2"/>
  <c r="A1610" i="2"/>
  <c r="G1560" i="2"/>
  <c r="A1581" i="2"/>
  <c r="D1610" i="2"/>
  <c r="D1531" i="2"/>
  <c r="G1596" i="2"/>
  <c r="F1596" i="2"/>
  <c r="G1537" i="2"/>
  <c r="A1531" i="2"/>
  <c r="D1596" i="2"/>
  <c r="H1531" i="2"/>
  <c r="A1537" i="2"/>
  <c r="H1581" i="2"/>
  <c r="F1610" i="2"/>
  <c r="C1560" i="2"/>
  <c r="H1537" i="2"/>
  <c r="H1610" i="2"/>
  <c r="F1531" i="2"/>
  <c r="D1581" i="2"/>
  <c r="A1596" i="2"/>
  <c r="F1537" i="2"/>
  <c r="G1531" i="2"/>
  <c r="D1560" i="2"/>
  <c r="F1581" i="2"/>
  <c r="C1531" i="2"/>
  <c r="G1610" i="2"/>
  <c r="F1560" i="2"/>
  <c r="C1596" i="2"/>
  <c r="G1581" i="2"/>
  <c r="C1581" i="2"/>
  <c r="A1430" i="2"/>
  <c r="H1340" i="2"/>
  <c r="G1390" i="2"/>
  <c r="B1390" i="2"/>
  <c r="H1390" i="2"/>
  <c r="G1340" i="2"/>
  <c r="G1430" i="2"/>
  <c r="C1435" i="2"/>
  <c r="D1390" i="2"/>
  <c r="C1430" i="2"/>
  <c r="A1340" i="2"/>
  <c r="C1390" i="2"/>
  <c r="G1435" i="2"/>
  <c r="B1430" i="2"/>
  <c r="D1340" i="2"/>
  <c r="H1435" i="2"/>
  <c r="D1435" i="2"/>
  <c r="B1340" i="2"/>
  <c r="A1390" i="2"/>
  <c r="B1435" i="2"/>
  <c r="A1435" i="2"/>
  <c r="D1430" i="2"/>
  <c r="H1430" i="2"/>
  <c r="C1340" i="2"/>
  <c r="C1401" i="2"/>
  <c r="D1422" i="2"/>
  <c r="F1380" i="2"/>
  <c r="C1330" i="2"/>
  <c r="H1401" i="2"/>
  <c r="G1401" i="2"/>
  <c r="C1380" i="2"/>
  <c r="D1380" i="2"/>
  <c r="G1422" i="2"/>
  <c r="H1330" i="2"/>
  <c r="F1330" i="2"/>
  <c r="D1330" i="2"/>
  <c r="G1380" i="2"/>
  <c r="H1380" i="2"/>
  <c r="H1422" i="2"/>
  <c r="F1401" i="2"/>
  <c r="F1422" i="2"/>
  <c r="G1330" i="2"/>
  <c r="D1401" i="2"/>
  <c r="C1422" i="2"/>
  <c r="G1427" i="2"/>
  <c r="C1361" i="2"/>
  <c r="C1427" i="2"/>
  <c r="B1427" i="2"/>
  <c r="F1332" i="2"/>
  <c r="G1361" i="2"/>
  <c r="G1382" i="2"/>
  <c r="H1382" i="2"/>
  <c r="C1332" i="2"/>
  <c r="A1427" i="2"/>
  <c r="B1361" i="2"/>
  <c r="D1332" i="2"/>
  <c r="F1361" i="2"/>
  <c r="H1427" i="2"/>
  <c r="B1382" i="2"/>
  <c r="D1361" i="2"/>
  <c r="A1382" i="2"/>
  <c r="D1382" i="2"/>
  <c r="F1382" i="2"/>
  <c r="H1332" i="2"/>
  <c r="G1332" i="2"/>
  <c r="B1332" i="2"/>
  <c r="A1361" i="2"/>
  <c r="H1361" i="2"/>
  <c r="C1382" i="2"/>
  <c r="F1427" i="2"/>
  <c r="D1427" i="2"/>
  <c r="A1332" i="2"/>
  <c r="A1451" i="2"/>
  <c r="A1474" i="2"/>
  <c r="A1603" i="2"/>
  <c r="A1499" i="2"/>
  <c r="A1554" i="2"/>
  <c r="D1481" i="2"/>
  <c r="H1496" i="2"/>
  <c r="H1471" i="2"/>
  <c r="D1506" i="2"/>
  <c r="H1476" i="2"/>
  <c r="G1481" i="2"/>
  <c r="G1506" i="2"/>
  <c r="H1501" i="2"/>
  <c r="A1501" i="2"/>
  <c r="A1476" i="2"/>
  <c r="H1481" i="2"/>
  <c r="G1501" i="2"/>
  <c r="A1506" i="2"/>
  <c r="G1471" i="2"/>
  <c r="D1501" i="2"/>
  <c r="D1476" i="2"/>
  <c r="G1496" i="2"/>
  <c r="A1481" i="2"/>
  <c r="A1471" i="2"/>
  <c r="D1496" i="2"/>
  <c r="G1476" i="2"/>
  <c r="H1506" i="2"/>
  <c r="A1496" i="2"/>
  <c r="D1471" i="2"/>
  <c r="B1377" i="2"/>
  <c r="B1356" i="2"/>
  <c r="F1327" i="2"/>
  <c r="A1377" i="2"/>
  <c r="C1419" i="2"/>
  <c r="A1419" i="2"/>
  <c r="D1356" i="2"/>
  <c r="C1327" i="2"/>
  <c r="F1377" i="2"/>
  <c r="F1356" i="2"/>
  <c r="B1327" i="2"/>
  <c r="F1419" i="2"/>
  <c r="C1377" i="2"/>
  <c r="C1356" i="2"/>
  <c r="B1419" i="2"/>
  <c r="D1377" i="2"/>
  <c r="D1419" i="2"/>
  <c r="D1327" i="2"/>
  <c r="A1327" i="2"/>
  <c r="A1356" i="2"/>
  <c r="C1573" i="2"/>
  <c r="C1579" i="2"/>
  <c r="C1594" i="2"/>
  <c r="C1644" i="2"/>
  <c r="C1609" i="2"/>
  <c r="C1608" i="2"/>
  <c r="C1649" i="2"/>
  <c r="A1294" i="2"/>
  <c r="A1364" i="2"/>
  <c r="A1406" i="2"/>
  <c r="B1335" i="2"/>
  <c r="C1406" i="2"/>
  <c r="B1299" i="2"/>
  <c r="B1385" i="2"/>
  <c r="D1364" i="2"/>
  <c r="C1314" i="2"/>
  <c r="D1385" i="2"/>
  <c r="B1309" i="2"/>
  <c r="B1490" i="2"/>
  <c r="C1304" i="2"/>
  <c r="A1299" i="2"/>
  <c r="A1490" i="2"/>
  <c r="C1309" i="2"/>
  <c r="D1304" i="2"/>
  <c r="D1490" i="2"/>
  <c r="C1490" i="2"/>
  <c r="C1364" i="2"/>
  <c r="D1299" i="2"/>
  <c r="B1304" i="2"/>
  <c r="A1385" i="2"/>
  <c r="D1335" i="2"/>
  <c r="A1314" i="2"/>
  <c r="C1294" i="2"/>
  <c r="D1406" i="2"/>
  <c r="B1314" i="2"/>
  <c r="A1304" i="2"/>
  <c r="D1294" i="2"/>
  <c r="B1294" i="2"/>
  <c r="I1401" i="2"/>
  <c r="D1314" i="2"/>
  <c r="B1406" i="2"/>
  <c r="I1380" i="2"/>
  <c r="C1385" i="2"/>
  <c r="C1299" i="2"/>
  <c r="C1335" i="2"/>
  <c r="A1380" i="2"/>
  <c r="A1401" i="2"/>
  <c r="A1309" i="2"/>
  <c r="A1330" i="2"/>
  <c r="B1364" i="2"/>
  <c r="A1335" i="2"/>
  <c r="B1380" i="2"/>
  <c r="B1330" i="2"/>
  <c r="D1309" i="2"/>
  <c r="A1422" i="2"/>
  <c r="B1401" i="2"/>
  <c r="B1422" i="2"/>
  <c r="I1422" i="2"/>
  <c r="I1330" i="2"/>
  <c r="A1393" i="2"/>
  <c r="G1447" i="2"/>
  <c r="G1482" i="2"/>
  <c r="F1447" i="2"/>
  <c r="H1393" i="2"/>
  <c r="I1447" i="2"/>
  <c r="F1343" i="2"/>
  <c r="I1482" i="2"/>
  <c r="H1447" i="2"/>
  <c r="F1393" i="2"/>
  <c r="F1482" i="2"/>
  <c r="G1393" i="2"/>
  <c r="A1343" i="2"/>
  <c r="G1343" i="2"/>
  <c r="A1447" i="2"/>
  <c r="H1482" i="2"/>
  <c r="I1393" i="2"/>
  <c r="A1482" i="2"/>
  <c r="H1343" i="2"/>
  <c r="I1343" i="2"/>
  <c r="C1447" i="2"/>
  <c r="D1447" i="2"/>
  <c r="C1343" i="2"/>
  <c r="B1393" i="2"/>
  <c r="B1343" i="2"/>
  <c r="D1393" i="2"/>
  <c r="B1447" i="2"/>
  <c r="C1393" i="2"/>
  <c r="C1482" i="2"/>
  <c r="B1482" i="2"/>
  <c r="D1343" i="2"/>
  <c r="D1482" i="2"/>
  <c r="C1600" i="2"/>
  <c r="H1643" i="2"/>
  <c r="H1571" i="2"/>
  <c r="B1601" i="2"/>
  <c r="G1646" i="2"/>
  <c r="H1601" i="2"/>
  <c r="F1640" i="2"/>
  <c r="I1571" i="2"/>
  <c r="A1601" i="2"/>
  <c r="B1635" i="2"/>
  <c r="B1600" i="2"/>
  <c r="I1638" i="2"/>
  <c r="I1646" i="2"/>
  <c r="C1571" i="2"/>
  <c r="F1638" i="2"/>
  <c r="B1641" i="2"/>
  <c r="F1601" i="2"/>
  <c r="G1638" i="2"/>
  <c r="I1550" i="2"/>
  <c r="I1640" i="2"/>
  <c r="A1641" i="2"/>
  <c r="B1643" i="2"/>
  <c r="A1571" i="2"/>
  <c r="B1646" i="2"/>
  <c r="I1635" i="2"/>
  <c r="C1640" i="2"/>
  <c r="C1641" i="2"/>
  <c r="A1638" i="2"/>
  <c r="G1571" i="2"/>
  <c r="I1641" i="2"/>
  <c r="H1646" i="2"/>
  <c r="C1643" i="2"/>
  <c r="C1646" i="2"/>
  <c r="I1643" i="2"/>
  <c r="G1600" i="2"/>
  <c r="G1601" i="2"/>
  <c r="A1646" i="2"/>
  <c r="C1550" i="2"/>
  <c r="G1641" i="2"/>
  <c r="B1571" i="2"/>
  <c r="G1635" i="2"/>
  <c r="A1643" i="2"/>
  <c r="I1600" i="2"/>
  <c r="F1550" i="2"/>
  <c r="H1638" i="2"/>
  <c r="C1635" i="2"/>
  <c r="G1643" i="2"/>
  <c r="B1640" i="2"/>
  <c r="B1550" i="2"/>
  <c r="B1638" i="2"/>
  <c r="A1640" i="2"/>
  <c r="H1550" i="2"/>
  <c r="A1550" i="2"/>
  <c r="F1600" i="2"/>
  <c r="C1601" i="2"/>
  <c r="G1640" i="2"/>
  <c r="A1635" i="2"/>
  <c r="H1640" i="2"/>
  <c r="C1638" i="2"/>
  <c r="I1601" i="2"/>
  <c r="F1646" i="2"/>
  <c r="A1600" i="2"/>
  <c r="H1641" i="2"/>
  <c r="F1571" i="2"/>
  <c r="H1635" i="2"/>
  <c r="H1600" i="2"/>
  <c r="G1550" i="2"/>
  <c r="F1641" i="2"/>
  <c r="F1643" i="2"/>
  <c r="F1635" i="2"/>
  <c r="A1372" i="2"/>
  <c r="C1322" i="2"/>
  <c r="A1351" i="2"/>
  <c r="B1372" i="2"/>
  <c r="I1351" i="2"/>
  <c r="I1322" i="2"/>
  <c r="A1322" i="2"/>
  <c r="B1351" i="2"/>
  <c r="I1372" i="2"/>
  <c r="B1322" i="2"/>
  <c r="C1351" i="2"/>
  <c r="C1372" i="2"/>
  <c r="I3662" i="2"/>
  <c r="H1515" i="2"/>
  <c r="H1485" i="2"/>
  <c r="F1510" i="2"/>
  <c r="I1510" i="2"/>
  <c r="F1520" i="2"/>
  <c r="H1525" i="2"/>
  <c r="I1445" i="2"/>
  <c r="I1450" i="2"/>
  <c r="F1485" i="2"/>
  <c r="H3662" i="2"/>
  <c r="H1520" i="2"/>
  <c r="H1480" i="2"/>
  <c r="F1525" i="2"/>
  <c r="F1505" i="2"/>
  <c r="F1450" i="2"/>
  <c r="H1510" i="2"/>
  <c r="I1520" i="2"/>
  <c r="F1480" i="2"/>
  <c r="H1445" i="2"/>
  <c r="H1505" i="2"/>
  <c r="I1505" i="2"/>
  <c r="I1485" i="2"/>
  <c r="I1480" i="2"/>
  <c r="I1515" i="2"/>
  <c r="H1450" i="2"/>
  <c r="I1525" i="2"/>
  <c r="F1445" i="2"/>
  <c r="F3662" i="2"/>
  <c r="F1515" i="2"/>
  <c r="I1338" i="2"/>
  <c r="B1338" i="2"/>
  <c r="I1388" i="2"/>
  <c r="H1388" i="2"/>
  <c r="B1388" i="2"/>
  <c r="H1338" i="2"/>
  <c r="D1372" i="2"/>
  <c r="F1322" i="2"/>
  <c r="G1372" i="2"/>
  <c r="D1351" i="2"/>
  <c r="H1351" i="2"/>
  <c r="H1372" i="2"/>
  <c r="G1351" i="2"/>
  <c r="H1322" i="2"/>
  <c r="F1351" i="2"/>
  <c r="F1372" i="2"/>
  <c r="G1322" i="2"/>
  <c r="D1322" i="2"/>
  <c r="C1511" i="2"/>
  <c r="A1526" i="2"/>
  <c r="A1516" i="2"/>
  <c r="G1516" i="2"/>
  <c r="H1511" i="2"/>
  <c r="A1521" i="2"/>
  <c r="G1511" i="2"/>
  <c r="A1511" i="2"/>
  <c r="H1526" i="2"/>
  <c r="C1516" i="2"/>
  <c r="C1521" i="2"/>
  <c r="C1526" i="2"/>
  <c r="D1526" i="2"/>
  <c r="H1516" i="2"/>
  <c r="H1521" i="2"/>
  <c r="D1516" i="2"/>
  <c r="G1521" i="2"/>
  <c r="D1521" i="2"/>
  <c r="G1526" i="2"/>
  <c r="D1511" i="2"/>
  <c r="G1398" i="2"/>
  <c r="F1348" i="2"/>
  <c r="C1398" i="2"/>
  <c r="C1348" i="2"/>
  <c r="G1348" i="2"/>
  <c r="D1348" i="2"/>
  <c r="D1398" i="2"/>
  <c r="F1398" i="2"/>
  <c r="B1348" i="2"/>
  <c r="B1398" i="2"/>
  <c r="A1348" i="2"/>
  <c r="H1348" i="2"/>
  <c r="H1398" i="2"/>
  <c r="I1398" i="2"/>
  <c r="A1398" i="2"/>
  <c r="I1348" i="2"/>
  <c r="C1346" i="2"/>
  <c r="D1317" i="2"/>
  <c r="F1317" i="2"/>
  <c r="B1346" i="2"/>
  <c r="C1367" i="2"/>
  <c r="D1367" i="2"/>
  <c r="F1367" i="2"/>
  <c r="F1346" i="2"/>
  <c r="D1396" i="2"/>
  <c r="B1317" i="2"/>
  <c r="C1396" i="2"/>
  <c r="B1367" i="2"/>
  <c r="D1346" i="2"/>
  <c r="B1396" i="2"/>
  <c r="C1317" i="2"/>
  <c r="F1396" i="2"/>
  <c r="A1493" i="2"/>
  <c r="D1498" i="2"/>
  <c r="F1498" i="2"/>
  <c r="C1473" i="2"/>
  <c r="A1488" i="2"/>
  <c r="A1498" i="2"/>
  <c r="C1488" i="2"/>
  <c r="I1498" i="2"/>
  <c r="D1473" i="2"/>
  <c r="D1488" i="2"/>
  <c r="A1473" i="2"/>
  <c r="F1488" i="2"/>
  <c r="I1488" i="2"/>
  <c r="D1493" i="2"/>
  <c r="C1493" i="2"/>
  <c r="F1493" i="2"/>
  <c r="I1493" i="2"/>
  <c r="C1498" i="2"/>
  <c r="I1473" i="2"/>
  <c r="F1473" i="2"/>
  <c r="A1507" i="2"/>
  <c r="I1507" i="2"/>
  <c r="D1517" i="2"/>
  <c r="I1433" i="2"/>
  <c r="I1517" i="2"/>
  <c r="I1527" i="2"/>
  <c r="D1507" i="2"/>
  <c r="D1522" i="2"/>
  <c r="I1512" i="2"/>
  <c r="D1527" i="2"/>
  <c r="A1512" i="2"/>
  <c r="A1527" i="2"/>
  <c r="D1433" i="2"/>
  <c r="I1522" i="2"/>
  <c r="A1517" i="2"/>
  <c r="A1433" i="2"/>
  <c r="A1522" i="2"/>
  <c r="D1512" i="2"/>
  <c r="C1552" i="2"/>
  <c r="H1595" i="2"/>
  <c r="H1503" i="2"/>
  <c r="G1503" i="2"/>
  <c r="I3657" i="2"/>
  <c r="G1575" i="2"/>
  <c r="C3657" i="2"/>
  <c r="H3657" i="2"/>
  <c r="F1617" i="2"/>
  <c r="D1575" i="2"/>
  <c r="G1466" i="2"/>
  <c r="I1575" i="2"/>
  <c r="I1602" i="2"/>
  <c r="D1503" i="2"/>
  <c r="D1602" i="2"/>
  <c r="G1458" i="2"/>
  <c r="F1458" i="2"/>
  <c r="C1616" i="2"/>
  <c r="A1503" i="2"/>
  <c r="F1575" i="2"/>
  <c r="C1466" i="2"/>
  <c r="I1617" i="2"/>
  <c r="D1616" i="2"/>
  <c r="A1552" i="2"/>
  <c r="G1616" i="2"/>
  <c r="A1458" i="2"/>
  <c r="F1552" i="2"/>
  <c r="F1595" i="2"/>
  <c r="I1466" i="2"/>
  <c r="D1617" i="2"/>
  <c r="C1503" i="2"/>
  <c r="F1466" i="2"/>
  <c r="A1575" i="2"/>
  <c r="D1552" i="2"/>
  <c r="A1602" i="2"/>
  <c r="C1575" i="2"/>
  <c r="H1552" i="2"/>
  <c r="G1617" i="2"/>
  <c r="A3657" i="2"/>
  <c r="D1466" i="2"/>
  <c r="A1595" i="2"/>
  <c r="F1503" i="2"/>
  <c r="A1616" i="2"/>
  <c r="C1458" i="2"/>
  <c r="H1617" i="2"/>
  <c r="I1458" i="2"/>
  <c r="H1616" i="2"/>
  <c r="A1617" i="2"/>
  <c r="C1617" i="2"/>
  <c r="G1602" i="2"/>
  <c r="G3657" i="2"/>
  <c r="F1616" i="2"/>
  <c r="I1552" i="2"/>
  <c r="H1458" i="2"/>
  <c r="G1595" i="2"/>
  <c r="F1602" i="2"/>
  <c r="F3657" i="2"/>
  <c r="H1602" i="2"/>
  <c r="I1616" i="2"/>
  <c r="D1458" i="2"/>
  <c r="D3657" i="2"/>
  <c r="D1595" i="2"/>
  <c r="H1466" i="2"/>
  <c r="H1575" i="2"/>
  <c r="A1466" i="2"/>
  <c r="I1503" i="2"/>
  <c r="C1595" i="2"/>
  <c r="I1595" i="2"/>
  <c r="C1602" i="2"/>
  <c r="G1552" i="2"/>
  <c r="I1551" i="2"/>
  <c r="H1454" i="2"/>
  <c r="F1580" i="2"/>
  <c r="B1551" i="2"/>
  <c r="I1454" i="2"/>
  <c r="H1580" i="2"/>
  <c r="C1551" i="2"/>
  <c r="F1454" i="2"/>
  <c r="I1580" i="2"/>
  <c r="B1580" i="2"/>
  <c r="C1454" i="2"/>
  <c r="C1580" i="2"/>
  <c r="H1551" i="2"/>
  <c r="B1454" i="2"/>
  <c r="F1551" i="2"/>
  <c r="F1500" i="2"/>
  <c r="I1500" i="2"/>
  <c r="I1475" i="2"/>
  <c r="A1475" i="2"/>
  <c r="H1475" i="2"/>
  <c r="A1500" i="2"/>
  <c r="H1500" i="2"/>
  <c r="F1475" i="2"/>
  <c r="H1419" i="2"/>
  <c r="I1356" i="2"/>
  <c r="H3718" i="2"/>
  <c r="H3795" i="2"/>
  <c r="G3795" i="2"/>
  <c r="G3727" i="2"/>
  <c r="I1419" i="2"/>
  <c r="I3715" i="2"/>
  <c r="H3740" i="2"/>
  <c r="G1419" i="2"/>
  <c r="G3715" i="2"/>
  <c r="G3718" i="2"/>
  <c r="I3718" i="2"/>
  <c r="H1356" i="2"/>
  <c r="I3795" i="2"/>
  <c r="I3740" i="2"/>
  <c r="I1327" i="2"/>
  <c r="H1377" i="2"/>
  <c r="I1377" i="2"/>
  <c r="I3727" i="2"/>
  <c r="G3740" i="2"/>
  <c r="H1327" i="2"/>
  <c r="G1356" i="2"/>
  <c r="H3727" i="2"/>
  <c r="G1377" i="2"/>
  <c r="G1327" i="2"/>
  <c r="H3715" i="2"/>
  <c r="G1304" i="2"/>
  <c r="I1309" i="2"/>
  <c r="H3665" i="2"/>
  <c r="F1309" i="2"/>
  <c r="G3690" i="2"/>
  <c r="H1364" i="2"/>
  <c r="F1304" i="2"/>
  <c r="F1364" i="2"/>
  <c r="I1364" i="2"/>
  <c r="H1309" i="2"/>
  <c r="F3665" i="2"/>
  <c r="I3665" i="2"/>
  <c r="F3690" i="2"/>
  <c r="F1385" i="2"/>
  <c r="H3690" i="2"/>
  <c r="I1304" i="2"/>
  <c r="G3665" i="2"/>
  <c r="G1364" i="2"/>
  <c r="H1385" i="2"/>
  <c r="I1385" i="2"/>
  <c r="G1309" i="2"/>
  <c r="I3690" i="2"/>
  <c r="G1385" i="2"/>
  <c r="H1304" i="2"/>
  <c r="H1314" i="2"/>
  <c r="H1294" i="2"/>
  <c r="H3704" i="2"/>
  <c r="G1314" i="2"/>
  <c r="H1406" i="2"/>
  <c r="G1490" i="2"/>
  <c r="G3704" i="2"/>
  <c r="F1294" i="2"/>
  <c r="H1335" i="2"/>
  <c r="F3679" i="2"/>
  <c r="G3679" i="2"/>
  <c r="G3822" i="2"/>
  <c r="H3822" i="2"/>
  <c r="I1294" i="2"/>
  <c r="F1335" i="2"/>
  <c r="I1406" i="2"/>
  <c r="F3704" i="2"/>
  <c r="I3787" i="2"/>
  <c r="G3787" i="2"/>
  <c r="H1490" i="2"/>
  <c r="F3787" i="2"/>
  <c r="I1299" i="2"/>
  <c r="H1299" i="2"/>
  <c r="I3822" i="2"/>
  <c r="F1299" i="2"/>
  <c r="G1299" i="2"/>
  <c r="F3822" i="2"/>
  <c r="F1490" i="2"/>
  <c r="I1314" i="2"/>
  <c r="G1335" i="2"/>
  <c r="G1294" i="2"/>
  <c r="H3679" i="2"/>
  <c r="F1314" i="2"/>
  <c r="I1490" i="2"/>
  <c r="I1335" i="2"/>
  <c r="I3704" i="2"/>
  <c r="F1406" i="2"/>
  <c r="I3679" i="2"/>
  <c r="G1406" i="2"/>
  <c r="H3787" i="2"/>
  <c r="A1388" i="2"/>
  <c r="G1338" i="2"/>
  <c r="F1338" i="2"/>
  <c r="D1338" i="2"/>
  <c r="C1338" i="2"/>
  <c r="F1388" i="2"/>
  <c r="C1388" i="2"/>
  <c r="A1338" i="2"/>
  <c r="D1388" i="2"/>
  <c r="G1388" i="2"/>
  <c r="H1369" i="2"/>
  <c r="H3730" i="2"/>
  <c r="I1319" i="2"/>
  <c r="H1411" i="2"/>
  <c r="I3712" i="2"/>
  <c r="I3770" i="2"/>
  <c r="H3770" i="2"/>
  <c r="H3990" i="2"/>
  <c r="H3817" i="2"/>
  <c r="I1369" i="2"/>
  <c r="H3687" i="2"/>
  <c r="H3747" i="2"/>
  <c r="I3730" i="2"/>
  <c r="I3817" i="2"/>
  <c r="H3712" i="2"/>
  <c r="I3687" i="2"/>
  <c r="H1319" i="2"/>
  <c r="I3990" i="2"/>
  <c r="I3747" i="2"/>
  <c r="I1411" i="2"/>
  <c r="I1541" i="2"/>
  <c r="D1570" i="2"/>
  <c r="A1541" i="2"/>
  <c r="H1541" i="2"/>
  <c r="D1541" i="2"/>
  <c r="F1570" i="2"/>
  <c r="A1570" i="2"/>
  <c r="H1570" i="2"/>
  <c r="C1541" i="2"/>
  <c r="C1570" i="2"/>
  <c r="F1541" i="2"/>
  <c r="I1570" i="2"/>
  <c r="G1409" i="2"/>
  <c r="F1409" i="2"/>
  <c r="D1409" i="2"/>
  <c r="C1409" i="2"/>
  <c r="B1409" i="2"/>
  <c r="D1414" i="2"/>
  <c r="G1414" i="2"/>
  <c r="H1414" i="2"/>
  <c r="F1414" i="2"/>
  <c r="I1414" i="2"/>
  <c r="F1359" i="2"/>
  <c r="G1359" i="2"/>
  <c r="D1359" i="2"/>
  <c r="C1359" i="2"/>
  <c r="D1468" i="2"/>
  <c r="F1463" i="2"/>
  <c r="C1468" i="2"/>
  <c r="F1468" i="2"/>
  <c r="A1468" i="2"/>
  <c r="D1463" i="2"/>
  <c r="A1463" i="2"/>
  <c r="C1463" i="2"/>
  <c r="D1585" i="2"/>
  <c r="A1585" i="2"/>
  <c r="H1585" i="2"/>
  <c r="I1585" i="2"/>
  <c r="B1585" i="2"/>
  <c r="F1585" i="2"/>
  <c r="C3574" i="2"/>
  <c r="A1524" i="2"/>
  <c r="C1529" i="2"/>
  <c r="A3574" i="2"/>
  <c r="B1509" i="2"/>
  <c r="F1519" i="2"/>
  <c r="I1519" i="2"/>
  <c r="F1514" i="2"/>
  <c r="I1514" i="2"/>
  <c r="B1514" i="2"/>
  <c r="C1519" i="2"/>
  <c r="D1529" i="2"/>
  <c r="D3574" i="2"/>
  <c r="F1529" i="2"/>
  <c r="D1509" i="2"/>
  <c r="D1514" i="2"/>
  <c r="B1529" i="2"/>
  <c r="I3574" i="2"/>
  <c r="B1519" i="2"/>
  <c r="F3574" i="2"/>
  <c r="D1483" i="2"/>
  <c r="C1509" i="2"/>
  <c r="F1524" i="2"/>
  <c r="D1519" i="2"/>
  <c r="C1524" i="2"/>
  <c r="D1524" i="2"/>
  <c r="A1519" i="2"/>
  <c r="I1529" i="2"/>
  <c r="B1524" i="2"/>
  <c r="F1509" i="2"/>
  <c r="C1483" i="2"/>
  <c r="B1483" i="2"/>
  <c r="A1529" i="2"/>
  <c r="A1483" i="2"/>
  <c r="A1514" i="2"/>
  <c r="A1509" i="2"/>
  <c r="B3574" i="2"/>
  <c r="I1509" i="2"/>
  <c r="C1514" i="2"/>
  <c r="I1524" i="2"/>
  <c r="F1483" i="2"/>
  <c r="I1483" i="2"/>
  <c r="C1455" i="2"/>
  <c r="H1455" i="2"/>
  <c r="F1455" i="2"/>
  <c r="B1455" i="2"/>
  <c r="A1455" i="2"/>
  <c r="I1455" i="2"/>
  <c r="B1553" i="2"/>
  <c r="D1574" i="2"/>
  <c r="C1574" i="2"/>
  <c r="D1553" i="2"/>
  <c r="I1553" i="2"/>
  <c r="F1574" i="2"/>
  <c r="I1574" i="2"/>
  <c r="B1574" i="2"/>
  <c r="H1574" i="2"/>
  <c r="F1553" i="2"/>
  <c r="C1553" i="2"/>
  <c r="H1553" i="2"/>
  <c r="H3988" i="2"/>
  <c r="H3874" i="2"/>
  <c r="H3858" i="2"/>
  <c r="C3837" i="2"/>
  <c r="C3988" i="2"/>
  <c r="H3837" i="2"/>
  <c r="C3874" i="2"/>
  <c r="C3858" i="2"/>
  <c r="B1583" i="2"/>
  <c r="F1583" i="2"/>
  <c r="G1583" i="2"/>
  <c r="I1533" i="2"/>
  <c r="D1583" i="2"/>
  <c r="F1533" i="2"/>
  <c r="D1533" i="2"/>
  <c r="I1583" i="2"/>
  <c r="G1533" i="2"/>
  <c r="B1533" i="2"/>
  <c r="H1538" i="2"/>
  <c r="D1538" i="2"/>
  <c r="B1538" i="2"/>
  <c r="I1538" i="2"/>
  <c r="G1538" i="2"/>
  <c r="A1546" i="2"/>
  <c r="B1546" i="2"/>
  <c r="F1546" i="2"/>
  <c r="G1546" i="2"/>
  <c r="H1546" i="2"/>
  <c r="C1546" i="2"/>
  <c r="I1430" i="2"/>
  <c r="I1435" i="2"/>
  <c r="F1435" i="2"/>
  <c r="I1390" i="2"/>
  <c r="F1430" i="2"/>
  <c r="F1390" i="2"/>
  <c r="I1340" i="2"/>
  <c r="F3891" i="2"/>
  <c r="I3891" i="2"/>
  <c r="F1340" i="2"/>
  <c r="D1486" i="2"/>
  <c r="I1486" i="2"/>
  <c r="A1486" i="2"/>
  <c r="H1486" i="2"/>
  <c r="G1486" i="2"/>
  <c r="A1548" i="2"/>
  <c r="C1569" i="2"/>
  <c r="F1569" i="2"/>
  <c r="C1548" i="2"/>
  <c r="F1548" i="2"/>
  <c r="B1548" i="2"/>
  <c r="G1548" i="2"/>
  <c r="I1569" i="2"/>
  <c r="I1548" i="2"/>
  <c r="G1569" i="2"/>
  <c r="B1569" i="2"/>
  <c r="A1569" i="2"/>
  <c r="I1465" i="2"/>
  <c r="F1460" i="2"/>
  <c r="H1465" i="2"/>
  <c r="H1460" i="2"/>
  <c r="I1460" i="2"/>
  <c r="F1465" i="2"/>
  <c r="G1462" i="2"/>
  <c r="H3614" i="2"/>
  <c r="F3614" i="2"/>
  <c r="A1462" i="2"/>
  <c r="D3585" i="2"/>
  <c r="A3585" i="2"/>
  <c r="G3585" i="2"/>
  <c r="F1462" i="2"/>
  <c r="H1462" i="2"/>
  <c r="F3585" i="2"/>
  <c r="I3585" i="2"/>
  <c r="A3614" i="2"/>
  <c r="G3614" i="2"/>
  <c r="H3585" i="2"/>
  <c r="I3614" i="2"/>
  <c r="D1462" i="2"/>
  <c r="I1462" i="2"/>
  <c r="D3614" i="2"/>
  <c r="G1559" i="2"/>
  <c r="H1559" i="2"/>
  <c r="B1559" i="2"/>
  <c r="D1559" i="2"/>
  <c r="A1559" i="2"/>
  <c r="I1559" i="2"/>
  <c r="A1615" i="2"/>
  <c r="I1615" i="2"/>
  <c r="G1615" i="2"/>
  <c r="H1615" i="2"/>
  <c r="F1615" i="2"/>
  <c r="C1615" i="2"/>
  <c r="B1615" i="2"/>
  <c r="C1562" i="2"/>
  <c r="D1562" i="2"/>
  <c r="I1562" i="2"/>
  <c r="G1562" i="2"/>
  <c r="A1562" i="2"/>
  <c r="F1562" i="2"/>
  <c r="G3648" i="2"/>
  <c r="G3701" i="2"/>
  <c r="I3648" i="2"/>
  <c r="I3676" i="2"/>
  <c r="I3640" i="2"/>
  <c r="G3640" i="2"/>
  <c r="I3701" i="2"/>
  <c r="G3676" i="2"/>
  <c r="I3572" i="2"/>
  <c r="F3682" i="2"/>
  <c r="D3682" i="2"/>
  <c r="F3601" i="2"/>
  <c r="I3707" i="2"/>
  <c r="G3682" i="2"/>
  <c r="G3707" i="2"/>
  <c r="H3622" i="2"/>
  <c r="C3682" i="2"/>
  <c r="D1440" i="2"/>
  <c r="F3622" i="2"/>
  <c r="H3601" i="2"/>
  <c r="C3646" i="2"/>
  <c r="G1440" i="2"/>
  <c r="H3572" i="2"/>
  <c r="I1440" i="2"/>
  <c r="C3707" i="2"/>
  <c r="C3622" i="2"/>
  <c r="C3572" i="2"/>
  <c r="F3707" i="2"/>
  <c r="G3572" i="2"/>
  <c r="C1440" i="2"/>
  <c r="G3646" i="2"/>
  <c r="I3601" i="2"/>
  <c r="I3622" i="2"/>
  <c r="I3682" i="2"/>
  <c r="D3601" i="2"/>
  <c r="G3601" i="2"/>
  <c r="D3707" i="2"/>
  <c r="H3646" i="2"/>
  <c r="F1440" i="2"/>
  <c r="F3646" i="2"/>
  <c r="C3601" i="2"/>
  <c r="D3572" i="2"/>
  <c r="I3646" i="2"/>
  <c r="H3707" i="2"/>
  <c r="G3622" i="2"/>
  <c r="D3622" i="2"/>
  <c r="D3646" i="2"/>
  <c r="H3682" i="2"/>
  <c r="H1440" i="2"/>
  <c r="F3572" i="2"/>
  <c r="G1084" i="2"/>
  <c r="H1089" i="2"/>
  <c r="G1446" i="2"/>
  <c r="G1134" i="2"/>
  <c r="G1099" i="2"/>
  <c r="H3936" i="2"/>
  <c r="G3936" i="2"/>
  <c r="G1089" i="2"/>
  <c r="H1084" i="2"/>
  <c r="G1124" i="2"/>
  <c r="G1114" i="2"/>
  <c r="H1099" i="2"/>
  <c r="H1124" i="2"/>
  <c r="H1114" i="2"/>
  <c r="H1446" i="2"/>
  <c r="H1134" i="2"/>
  <c r="G1572" i="2"/>
  <c r="C1572" i="2"/>
  <c r="D1572" i="2"/>
  <c r="B1572" i="2"/>
  <c r="I1572" i="2"/>
  <c r="I3627" i="2"/>
  <c r="F3627" i="2"/>
  <c r="H3627" i="2"/>
  <c r="B3627" i="2"/>
  <c r="A3632" i="2"/>
  <c r="H3632" i="2"/>
  <c r="I1543" i="2"/>
  <c r="G1543" i="2"/>
  <c r="C1564" i="2"/>
  <c r="A1543" i="2"/>
  <c r="D3638" i="2"/>
  <c r="C3638" i="2"/>
  <c r="I1564" i="2"/>
  <c r="G1564" i="2"/>
  <c r="C1543" i="2"/>
  <c r="G3638" i="2"/>
  <c r="D1564" i="2"/>
  <c r="H3638" i="2"/>
  <c r="H1564" i="2"/>
  <c r="H1543" i="2"/>
  <c r="A1564" i="2"/>
  <c r="D1543" i="2"/>
  <c r="A3638" i="2"/>
  <c r="I3638" i="2"/>
  <c r="H3593" i="2"/>
  <c r="G3668" i="2"/>
  <c r="H3693" i="2"/>
  <c r="C3593" i="2"/>
  <c r="G3593" i="2"/>
  <c r="I3593" i="2"/>
  <c r="C3693" i="2"/>
  <c r="G3693" i="2"/>
  <c r="H3668" i="2"/>
  <c r="D3593" i="2"/>
  <c r="D3693" i="2"/>
  <c r="C3668" i="2"/>
  <c r="I3693" i="2"/>
  <c r="I3668" i="2"/>
  <c r="D3668" i="2"/>
  <c r="I3590" i="2"/>
  <c r="B3590" i="2"/>
  <c r="G3590" i="2"/>
  <c r="H3590" i="2"/>
  <c r="C3590" i="2"/>
  <c r="B3737" i="2"/>
  <c r="H3577" i="2"/>
  <c r="G3559" i="2"/>
  <c r="B3559" i="2"/>
  <c r="I3564" i="2"/>
  <c r="H3737" i="2"/>
  <c r="F3559" i="2"/>
  <c r="A3737" i="2"/>
  <c r="F3564" i="2"/>
  <c r="B3577" i="2"/>
  <c r="I3577" i="2"/>
  <c r="I3559" i="2"/>
  <c r="H3559" i="2"/>
  <c r="F3577" i="2"/>
  <c r="G3737" i="2"/>
  <c r="B3564" i="2"/>
  <c r="H3564" i="2"/>
  <c r="A3559" i="2"/>
  <c r="I3737" i="2"/>
  <c r="F3737" i="2"/>
  <c r="A3577" i="2"/>
  <c r="G3577" i="2"/>
  <c r="A3564" i="2"/>
  <c r="G3564" i="2"/>
  <c r="A3598" i="2"/>
  <c r="H3598" i="2"/>
  <c r="G3598" i="2"/>
  <c r="I3598" i="2"/>
  <c r="B3598" i="2"/>
  <c r="G3635" i="2"/>
  <c r="I3635" i="2"/>
  <c r="I3755" i="2"/>
  <c r="D3755" i="2"/>
  <c r="H3635" i="2"/>
  <c r="H3755" i="2"/>
  <c r="D3635" i="2"/>
  <c r="G3755" i="2"/>
  <c r="G3808" i="2"/>
  <c r="H1119" i="2"/>
  <c r="H1109" i="2"/>
  <c r="G1079" i="2"/>
  <c r="G1129" i="2"/>
  <c r="G1436" i="2"/>
  <c r="H3808" i="2"/>
  <c r="G1104" i="2"/>
  <c r="G1139" i="2"/>
  <c r="G1094" i="2"/>
  <c r="H1436" i="2"/>
  <c r="G3922" i="2"/>
  <c r="H1129" i="2"/>
  <c r="G1109" i="2"/>
  <c r="G1119" i="2"/>
  <c r="H1079" i="2"/>
  <c r="H3922" i="2"/>
  <c r="H1094" i="2"/>
  <c r="H1139" i="2"/>
  <c r="H1104" i="2"/>
  <c r="G3569" i="2"/>
  <c r="C3569" i="2"/>
  <c r="H3569" i="2"/>
  <c r="B3569" i="2"/>
  <c r="A3569" i="2"/>
  <c r="I3569" i="2"/>
  <c r="H3654" i="2"/>
  <c r="G3767" i="2"/>
  <c r="B3654" i="2"/>
  <c r="G3752" i="2"/>
  <c r="B3792" i="2"/>
  <c r="B3767" i="2"/>
  <c r="B3606" i="2"/>
  <c r="I3654" i="2"/>
  <c r="H3752" i="2"/>
  <c r="I3767" i="2"/>
  <c r="F3752" i="2"/>
  <c r="I3752" i="2"/>
  <c r="G3606" i="2"/>
  <c r="B3752" i="2"/>
  <c r="I3792" i="2"/>
  <c r="F3606" i="2"/>
  <c r="G3654" i="2"/>
  <c r="G3792" i="2"/>
  <c r="I3606" i="2"/>
  <c r="F3792" i="2"/>
  <c r="F3654" i="2"/>
  <c r="H3606" i="2"/>
  <c r="H3792" i="2"/>
  <c r="H3767" i="2"/>
  <c r="F3767" i="2"/>
  <c r="A1443" i="2"/>
  <c r="D3603" i="2"/>
  <c r="C1443" i="2"/>
  <c r="A3603" i="2"/>
  <c r="I3603" i="2"/>
  <c r="D1443" i="2"/>
  <c r="C3603" i="2"/>
  <c r="I1443" i="2"/>
  <c r="A1532" i="2"/>
  <c r="D3595" i="2"/>
  <c r="F1532" i="2"/>
  <c r="I1532" i="2"/>
  <c r="B1532" i="2"/>
  <c r="B3595" i="2"/>
  <c r="F3595" i="2"/>
  <c r="D1532" i="2"/>
  <c r="A3595" i="2"/>
  <c r="I3595" i="2"/>
  <c r="I3611" i="2"/>
  <c r="C3611" i="2"/>
  <c r="H3611" i="2"/>
  <c r="D3611" i="2"/>
  <c r="I3724" i="2"/>
  <c r="F3721" i="2"/>
  <c r="G3724" i="2"/>
  <c r="F3751" i="2"/>
  <c r="G3751" i="2"/>
  <c r="G3721" i="2"/>
  <c r="F3724" i="2"/>
  <c r="I3751" i="2"/>
  <c r="I3721" i="2"/>
  <c r="C3608" i="2"/>
  <c r="A3608" i="2"/>
  <c r="B3608" i="2"/>
  <c r="H3608" i="2"/>
  <c r="G3608" i="2"/>
  <c r="C3827" i="2"/>
  <c r="G3643" i="2"/>
  <c r="I3827" i="2"/>
  <c r="H3619" i="2"/>
  <c r="G3827" i="2"/>
  <c r="G3619" i="2"/>
  <c r="C3619" i="2"/>
  <c r="H3643" i="2"/>
  <c r="I3643" i="2"/>
  <c r="C3643" i="2"/>
  <c r="H3827" i="2"/>
  <c r="I3619" i="2"/>
  <c r="F3624" i="2"/>
  <c r="I3624" i="2"/>
  <c r="A3624" i="2"/>
  <c r="B3624" i="2"/>
  <c r="G3616" i="2"/>
  <c r="B3616" i="2"/>
  <c r="C3616" i="2"/>
  <c r="H3973" i="2"/>
  <c r="H4042" i="2"/>
  <c r="H3927" i="2"/>
  <c r="H3868" i="2"/>
  <c r="H3971" i="2"/>
  <c r="H3879" i="2"/>
  <c r="H3847" i="2"/>
  <c r="H3778" i="2"/>
  <c r="H3826" i="2"/>
  <c r="H3994" i="2"/>
  <c r="D3651" i="2"/>
  <c r="G3651" i="2"/>
  <c r="I3651" i="2"/>
  <c r="G3823" i="2"/>
  <c r="D3898" i="2"/>
  <c r="H3818" i="2"/>
  <c r="H3898" i="2"/>
  <c r="G3865" i="2"/>
  <c r="C3813" i="2"/>
  <c r="G3813" i="2"/>
  <c r="D3813" i="2"/>
  <c r="D3823" i="2"/>
  <c r="D3865" i="2"/>
  <c r="C3844" i="2"/>
  <c r="C3823" i="2"/>
  <c r="H3813" i="2"/>
  <c r="G3898" i="2"/>
  <c r="H3844" i="2"/>
  <c r="H3823" i="2"/>
  <c r="G3844" i="2"/>
  <c r="H3865" i="2"/>
  <c r="C3898" i="2"/>
  <c r="D3818" i="2"/>
  <c r="G3818" i="2"/>
  <c r="C3865" i="2"/>
  <c r="C3818" i="2"/>
  <c r="D3844" i="2"/>
  <c r="A1456" i="2"/>
  <c r="G3881" i="2"/>
  <c r="G1456" i="2"/>
  <c r="G1461" i="2"/>
  <c r="H1461" i="2"/>
  <c r="H1456" i="2"/>
  <c r="A3881" i="2"/>
  <c r="H3881" i="2"/>
  <c r="A1461" i="2"/>
  <c r="D3875" i="2"/>
  <c r="B3838" i="2"/>
  <c r="C3838" i="2"/>
  <c r="D3909" i="2"/>
  <c r="D3838" i="2"/>
  <c r="B3909" i="2"/>
  <c r="B3875" i="2"/>
  <c r="C3909" i="2"/>
  <c r="C3875" i="2"/>
  <c r="B3959" i="2"/>
  <c r="H3959" i="2"/>
  <c r="I3959" i="2"/>
  <c r="H3892" i="2"/>
  <c r="B1441" i="2"/>
  <c r="H1441" i="2"/>
  <c r="B3833" i="2"/>
  <c r="B3892" i="2"/>
  <c r="A3833" i="2"/>
  <c r="A1441" i="2"/>
  <c r="A3892" i="2"/>
  <c r="G3892" i="2"/>
  <c r="G1441" i="2"/>
  <c r="G3833" i="2"/>
  <c r="H3833" i="2"/>
  <c r="D3759" i="2"/>
  <c r="G3759" i="2"/>
  <c r="B3759" i="2"/>
  <c r="I1631" i="2"/>
  <c r="H1631" i="2"/>
  <c r="A1582" i="2"/>
  <c r="I3592" i="2"/>
  <c r="D3592" i="2"/>
  <c r="F1591" i="2"/>
  <c r="F1631" i="2"/>
  <c r="D1620" i="2"/>
  <c r="B1582" i="2"/>
  <c r="B1620" i="2"/>
  <c r="I1591" i="2"/>
  <c r="B1631" i="2"/>
  <c r="A1620" i="2"/>
  <c r="H3592" i="2"/>
  <c r="C3592" i="2"/>
  <c r="C1591" i="2"/>
  <c r="F1582" i="2"/>
  <c r="A1631" i="2"/>
  <c r="C1620" i="2"/>
  <c r="A3592" i="2"/>
  <c r="D1582" i="2"/>
  <c r="F3592" i="2"/>
  <c r="C1631" i="2"/>
  <c r="F1620" i="2"/>
  <c r="B3592" i="2"/>
  <c r="D1591" i="2"/>
  <c r="I1620" i="2"/>
  <c r="C1582" i="2"/>
  <c r="H1591" i="2"/>
  <c r="B1591" i="2"/>
  <c r="I1582" i="2"/>
  <c r="D1631" i="2"/>
  <c r="A1591" i="2"/>
  <c r="H1620" i="2"/>
  <c r="H1582" i="2"/>
  <c r="H3869" i="2"/>
  <c r="D3869" i="2"/>
  <c r="I3869" i="2"/>
  <c r="H3848" i="2"/>
  <c r="C3848" i="2"/>
  <c r="G3848" i="2"/>
  <c r="I4007" i="2"/>
  <c r="I3673" i="2"/>
  <c r="I3733" i="2"/>
  <c r="I3766" i="2"/>
  <c r="I1382" i="2"/>
  <c r="I1427" i="2"/>
  <c r="I1403" i="2"/>
  <c r="I3880" i="2"/>
  <c r="C3880" i="2"/>
  <c r="H3880" i="2"/>
  <c r="I3832" i="2"/>
  <c r="A3832" i="2"/>
  <c r="F3832" i="2"/>
  <c r="H3783" i="2"/>
  <c r="C3763" i="2"/>
  <c r="D3788" i="2"/>
  <c r="C3783" i="2"/>
  <c r="D3763" i="2"/>
  <c r="D3783" i="2"/>
  <c r="G3748" i="2"/>
  <c r="H3763" i="2"/>
  <c r="D3748" i="2"/>
  <c r="G3763" i="2"/>
  <c r="G3788" i="2"/>
  <c r="B3763" i="2"/>
  <c r="B3783" i="2"/>
  <c r="B3788" i="2"/>
  <c r="B3748" i="2"/>
  <c r="H3788" i="2"/>
  <c r="H3748" i="2"/>
  <c r="C3748" i="2"/>
  <c r="C3788" i="2"/>
  <c r="G3783" i="2"/>
  <c r="D3630" i="2"/>
  <c r="G3630" i="2"/>
  <c r="F3630" i="2"/>
  <c r="I3630" i="2"/>
  <c r="H3630" i="2"/>
  <c r="B3630" i="2"/>
  <c r="G3946" i="2"/>
  <c r="G3935" i="2"/>
  <c r="G1426" i="2"/>
  <c r="G3908" i="2"/>
  <c r="G3975" i="2"/>
  <c r="I3914" i="2"/>
  <c r="I3961" i="2"/>
  <c r="C3885" i="2"/>
  <c r="C3961" i="2"/>
  <c r="I3885" i="2"/>
  <c r="C3914" i="2"/>
  <c r="I4035" i="2"/>
  <c r="D4035" i="2"/>
  <c r="D1578" i="2"/>
  <c r="I1549" i="2"/>
  <c r="H1578" i="2"/>
  <c r="D3728" i="2"/>
  <c r="G1578" i="2"/>
  <c r="C1549" i="2"/>
  <c r="C3728" i="2"/>
  <c r="D1549" i="2"/>
  <c r="B1549" i="2"/>
  <c r="I1578" i="2"/>
  <c r="H3728" i="2"/>
  <c r="B1578" i="2"/>
  <c r="B3728" i="2"/>
  <c r="G1549" i="2"/>
  <c r="H1549" i="2"/>
  <c r="G3728" i="2"/>
  <c r="I3728" i="2"/>
  <c r="C1578" i="2"/>
  <c r="I3890" i="2"/>
  <c r="I3972" i="2"/>
  <c r="I3698" i="2"/>
  <c r="I3963" i="2"/>
  <c r="I4031" i="2"/>
  <c r="I1332" i="2"/>
  <c r="I3907" i="2"/>
  <c r="I1361" i="2"/>
  <c r="I4040" i="2"/>
  <c r="I3974" i="2"/>
  <c r="D3859" i="2"/>
  <c r="F3915" i="2"/>
  <c r="C3859" i="2"/>
  <c r="F3859" i="2"/>
  <c r="D3915" i="2"/>
  <c r="C3915" i="2"/>
  <c r="H3864" i="2"/>
  <c r="G3864" i="2"/>
  <c r="F3864" i="2"/>
  <c r="B3864" i="2"/>
  <c r="I3921" i="2"/>
  <c r="B3921" i="2"/>
  <c r="H3921" i="2"/>
  <c r="G3921" i="2"/>
  <c r="D3843" i="2"/>
  <c r="G3843" i="2"/>
  <c r="F3897" i="2"/>
  <c r="D3897" i="2"/>
  <c r="F3843" i="2"/>
  <c r="A3843" i="2"/>
  <c r="G3897" i="2"/>
  <c r="A3897" i="2"/>
  <c r="C3791" i="2"/>
  <c r="G3791" i="2"/>
  <c r="F3886" i="2"/>
  <c r="G3886" i="2"/>
  <c r="F3791" i="2"/>
  <c r="C3886" i="2"/>
  <c r="D3726" i="2"/>
  <c r="D3920" i="2"/>
  <c r="D3991" i="2"/>
  <c r="D3950" i="2"/>
  <c r="F3903" i="2"/>
  <c r="A3903" i="2"/>
  <c r="D3903" i="2"/>
  <c r="G3576" i="2"/>
  <c r="D1554" i="2"/>
  <c r="I3631" i="2"/>
  <c r="D1451" i="2"/>
  <c r="C1554" i="2"/>
  <c r="F3631" i="2"/>
  <c r="F3576" i="2"/>
  <c r="I1451" i="2"/>
  <c r="H3580" i="2"/>
  <c r="H1603" i="2"/>
  <c r="C3576" i="2"/>
  <c r="B1451" i="2"/>
  <c r="I1554" i="2"/>
  <c r="H1451" i="2"/>
  <c r="B1554" i="2"/>
  <c r="G3636" i="2"/>
  <c r="I3580" i="2"/>
  <c r="I1603" i="2"/>
  <c r="C3636" i="2"/>
  <c r="G1554" i="2"/>
  <c r="G3580" i="2"/>
  <c r="D1603" i="2"/>
  <c r="H1554" i="2"/>
  <c r="F3580" i="2"/>
  <c r="I3576" i="2"/>
  <c r="H3636" i="2"/>
  <c r="H3631" i="2"/>
  <c r="C3631" i="2"/>
  <c r="B3631" i="2"/>
  <c r="H3576" i="2"/>
  <c r="B3576" i="2"/>
  <c r="F1554" i="2"/>
  <c r="C3580" i="2"/>
  <c r="B1603" i="2"/>
  <c r="C1603" i="2"/>
  <c r="B3580" i="2"/>
  <c r="F1451" i="2"/>
  <c r="D3636" i="2"/>
  <c r="D3580" i="2"/>
  <c r="C1451" i="2"/>
  <c r="F3636" i="2"/>
  <c r="I3636" i="2"/>
  <c r="D3631" i="2"/>
  <c r="B3636" i="2"/>
  <c r="G1603" i="2"/>
  <c r="F1603" i="2"/>
  <c r="G1451" i="2"/>
  <c r="G3631" i="2"/>
  <c r="D3576" i="2"/>
  <c r="G3937" i="2"/>
  <c r="C3937" i="2"/>
  <c r="B3948" i="2"/>
  <c r="F3948" i="2"/>
  <c r="G3928" i="2"/>
  <c r="D3928" i="2"/>
  <c r="D4013" i="2"/>
  <c r="G4013" i="2"/>
  <c r="D3625" i="2"/>
  <c r="B3596" i="2"/>
  <c r="B3586" i="2"/>
  <c r="D1499" i="2"/>
  <c r="H3596" i="2"/>
  <c r="B3609" i="2"/>
  <c r="F1474" i="2"/>
  <c r="D3641" i="2"/>
  <c r="C3625" i="2"/>
  <c r="B3591" i="2"/>
  <c r="H3571" i="2"/>
  <c r="F3596" i="2"/>
  <c r="D3581" i="2"/>
  <c r="D3571" i="2"/>
  <c r="C1499" i="2"/>
  <c r="H3581" i="2"/>
  <c r="G3641" i="2"/>
  <c r="H1474" i="2"/>
  <c r="D3609" i="2"/>
  <c r="H3641" i="2"/>
  <c r="C3571" i="2"/>
  <c r="I3609" i="2"/>
  <c r="D1474" i="2"/>
  <c r="D3586" i="2"/>
  <c r="I3581" i="2"/>
  <c r="G3581" i="2"/>
  <c r="H3586" i="2"/>
  <c r="B3641" i="2"/>
  <c r="G3609" i="2"/>
  <c r="I3586" i="2"/>
  <c r="C3581" i="2"/>
  <c r="F3571" i="2"/>
  <c r="I1499" i="2"/>
  <c r="C3609" i="2"/>
  <c r="I3596" i="2"/>
  <c r="G1474" i="2"/>
  <c r="F3625" i="2"/>
  <c r="F3591" i="2"/>
  <c r="G3596" i="2"/>
  <c r="D3591" i="2"/>
  <c r="I3625" i="2"/>
  <c r="B3571" i="2"/>
  <c r="H3609" i="2"/>
  <c r="B3581" i="2"/>
  <c r="B1474" i="2"/>
  <c r="F1499" i="2"/>
  <c r="B1499" i="2"/>
  <c r="H3625" i="2"/>
  <c r="G3571" i="2"/>
  <c r="I3641" i="2"/>
  <c r="G3586" i="2"/>
  <c r="D3596" i="2"/>
  <c r="G3591" i="2"/>
  <c r="F3641" i="2"/>
  <c r="H3591" i="2"/>
  <c r="F3581" i="2"/>
  <c r="I3591" i="2"/>
  <c r="C3596" i="2"/>
  <c r="B3625" i="2"/>
  <c r="I3571" i="2"/>
  <c r="C3591" i="2"/>
  <c r="I1474" i="2"/>
  <c r="G1499" i="2"/>
  <c r="C3641" i="2"/>
  <c r="C3586" i="2"/>
  <c r="H1499" i="2"/>
  <c r="C1474" i="2"/>
  <c r="G3625" i="2"/>
  <c r="F3586" i="2"/>
  <c r="F3609" i="2"/>
  <c r="A3854" i="2"/>
  <c r="H3854" i="2"/>
  <c r="C3854" i="2"/>
  <c r="B3854" i="2"/>
  <c r="I3854" i="2"/>
  <c r="D3929" i="2"/>
  <c r="C3929" i="2"/>
  <c r="I3929" i="2"/>
  <c r="I3734" i="2"/>
  <c r="F3734" i="2"/>
  <c r="A3734" i="2"/>
  <c r="B3734" i="2"/>
  <c r="D3734" i="2"/>
  <c r="G3734" i="2"/>
  <c r="I1612" i="2"/>
  <c r="B3605" i="2"/>
  <c r="F1612" i="2"/>
  <c r="G1628" i="2"/>
  <c r="G1619" i="2"/>
  <c r="B1628" i="2"/>
  <c r="D1504" i="2"/>
  <c r="G1626" i="2"/>
  <c r="A1628" i="2"/>
  <c r="B1612" i="2"/>
  <c r="G1598" i="2"/>
  <c r="D1425" i="2"/>
  <c r="A1598" i="2"/>
  <c r="F1547" i="2"/>
  <c r="B1626" i="2"/>
  <c r="F1626" i="2"/>
  <c r="I1628" i="2"/>
  <c r="C1598" i="2"/>
  <c r="A1619" i="2"/>
  <c r="G1612" i="2"/>
  <c r="B1547" i="2"/>
  <c r="C1504" i="2"/>
  <c r="I1547" i="2"/>
  <c r="D3605" i="2"/>
  <c r="A1626" i="2"/>
  <c r="D1628" i="2"/>
  <c r="F1597" i="2"/>
  <c r="F1628" i="2"/>
  <c r="D1597" i="2"/>
  <c r="C1425" i="2"/>
  <c r="D1612" i="2"/>
  <c r="I1619" i="2"/>
  <c r="B1504" i="2"/>
  <c r="B1598" i="2"/>
  <c r="D1547" i="2"/>
  <c r="C1628" i="2"/>
  <c r="C1626" i="2"/>
  <c r="F1619" i="2"/>
  <c r="C1547" i="2"/>
  <c r="B1619" i="2"/>
  <c r="A1547" i="2"/>
  <c r="F1504" i="2"/>
  <c r="I3605" i="2"/>
  <c r="F3605" i="2"/>
  <c r="I1504" i="2"/>
  <c r="D1626" i="2"/>
  <c r="C1612" i="2"/>
  <c r="C3605" i="2"/>
  <c r="F1598" i="2"/>
  <c r="B1597" i="2"/>
  <c r="I1597" i="2"/>
  <c r="G1597" i="2"/>
  <c r="C1619" i="2"/>
  <c r="D1598" i="2"/>
  <c r="G1547" i="2"/>
  <c r="I1425" i="2"/>
  <c r="I1598" i="2"/>
  <c r="D1619" i="2"/>
  <c r="A1612" i="2"/>
  <c r="F1425" i="2"/>
  <c r="G1425" i="2"/>
  <c r="A1504" i="2"/>
  <c r="C1597" i="2"/>
  <c r="G1504" i="2"/>
  <c r="B1425" i="2"/>
  <c r="A3605" i="2"/>
  <c r="A1597" i="2"/>
  <c r="I1626" i="2"/>
  <c r="A1425" i="2"/>
  <c r="G3605" i="2"/>
  <c r="H3582" i="2"/>
  <c r="I3805" i="2"/>
  <c r="D3805" i="2"/>
  <c r="A3582" i="2"/>
  <c r="C3582" i="2"/>
  <c r="D3582" i="2"/>
  <c r="A3805" i="2"/>
  <c r="B3805" i="2"/>
  <c r="B3582" i="2"/>
  <c r="I3582" i="2"/>
  <c r="H3805" i="2"/>
  <c r="C3805" i="2"/>
  <c r="F2555" i="2"/>
  <c r="B3117" i="2"/>
  <c r="A3281" i="2"/>
  <c r="I2212" i="2"/>
  <c r="B2212" i="2"/>
  <c r="H3117" i="2"/>
  <c r="A2212" i="2"/>
  <c r="I2555" i="2"/>
  <c r="G2555" i="2"/>
  <c r="H2212" i="2"/>
  <c r="G3117" i="2"/>
  <c r="I3117" i="2"/>
  <c r="B2682" i="2"/>
  <c r="D2212" i="2"/>
  <c r="C3117" i="2"/>
  <c r="D2682" i="2"/>
  <c r="A3117" i="2"/>
  <c r="F2682" i="2"/>
  <c r="H2682" i="2"/>
  <c r="C2555" i="2"/>
  <c r="D3281" i="2"/>
  <c r="C3281" i="2"/>
  <c r="C2682" i="2"/>
  <c r="D2555" i="2"/>
  <c r="D3117" i="2"/>
  <c r="G3281" i="2"/>
  <c r="G2212" i="2"/>
  <c r="F3281" i="2"/>
  <c r="F3117" i="2"/>
  <c r="F2212" i="2"/>
  <c r="A2682" i="2"/>
  <c r="A2555" i="2"/>
  <c r="H2555" i="2"/>
  <c r="C2212" i="2"/>
  <c r="I3281" i="2"/>
  <c r="H3281" i="2"/>
  <c r="I2682" i="2"/>
  <c r="G2682" i="2"/>
  <c r="B3281" i="2"/>
  <c r="B2555" i="2"/>
  <c r="B3976" i="2"/>
  <c r="G3902" i="2"/>
  <c r="B3902" i="2"/>
  <c r="G3976" i="2"/>
  <c r="H3828" i="2"/>
  <c r="F3828" i="2"/>
  <c r="D3828" i="2"/>
  <c r="F3842" i="2"/>
  <c r="F1400" i="2"/>
  <c r="F3896" i="2"/>
  <c r="F3962" i="2"/>
  <c r="F1350" i="2"/>
  <c r="F1395" i="2"/>
  <c r="F1315" i="2"/>
  <c r="F3939" i="2"/>
  <c r="F1355" i="2"/>
  <c r="F1405" i="2"/>
  <c r="F3916" i="2"/>
  <c r="F1530" i="2"/>
  <c r="H3916" i="2"/>
  <c r="C1530" i="2"/>
  <c r="I1530" i="2"/>
  <c r="I3916" i="2"/>
  <c r="C3916" i="2"/>
  <c r="H1530" i="2"/>
  <c r="D3408" i="2"/>
  <c r="D2011" i="2"/>
  <c r="I3344" i="2"/>
  <c r="I1672" i="2"/>
  <c r="I2118" i="2"/>
  <c r="D3097" i="2"/>
  <c r="F2905" i="2"/>
  <c r="F3408" i="2"/>
  <c r="F1778" i="2"/>
  <c r="G1843" i="2"/>
  <c r="H3097" i="2"/>
  <c r="D3344" i="2"/>
  <c r="A3097" i="2"/>
  <c r="F2011" i="2"/>
  <c r="G1778" i="2"/>
  <c r="C2118" i="2"/>
  <c r="D2905" i="2"/>
  <c r="H3344" i="2"/>
  <c r="B2905" i="2"/>
  <c r="B3097" i="2"/>
  <c r="I1778" i="2"/>
  <c r="I3055" i="2"/>
  <c r="I2905" i="2"/>
  <c r="B1843" i="2"/>
  <c r="F3055" i="2"/>
  <c r="G2011" i="2"/>
  <c r="D1672" i="2"/>
  <c r="B3055" i="2"/>
  <c r="G3344" i="2"/>
  <c r="G3408" i="2"/>
  <c r="F1843" i="2"/>
  <c r="G1672" i="2"/>
  <c r="C2011" i="2"/>
  <c r="C1843" i="2"/>
  <c r="G2905" i="2"/>
  <c r="D1843" i="2"/>
  <c r="C3097" i="2"/>
  <c r="D3055" i="2"/>
  <c r="B1778" i="2"/>
  <c r="C2905" i="2"/>
  <c r="B1672" i="2"/>
  <c r="I1843" i="2"/>
  <c r="B2118" i="2"/>
  <c r="F3344" i="2"/>
  <c r="G3097" i="2"/>
  <c r="G3055" i="2"/>
  <c r="H1778" i="2"/>
  <c r="D2118" i="2"/>
  <c r="B2011" i="2"/>
  <c r="C3408" i="2"/>
  <c r="I2011" i="2"/>
  <c r="H1843" i="2"/>
  <c r="B3344" i="2"/>
  <c r="F3097" i="2"/>
  <c r="I3408" i="2"/>
  <c r="A2118" i="2"/>
  <c r="A2905" i="2"/>
  <c r="F1672" i="2"/>
  <c r="H1672" i="2"/>
  <c r="D1778" i="2"/>
  <c r="A3055" i="2"/>
  <c r="H3055" i="2"/>
  <c r="C3344" i="2"/>
  <c r="A1672" i="2"/>
  <c r="A1778" i="2"/>
  <c r="H2118" i="2"/>
  <c r="A3408" i="2"/>
  <c r="H2011" i="2"/>
  <c r="G2118" i="2"/>
  <c r="H2905" i="2"/>
  <c r="C1672" i="2"/>
  <c r="B3408" i="2"/>
  <c r="I3097" i="2"/>
  <c r="F2118" i="2"/>
  <c r="A1843" i="2"/>
  <c r="A3344" i="2"/>
  <c r="C3055" i="2"/>
  <c r="H3408" i="2"/>
  <c r="A2011" i="2"/>
  <c r="C1778" i="2"/>
  <c r="F1360" i="2"/>
  <c r="F3863" i="2"/>
  <c r="F1410" i="2"/>
  <c r="F1415" i="2"/>
  <c r="F1345" i="2"/>
  <c r="F1365" i="2"/>
  <c r="A1502" i="2"/>
  <c r="D1423" i="2"/>
  <c r="A3923" i="2"/>
  <c r="D1502" i="2"/>
  <c r="A1423" i="2"/>
  <c r="D3923" i="2"/>
  <c r="D3993" i="2"/>
  <c r="C3993" i="2"/>
  <c r="D1312" i="2"/>
  <c r="C3629" i="2"/>
  <c r="B1448" i="2"/>
  <c r="D1383" i="2"/>
  <c r="D1307" i="2"/>
  <c r="A1312" i="2"/>
  <c r="A1307" i="2"/>
  <c r="D3629" i="2"/>
  <c r="A1354" i="2"/>
  <c r="C1297" i="2"/>
  <c r="A3629" i="2"/>
  <c r="D1448" i="2"/>
  <c r="B3629" i="2"/>
  <c r="A1404" i="2"/>
  <c r="B1312" i="2"/>
  <c r="A1297" i="2"/>
  <c r="A1448" i="2"/>
  <c r="C1307" i="2"/>
  <c r="D1297" i="2"/>
  <c r="B1383" i="2"/>
  <c r="C1333" i="2"/>
  <c r="A1383" i="2"/>
  <c r="B1354" i="2"/>
  <c r="B1404" i="2"/>
  <c r="C1383" i="2"/>
  <c r="B1333" i="2"/>
  <c r="C1302" i="2"/>
  <c r="D1354" i="2"/>
  <c r="A1302" i="2"/>
  <c r="D1333" i="2"/>
  <c r="B1302" i="2"/>
  <c r="C1354" i="2"/>
  <c r="D1404" i="2"/>
  <c r="C1312" i="2"/>
  <c r="C1448" i="2"/>
  <c r="B1307" i="2"/>
  <c r="A1333" i="2"/>
  <c r="C1404" i="2"/>
  <c r="B1297" i="2"/>
  <c r="D1302" i="2"/>
  <c r="A3645" i="2"/>
  <c r="I3645" i="2"/>
  <c r="B3938" i="2"/>
  <c r="B3645" i="2"/>
  <c r="I3938" i="2"/>
  <c r="A3938" i="2"/>
  <c r="I3849" i="2"/>
  <c r="F3870" i="2"/>
  <c r="A3849" i="2"/>
  <c r="I3870" i="2"/>
  <c r="A3870" i="2"/>
  <c r="G3870" i="2"/>
  <c r="G3849" i="2"/>
  <c r="F3849" i="2"/>
  <c r="F4016" i="2"/>
  <c r="F3947" i="2"/>
  <c r="D4016" i="2"/>
  <c r="D3947" i="2"/>
  <c r="H3659" i="2"/>
  <c r="F1417" i="2"/>
  <c r="A1437" i="2"/>
  <c r="B1417" i="2"/>
  <c r="C1487" i="2"/>
  <c r="D3642" i="2"/>
  <c r="C1325" i="2"/>
  <c r="C1437" i="2"/>
  <c r="D1325" i="2"/>
  <c r="F1325" i="2"/>
  <c r="C1417" i="2"/>
  <c r="B3650" i="2"/>
  <c r="B1479" i="2"/>
  <c r="A3650" i="2"/>
  <c r="F1434" i="2"/>
  <c r="B1325" i="2"/>
  <c r="A1325" i="2"/>
  <c r="D1487" i="2"/>
  <c r="C1434" i="2"/>
  <c r="D1375" i="2"/>
  <c r="B1434" i="2"/>
  <c r="A3642" i="2"/>
  <c r="A1459" i="2"/>
  <c r="F1437" i="2"/>
  <c r="D1434" i="2"/>
  <c r="F1479" i="2"/>
  <c r="D3650" i="2"/>
  <c r="F1375" i="2"/>
  <c r="F3650" i="2"/>
  <c r="C3650" i="2"/>
  <c r="B3642" i="2"/>
  <c r="C1375" i="2"/>
  <c r="A1487" i="2"/>
  <c r="B1459" i="2"/>
  <c r="D1437" i="2"/>
  <c r="B1375" i="2"/>
  <c r="F3642" i="2"/>
  <c r="C1479" i="2"/>
  <c r="A1434" i="2"/>
  <c r="C1459" i="2"/>
  <c r="A1375" i="2"/>
  <c r="D1459" i="2"/>
  <c r="A1479" i="2"/>
  <c r="F1459" i="2"/>
  <c r="D1479" i="2"/>
  <c r="F1487" i="2"/>
  <c r="B1487" i="2"/>
  <c r="A1417" i="2"/>
  <c r="C3642" i="2"/>
  <c r="B1437" i="2"/>
  <c r="D1417" i="2"/>
  <c r="B2606" i="2"/>
  <c r="D3071" i="2"/>
  <c r="B2527" i="2"/>
  <c r="C2527" i="2"/>
  <c r="H2515" i="2"/>
  <c r="C2606" i="2"/>
  <c r="F2527" i="2"/>
  <c r="H3038" i="2"/>
  <c r="B2267" i="2"/>
  <c r="G2515" i="2"/>
  <c r="H2486" i="2"/>
  <c r="F3032" i="2"/>
  <c r="C3032" i="2"/>
  <c r="I2486" i="2"/>
  <c r="G1767" i="2"/>
  <c r="C2515" i="2"/>
  <c r="G3038" i="2"/>
  <c r="A1767" i="2"/>
  <c r="A2606" i="2"/>
  <c r="C3038" i="2"/>
  <c r="I1767" i="2"/>
  <c r="C1767" i="2"/>
  <c r="G3071" i="2"/>
  <c r="I2267" i="2"/>
  <c r="C2486" i="2"/>
  <c r="D2527" i="2"/>
  <c r="B2515" i="2"/>
  <c r="G2606" i="2"/>
  <c r="F2267" i="2"/>
  <c r="H2267" i="2"/>
  <c r="F3071" i="2"/>
  <c r="H2606" i="2"/>
  <c r="F2486" i="2"/>
  <c r="A3071" i="2"/>
  <c r="I2424" i="2"/>
  <c r="B3032" i="2"/>
  <c r="D3032" i="2"/>
  <c r="F2606" i="2"/>
  <c r="H2527" i="2"/>
  <c r="B2486" i="2"/>
  <c r="I3071" i="2"/>
  <c r="B3038" i="2"/>
  <c r="H3071" i="2"/>
  <c r="C2267" i="2"/>
  <c r="A3038" i="2"/>
  <c r="B2424" i="2"/>
  <c r="A3032" i="2"/>
  <c r="C2424" i="2"/>
  <c r="D2267" i="2"/>
  <c r="I3038" i="2"/>
  <c r="G2424" i="2"/>
  <c r="D2486" i="2"/>
  <c r="C3071" i="2"/>
  <c r="I2606" i="2"/>
  <c r="A2527" i="2"/>
  <c r="G3032" i="2"/>
  <c r="A2515" i="2"/>
  <c r="F2515" i="2"/>
  <c r="A2267" i="2"/>
  <c r="G2486" i="2"/>
  <c r="D2424" i="2"/>
  <c r="I3032" i="2"/>
  <c r="D1767" i="2"/>
  <c r="F2424" i="2"/>
  <c r="H1767" i="2"/>
  <c r="D3038" i="2"/>
  <c r="I2527" i="2"/>
  <c r="H2424" i="2"/>
  <c r="A2424" i="2"/>
  <c r="G2267" i="2"/>
  <c r="G2527" i="2"/>
  <c r="H3032" i="2"/>
  <c r="F3038" i="2"/>
  <c r="D2606" i="2"/>
  <c r="B1767" i="2"/>
  <c r="B3071" i="2"/>
  <c r="I2515" i="2"/>
  <c r="A2486" i="2"/>
  <c r="D2515" i="2"/>
  <c r="F1767" i="2"/>
  <c r="C3930" i="2"/>
  <c r="C1438" i="2"/>
  <c r="D3930" i="2"/>
  <c r="D1453" i="2"/>
  <c r="D1438" i="2"/>
  <c r="A3930" i="2"/>
  <c r="A1453" i="2"/>
  <c r="C1453" i="2"/>
  <c r="A1438" i="2"/>
  <c r="A2302" i="2"/>
  <c r="I3431" i="2"/>
  <c r="C3431" i="2"/>
  <c r="A3305" i="2"/>
  <c r="D2439" i="2"/>
  <c r="I2439" i="2"/>
  <c r="F2204" i="2"/>
  <c r="I2052" i="2"/>
  <c r="A2752" i="2"/>
  <c r="I2302" i="2"/>
  <c r="G2204" i="2"/>
  <c r="A2204" i="2"/>
  <c r="A2439" i="2"/>
  <c r="F3431" i="2"/>
  <c r="H3431" i="2"/>
  <c r="C2751" i="2"/>
  <c r="H2751" i="2"/>
  <c r="D3431" i="2"/>
  <c r="D2052" i="2"/>
  <c r="D2751" i="2"/>
  <c r="C2052" i="2"/>
  <c r="F2751" i="2"/>
  <c r="G2302" i="2"/>
  <c r="C2752" i="2"/>
  <c r="A3431" i="2"/>
  <c r="B1929" i="2"/>
  <c r="H1929" i="2"/>
  <c r="G2752" i="2"/>
  <c r="C1642" i="2"/>
  <c r="B2204" i="2"/>
  <c r="H2204" i="2"/>
  <c r="B1642" i="2"/>
  <c r="D2302" i="2"/>
  <c r="B3431" i="2"/>
  <c r="F2752" i="2"/>
  <c r="H2439" i="2"/>
  <c r="B2752" i="2"/>
  <c r="G3305" i="2"/>
  <c r="C1929" i="2"/>
  <c r="H2052" i="2"/>
  <c r="F3305" i="2"/>
  <c r="I1929" i="2"/>
  <c r="H3305" i="2"/>
  <c r="G2052" i="2"/>
  <c r="B2052" i="2"/>
  <c r="B3305" i="2"/>
  <c r="C2302" i="2"/>
  <c r="F1929" i="2"/>
  <c r="I3305" i="2"/>
  <c r="G2751" i="2"/>
  <c r="H2752" i="2"/>
  <c r="A2052" i="2"/>
  <c r="I2752" i="2"/>
  <c r="D1929" i="2"/>
  <c r="G2439" i="2"/>
  <c r="A2751" i="2"/>
  <c r="C2439" i="2"/>
  <c r="I1642" i="2"/>
  <c r="C3305" i="2"/>
  <c r="I2204" i="2"/>
  <c r="B2751" i="2"/>
  <c r="G1642" i="2"/>
  <c r="H2302" i="2"/>
  <c r="F2052" i="2"/>
  <c r="F2302" i="2"/>
  <c r="I2751" i="2"/>
  <c r="F2439" i="2"/>
  <c r="B2302" i="2"/>
  <c r="G3431" i="2"/>
  <c r="B2439" i="2"/>
  <c r="D2752" i="2"/>
  <c r="H1642" i="2"/>
  <c r="F1642" i="2"/>
  <c r="D2204" i="2"/>
  <c r="D3305" i="2"/>
  <c r="G1929" i="2"/>
  <c r="C2204" i="2"/>
  <c r="A1642" i="2"/>
  <c r="A1929" i="2"/>
  <c r="D1642" i="2"/>
  <c r="I1906" i="2"/>
  <c r="A2920" i="2"/>
  <c r="G2646" i="2"/>
  <c r="I2675" i="2"/>
  <c r="B2749" i="2"/>
  <c r="G3458" i="2"/>
  <c r="D3275" i="2"/>
  <c r="D2646" i="2"/>
  <c r="B3589" i="2"/>
  <c r="B1906" i="2"/>
  <c r="A2646" i="2"/>
  <c r="H3589" i="2"/>
  <c r="A3458" i="2"/>
  <c r="I3275" i="2"/>
  <c r="G1606" i="2"/>
  <c r="C2749" i="2"/>
  <c r="B3027" i="2"/>
  <c r="H3275" i="2"/>
  <c r="F2920" i="2"/>
  <c r="H1606" i="2"/>
  <c r="B3458" i="2"/>
  <c r="D3589" i="2"/>
  <c r="I2920" i="2"/>
  <c r="H2675" i="2"/>
  <c r="F2675" i="2"/>
  <c r="C2920" i="2"/>
  <c r="A3027" i="2"/>
  <c r="B2675" i="2"/>
  <c r="F3458" i="2"/>
  <c r="C2646" i="2"/>
  <c r="G3027" i="2"/>
  <c r="D3458" i="2"/>
  <c r="I2749" i="2"/>
  <c r="G3275" i="2"/>
  <c r="B1606" i="2"/>
  <c r="H2920" i="2"/>
  <c r="D1906" i="2"/>
  <c r="A2675" i="2"/>
  <c r="C1906" i="2"/>
  <c r="H2646" i="2"/>
  <c r="C2675" i="2"/>
  <c r="C3275" i="2"/>
  <c r="G2749" i="2"/>
  <c r="G1906" i="2"/>
  <c r="A3275" i="2"/>
  <c r="D1606" i="2"/>
  <c r="G3589" i="2"/>
  <c r="F3027" i="2"/>
  <c r="B2920" i="2"/>
  <c r="F2646" i="2"/>
  <c r="H3027" i="2"/>
  <c r="F2749" i="2"/>
  <c r="C1606" i="2"/>
  <c r="H2749" i="2"/>
  <c r="D2749" i="2"/>
  <c r="C3027" i="2"/>
  <c r="F1606" i="2"/>
  <c r="C3458" i="2"/>
  <c r="C3589" i="2"/>
  <c r="D2675" i="2"/>
  <c r="F1906" i="2"/>
  <c r="I3027" i="2"/>
  <c r="H3458" i="2"/>
  <c r="I1606" i="2"/>
  <c r="B3275" i="2"/>
  <c r="G2920" i="2"/>
  <c r="H1906" i="2"/>
  <c r="I2646" i="2"/>
  <c r="G2675" i="2"/>
  <c r="B2646" i="2"/>
  <c r="A1906" i="2"/>
  <c r="F3589" i="2"/>
  <c r="A1606" i="2"/>
  <c r="A3589" i="2"/>
  <c r="D2920" i="2"/>
  <c r="I3458" i="2"/>
  <c r="F3275" i="2"/>
  <c r="I3589" i="2"/>
  <c r="A2749" i="2"/>
  <c r="D3027" i="2"/>
  <c r="G3764" i="2"/>
  <c r="G3744" i="2"/>
  <c r="D3764" i="2"/>
  <c r="B3764" i="2"/>
  <c r="A3744" i="2"/>
  <c r="D3744" i="2"/>
  <c r="A3764" i="2"/>
  <c r="B3744" i="2"/>
  <c r="C3675" i="2"/>
  <c r="B3700" i="2"/>
  <c r="A3675" i="2"/>
  <c r="A3700" i="2"/>
  <c r="F3675" i="2"/>
  <c r="F3700" i="2"/>
  <c r="C3700" i="2"/>
  <c r="B3675" i="2"/>
  <c r="C3904" i="2"/>
  <c r="F3904" i="2"/>
  <c r="G3904" i="2"/>
  <c r="B3904" i="2"/>
  <c r="B3796" i="2"/>
  <c r="F3796" i="2"/>
  <c r="C3796" i="2"/>
  <c r="G3796" i="2"/>
  <c r="B3510" i="2"/>
  <c r="C2795" i="2"/>
  <c r="F3397" i="2"/>
  <c r="B2795" i="2"/>
  <c r="B2445" i="2"/>
  <c r="B3397" i="2"/>
  <c r="I3326" i="2"/>
  <c r="D2795" i="2"/>
  <c r="B2001" i="2"/>
  <c r="H3510" i="2"/>
  <c r="F3423" i="2"/>
  <c r="H3397" i="2"/>
  <c r="C1797" i="2"/>
  <c r="H2445" i="2"/>
  <c r="A2795" i="2"/>
  <c r="F2445" i="2"/>
  <c r="D3033" i="2"/>
  <c r="H3326" i="2"/>
  <c r="G3397" i="2"/>
  <c r="B3326" i="2"/>
  <c r="B1797" i="2"/>
  <c r="I3397" i="2"/>
  <c r="G2795" i="2"/>
  <c r="I1797" i="2"/>
  <c r="F2795" i="2"/>
  <c r="C2445" i="2"/>
  <c r="B1813" i="2"/>
  <c r="D2001" i="2"/>
  <c r="H1797" i="2"/>
  <c r="F3326" i="2"/>
  <c r="B3423" i="2"/>
  <c r="A2445" i="2"/>
  <c r="H1813" i="2"/>
  <c r="H3033" i="2"/>
  <c r="F2001" i="2"/>
  <c r="F3510" i="2"/>
  <c r="D1797" i="2"/>
  <c r="C3423" i="2"/>
  <c r="I3510" i="2"/>
  <c r="D3397" i="2"/>
  <c r="A3326" i="2"/>
  <c r="G3033" i="2"/>
  <c r="G2001" i="2"/>
  <c r="H3423" i="2"/>
  <c r="A1797" i="2"/>
  <c r="G3510" i="2"/>
  <c r="A3510" i="2"/>
  <c r="A3423" i="2"/>
  <c r="G3423" i="2"/>
  <c r="C3033" i="2"/>
  <c r="D1813" i="2"/>
  <c r="B3033" i="2"/>
  <c r="G2445" i="2"/>
  <c r="D3510" i="2"/>
  <c r="G3326" i="2"/>
  <c r="I3033" i="2"/>
  <c r="H2001" i="2"/>
  <c r="G1813" i="2"/>
  <c r="H2795" i="2"/>
  <c r="F1813" i="2"/>
  <c r="I1813" i="2"/>
  <c r="A3397" i="2"/>
  <c r="I2001" i="2"/>
  <c r="D2445" i="2"/>
  <c r="D3423" i="2"/>
  <c r="C1813" i="2"/>
  <c r="F1797" i="2"/>
  <c r="D3326" i="2"/>
  <c r="A3033" i="2"/>
  <c r="I2795" i="2"/>
  <c r="C2001" i="2"/>
  <c r="A2001" i="2"/>
  <c r="C3397" i="2"/>
  <c r="G1797" i="2"/>
  <c r="I3423" i="2"/>
  <c r="F3033" i="2"/>
  <c r="I2445" i="2"/>
  <c r="C3326" i="2"/>
  <c r="C3510" i="2"/>
  <c r="A1813" i="2"/>
  <c r="C1077" i="2"/>
  <c r="C3746" i="2"/>
  <c r="C3723" i="2"/>
  <c r="C3949" i="2"/>
  <c r="C3720" i="2"/>
  <c r="C4045" i="2"/>
  <c r="F3669" i="2"/>
  <c r="B3669" i="2"/>
  <c r="B1558" i="2"/>
  <c r="F3694" i="2"/>
  <c r="A3669" i="2"/>
  <c r="D3669" i="2"/>
  <c r="H3669" i="2"/>
  <c r="D1558" i="2"/>
  <c r="G1558" i="2"/>
  <c r="H1558" i="2"/>
  <c r="A3694" i="2"/>
  <c r="B3694" i="2"/>
  <c r="G3694" i="2"/>
  <c r="F1558" i="2"/>
  <c r="D3694" i="2"/>
  <c r="H3694" i="2"/>
  <c r="A1558" i="2"/>
  <c r="G3669" i="2"/>
  <c r="F1431" i="2"/>
  <c r="B3587" i="2"/>
  <c r="D1428" i="2"/>
  <c r="A3587" i="2"/>
  <c r="C3556" i="2"/>
  <c r="G1431" i="2"/>
  <c r="G3634" i="2"/>
  <c r="F3587" i="2"/>
  <c r="C3587" i="2"/>
  <c r="A3561" i="2"/>
  <c r="B3566" i="2"/>
  <c r="D3634" i="2"/>
  <c r="F3566" i="2"/>
  <c r="D3561" i="2"/>
  <c r="A3634" i="2"/>
  <c r="F3561" i="2"/>
  <c r="C3566" i="2"/>
  <c r="D3556" i="2"/>
  <c r="F3556" i="2"/>
  <c r="F1428" i="2"/>
  <c r="B3556" i="2"/>
  <c r="G3556" i="2"/>
  <c r="A1428" i="2"/>
  <c r="C3561" i="2"/>
  <c r="C1428" i="2"/>
  <c r="B1428" i="2"/>
  <c r="A3556" i="2"/>
  <c r="B3634" i="2"/>
  <c r="D3566" i="2"/>
  <c r="B3561" i="2"/>
  <c r="A1431" i="2"/>
  <c r="A3566" i="2"/>
  <c r="F3634" i="2"/>
  <c r="B1431" i="2"/>
  <c r="C3634" i="2"/>
  <c r="D3587" i="2"/>
  <c r="G3566" i="2"/>
  <c r="G1428" i="2"/>
  <c r="G3587" i="2"/>
  <c r="C1431" i="2"/>
  <c r="G3561" i="2"/>
  <c r="D1431" i="2"/>
  <c r="I1656" i="2"/>
  <c r="A1656" i="2"/>
  <c r="F1807" i="2"/>
  <c r="D3310" i="2"/>
  <c r="B1653" i="2"/>
  <c r="D1807" i="2"/>
  <c r="F2176" i="2"/>
  <c r="H2509" i="2"/>
  <c r="A3251" i="2"/>
  <c r="B1656" i="2"/>
  <c r="D2676" i="2"/>
  <c r="I2176" i="2"/>
  <c r="H1717" i="2"/>
  <c r="B1807" i="2"/>
  <c r="B2176" i="2"/>
  <c r="G3251" i="2"/>
  <c r="B2676" i="2"/>
  <c r="F1653" i="2"/>
  <c r="H1653" i="2"/>
  <c r="C3310" i="2"/>
  <c r="A2529" i="2"/>
  <c r="F3310" i="2"/>
  <c r="H2176" i="2"/>
  <c r="A2176" i="2"/>
  <c r="A2676" i="2"/>
  <c r="G2676" i="2"/>
  <c r="G1807" i="2"/>
  <c r="C1656" i="2"/>
  <c r="H2529" i="2"/>
  <c r="F3251" i="2"/>
  <c r="I2676" i="2"/>
  <c r="G2529" i="2"/>
  <c r="C2676" i="2"/>
  <c r="A3310" i="2"/>
  <c r="C3251" i="2"/>
  <c r="F1656" i="2"/>
  <c r="D1717" i="2"/>
  <c r="H3310" i="2"/>
  <c r="B2529" i="2"/>
  <c r="I2529" i="2"/>
  <c r="G3310" i="2"/>
  <c r="F2509" i="2"/>
  <c r="B1717" i="2"/>
  <c r="I1807" i="2"/>
  <c r="I3251" i="2"/>
  <c r="C1717" i="2"/>
  <c r="D2509" i="2"/>
  <c r="G2176" i="2"/>
  <c r="I3310" i="2"/>
  <c r="H2676" i="2"/>
  <c r="A1653" i="2"/>
  <c r="H3251" i="2"/>
  <c r="C2509" i="2"/>
  <c r="A1807" i="2"/>
  <c r="G1717" i="2"/>
  <c r="D1656" i="2"/>
  <c r="I1653" i="2"/>
  <c r="D2176" i="2"/>
  <c r="D2529" i="2"/>
  <c r="I2509" i="2"/>
  <c r="C1653" i="2"/>
  <c r="G1653" i="2"/>
  <c r="A1717" i="2"/>
  <c r="C1807" i="2"/>
  <c r="B2509" i="2"/>
  <c r="F1717" i="2"/>
  <c r="B3251" i="2"/>
  <c r="G2509" i="2"/>
  <c r="H1807" i="2"/>
  <c r="H1656" i="2"/>
  <c r="F2529" i="2"/>
  <c r="A2509" i="2"/>
  <c r="I1717" i="2"/>
  <c r="C2176" i="2"/>
  <c r="F2676" i="2"/>
  <c r="D3251" i="2"/>
  <c r="B3310" i="2"/>
  <c r="C2529" i="2"/>
  <c r="D1653" i="2"/>
  <c r="G1656" i="2"/>
  <c r="D3910" i="2"/>
  <c r="F3910" i="2"/>
  <c r="B3910" i="2"/>
  <c r="A3910" i="2"/>
  <c r="B2836" i="2"/>
  <c r="G3314" i="2"/>
  <c r="F3487" i="2"/>
  <c r="C3396" i="2"/>
  <c r="D2960" i="2"/>
  <c r="B3314" i="2"/>
  <c r="G2836" i="2"/>
  <c r="G3396" i="2"/>
  <c r="I2135" i="2"/>
  <c r="A3314" i="2"/>
  <c r="I3314" i="2"/>
  <c r="I2836" i="2"/>
  <c r="D3497" i="2"/>
  <c r="I3370" i="2"/>
  <c r="F2863" i="2"/>
  <c r="I3487" i="2"/>
  <c r="A3497" i="2"/>
  <c r="F2960" i="2"/>
  <c r="A3396" i="2"/>
  <c r="C2836" i="2"/>
  <c r="G3497" i="2"/>
  <c r="B3497" i="2"/>
  <c r="B2960" i="2"/>
  <c r="G2960" i="2"/>
  <c r="H2863" i="2"/>
  <c r="A2863" i="2"/>
  <c r="C3497" i="2"/>
  <c r="H1605" i="2"/>
  <c r="G3370" i="2"/>
  <c r="B3370" i="2"/>
  <c r="G3487" i="2"/>
  <c r="B3396" i="2"/>
  <c r="C1605" i="2"/>
  <c r="F3497" i="2"/>
  <c r="A2135" i="2"/>
  <c r="H2960" i="2"/>
  <c r="G1605" i="2"/>
  <c r="I1605" i="2"/>
  <c r="B2135" i="2"/>
  <c r="D3487" i="2"/>
  <c r="C2960" i="2"/>
  <c r="F3396" i="2"/>
  <c r="D3396" i="2"/>
  <c r="F2836" i="2"/>
  <c r="H2135" i="2"/>
  <c r="D3370" i="2"/>
  <c r="H3370" i="2"/>
  <c r="C3314" i="2"/>
  <c r="C2135" i="2"/>
  <c r="D2863" i="2"/>
  <c r="I3396" i="2"/>
  <c r="H3487" i="2"/>
  <c r="C2863" i="2"/>
  <c r="C3370" i="2"/>
  <c r="F3370" i="2"/>
  <c r="H3314" i="2"/>
  <c r="G2863" i="2"/>
  <c r="A1605" i="2"/>
  <c r="B2863" i="2"/>
  <c r="F2135" i="2"/>
  <c r="D1605" i="2"/>
  <c r="H3497" i="2"/>
  <c r="D2836" i="2"/>
  <c r="H2836" i="2"/>
  <c r="D2135" i="2"/>
  <c r="B1605" i="2"/>
  <c r="D3314" i="2"/>
  <c r="I2960" i="2"/>
  <c r="C3487" i="2"/>
  <c r="A3487" i="2"/>
  <c r="A3370" i="2"/>
  <c r="I2863" i="2"/>
  <c r="F1605" i="2"/>
  <c r="A2960" i="2"/>
  <c r="G2135" i="2"/>
  <c r="H3396" i="2"/>
  <c r="I3497" i="2"/>
  <c r="A2836" i="2"/>
  <c r="B3487" i="2"/>
  <c r="F3314" i="2"/>
  <c r="I3691" i="2"/>
  <c r="B1618" i="2"/>
  <c r="G1618" i="2"/>
  <c r="C1618" i="2"/>
  <c r="C1539" i="2"/>
  <c r="C3691" i="2"/>
  <c r="I3731" i="2"/>
  <c r="C1568" i="2"/>
  <c r="F3691" i="2"/>
  <c r="F3696" i="2"/>
  <c r="D3666" i="2"/>
  <c r="G3716" i="2"/>
  <c r="G3731" i="2"/>
  <c r="D3671" i="2"/>
  <c r="I3716" i="2"/>
  <c r="C3671" i="2"/>
  <c r="C3716" i="2"/>
  <c r="F1618" i="2"/>
  <c r="I1568" i="2"/>
  <c r="D3696" i="2"/>
  <c r="B3716" i="2"/>
  <c r="G1568" i="2"/>
  <c r="G3666" i="2"/>
  <c r="B3666" i="2"/>
  <c r="C3666" i="2"/>
  <c r="D3731" i="2"/>
  <c r="C3696" i="2"/>
  <c r="D1539" i="2"/>
  <c r="B3671" i="2"/>
  <c r="G3741" i="2"/>
  <c r="F3731" i="2"/>
  <c r="G3696" i="2"/>
  <c r="D3716" i="2"/>
  <c r="D3691" i="2"/>
  <c r="F1568" i="2"/>
  <c r="C3741" i="2"/>
  <c r="B3696" i="2"/>
  <c r="F1539" i="2"/>
  <c r="I3671" i="2"/>
  <c r="I3741" i="2"/>
  <c r="G3691" i="2"/>
  <c r="B1568" i="2"/>
  <c r="D1568" i="2"/>
  <c r="I3666" i="2"/>
  <c r="F3666" i="2"/>
  <c r="C3731" i="2"/>
  <c r="B1539" i="2"/>
  <c r="B3741" i="2"/>
  <c r="I1539" i="2"/>
  <c r="I1618" i="2"/>
  <c r="F3671" i="2"/>
  <c r="I3696" i="2"/>
  <c r="G3671" i="2"/>
  <c r="F3741" i="2"/>
  <c r="G1539" i="2"/>
  <c r="B3731" i="2"/>
  <c r="B3691" i="2"/>
  <c r="D1618" i="2"/>
  <c r="F3716" i="2"/>
  <c r="D3741" i="2"/>
  <c r="C1668" i="2"/>
  <c r="A2660" i="2"/>
  <c r="G2826" i="2"/>
  <c r="H2856" i="2"/>
  <c r="B2297" i="2"/>
  <c r="A3349" i="2"/>
  <c r="H2826" i="2"/>
  <c r="G1668" i="2"/>
  <c r="D2856" i="2"/>
  <c r="D2660" i="2"/>
  <c r="I1668" i="2"/>
  <c r="B3082" i="2"/>
  <c r="C2297" i="2"/>
  <c r="B2953" i="2"/>
  <c r="C3349" i="2"/>
  <c r="A2856" i="2"/>
  <c r="C2826" i="2"/>
  <c r="B2660" i="2"/>
  <c r="D2826" i="2"/>
  <c r="I3349" i="2"/>
  <c r="F3082" i="2"/>
  <c r="I2297" i="2"/>
  <c r="F2660" i="2"/>
  <c r="G2856" i="2"/>
  <c r="F1668" i="2"/>
  <c r="H3082" i="2"/>
  <c r="I2257" i="2"/>
  <c r="D3082" i="2"/>
  <c r="B1668" i="2"/>
  <c r="F3349" i="2"/>
  <c r="H2200" i="2"/>
  <c r="A2826" i="2"/>
  <c r="C2257" i="2"/>
  <c r="I3082" i="2"/>
  <c r="A2297" i="2"/>
  <c r="H2297" i="2"/>
  <c r="G2200" i="2"/>
  <c r="G2257" i="2"/>
  <c r="F2953" i="2"/>
  <c r="D3349" i="2"/>
  <c r="A2257" i="2"/>
  <c r="F2856" i="2"/>
  <c r="A2200" i="2"/>
  <c r="H2257" i="2"/>
  <c r="B2826" i="2"/>
  <c r="C3082" i="2"/>
  <c r="C2200" i="2"/>
  <c r="C2953" i="2"/>
  <c r="D2953" i="2"/>
  <c r="C2856" i="2"/>
  <c r="H3349" i="2"/>
  <c r="G2660" i="2"/>
  <c r="B2200" i="2"/>
  <c r="D1668" i="2"/>
  <c r="G2297" i="2"/>
  <c r="D2200" i="2"/>
  <c r="H2953" i="2"/>
  <c r="H2660" i="2"/>
  <c r="B2856" i="2"/>
  <c r="A3082" i="2"/>
  <c r="H1668" i="2"/>
  <c r="G2953" i="2"/>
  <c r="I2953" i="2"/>
  <c r="F2200" i="2"/>
  <c r="B3349" i="2"/>
  <c r="D2257" i="2"/>
  <c r="F2257" i="2"/>
  <c r="D2297" i="2"/>
  <c r="C2660" i="2"/>
  <c r="F2826" i="2"/>
  <c r="I2826" i="2"/>
  <c r="I2660" i="2"/>
  <c r="A1668" i="2"/>
  <c r="B2257" i="2"/>
  <c r="G3082" i="2"/>
  <c r="F2297" i="2"/>
  <c r="A2953" i="2"/>
  <c r="G3349" i="2"/>
  <c r="I2856" i="2"/>
  <c r="I2200" i="2"/>
  <c r="F3207" i="2"/>
  <c r="H3612" i="2"/>
  <c r="H3162" i="2"/>
  <c r="H1588" i="2"/>
  <c r="A3364" i="2"/>
  <c r="F1844" i="2"/>
  <c r="G3612" i="2"/>
  <c r="C1942" i="2"/>
  <c r="H1844" i="2"/>
  <c r="D1948" i="2"/>
  <c r="I3207" i="2"/>
  <c r="A2884" i="2"/>
  <c r="D1942" i="2"/>
  <c r="H1948" i="2"/>
  <c r="B1948" i="2"/>
  <c r="D3612" i="2"/>
  <c r="I1844" i="2"/>
  <c r="C1588" i="2"/>
  <c r="A3442" i="2"/>
  <c r="F3612" i="2"/>
  <c r="C3442" i="2"/>
  <c r="C3162" i="2"/>
  <c r="I2884" i="2"/>
  <c r="I3364" i="2"/>
  <c r="G3442" i="2"/>
  <c r="B3207" i="2"/>
  <c r="F1942" i="2"/>
  <c r="D3162" i="2"/>
  <c r="D3364" i="2"/>
  <c r="H2884" i="2"/>
  <c r="F2884" i="2"/>
  <c r="F3364" i="2"/>
  <c r="A3612" i="2"/>
  <c r="C1948" i="2"/>
  <c r="C1844" i="2"/>
  <c r="B1588" i="2"/>
  <c r="I1588" i="2"/>
  <c r="F3442" i="2"/>
  <c r="G1948" i="2"/>
  <c r="I3162" i="2"/>
  <c r="G3364" i="2"/>
  <c r="D3442" i="2"/>
  <c r="H3364" i="2"/>
  <c r="F1588" i="2"/>
  <c r="G2884" i="2"/>
  <c r="B1844" i="2"/>
  <c r="I3442" i="2"/>
  <c r="A3162" i="2"/>
  <c r="H1942" i="2"/>
  <c r="G1942" i="2"/>
  <c r="C3612" i="2"/>
  <c r="A1588" i="2"/>
  <c r="I3612" i="2"/>
  <c r="I1942" i="2"/>
  <c r="C3207" i="2"/>
  <c r="B2884" i="2"/>
  <c r="A1948" i="2"/>
  <c r="B3162" i="2"/>
  <c r="G1844" i="2"/>
  <c r="G3162" i="2"/>
  <c r="B1942" i="2"/>
  <c r="H3207" i="2"/>
  <c r="A3207" i="2"/>
  <c r="D1588" i="2"/>
  <c r="A1844" i="2"/>
  <c r="D2884" i="2"/>
  <c r="C3364" i="2"/>
  <c r="G3207" i="2"/>
  <c r="C2884" i="2"/>
  <c r="B3364" i="2"/>
  <c r="D3207" i="2"/>
  <c r="B3612" i="2"/>
  <c r="A1942" i="2"/>
  <c r="G1588" i="2"/>
  <c r="B3442" i="2"/>
  <c r="F1948" i="2"/>
  <c r="F3162" i="2"/>
  <c r="H3442" i="2"/>
  <c r="I1948" i="2"/>
  <c r="D1844" i="2"/>
  <c r="I3951" i="2"/>
  <c r="B3951" i="2"/>
  <c r="H3977" i="2"/>
  <c r="F3977" i="2"/>
  <c r="B2993" i="2"/>
  <c r="B1848" i="2"/>
  <c r="I2993" i="2"/>
  <c r="I2292" i="2"/>
  <c r="G2853" i="2"/>
  <c r="B3155" i="2"/>
  <c r="H3119" i="2"/>
  <c r="D2629" i="2"/>
  <c r="D2993" i="2"/>
  <c r="I3155" i="2"/>
  <c r="B3105" i="2"/>
  <c r="H2993" i="2"/>
  <c r="D1938" i="2"/>
  <c r="D3119" i="2"/>
  <c r="B2116" i="2"/>
  <c r="F2629" i="2"/>
  <c r="D3155" i="2"/>
  <c r="A2993" i="2"/>
  <c r="H1938" i="2"/>
  <c r="B2629" i="2"/>
  <c r="F2993" i="2"/>
  <c r="G2116" i="2"/>
  <c r="G1938" i="2"/>
  <c r="G3105" i="2"/>
  <c r="A3155" i="2"/>
  <c r="F3105" i="2"/>
  <c r="D3105" i="2"/>
  <c r="C3155" i="2"/>
  <c r="H2116" i="2"/>
  <c r="I2629" i="2"/>
  <c r="D2853" i="2"/>
  <c r="C2853" i="2"/>
  <c r="A1848" i="2"/>
  <c r="A1938" i="2"/>
  <c r="G2629" i="2"/>
  <c r="D1848" i="2"/>
  <c r="C2993" i="2"/>
  <c r="A2292" i="2"/>
  <c r="B3119" i="2"/>
  <c r="C3105" i="2"/>
  <c r="H2629" i="2"/>
  <c r="I1938" i="2"/>
  <c r="A3119" i="2"/>
  <c r="A2116" i="2"/>
  <c r="D2292" i="2"/>
  <c r="H2853" i="2"/>
  <c r="I2116" i="2"/>
  <c r="F1938" i="2"/>
  <c r="C2292" i="2"/>
  <c r="H3105" i="2"/>
  <c r="F3119" i="2"/>
  <c r="A3105" i="2"/>
  <c r="I1848" i="2"/>
  <c r="H1848" i="2"/>
  <c r="G1848" i="2"/>
  <c r="B2292" i="2"/>
  <c r="F2292" i="2"/>
  <c r="G3119" i="2"/>
  <c r="F3155" i="2"/>
  <c r="I2853" i="2"/>
  <c r="C1938" i="2"/>
  <c r="G2292" i="2"/>
  <c r="I3119" i="2"/>
  <c r="F1848" i="2"/>
  <c r="C2629" i="2"/>
  <c r="D2116" i="2"/>
  <c r="F2853" i="2"/>
  <c r="F2116" i="2"/>
  <c r="G3155" i="2"/>
  <c r="C1848" i="2"/>
  <c r="C3119" i="2"/>
  <c r="B2853" i="2"/>
  <c r="G2993" i="2"/>
  <c r="H3155" i="2"/>
  <c r="H2292" i="2"/>
  <c r="B1938" i="2"/>
  <c r="I3105" i="2"/>
  <c r="C2116" i="2"/>
  <c r="A2629" i="2"/>
  <c r="A2853" i="2"/>
  <c r="B1881" i="2"/>
  <c r="D3003" i="2"/>
  <c r="B1919" i="2"/>
  <c r="D2495" i="2"/>
  <c r="I2300" i="2"/>
  <c r="I3003" i="2"/>
  <c r="D2498" i="2"/>
  <c r="G2725" i="2"/>
  <c r="D1881" i="2"/>
  <c r="A2594" i="2"/>
  <c r="A2495" i="2"/>
  <c r="G1823" i="2"/>
  <c r="B2594" i="2"/>
  <c r="I2495" i="2"/>
  <c r="I1881" i="2"/>
  <c r="H2725" i="2"/>
  <c r="B3003" i="2"/>
  <c r="G2498" i="2"/>
  <c r="G2495" i="2"/>
  <c r="C2300" i="2"/>
  <c r="D2673" i="2"/>
  <c r="I2498" i="2"/>
  <c r="G3003" i="2"/>
  <c r="I1919" i="2"/>
  <c r="B2300" i="2"/>
  <c r="F2673" i="2"/>
  <c r="H1881" i="2"/>
  <c r="H3003" i="2"/>
  <c r="B2673" i="2"/>
  <c r="A2498" i="2"/>
  <c r="C2594" i="2"/>
  <c r="D2594" i="2"/>
  <c r="D2300" i="2"/>
  <c r="C1919" i="2"/>
  <c r="F2725" i="2"/>
  <c r="B2725" i="2"/>
  <c r="F1919" i="2"/>
  <c r="B1823" i="2"/>
  <c r="I2673" i="2"/>
  <c r="G1881" i="2"/>
  <c r="C2725" i="2"/>
  <c r="A1919" i="2"/>
  <c r="A3003" i="2"/>
  <c r="I2725" i="2"/>
  <c r="B2498" i="2"/>
  <c r="D1919" i="2"/>
  <c r="C1823" i="2"/>
  <c r="I2594" i="2"/>
  <c r="F3003" i="2"/>
  <c r="H2498" i="2"/>
  <c r="F1823" i="2"/>
  <c r="H1823" i="2"/>
  <c r="H2673" i="2"/>
  <c r="I1823" i="2"/>
  <c r="G2673" i="2"/>
  <c r="D1823" i="2"/>
  <c r="A2673" i="2"/>
  <c r="A2725" i="2"/>
  <c r="A2300" i="2"/>
  <c r="F1881" i="2"/>
  <c r="C1881" i="2"/>
  <c r="F2495" i="2"/>
  <c r="H2300" i="2"/>
  <c r="F2594" i="2"/>
  <c r="C2498" i="2"/>
  <c r="G1919" i="2"/>
  <c r="C2495" i="2"/>
  <c r="H2594" i="2"/>
  <c r="B2495" i="2"/>
  <c r="G2594" i="2"/>
  <c r="A1881" i="2"/>
  <c r="F2300" i="2"/>
  <c r="H2495" i="2"/>
  <c r="F2498" i="2"/>
  <c r="C3003" i="2"/>
  <c r="C2673" i="2"/>
  <c r="H1919" i="2"/>
  <c r="D2725" i="2"/>
  <c r="G2300" i="2"/>
  <c r="A1823" i="2"/>
  <c r="I2069" i="2"/>
  <c r="D2600" i="2"/>
  <c r="H2975" i="2"/>
  <c r="C3010" i="2"/>
  <c r="B3188" i="2"/>
  <c r="A3010" i="2"/>
  <c r="D3010" i="2"/>
  <c r="D1719" i="2"/>
  <c r="G3188" i="2"/>
  <c r="C2799" i="2"/>
  <c r="F2386" i="2"/>
  <c r="G3010" i="2"/>
  <c r="F2964" i="2"/>
  <c r="B2975" i="2"/>
  <c r="A2964" i="2"/>
  <c r="B3010" i="2"/>
  <c r="B2386" i="2"/>
  <c r="I3010" i="2"/>
  <c r="G2600" i="2"/>
  <c r="D2386" i="2"/>
  <c r="H2964" i="2"/>
  <c r="F2069" i="2"/>
  <c r="C2600" i="2"/>
  <c r="F3188" i="2"/>
  <c r="F2109" i="2"/>
  <c r="G2109" i="2"/>
  <c r="I2109" i="2"/>
  <c r="C2975" i="2"/>
  <c r="H2069" i="2"/>
  <c r="F1719" i="2"/>
  <c r="D2975" i="2"/>
  <c r="C2109" i="2"/>
  <c r="D2069" i="2"/>
  <c r="G2799" i="2"/>
  <c r="A2600" i="2"/>
  <c r="B2600" i="2"/>
  <c r="C2386" i="2"/>
  <c r="B2799" i="2"/>
  <c r="A2069" i="2"/>
  <c r="D2964" i="2"/>
  <c r="H3010" i="2"/>
  <c r="C1719" i="2"/>
  <c r="B2069" i="2"/>
  <c r="A1719" i="2"/>
  <c r="H2600" i="2"/>
  <c r="B1719" i="2"/>
  <c r="D2109" i="2"/>
  <c r="D2799" i="2"/>
  <c r="B2964" i="2"/>
  <c r="H2386" i="2"/>
  <c r="F2600" i="2"/>
  <c r="G1719" i="2"/>
  <c r="H3188" i="2"/>
  <c r="F2975" i="2"/>
  <c r="H1719" i="2"/>
  <c r="I2386" i="2"/>
  <c r="A3188" i="2"/>
  <c r="C2069" i="2"/>
  <c r="A2975" i="2"/>
  <c r="D3188" i="2"/>
  <c r="C2964" i="2"/>
  <c r="H2109" i="2"/>
  <c r="I2975" i="2"/>
  <c r="B2109" i="2"/>
  <c r="I2964" i="2"/>
  <c r="A2386" i="2"/>
  <c r="C3188" i="2"/>
  <c r="H2799" i="2"/>
  <c r="I2799" i="2"/>
  <c r="I1719" i="2"/>
  <c r="F2799" i="2"/>
  <c r="I2600" i="2"/>
  <c r="G2386" i="2"/>
  <c r="G2069" i="2"/>
  <c r="G2975" i="2"/>
  <c r="I3188" i="2"/>
  <c r="A2799" i="2"/>
  <c r="G2964" i="2"/>
  <c r="A2109" i="2"/>
  <c r="F3010" i="2"/>
  <c r="H1947" i="2"/>
  <c r="I2378" i="2"/>
  <c r="H3283" i="2"/>
  <c r="C2160" i="2"/>
  <c r="G1720" i="2"/>
  <c r="F2323" i="2"/>
  <c r="I3086" i="2"/>
  <c r="A1669" i="2"/>
  <c r="A2707" i="2"/>
  <c r="F1720" i="2"/>
  <c r="A1720" i="2"/>
  <c r="C3165" i="2"/>
  <c r="I3165" i="2"/>
  <c r="H3165" i="2"/>
  <c r="B3283" i="2"/>
  <c r="B1947" i="2"/>
  <c r="I2323" i="2"/>
  <c r="H2160" i="2"/>
  <c r="A2323" i="2"/>
  <c r="H2378" i="2"/>
  <c r="I1669" i="2"/>
  <c r="A3165" i="2"/>
  <c r="A3283" i="2"/>
  <c r="B1720" i="2"/>
  <c r="C2323" i="2"/>
  <c r="C3086" i="2"/>
  <c r="F3086" i="2"/>
  <c r="H2707" i="2"/>
  <c r="D2707" i="2"/>
  <c r="G1669" i="2"/>
  <c r="B1669" i="2"/>
  <c r="G2378" i="2"/>
  <c r="D2160" i="2"/>
  <c r="B2707" i="2"/>
  <c r="H3086" i="2"/>
  <c r="D2323" i="2"/>
  <c r="F2707" i="2"/>
  <c r="G2160" i="2"/>
  <c r="I2160" i="2"/>
  <c r="C1669" i="2"/>
  <c r="D3165" i="2"/>
  <c r="C1720" i="2"/>
  <c r="G3086" i="2"/>
  <c r="A2378" i="2"/>
  <c r="G2323" i="2"/>
  <c r="G1947" i="2"/>
  <c r="I1720" i="2"/>
  <c r="C1947" i="2"/>
  <c r="D1720" i="2"/>
  <c r="F3165" i="2"/>
  <c r="B2378" i="2"/>
  <c r="G2707" i="2"/>
  <c r="F2160" i="2"/>
  <c r="C2707" i="2"/>
  <c r="H1669" i="2"/>
  <c r="B2160" i="2"/>
  <c r="G3283" i="2"/>
  <c r="G3165" i="2"/>
  <c r="I3283" i="2"/>
  <c r="I1947" i="2"/>
  <c r="D1947" i="2"/>
  <c r="H2323" i="2"/>
  <c r="A1947" i="2"/>
  <c r="C2378" i="2"/>
  <c r="A3086" i="2"/>
  <c r="D3283" i="2"/>
  <c r="C3283" i="2"/>
  <c r="D1669" i="2"/>
  <c r="D2378" i="2"/>
  <c r="F2378" i="2"/>
  <c r="B3086" i="2"/>
  <c r="I2707" i="2"/>
  <c r="F1947" i="2"/>
  <c r="F3283" i="2"/>
  <c r="B3165" i="2"/>
  <c r="B2323" i="2"/>
  <c r="H1720" i="2"/>
  <c r="D3086" i="2"/>
  <c r="A2160" i="2"/>
  <c r="F1669" i="2"/>
  <c r="F3964" i="2"/>
  <c r="C3964" i="2"/>
  <c r="C3697" i="2"/>
  <c r="B3672" i="2"/>
  <c r="H3697" i="2"/>
  <c r="A3672" i="2"/>
  <c r="C3672" i="2"/>
  <c r="F3697" i="2"/>
  <c r="A3697" i="2"/>
  <c r="D3697" i="2"/>
  <c r="B3697" i="2"/>
  <c r="H3672" i="2"/>
  <c r="D3672" i="2"/>
  <c r="F3672" i="2"/>
  <c r="I3160" i="2"/>
  <c r="A3021" i="2"/>
  <c r="C2574" i="2"/>
  <c r="I2876" i="2"/>
  <c r="G2124" i="2"/>
  <c r="F3021" i="2"/>
  <c r="H3154" i="2"/>
  <c r="D2124" i="2"/>
  <c r="I3021" i="2"/>
  <c r="B1667" i="2"/>
  <c r="G2865" i="2"/>
  <c r="A2124" i="2"/>
  <c r="F3245" i="2"/>
  <c r="D2876" i="2"/>
  <c r="I3245" i="2"/>
  <c r="C2563" i="2"/>
  <c r="I1667" i="2"/>
  <c r="F2876" i="2"/>
  <c r="F2574" i="2"/>
  <c r="B3245" i="2"/>
  <c r="I2563" i="2"/>
  <c r="C3154" i="2"/>
  <c r="F1667" i="2"/>
  <c r="D3154" i="2"/>
  <c r="C2124" i="2"/>
  <c r="G1667" i="2"/>
  <c r="I2574" i="2"/>
  <c r="B2865" i="2"/>
  <c r="C2865" i="2"/>
  <c r="G3160" i="2"/>
  <c r="F3154" i="2"/>
  <c r="F3160" i="2"/>
  <c r="H1667" i="2"/>
  <c r="B3021" i="2"/>
  <c r="G2574" i="2"/>
  <c r="I2124" i="2"/>
  <c r="A3154" i="2"/>
  <c r="G3021" i="2"/>
  <c r="B3160" i="2"/>
  <c r="H2865" i="2"/>
  <c r="D2563" i="2"/>
  <c r="A3245" i="2"/>
  <c r="D2865" i="2"/>
  <c r="F2865" i="2"/>
  <c r="F2124" i="2"/>
  <c r="D3021" i="2"/>
  <c r="H3160" i="2"/>
  <c r="B3154" i="2"/>
  <c r="C2876" i="2"/>
  <c r="A3160" i="2"/>
  <c r="C3245" i="2"/>
  <c r="C1667" i="2"/>
  <c r="H2563" i="2"/>
  <c r="D3245" i="2"/>
  <c r="I3154" i="2"/>
  <c r="A2865" i="2"/>
  <c r="F2563" i="2"/>
  <c r="A2563" i="2"/>
  <c r="H3021" i="2"/>
  <c r="D3160" i="2"/>
  <c r="H2876" i="2"/>
  <c r="D2574" i="2"/>
  <c r="D1667" i="2"/>
  <c r="H2574" i="2"/>
  <c r="G3245" i="2"/>
  <c r="B2124" i="2"/>
  <c r="A2574" i="2"/>
  <c r="G2876" i="2"/>
  <c r="G2563" i="2"/>
  <c r="C3021" i="2"/>
  <c r="A2876" i="2"/>
  <c r="B2563" i="2"/>
  <c r="B2876" i="2"/>
  <c r="I2865" i="2"/>
  <c r="H3245" i="2"/>
  <c r="G3154" i="2"/>
  <c r="B2574" i="2"/>
  <c r="C3160" i="2"/>
  <c r="H2124" i="2"/>
  <c r="A1667" i="2"/>
  <c r="A3613" i="2"/>
  <c r="B3613" i="2"/>
  <c r="C3613" i="2"/>
  <c r="D3613" i="2"/>
  <c r="G3613" i="2"/>
  <c r="F3626" i="2"/>
  <c r="C3626" i="2"/>
  <c r="G3626" i="2"/>
  <c r="B3626" i="2"/>
  <c r="H3626" i="2"/>
  <c r="D3626" i="2"/>
  <c r="D1759" i="2"/>
  <c r="H3203" i="2"/>
  <c r="C3203" i="2"/>
  <c r="G2716" i="2"/>
  <c r="G1728" i="2"/>
  <c r="G1759" i="2"/>
  <c r="H2948" i="2"/>
  <c r="H1728" i="2"/>
  <c r="A2206" i="2"/>
  <c r="F2579" i="2"/>
  <c r="C3417" i="2"/>
  <c r="H1759" i="2"/>
  <c r="D1728" i="2"/>
  <c r="A2716" i="2"/>
  <c r="B1728" i="2"/>
  <c r="D2716" i="2"/>
  <c r="A3417" i="2"/>
  <c r="C2162" i="2"/>
  <c r="A2948" i="2"/>
  <c r="F2206" i="2"/>
  <c r="B3417" i="2"/>
  <c r="C2716" i="2"/>
  <c r="H2218" i="2"/>
  <c r="B2579" i="2"/>
  <c r="C2579" i="2"/>
  <c r="D2206" i="2"/>
  <c r="B2948" i="2"/>
  <c r="H2716" i="2"/>
  <c r="D2579" i="2"/>
  <c r="I2218" i="2"/>
  <c r="F2218" i="2"/>
  <c r="D3417" i="2"/>
  <c r="F3417" i="2"/>
  <c r="D2218" i="2"/>
  <c r="C1759" i="2"/>
  <c r="F2716" i="2"/>
  <c r="B2218" i="2"/>
  <c r="H2579" i="2"/>
  <c r="I2206" i="2"/>
  <c r="B2206" i="2"/>
  <c r="D2162" i="2"/>
  <c r="G2579" i="2"/>
  <c r="F2162" i="2"/>
  <c r="I1759" i="2"/>
  <c r="F1759" i="2"/>
  <c r="B3203" i="2"/>
  <c r="F2948" i="2"/>
  <c r="H2162" i="2"/>
  <c r="I1728" i="2"/>
  <c r="G3417" i="2"/>
  <c r="C1728" i="2"/>
  <c r="A2218" i="2"/>
  <c r="D3203" i="2"/>
  <c r="A1759" i="2"/>
  <c r="F3203" i="2"/>
  <c r="A3203" i="2"/>
  <c r="A2162" i="2"/>
  <c r="G2218" i="2"/>
  <c r="D2948" i="2"/>
  <c r="G3203" i="2"/>
  <c r="F1728" i="2"/>
  <c r="I2716" i="2"/>
  <c r="G2206" i="2"/>
  <c r="C2206" i="2"/>
  <c r="G2162" i="2"/>
  <c r="A2579" i="2"/>
  <c r="I2162" i="2"/>
  <c r="I2948" i="2"/>
  <c r="C2948" i="2"/>
  <c r="I3417" i="2"/>
  <c r="C2218" i="2"/>
  <c r="G2948" i="2"/>
  <c r="B1759" i="2"/>
  <c r="H2206" i="2"/>
  <c r="I3203" i="2"/>
  <c r="B2162" i="2"/>
  <c r="B2716" i="2"/>
  <c r="A1728" i="2"/>
  <c r="I2579" i="2"/>
  <c r="H3417" i="2"/>
  <c r="G2117" i="2"/>
  <c r="I2365" i="2"/>
  <c r="D3059" i="2"/>
  <c r="D3459" i="2"/>
  <c r="F3059" i="2"/>
  <c r="B2117" i="2"/>
  <c r="F2409" i="2"/>
  <c r="C2929" i="2"/>
  <c r="I3459" i="2"/>
  <c r="G3171" i="2"/>
  <c r="F2249" i="2"/>
  <c r="F2929" i="2"/>
  <c r="G1824" i="2"/>
  <c r="H2249" i="2"/>
  <c r="H3171" i="2"/>
  <c r="A2365" i="2"/>
  <c r="A3459" i="2"/>
  <c r="H1824" i="2"/>
  <c r="C3459" i="2"/>
  <c r="G3459" i="2"/>
  <c r="I2249" i="2"/>
  <c r="D2929" i="2"/>
  <c r="D2249" i="2"/>
  <c r="F1824" i="2"/>
  <c r="H2098" i="2"/>
  <c r="C2249" i="2"/>
  <c r="B2409" i="2"/>
  <c r="D2098" i="2"/>
  <c r="C3059" i="2"/>
  <c r="G2409" i="2"/>
  <c r="F2098" i="2"/>
  <c r="B3171" i="2"/>
  <c r="G2249" i="2"/>
  <c r="D2409" i="2"/>
  <c r="B3059" i="2"/>
  <c r="B3459" i="2"/>
  <c r="G2365" i="2"/>
  <c r="I3171" i="2"/>
  <c r="C2365" i="2"/>
  <c r="F3459" i="2"/>
  <c r="I3059" i="2"/>
  <c r="H2365" i="2"/>
  <c r="G2929" i="2"/>
  <c r="B2098" i="2"/>
  <c r="I2409" i="2"/>
  <c r="I2117" i="2"/>
  <c r="B2365" i="2"/>
  <c r="F2365" i="2"/>
  <c r="A1824" i="2"/>
  <c r="D3171" i="2"/>
  <c r="A2098" i="2"/>
  <c r="F2117" i="2"/>
  <c r="H3059" i="2"/>
  <c r="C1824" i="2"/>
  <c r="C2098" i="2"/>
  <c r="I1824" i="2"/>
  <c r="A2929" i="2"/>
  <c r="B1824" i="2"/>
  <c r="G2098" i="2"/>
  <c r="H2929" i="2"/>
  <c r="A3171" i="2"/>
  <c r="H2117" i="2"/>
  <c r="C2117" i="2"/>
  <c r="A3059" i="2"/>
  <c r="A2409" i="2"/>
  <c r="B2249" i="2"/>
  <c r="A2117" i="2"/>
  <c r="A2249" i="2"/>
  <c r="B2929" i="2"/>
  <c r="H2409" i="2"/>
  <c r="F3171" i="2"/>
  <c r="C2409" i="2"/>
  <c r="C3171" i="2"/>
  <c r="D2365" i="2"/>
  <c r="H3459" i="2"/>
  <c r="I2929" i="2"/>
  <c r="I2098" i="2"/>
  <c r="D1824" i="2"/>
  <c r="D2117" i="2"/>
  <c r="G3059" i="2"/>
  <c r="G3254" i="2"/>
  <c r="F3098" i="2"/>
  <c r="A3254" i="2"/>
  <c r="B3254" i="2"/>
  <c r="I2518" i="2"/>
  <c r="D2373" i="2"/>
  <c r="H1695" i="2"/>
  <c r="F2342" i="2"/>
  <c r="G2897" i="2"/>
  <c r="B2897" i="2"/>
  <c r="C2342" i="2"/>
  <c r="A2549" i="2"/>
  <c r="C2549" i="2"/>
  <c r="H3254" i="2"/>
  <c r="G3001" i="2"/>
  <c r="G2549" i="2"/>
  <c r="G1695" i="2"/>
  <c r="C2897" i="2"/>
  <c r="A3001" i="2"/>
  <c r="H2342" i="2"/>
  <c r="H2568" i="2"/>
  <c r="G2568" i="2"/>
  <c r="F2518" i="2"/>
  <c r="I3254" i="2"/>
  <c r="D1695" i="2"/>
  <c r="F2568" i="2"/>
  <c r="F2549" i="2"/>
  <c r="F2373" i="2"/>
  <c r="I3098" i="2"/>
  <c r="H3001" i="2"/>
  <c r="I2373" i="2"/>
  <c r="B3001" i="2"/>
  <c r="B2342" i="2"/>
  <c r="H3098" i="2"/>
  <c r="D2518" i="2"/>
  <c r="B1695" i="2"/>
  <c r="I1695" i="2"/>
  <c r="A3098" i="2"/>
  <c r="F2897" i="2"/>
  <c r="G3098" i="2"/>
  <c r="F3254" i="2"/>
  <c r="A2342" i="2"/>
  <c r="G2373" i="2"/>
  <c r="C2568" i="2"/>
  <c r="D2897" i="2"/>
  <c r="B2373" i="2"/>
  <c r="B2518" i="2"/>
  <c r="H2373" i="2"/>
  <c r="C3001" i="2"/>
  <c r="A2568" i="2"/>
  <c r="I2342" i="2"/>
  <c r="H2549" i="2"/>
  <c r="I3001" i="2"/>
  <c r="G2342" i="2"/>
  <c r="B3098" i="2"/>
  <c r="I2549" i="2"/>
  <c r="F3001" i="2"/>
  <c r="C1695" i="2"/>
  <c r="D3098" i="2"/>
  <c r="C3254" i="2"/>
  <c r="G2518" i="2"/>
  <c r="I2897" i="2"/>
  <c r="D2549" i="2"/>
  <c r="A2897" i="2"/>
  <c r="A2518" i="2"/>
  <c r="C2373" i="2"/>
  <c r="B2568" i="2"/>
  <c r="D2568" i="2"/>
  <c r="C2518" i="2"/>
  <c r="D2342" i="2"/>
  <c r="H2518" i="2"/>
  <c r="I2568" i="2"/>
  <c r="B2549" i="2"/>
  <c r="D3001" i="2"/>
  <c r="F1695" i="2"/>
  <c r="A1695" i="2"/>
  <c r="D3254" i="2"/>
  <c r="A2373" i="2"/>
  <c r="H2897" i="2"/>
  <c r="C3098" i="2"/>
  <c r="D3621" i="2"/>
  <c r="F3621" i="2"/>
  <c r="I3621" i="2"/>
  <c r="C3621" i="2"/>
  <c r="B3621" i="2"/>
  <c r="I2501" i="2"/>
  <c r="G1724" i="2"/>
  <c r="A2501" i="2"/>
  <c r="D2438" i="2"/>
  <c r="A2287" i="2"/>
  <c r="I2567" i="2"/>
  <c r="F3172" i="2"/>
  <c r="C3413" i="2"/>
  <c r="H3413" i="2"/>
  <c r="C1724" i="2"/>
  <c r="B3172" i="2"/>
  <c r="B2287" i="2"/>
  <c r="B2567" i="2"/>
  <c r="C2567" i="2"/>
  <c r="G3413" i="2"/>
  <c r="A3394" i="2"/>
  <c r="I3413" i="2"/>
  <c r="H2567" i="2"/>
  <c r="D3172" i="2"/>
  <c r="A2696" i="2"/>
  <c r="C3172" i="2"/>
  <c r="D2287" i="2"/>
  <c r="A1724" i="2"/>
  <c r="B2501" i="2"/>
  <c r="C2438" i="2"/>
  <c r="C2501" i="2"/>
  <c r="H1724" i="2"/>
  <c r="H2721" i="2"/>
  <c r="D2501" i="2"/>
  <c r="H3394" i="2"/>
  <c r="I2721" i="2"/>
  <c r="G2721" i="2"/>
  <c r="G2287" i="2"/>
  <c r="I1724" i="2"/>
  <c r="G2501" i="2"/>
  <c r="D2567" i="2"/>
  <c r="D3394" i="2"/>
  <c r="C3394" i="2"/>
  <c r="D3413" i="2"/>
  <c r="A2567" i="2"/>
  <c r="H2438" i="2"/>
  <c r="B3394" i="2"/>
  <c r="G2438" i="2"/>
  <c r="F2287" i="2"/>
  <c r="G2567" i="2"/>
  <c r="C2721" i="2"/>
  <c r="A2438" i="2"/>
  <c r="B3413" i="2"/>
  <c r="G2696" i="2"/>
  <c r="F3413" i="2"/>
  <c r="A2721" i="2"/>
  <c r="I2438" i="2"/>
  <c r="H2696" i="2"/>
  <c r="A3172" i="2"/>
  <c r="I3394" i="2"/>
  <c r="F1724" i="2"/>
  <c r="C2696" i="2"/>
  <c r="G3172" i="2"/>
  <c r="I2287" i="2"/>
  <c r="F2721" i="2"/>
  <c r="D2696" i="2"/>
  <c r="C2287" i="2"/>
  <c r="F2438" i="2"/>
  <c r="I2696" i="2"/>
  <c r="F2501" i="2"/>
  <c r="D2721" i="2"/>
  <c r="B2696" i="2"/>
  <c r="I3172" i="2"/>
  <c r="G3394" i="2"/>
  <c r="F2567" i="2"/>
  <c r="D1724" i="2"/>
  <c r="H2501" i="2"/>
  <c r="B1724" i="2"/>
  <c r="A3413" i="2"/>
  <c r="F3394" i="2"/>
  <c r="B2721" i="2"/>
  <c r="H3172" i="2"/>
  <c r="B2438" i="2"/>
  <c r="H2287" i="2"/>
  <c r="F2696" i="2"/>
  <c r="I2450" i="2"/>
  <c r="B2023" i="2"/>
  <c r="D1853" i="2"/>
  <c r="D3202" i="2"/>
  <c r="D3151" i="2"/>
  <c r="B1853" i="2"/>
  <c r="D2833" i="2"/>
  <c r="D3351" i="2"/>
  <c r="G1565" i="2"/>
  <c r="C1853" i="2"/>
  <c r="I2986" i="2"/>
  <c r="B3151" i="2"/>
  <c r="H3202" i="2"/>
  <c r="F3202" i="2"/>
  <c r="G2450" i="2"/>
  <c r="C3151" i="2"/>
  <c r="I3202" i="2"/>
  <c r="C3351" i="2"/>
  <c r="B3224" i="2"/>
  <c r="C3224" i="2"/>
  <c r="A3202" i="2"/>
  <c r="D2450" i="2"/>
  <c r="A2986" i="2"/>
  <c r="A2023" i="2"/>
  <c r="A3224" i="2"/>
  <c r="B3351" i="2"/>
  <c r="I1853" i="2"/>
  <c r="I3151" i="2"/>
  <c r="B2986" i="2"/>
  <c r="A1853" i="2"/>
  <c r="F1565" i="2"/>
  <c r="G3351" i="2"/>
  <c r="A2833" i="2"/>
  <c r="G3202" i="2"/>
  <c r="H3151" i="2"/>
  <c r="D1565" i="2"/>
  <c r="C2833" i="2"/>
  <c r="I1565" i="2"/>
  <c r="D3224" i="2"/>
  <c r="H3351" i="2"/>
  <c r="F1853" i="2"/>
  <c r="F2450" i="2"/>
  <c r="C2450" i="2"/>
  <c r="C2986" i="2"/>
  <c r="H2986" i="2"/>
  <c r="B2833" i="2"/>
  <c r="I2023" i="2"/>
  <c r="D2986" i="2"/>
  <c r="B3202" i="2"/>
  <c r="G2023" i="2"/>
  <c r="F3151" i="2"/>
  <c r="I3224" i="2"/>
  <c r="H1853" i="2"/>
  <c r="A3351" i="2"/>
  <c r="F2023" i="2"/>
  <c r="A2450" i="2"/>
  <c r="H2833" i="2"/>
  <c r="H2450" i="2"/>
  <c r="H3224" i="2"/>
  <c r="A1565" i="2"/>
  <c r="I2833" i="2"/>
  <c r="F2833" i="2"/>
  <c r="D2023" i="2"/>
  <c r="F3224" i="2"/>
  <c r="F2986" i="2"/>
  <c r="H2023" i="2"/>
  <c r="G3151" i="2"/>
  <c r="H1565" i="2"/>
  <c r="C1565" i="2"/>
  <c r="B1565" i="2"/>
  <c r="C3202" i="2"/>
  <c r="B2450" i="2"/>
  <c r="G1853" i="2"/>
  <c r="G2833" i="2"/>
  <c r="I3351" i="2"/>
  <c r="C2023" i="2"/>
  <c r="F3351" i="2"/>
  <c r="G2986" i="2"/>
  <c r="G3224" i="2"/>
  <c r="A3151" i="2"/>
  <c r="B2091" i="2"/>
  <c r="F1865" i="2"/>
  <c r="B1865" i="2"/>
  <c r="I3138" i="2"/>
  <c r="B2772" i="2"/>
  <c r="H3138" i="2"/>
  <c r="C3141" i="2"/>
  <c r="A3138" i="2"/>
  <c r="H2772" i="2"/>
  <c r="D3174" i="2"/>
  <c r="C2091" i="2"/>
  <c r="A3141" i="2"/>
  <c r="C2739" i="2"/>
  <c r="D3141" i="2"/>
  <c r="G2739" i="2"/>
  <c r="I2739" i="2"/>
  <c r="F2091" i="2"/>
  <c r="D3138" i="2"/>
  <c r="I2688" i="2"/>
  <c r="G3138" i="2"/>
  <c r="H2717" i="2"/>
  <c r="C2688" i="2"/>
  <c r="F2717" i="2"/>
  <c r="A2688" i="2"/>
  <c r="D2739" i="2"/>
  <c r="B2688" i="2"/>
  <c r="C2760" i="2"/>
  <c r="C2772" i="2"/>
  <c r="A2760" i="2"/>
  <c r="G2772" i="2"/>
  <c r="I1865" i="2"/>
  <c r="A3174" i="2"/>
  <c r="G1865" i="2"/>
  <c r="I2717" i="2"/>
  <c r="D2772" i="2"/>
  <c r="A2091" i="2"/>
  <c r="G3174" i="2"/>
  <c r="H3141" i="2"/>
  <c r="C2717" i="2"/>
  <c r="H2091" i="2"/>
  <c r="A1865" i="2"/>
  <c r="G2717" i="2"/>
  <c r="C3174" i="2"/>
  <c r="H3174" i="2"/>
  <c r="H1865" i="2"/>
  <c r="G2760" i="2"/>
  <c r="A2772" i="2"/>
  <c r="H2688" i="2"/>
  <c r="B2760" i="2"/>
  <c r="D2688" i="2"/>
  <c r="H2760" i="2"/>
  <c r="B3138" i="2"/>
  <c r="H2739" i="2"/>
  <c r="I3141" i="2"/>
  <c r="I2760" i="2"/>
  <c r="F3138" i="2"/>
  <c r="I2772" i="2"/>
  <c r="D1865" i="2"/>
  <c r="F2739" i="2"/>
  <c r="F2760" i="2"/>
  <c r="I3174" i="2"/>
  <c r="B2717" i="2"/>
  <c r="B3174" i="2"/>
  <c r="G2091" i="2"/>
  <c r="A2739" i="2"/>
  <c r="D2717" i="2"/>
  <c r="C1865" i="2"/>
  <c r="G3141" i="2"/>
  <c r="F3141" i="2"/>
  <c r="D2760" i="2"/>
  <c r="D2091" i="2"/>
  <c r="B3141" i="2"/>
  <c r="F2772" i="2"/>
  <c r="F2688" i="2"/>
  <c r="I2091" i="2"/>
  <c r="F3174" i="2"/>
  <c r="B2739" i="2"/>
  <c r="A2717" i="2"/>
  <c r="C3138" i="2"/>
  <c r="G2688" i="2"/>
  <c r="C3304" i="2"/>
  <c r="F1802" i="2"/>
  <c r="I1733" i="2"/>
  <c r="G1913" i="2"/>
  <c r="I2284" i="2"/>
  <c r="G3512" i="2"/>
  <c r="D1913" i="2"/>
  <c r="I2590" i="2"/>
  <c r="H3373" i="2"/>
  <c r="G2590" i="2"/>
  <c r="G1733" i="2"/>
  <c r="B1913" i="2"/>
  <c r="F1733" i="2"/>
  <c r="B2590" i="2"/>
  <c r="C1470" i="2"/>
  <c r="C3447" i="2"/>
  <c r="H2284" i="2"/>
  <c r="D1470" i="2"/>
  <c r="B1733" i="2"/>
  <c r="D3447" i="2"/>
  <c r="F3373" i="2"/>
  <c r="C3512" i="2"/>
  <c r="B3447" i="2"/>
  <c r="A3447" i="2"/>
  <c r="C1802" i="2"/>
  <c r="H2590" i="2"/>
  <c r="B2284" i="2"/>
  <c r="F3447" i="2"/>
  <c r="I3373" i="2"/>
  <c r="F1470" i="2"/>
  <c r="I3512" i="2"/>
  <c r="I1913" i="2"/>
  <c r="A1913" i="2"/>
  <c r="D2284" i="2"/>
  <c r="C2590" i="2"/>
  <c r="F3304" i="2"/>
  <c r="B1470" i="2"/>
  <c r="H1733" i="2"/>
  <c r="B1802" i="2"/>
  <c r="B3512" i="2"/>
  <c r="D3512" i="2"/>
  <c r="A2284" i="2"/>
  <c r="A1470" i="2"/>
  <c r="A1802" i="2"/>
  <c r="D1802" i="2"/>
  <c r="I3304" i="2"/>
  <c r="G1470" i="2"/>
  <c r="C3373" i="2"/>
  <c r="F3512" i="2"/>
  <c r="I1802" i="2"/>
  <c r="H3447" i="2"/>
  <c r="G2284" i="2"/>
  <c r="D1733" i="2"/>
  <c r="A3304" i="2"/>
  <c r="C1913" i="2"/>
  <c r="A3512" i="2"/>
  <c r="H1913" i="2"/>
  <c r="D2590" i="2"/>
  <c r="D3373" i="2"/>
  <c r="H1802" i="2"/>
  <c r="H3304" i="2"/>
  <c r="G3304" i="2"/>
  <c r="F2284" i="2"/>
  <c r="G3373" i="2"/>
  <c r="A1733" i="2"/>
  <c r="F2590" i="2"/>
  <c r="B3304" i="2"/>
  <c r="H1470" i="2"/>
  <c r="G3447" i="2"/>
  <c r="B3373" i="2"/>
  <c r="A3373" i="2"/>
  <c r="I3447" i="2"/>
  <c r="C2284" i="2"/>
  <c r="I1470" i="2"/>
  <c r="F1913" i="2"/>
  <c r="D3304" i="2"/>
  <c r="G1802" i="2"/>
  <c r="C1733" i="2"/>
  <c r="H3512" i="2"/>
  <c r="A2590" i="2"/>
  <c r="F2475" i="2"/>
  <c r="H2967" i="2"/>
  <c r="I2773" i="2"/>
  <c r="C2732" i="2"/>
  <c r="C3322" i="2"/>
  <c r="G2773" i="2"/>
  <c r="B2260" i="2"/>
  <c r="F3322" i="2"/>
  <c r="H2835" i="2"/>
  <c r="I2260" i="2"/>
  <c r="B2913" i="2"/>
  <c r="C2913" i="2"/>
  <c r="D2260" i="2"/>
  <c r="A2825" i="2"/>
  <c r="D2847" i="2"/>
  <c r="I2967" i="2"/>
  <c r="A2967" i="2"/>
  <c r="H3322" i="2"/>
  <c r="H2847" i="2"/>
  <c r="A2835" i="2"/>
  <c r="H2913" i="2"/>
  <c r="B2475" i="2"/>
  <c r="C2773" i="2"/>
  <c r="F2847" i="2"/>
  <c r="B2835" i="2"/>
  <c r="I3322" i="2"/>
  <c r="B2732" i="2"/>
  <c r="G2732" i="2"/>
  <c r="A2773" i="2"/>
  <c r="I2913" i="2"/>
  <c r="B2825" i="2"/>
  <c r="I2475" i="2"/>
  <c r="F2773" i="2"/>
  <c r="A3322" i="2"/>
  <c r="D2825" i="2"/>
  <c r="A2260" i="2"/>
  <c r="G2835" i="2"/>
  <c r="A2847" i="2"/>
  <c r="C2260" i="2"/>
  <c r="D2773" i="2"/>
  <c r="B2967" i="2"/>
  <c r="F2825" i="2"/>
  <c r="A2475" i="2"/>
  <c r="A2732" i="2"/>
  <c r="F2260" i="2"/>
  <c r="G2847" i="2"/>
  <c r="H2260" i="2"/>
  <c r="C2847" i="2"/>
  <c r="C2967" i="2"/>
  <c r="D3322" i="2"/>
  <c r="C2825" i="2"/>
  <c r="G2913" i="2"/>
  <c r="G2967" i="2"/>
  <c r="D2835" i="2"/>
  <c r="H2732" i="2"/>
  <c r="D2732" i="2"/>
  <c r="D2475" i="2"/>
  <c r="F2732" i="2"/>
  <c r="F2913" i="2"/>
  <c r="G2475" i="2"/>
  <c r="I2835" i="2"/>
  <c r="D2967" i="2"/>
  <c r="H2825" i="2"/>
  <c r="I2825" i="2"/>
  <c r="C2835" i="2"/>
  <c r="B2773" i="2"/>
  <c r="I2847" i="2"/>
  <c r="H2475" i="2"/>
  <c r="D2913" i="2"/>
  <c r="G3322" i="2"/>
  <c r="A2913" i="2"/>
  <c r="B3322" i="2"/>
  <c r="C2475" i="2"/>
  <c r="G2825" i="2"/>
  <c r="F2967" i="2"/>
  <c r="I2732" i="2"/>
  <c r="G2260" i="2"/>
  <c r="H2773" i="2"/>
  <c r="B2847" i="2"/>
  <c r="F2835" i="2"/>
  <c r="H3332" i="2"/>
  <c r="A3284" i="2"/>
  <c r="B1536" i="2"/>
  <c r="G3332" i="2"/>
  <c r="A3332" i="2"/>
  <c r="F2598" i="2"/>
  <c r="H2479" i="2"/>
  <c r="A2649" i="2"/>
  <c r="G2479" i="2"/>
  <c r="F2006" i="2"/>
  <c r="F1818" i="2"/>
  <c r="I2171" i="2"/>
  <c r="C1818" i="2"/>
  <c r="D3284" i="2"/>
  <c r="F1536" i="2"/>
  <c r="I2648" i="2"/>
  <c r="A2479" i="2"/>
  <c r="G2006" i="2"/>
  <c r="H2171" i="2"/>
  <c r="B2598" i="2"/>
  <c r="B2006" i="2"/>
  <c r="B3284" i="2"/>
  <c r="I3332" i="2"/>
  <c r="D2649" i="2"/>
  <c r="G1818" i="2"/>
  <c r="G1536" i="2"/>
  <c r="G2649" i="2"/>
  <c r="C2479" i="2"/>
  <c r="D2006" i="2"/>
  <c r="C2648" i="2"/>
  <c r="I1818" i="2"/>
  <c r="C2649" i="2"/>
  <c r="B2171" i="2"/>
  <c r="D2171" i="2"/>
  <c r="D2648" i="2"/>
  <c r="F2171" i="2"/>
  <c r="B2479" i="2"/>
  <c r="A2648" i="2"/>
  <c r="A1818" i="2"/>
  <c r="F3332" i="2"/>
  <c r="D2479" i="2"/>
  <c r="C3284" i="2"/>
  <c r="I2598" i="2"/>
  <c r="H3284" i="2"/>
  <c r="G2598" i="2"/>
  <c r="D2598" i="2"/>
  <c r="D1818" i="2"/>
  <c r="I1536" i="2"/>
  <c r="A2171" i="2"/>
  <c r="B3332" i="2"/>
  <c r="C1536" i="2"/>
  <c r="G3284" i="2"/>
  <c r="H2649" i="2"/>
  <c r="I2006" i="2"/>
  <c r="A2598" i="2"/>
  <c r="A1536" i="2"/>
  <c r="H2648" i="2"/>
  <c r="D3332" i="2"/>
  <c r="C2598" i="2"/>
  <c r="C2006" i="2"/>
  <c r="F2479" i="2"/>
  <c r="H1536" i="2"/>
  <c r="A2006" i="2"/>
  <c r="I3284" i="2"/>
  <c r="G2648" i="2"/>
  <c r="F2648" i="2"/>
  <c r="B2649" i="2"/>
  <c r="F2649" i="2"/>
  <c r="B1818" i="2"/>
  <c r="G2171" i="2"/>
  <c r="H1818" i="2"/>
  <c r="I2649" i="2"/>
  <c r="D1536" i="2"/>
  <c r="B2648" i="2"/>
  <c r="C2171" i="2"/>
  <c r="H2006" i="2"/>
  <c r="F3284" i="2"/>
  <c r="C3332" i="2"/>
  <c r="I2479" i="2"/>
  <c r="H2598" i="2"/>
  <c r="A2858" i="2"/>
  <c r="I2569" i="2"/>
  <c r="A3031" i="2"/>
  <c r="F3031" i="2"/>
  <c r="A3175" i="2"/>
  <c r="H2172" i="2"/>
  <c r="H2569" i="2"/>
  <c r="I2858" i="2"/>
  <c r="G3357" i="2"/>
  <c r="G2569" i="2"/>
  <c r="B2172" i="2"/>
  <c r="I2027" i="2"/>
  <c r="G2644" i="2"/>
  <c r="F3348" i="2"/>
  <c r="I3348" i="2"/>
  <c r="H2027" i="2"/>
  <c r="D3031" i="2"/>
  <c r="B2027" i="2"/>
  <c r="D2858" i="2"/>
  <c r="A3357" i="2"/>
  <c r="B3031" i="2"/>
  <c r="H3031" i="2"/>
  <c r="A2172" i="2"/>
  <c r="G2858" i="2"/>
  <c r="I2177" i="2"/>
  <c r="C2177" i="2"/>
  <c r="C2644" i="2"/>
  <c r="H3175" i="2"/>
  <c r="C2027" i="2"/>
  <c r="F3357" i="2"/>
  <c r="G3031" i="2"/>
  <c r="D2027" i="2"/>
  <c r="D2644" i="2"/>
  <c r="G2172" i="2"/>
  <c r="B2569" i="2"/>
  <c r="H3357" i="2"/>
  <c r="G3348" i="2"/>
  <c r="D2569" i="2"/>
  <c r="C3348" i="2"/>
  <c r="F2177" i="2"/>
  <c r="A2644" i="2"/>
  <c r="H2177" i="2"/>
  <c r="H3348" i="2"/>
  <c r="G2027" i="2"/>
  <c r="D2172" i="2"/>
  <c r="H2858" i="2"/>
  <c r="H2644" i="2"/>
  <c r="G2177" i="2"/>
  <c r="I3175" i="2"/>
  <c r="I3357" i="2"/>
  <c r="D3357" i="2"/>
  <c r="D3348" i="2"/>
  <c r="A2027" i="2"/>
  <c r="D2177" i="2"/>
  <c r="F2858" i="2"/>
  <c r="C2858" i="2"/>
  <c r="A2177" i="2"/>
  <c r="F2172" i="2"/>
  <c r="A2569" i="2"/>
  <c r="D3175" i="2"/>
  <c r="B3175" i="2"/>
  <c r="A3348" i="2"/>
  <c r="F2569" i="2"/>
  <c r="C3175" i="2"/>
  <c r="C2172" i="2"/>
  <c r="B2644" i="2"/>
  <c r="I2644" i="2"/>
  <c r="B3357" i="2"/>
  <c r="F2644" i="2"/>
  <c r="B3348" i="2"/>
  <c r="B2858" i="2"/>
  <c r="I2172" i="2"/>
  <c r="F2027" i="2"/>
  <c r="I3031" i="2"/>
  <c r="C2569" i="2"/>
  <c r="B2177" i="2"/>
  <c r="F3175" i="2"/>
  <c r="G3175" i="2"/>
  <c r="C3357" i="2"/>
  <c r="C3031" i="2"/>
  <c r="H2852" i="2"/>
  <c r="B2812" i="2"/>
  <c r="I3354" i="2"/>
  <c r="D2812" i="2"/>
  <c r="F2273" i="2"/>
  <c r="F3415" i="2"/>
  <c r="I3415" i="2"/>
  <c r="H3422" i="2"/>
  <c r="F2812" i="2"/>
  <c r="A3354" i="2"/>
  <c r="D1652" i="2"/>
  <c r="I2852" i="2"/>
  <c r="H3354" i="2"/>
  <c r="B3273" i="2"/>
  <c r="F3273" i="2"/>
  <c r="B2273" i="2"/>
  <c r="A2223" i="2"/>
  <c r="C2273" i="2"/>
  <c r="C2852" i="2"/>
  <c r="D2223" i="2"/>
  <c r="D2852" i="2"/>
  <c r="C1696" i="2"/>
  <c r="I2223" i="2"/>
  <c r="B3415" i="2"/>
  <c r="I1652" i="2"/>
  <c r="I2273" i="2"/>
  <c r="G3354" i="2"/>
  <c r="C3422" i="2"/>
  <c r="I3422" i="2"/>
  <c r="H3415" i="2"/>
  <c r="A2273" i="2"/>
  <c r="I3273" i="2"/>
  <c r="B3354" i="2"/>
  <c r="G2223" i="2"/>
  <c r="G2812" i="2"/>
  <c r="G3273" i="2"/>
  <c r="C2812" i="2"/>
  <c r="D1696" i="2"/>
  <c r="H3273" i="2"/>
  <c r="B2852" i="2"/>
  <c r="H2812" i="2"/>
  <c r="F3422" i="2"/>
  <c r="H1652" i="2"/>
  <c r="B1652" i="2"/>
  <c r="B2223" i="2"/>
  <c r="D3354" i="2"/>
  <c r="H2273" i="2"/>
  <c r="F3354" i="2"/>
  <c r="D3273" i="2"/>
  <c r="C1652" i="2"/>
  <c r="C3273" i="2"/>
  <c r="G2852" i="2"/>
  <c r="G1696" i="2"/>
  <c r="C2223" i="2"/>
  <c r="B3422" i="2"/>
  <c r="A3415" i="2"/>
  <c r="D3422" i="2"/>
  <c r="G3422" i="2"/>
  <c r="A1652" i="2"/>
  <c r="A2852" i="2"/>
  <c r="H2223" i="2"/>
  <c r="D3415" i="2"/>
  <c r="A1696" i="2"/>
  <c r="G1652" i="2"/>
  <c r="I1696" i="2"/>
  <c r="B1696" i="2"/>
  <c r="G3415" i="2"/>
  <c r="G2273" i="2"/>
  <c r="A2812" i="2"/>
  <c r="I2812" i="2"/>
  <c r="H1696" i="2"/>
  <c r="F1696" i="2"/>
  <c r="F1652" i="2"/>
  <c r="A3273" i="2"/>
  <c r="F2852" i="2"/>
  <c r="C3354" i="2"/>
  <c r="D2273" i="2"/>
  <c r="F2223" i="2"/>
  <c r="A3422" i="2"/>
  <c r="C3415" i="2"/>
  <c r="G1842" i="2"/>
  <c r="C1624" i="2"/>
  <c r="F2633" i="2"/>
  <c r="I1842" i="2"/>
  <c r="F2735" i="2"/>
  <c r="I3248" i="2"/>
  <c r="G2971" i="2"/>
  <c r="G2516" i="2"/>
  <c r="D2525" i="2"/>
  <c r="D1624" i="2"/>
  <c r="A1624" i="2"/>
  <c r="D3455" i="2"/>
  <c r="B1842" i="2"/>
  <c r="H3455" i="2"/>
  <c r="G1624" i="2"/>
  <c r="B2525" i="2"/>
  <c r="A2516" i="2"/>
  <c r="H2516" i="2"/>
  <c r="A2971" i="2"/>
  <c r="D3248" i="2"/>
  <c r="B2971" i="2"/>
  <c r="G3248" i="2"/>
  <c r="F1842" i="2"/>
  <c r="G2525" i="2"/>
  <c r="H2525" i="2"/>
  <c r="B2735" i="2"/>
  <c r="F3248" i="2"/>
  <c r="D2735" i="2"/>
  <c r="A3248" i="2"/>
  <c r="G3113" i="2"/>
  <c r="D2516" i="2"/>
  <c r="A3455" i="2"/>
  <c r="B2633" i="2"/>
  <c r="D2971" i="2"/>
  <c r="H2971" i="2"/>
  <c r="I3455" i="2"/>
  <c r="A1842" i="2"/>
  <c r="F1624" i="2"/>
  <c r="I2735" i="2"/>
  <c r="I2516" i="2"/>
  <c r="B3113" i="2"/>
  <c r="C2735" i="2"/>
  <c r="A3113" i="2"/>
  <c r="C2516" i="2"/>
  <c r="B2516" i="2"/>
  <c r="C2633" i="2"/>
  <c r="H3248" i="2"/>
  <c r="H3113" i="2"/>
  <c r="D2633" i="2"/>
  <c r="A2633" i="2"/>
  <c r="I2633" i="2"/>
  <c r="I2525" i="2"/>
  <c r="A2525" i="2"/>
  <c r="F3455" i="2"/>
  <c r="D1842" i="2"/>
  <c r="C2971" i="2"/>
  <c r="B1624" i="2"/>
  <c r="G3455" i="2"/>
  <c r="I2971" i="2"/>
  <c r="D3113" i="2"/>
  <c r="F3113" i="2"/>
  <c r="B3248" i="2"/>
  <c r="B3455" i="2"/>
  <c r="H2633" i="2"/>
  <c r="F2525" i="2"/>
  <c r="C1842" i="2"/>
  <c r="A2735" i="2"/>
  <c r="G2735" i="2"/>
  <c r="C3113" i="2"/>
  <c r="I1624" i="2"/>
  <c r="H1624" i="2"/>
  <c r="I3113" i="2"/>
  <c r="C2525" i="2"/>
  <c r="H1842" i="2"/>
  <c r="C3455" i="2"/>
  <c r="F2516" i="2"/>
  <c r="H2735" i="2"/>
  <c r="C3248" i="2"/>
  <c r="F2971" i="2"/>
  <c r="G2633" i="2"/>
  <c r="I1770" i="2"/>
  <c r="F3222" i="2"/>
  <c r="D2245" i="2"/>
  <c r="B2392" i="2"/>
  <c r="F2311" i="2"/>
  <c r="G2311" i="2"/>
  <c r="B1770" i="2"/>
  <c r="D2573" i="2"/>
  <c r="B2245" i="2"/>
  <c r="D2087" i="2"/>
  <c r="C2638" i="2"/>
  <c r="G2638" i="2"/>
  <c r="B2638" i="2"/>
  <c r="I2129" i="2"/>
  <c r="H1770" i="2"/>
  <c r="B3222" i="2"/>
  <c r="G2129" i="2"/>
  <c r="A3222" i="2"/>
  <c r="I2311" i="2"/>
  <c r="H2129" i="2"/>
  <c r="A2311" i="2"/>
  <c r="F2638" i="2"/>
  <c r="G2573" i="2"/>
  <c r="I2392" i="2"/>
  <c r="G2392" i="2"/>
  <c r="A3341" i="2"/>
  <c r="B2573" i="2"/>
  <c r="I3341" i="2"/>
  <c r="H3222" i="2"/>
  <c r="C3341" i="2"/>
  <c r="A2392" i="2"/>
  <c r="I2573" i="2"/>
  <c r="G2087" i="2"/>
  <c r="C2245" i="2"/>
  <c r="D2392" i="2"/>
  <c r="D3222" i="2"/>
  <c r="B2129" i="2"/>
  <c r="C1770" i="2"/>
  <c r="H2573" i="2"/>
  <c r="B2087" i="2"/>
  <c r="A1770" i="2"/>
  <c r="F3341" i="2"/>
  <c r="F2129" i="2"/>
  <c r="G2245" i="2"/>
  <c r="H2311" i="2"/>
  <c r="I3222" i="2"/>
  <c r="C2087" i="2"/>
  <c r="C3222" i="2"/>
  <c r="I2245" i="2"/>
  <c r="H2392" i="2"/>
  <c r="A2245" i="2"/>
  <c r="H2638" i="2"/>
  <c r="F1770" i="2"/>
  <c r="D1770" i="2"/>
  <c r="F2087" i="2"/>
  <c r="B2311" i="2"/>
  <c r="D2129" i="2"/>
  <c r="H3341" i="2"/>
  <c r="G3341" i="2"/>
  <c r="A2129" i="2"/>
  <c r="C2392" i="2"/>
  <c r="F2245" i="2"/>
  <c r="I2638" i="2"/>
  <c r="F2573" i="2"/>
  <c r="C2311" i="2"/>
  <c r="H2087" i="2"/>
  <c r="D2638" i="2"/>
  <c r="A2087" i="2"/>
  <c r="A2573" i="2"/>
  <c r="D3341" i="2"/>
  <c r="G3222" i="2"/>
  <c r="C2129" i="2"/>
  <c r="F2392" i="2"/>
  <c r="C2573" i="2"/>
  <c r="D2311" i="2"/>
  <c r="I2087" i="2"/>
  <c r="H2245" i="2"/>
  <c r="A2638" i="2"/>
  <c r="B3341" i="2"/>
  <c r="G1770" i="2"/>
  <c r="F1921" i="2"/>
  <c r="C1621" i="2"/>
  <c r="D2143" i="2"/>
  <c r="G2143" i="2"/>
  <c r="C2870" i="2"/>
  <c r="I1679" i="2"/>
  <c r="I1621" i="2"/>
  <c r="H2143" i="2"/>
  <c r="F2843" i="2"/>
  <c r="I2143" i="2"/>
  <c r="I2870" i="2"/>
  <c r="B1621" i="2"/>
  <c r="A2143" i="2"/>
  <c r="C3311" i="2"/>
  <c r="D2827" i="2"/>
  <c r="F2143" i="2"/>
  <c r="G1621" i="2"/>
  <c r="C2143" i="2"/>
  <c r="A2870" i="2"/>
  <c r="B2662" i="2"/>
  <c r="I2827" i="2"/>
  <c r="H2827" i="2"/>
  <c r="H3311" i="2"/>
  <c r="A2662" i="2"/>
  <c r="A2827" i="2"/>
  <c r="B3311" i="2"/>
  <c r="G2870" i="2"/>
  <c r="D2662" i="2"/>
  <c r="A2843" i="2"/>
  <c r="I2046" i="2"/>
  <c r="C2662" i="2"/>
  <c r="G2843" i="2"/>
  <c r="F1679" i="2"/>
  <c r="F2827" i="2"/>
  <c r="I3311" i="2"/>
  <c r="I1921" i="2"/>
  <c r="D2046" i="2"/>
  <c r="B2870" i="2"/>
  <c r="G1921" i="2"/>
  <c r="B2843" i="2"/>
  <c r="A2046" i="2"/>
  <c r="D2843" i="2"/>
  <c r="H2843" i="2"/>
  <c r="F2046" i="2"/>
  <c r="G1679" i="2"/>
  <c r="G2046" i="2"/>
  <c r="G2827" i="2"/>
  <c r="C2827" i="2"/>
  <c r="I2843" i="2"/>
  <c r="H1621" i="2"/>
  <c r="F2662" i="2"/>
  <c r="F3311" i="2"/>
  <c r="C1679" i="2"/>
  <c r="H2046" i="2"/>
  <c r="F1621" i="2"/>
  <c r="A1679" i="2"/>
  <c r="A1921" i="2"/>
  <c r="C1921" i="2"/>
  <c r="A1621" i="2"/>
  <c r="G3311" i="2"/>
  <c r="G2662" i="2"/>
  <c r="H2870" i="2"/>
  <c r="F2870" i="2"/>
  <c r="D1921" i="2"/>
  <c r="D1679" i="2"/>
  <c r="I2662" i="2"/>
  <c r="A3311" i="2"/>
  <c r="B2046" i="2"/>
  <c r="B1679" i="2"/>
  <c r="H1921" i="2"/>
  <c r="C2046" i="2"/>
  <c r="C2843" i="2"/>
  <c r="H1679" i="2"/>
  <c r="D3311" i="2"/>
  <c r="B1921" i="2"/>
  <c r="D2870" i="2"/>
  <c r="D1621" i="2"/>
  <c r="H2662" i="2"/>
  <c r="B2143" i="2"/>
  <c r="B2827" i="2"/>
  <c r="A3307" i="2"/>
  <c r="D3325" i="2"/>
  <c r="C2471" i="2"/>
  <c r="I2044" i="2"/>
  <c r="F3100" i="2"/>
  <c r="G3307" i="2"/>
  <c r="D2044" i="2"/>
  <c r="I2698" i="2"/>
  <c r="A3286" i="2"/>
  <c r="G2919" i="2"/>
  <c r="A2919" i="2"/>
  <c r="F2698" i="2"/>
  <c r="D2744" i="2"/>
  <c r="H3325" i="2"/>
  <c r="B3286" i="2"/>
  <c r="B2123" i="2"/>
  <c r="H2698" i="2"/>
  <c r="G2123" i="2"/>
  <c r="A2471" i="2"/>
  <c r="A2698" i="2"/>
  <c r="G2471" i="2"/>
  <c r="F2471" i="2"/>
  <c r="I3325" i="2"/>
  <c r="C2919" i="2"/>
  <c r="G2744" i="2"/>
  <c r="I3100" i="2"/>
  <c r="B2744" i="2"/>
  <c r="C3307" i="2"/>
  <c r="I2123" i="2"/>
  <c r="B2471" i="2"/>
  <c r="I2919" i="2"/>
  <c r="H3286" i="2"/>
  <c r="C3325" i="2"/>
  <c r="G2698" i="2"/>
  <c r="F2123" i="2"/>
  <c r="H3100" i="2"/>
  <c r="H2919" i="2"/>
  <c r="B2919" i="2"/>
  <c r="C2744" i="2"/>
  <c r="G3100" i="2"/>
  <c r="C2123" i="2"/>
  <c r="G2044" i="2"/>
  <c r="B2698" i="2"/>
  <c r="F3286" i="2"/>
  <c r="C2698" i="2"/>
  <c r="F3325" i="2"/>
  <c r="D2919" i="2"/>
  <c r="A2044" i="2"/>
  <c r="I2744" i="2"/>
  <c r="A3100" i="2"/>
  <c r="D3307" i="2"/>
  <c r="C3286" i="2"/>
  <c r="D3100" i="2"/>
  <c r="B3307" i="2"/>
  <c r="B3100" i="2"/>
  <c r="F2044" i="2"/>
  <c r="H3307" i="2"/>
  <c r="F3307" i="2"/>
  <c r="H2744" i="2"/>
  <c r="H2044" i="2"/>
  <c r="A3325" i="2"/>
  <c r="G3325" i="2"/>
  <c r="G3286" i="2"/>
  <c r="D2123" i="2"/>
  <c r="D2471" i="2"/>
  <c r="H2123" i="2"/>
  <c r="C2044" i="2"/>
  <c r="D3286" i="2"/>
  <c r="F2744" i="2"/>
  <c r="H2471" i="2"/>
  <c r="I3307" i="2"/>
  <c r="I2471" i="2"/>
  <c r="F2919" i="2"/>
  <c r="C3100" i="2"/>
  <c r="D2698" i="2"/>
  <c r="B3325" i="2"/>
  <c r="A2744" i="2"/>
  <c r="I3286" i="2"/>
  <c r="B2044" i="2"/>
  <c r="A2123" i="2"/>
  <c r="G2930" i="2"/>
  <c r="A3440" i="2"/>
  <c r="D2689" i="2"/>
  <c r="B3209" i="2"/>
  <c r="H3440" i="2"/>
  <c r="B1607" i="2"/>
  <c r="I2930" i="2"/>
  <c r="C2538" i="2"/>
  <c r="H3407" i="2"/>
  <c r="D2538" i="2"/>
  <c r="D3440" i="2"/>
  <c r="C1902" i="2"/>
  <c r="I3209" i="2"/>
  <c r="B3440" i="2"/>
  <c r="H2930" i="2"/>
  <c r="B3407" i="2"/>
  <c r="G2538" i="2"/>
  <c r="D3407" i="2"/>
  <c r="D3209" i="2"/>
  <c r="G3209" i="2"/>
  <c r="I3440" i="2"/>
  <c r="G2689" i="2"/>
  <c r="C1607" i="2"/>
  <c r="F1902" i="2"/>
  <c r="A2899" i="2"/>
  <c r="A2689" i="2"/>
  <c r="B2538" i="2"/>
  <c r="F1607" i="2"/>
  <c r="F2244" i="2"/>
  <c r="B2244" i="2"/>
  <c r="H1902" i="2"/>
  <c r="C3407" i="2"/>
  <c r="D1902" i="2"/>
  <c r="D2244" i="2"/>
  <c r="G3440" i="2"/>
  <c r="F2930" i="2"/>
  <c r="A1607" i="2"/>
  <c r="G2899" i="2"/>
  <c r="A2244" i="2"/>
  <c r="H2689" i="2"/>
  <c r="I3407" i="2"/>
  <c r="A3209" i="2"/>
  <c r="C2899" i="2"/>
  <c r="A1902" i="2"/>
  <c r="G2244" i="2"/>
  <c r="A3407" i="2"/>
  <c r="D2899" i="2"/>
  <c r="H2899" i="2"/>
  <c r="D1607" i="2"/>
  <c r="I2538" i="2"/>
  <c r="C2930" i="2"/>
  <c r="F2689" i="2"/>
  <c r="C3440" i="2"/>
  <c r="F3407" i="2"/>
  <c r="H2538" i="2"/>
  <c r="D2930" i="2"/>
  <c r="I1607" i="2"/>
  <c r="I2899" i="2"/>
  <c r="I2689" i="2"/>
  <c r="I1902" i="2"/>
  <c r="H2244" i="2"/>
  <c r="F2538" i="2"/>
  <c r="C2244" i="2"/>
  <c r="G1607" i="2"/>
  <c r="B2899" i="2"/>
  <c r="G1902" i="2"/>
  <c r="B2689" i="2"/>
  <c r="F3209" i="2"/>
  <c r="H3209" i="2"/>
  <c r="B2930" i="2"/>
  <c r="C2689" i="2"/>
  <c r="I2244" i="2"/>
  <c r="F2899" i="2"/>
  <c r="H1607" i="2"/>
  <c r="G3407" i="2"/>
  <c r="C3209" i="2"/>
  <c r="F3440" i="2"/>
  <c r="B1902" i="2"/>
  <c r="A2930" i="2"/>
  <c r="A2538" i="2"/>
  <c r="B2777" i="2"/>
  <c r="C2491" i="2"/>
  <c r="C1984" i="2"/>
  <c r="G2570" i="2"/>
  <c r="A1977" i="2"/>
  <c r="C2570" i="2"/>
  <c r="B1984" i="2"/>
  <c r="B1977" i="2"/>
  <c r="D1977" i="2"/>
  <c r="A3124" i="2"/>
  <c r="C2777" i="2"/>
  <c r="G2491" i="2"/>
  <c r="A2415" i="2"/>
  <c r="F2777" i="2"/>
  <c r="B2491" i="2"/>
  <c r="H2588" i="2"/>
  <c r="I2126" i="2"/>
  <c r="I1984" i="2"/>
  <c r="H2491" i="2"/>
  <c r="A1984" i="2"/>
  <c r="G2415" i="2"/>
  <c r="H2415" i="2"/>
  <c r="I2415" i="2"/>
  <c r="D2588" i="2"/>
  <c r="G3040" i="2"/>
  <c r="D2570" i="2"/>
  <c r="A3040" i="2"/>
  <c r="F1984" i="2"/>
  <c r="A2491" i="2"/>
  <c r="D2126" i="2"/>
  <c r="H1977" i="2"/>
  <c r="F3040" i="2"/>
  <c r="F2126" i="2"/>
  <c r="F3124" i="2"/>
  <c r="F2491" i="2"/>
  <c r="I3124" i="2"/>
  <c r="G1984" i="2"/>
  <c r="H1984" i="2"/>
  <c r="H3040" i="2"/>
  <c r="A2588" i="2"/>
  <c r="I2588" i="2"/>
  <c r="I2570" i="2"/>
  <c r="H3124" i="2"/>
  <c r="C2588" i="2"/>
  <c r="D2777" i="2"/>
  <c r="F2570" i="2"/>
  <c r="C3124" i="2"/>
  <c r="C2415" i="2"/>
  <c r="F2588" i="2"/>
  <c r="H2570" i="2"/>
  <c r="G3124" i="2"/>
  <c r="B3040" i="2"/>
  <c r="I1977" i="2"/>
  <c r="G2126" i="2"/>
  <c r="C1977" i="2"/>
  <c r="H2126" i="2"/>
  <c r="D2415" i="2"/>
  <c r="G2777" i="2"/>
  <c r="D3040" i="2"/>
  <c r="F2415" i="2"/>
  <c r="C3040" i="2"/>
  <c r="A2570" i="2"/>
  <c r="H2777" i="2"/>
  <c r="D3124" i="2"/>
  <c r="B2126" i="2"/>
  <c r="F1977" i="2"/>
  <c r="D2491" i="2"/>
  <c r="I2777" i="2"/>
  <c r="C2126" i="2"/>
  <c r="B2588" i="2"/>
  <c r="I3040" i="2"/>
  <c r="B2415" i="2"/>
  <c r="B3124" i="2"/>
  <c r="B2570" i="2"/>
  <c r="A2777" i="2"/>
  <c r="D1984" i="2"/>
  <c r="A2126" i="2"/>
  <c r="G2588" i="2"/>
  <c r="G1977" i="2"/>
  <c r="I2491" i="2"/>
  <c r="D2019" i="2"/>
  <c r="I2279" i="2"/>
  <c r="F3398" i="2"/>
  <c r="D2663" i="2"/>
  <c r="D2279" i="2"/>
  <c r="H2332" i="2"/>
  <c r="I2587" i="2"/>
  <c r="A3398" i="2"/>
  <c r="I2332" i="2"/>
  <c r="H1857" i="2"/>
  <c r="B2019" i="2"/>
  <c r="I2663" i="2"/>
  <c r="A2370" i="2"/>
  <c r="F3153" i="2"/>
  <c r="D1857" i="2"/>
  <c r="B3153" i="2"/>
  <c r="G2587" i="2"/>
  <c r="A2663" i="2"/>
  <c r="C3153" i="2"/>
  <c r="H2587" i="2"/>
  <c r="F1857" i="2"/>
  <c r="A2587" i="2"/>
  <c r="C2019" i="2"/>
  <c r="B2370" i="2"/>
  <c r="F2279" i="2"/>
  <c r="D2587" i="2"/>
  <c r="D3153" i="2"/>
  <c r="A1857" i="2"/>
  <c r="C2159" i="2"/>
  <c r="B2279" i="2"/>
  <c r="I3398" i="2"/>
  <c r="H2279" i="2"/>
  <c r="C2587" i="2"/>
  <c r="B2663" i="2"/>
  <c r="I3153" i="2"/>
  <c r="I1857" i="2"/>
  <c r="D2159" i="2"/>
  <c r="A2019" i="2"/>
  <c r="I2159" i="2"/>
  <c r="F2370" i="2"/>
  <c r="D3398" i="2"/>
  <c r="B2159" i="2"/>
  <c r="F2663" i="2"/>
  <c r="B2587" i="2"/>
  <c r="C3398" i="2"/>
  <c r="A2332" i="2"/>
  <c r="G3398" i="2"/>
  <c r="C2663" i="2"/>
  <c r="G1857" i="2"/>
  <c r="H2019" i="2"/>
  <c r="C2279" i="2"/>
  <c r="A2279" i="2"/>
  <c r="H2370" i="2"/>
  <c r="C1857" i="2"/>
  <c r="G2370" i="2"/>
  <c r="H2159" i="2"/>
  <c r="A2159" i="2"/>
  <c r="A3153" i="2"/>
  <c r="C2370" i="2"/>
  <c r="D2370" i="2"/>
  <c r="G2019" i="2"/>
  <c r="F2332" i="2"/>
  <c r="G2663" i="2"/>
  <c r="F2019" i="2"/>
  <c r="F2159" i="2"/>
  <c r="G2332" i="2"/>
  <c r="C2332" i="2"/>
  <c r="D2332" i="2"/>
  <c r="G3153" i="2"/>
  <c r="B3398" i="2"/>
  <c r="I2370" i="2"/>
  <c r="G2279" i="2"/>
  <c r="I2019" i="2"/>
  <c r="H2663" i="2"/>
  <c r="H3153" i="2"/>
  <c r="G2159" i="2"/>
  <c r="B2332" i="2"/>
  <c r="H3398" i="2"/>
  <c r="B1857" i="2"/>
  <c r="F2587" i="2"/>
  <c r="F1727" i="2"/>
  <c r="I1727" i="2"/>
  <c r="A2700" i="2"/>
  <c r="A3198" i="2"/>
  <c r="B1774" i="2"/>
  <c r="D2004" i="2"/>
  <c r="C2097" i="2"/>
  <c r="I2004" i="2"/>
  <c r="B2097" i="2"/>
  <c r="H3198" i="2"/>
  <c r="C2004" i="2"/>
  <c r="A1727" i="2"/>
  <c r="A2544" i="2"/>
  <c r="I1799" i="2"/>
  <c r="I1751" i="2"/>
  <c r="F2097" i="2"/>
  <c r="I1774" i="2"/>
  <c r="H1751" i="2"/>
  <c r="C2700" i="2"/>
  <c r="I2097" i="2"/>
  <c r="C1751" i="2"/>
  <c r="D1751" i="2"/>
  <c r="H2544" i="2"/>
  <c r="G1727" i="2"/>
  <c r="F2542" i="2"/>
  <c r="A2542" i="2"/>
  <c r="B2700" i="2"/>
  <c r="B1727" i="2"/>
  <c r="I2700" i="2"/>
  <c r="D1799" i="2"/>
  <c r="I2542" i="2"/>
  <c r="H1774" i="2"/>
  <c r="H2097" i="2"/>
  <c r="G1774" i="2"/>
  <c r="F1774" i="2"/>
  <c r="B2542" i="2"/>
  <c r="A1799" i="2"/>
  <c r="A2004" i="2"/>
  <c r="D2542" i="2"/>
  <c r="D1774" i="2"/>
  <c r="A2097" i="2"/>
  <c r="F1799" i="2"/>
  <c r="G2700" i="2"/>
  <c r="F3198" i="2"/>
  <c r="G2542" i="2"/>
  <c r="G1799" i="2"/>
  <c r="C3198" i="2"/>
  <c r="I3198" i="2"/>
  <c r="H2004" i="2"/>
  <c r="B2544" i="2"/>
  <c r="D2097" i="2"/>
  <c r="B3198" i="2"/>
  <c r="I2544" i="2"/>
  <c r="D2700" i="2"/>
  <c r="C2542" i="2"/>
  <c r="H1799" i="2"/>
  <c r="F2544" i="2"/>
  <c r="G2544" i="2"/>
  <c r="G1751" i="2"/>
  <c r="H2700" i="2"/>
  <c r="C1727" i="2"/>
  <c r="B1799" i="2"/>
  <c r="D1727" i="2"/>
  <c r="D2544" i="2"/>
  <c r="A1774" i="2"/>
  <c r="B2004" i="2"/>
  <c r="A1751" i="2"/>
  <c r="F1751" i="2"/>
  <c r="D3198" i="2"/>
  <c r="G2097" i="2"/>
  <c r="F2004" i="2"/>
  <c r="G2004" i="2"/>
  <c r="F2700" i="2"/>
  <c r="C2544" i="2"/>
  <c r="B1751" i="2"/>
  <c r="G3198" i="2"/>
  <c r="H2542" i="2"/>
  <c r="C1799" i="2"/>
  <c r="H1727" i="2"/>
  <c r="C1774" i="2"/>
  <c r="C3262" i="2"/>
  <c r="A1663" i="2"/>
  <c r="B3194" i="2"/>
  <c r="G1788" i="2"/>
  <c r="B2066" i="2"/>
  <c r="G3262" i="2"/>
  <c r="F3262" i="2"/>
  <c r="B1788" i="2"/>
  <c r="A3194" i="2"/>
  <c r="I3262" i="2"/>
  <c r="H3060" i="2"/>
  <c r="B1970" i="2"/>
  <c r="B3060" i="2"/>
  <c r="G2713" i="2"/>
  <c r="C3228" i="2"/>
  <c r="B3262" i="2"/>
  <c r="D3262" i="2"/>
  <c r="H2713" i="2"/>
  <c r="H2066" i="2"/>
  <c r="C2674" i="2"/>
  <c r="D3228" i="2"/>
  <c r="F3228" i="2"/>
  <c r="B2674" i="2"/>
  <c r="H3228" i="2"/>
  <c r="D2674" i="2"/>
  <c r="D2713" i="2"/>
  <c r="F2713" i="2"/>
  <c r="H1663" i="2"/>
  <c r="C1788" i="2"/>
  <c r="G2066" i="2"/>
  <c r="A2674" i="2"/>
  <c r="I3194" i="2"/>
  <c r="F1788" i="2"/>
  <c r="F3060" i="2"/>
  <c r="A2713" i="2"/>
  <c r="A3060" i="2"/>
  <c r="G1970" i="2"/>
  <c r="C2713" i="2"/>
  <c r="B1663" i="2"/>
  <c r="F3194" i="2"/>
  <c r="D3194" i="2"/>
  <c r="I2674" i="2"/>
  <c r="H1970" i="2"/>
  <c r="I2066" i="2"/>
  <c r="H3262" i="2"/>
  <c r="F1970" i="2"/>
  <c r="A2066" i="2"/>
  <c r="F2066" i="2"/>
  <c r="F2674" i="2"/>
  <c r="G1663" i="2"/>
  <c r="H1788" i="2"/>
  <c r="A1970" i="2"/>
  <c r="C3194" i="2"/>
  <c r="D1970" i="2"/>
  <c r="I3060" i="2"/>
  <c r="D3060" i="2"/>
  <c r="D1788" i="2"/>
  <c r="I1663" i="2"/>
  <c r="G3060" i="2"/>
  <c r="H3194" i="2"/>
  <c r="A3228" i="2"/>
  <c r="D2066" i="2"/>
  <c r="A1788" i="2"/>
  <c r="I3228" i="2"/>
  <c r="D1663" i="2"/>
  <c r="G2674" i="2"/>
  <c r="G3228" i="2"/>
  <c r="B2713" i="2"/>
  <c r="C1970" i="2"/>
  <c r="C3060" i="2"/>
  <c r="I1970" i="2"/>
  <c r="I2713" i="2"/>
  <c r="I1788" i="2"/>
  <c r="H2674" i="2"/>
  <c r="A3262" i="2"/>
  <c r="F1663" i="2"/>
  <c r="B3228" i="2"/>
  <c r="G3194" i="2"/>
  <c r="C1663" i="2"/>
  <c r="C2066" i="2"/>
  <c r="F2315" i="2"/>
  <c r="A3404" i="2"/>
  <c r="F1771" i="2"/>
  <c r="D3125" i="2"/>
  <c r="A1980" i="2"/>
  <c r="I1771" i="2"/>
  <c r="H3125" i="2"/>
  <c r="D3150" i="2"/>
  <c r="C3150" i="2"/>
  <c r="B3125" i="2"/>
  <c r="C2315" i="2"/>
  <c r="A3125" i="2"/>
  <c r="I1980" i="2"/>
  <c r="I1791" i="2"/>
  <c r="A1771" i="2"/>
  <c r="G3404" i="2"/>
  <c r="F3404" i="2"/>
  <c r="I1760" i="2"/>
  <c r="A1760" i="2"/>
  <c r="D1791" i="2"/>
  <c r="A3150" i="2"/>
  <c r="A1791" i="2"/>
  <c r="F1760" i="2"/>
  <c r="C1771" i="2"/>
  <c r="G1809" i="2"/>
  <c r="C1791" i="2"/>
  <c r="H1760" i="2"/>
  <c r="G1791" i="2"/>
  <c r="I2364" i="2"/>
  <c r="A2315" i="2"/>
  <c r="A1809" i="2"/>
  <c r="B2364" i="2"/>
  <c r="D1809" i="2"/>
  <c r="A2364" i="2"/>
  <c r="D3404" i="2"/>
  <c r="D1980" i="2"/>
  <c r="H2364" i="2"/>
  <c r="I3404" i="2"/>
  <c r="F3150" i="2"/>
  <c r="B1760" i="2"/>
  <c r="H3404" i="2"/>
  <c r="H1980" i="2"/>
  <c r="C1980" i="2"/>
  <c r="F1809" i="2"/>
  <c r="B1980" i="2"/>
  <c r="B1809" i="2"/>
  <c r="B1771" i="2"/>
  <c r="G3150" i="2"/>
  <c r="G1760" i="2"/>
  <c r="H2315" i="2"/>
  <c r="I1809" i="2"/>
  <c r="B3150" i="2"/>
  <c r="G2315" i="2"/>
  <c r="G1980" i="2"/>
  <c r="H1791" i="2"/>
  <c r="D2364" i="2"/>
  <c r="G3125" i="2"/>
  <c r="C1809" i="2"/>
  <c r="I3125" i="2"/>
  <c r="H1771" i="2"/>
  <c r="H3150" i="2"/>
  <c r="F1791" i="2"/>
  <c r="C3404" i="2"/>
  <c r="I2315" i="2"/>
  <c r="D1760" i="2"/>
  <c r="F2364" i="2"/>
  <c r="D2315" i="2"/>
  <c r="F3125" i="2"/>
  <c r="G2364" i="2"/>
  <c r="B2315" i="2"/>
  <c r="G1771" i="2"/>
  <c r="C2364" i="2"/>
  <c r="D1771" i="2"/>
  <c r="C3125" i="2"/>
  <c r="B1791" i="2"/>
  <c r="H1809" i="2"/>
  <c r="B3404" i="2"/>
  <c r="I3150" i="2"/>
  <c r="F1980" i="2"/>
  <c r="C1760" i="2"/>
  <c r="I1805" i="2"/>
  <c r="F2811" i="2"/>
  <c r="H2811" i="2"/>
  <c r="D2035" i="2"/>
  <c r="A2282" i="2"/>
  <c r="C1999" i="2"/>
  <c r="I2664" i="2"/>
  <c r="G1666" i="2"/>
  <c r="G2282" i="2"/>
  <c r="H3412" i="2"/>
  <c r="H1805" i="2"/>
  <c r="H1666" i="2"/>
  <c r="B1666" i="2"/>
  <c r="D1805" i="2"/>
  <c r="B3412" i="2"/>
  <c r="A1999" i="2"/>
  <c r="B2811" i="2"/>
  <c r="A3607" i="2"/>
  <c r="C2664" i="2"/>
  <c r="B1999" i="2"/>
  <c r="D1666" i="2"/>
  <c r="F1666" i="2"/>
  <c r="B2388" i="2"/>
  <c r="C3412" i="2"/>
  <c r="F2388" i="2"/>
  <c r="G3607" i="2"/>
  <c r="G2388" i="2"/>
  <c r="C2035" i="2"/>
  <c r="D3607" i="2"/>
  <c r="H2388" i="2"/>
  <c r="I2282" i="2"/>
  <c r="A2388" i="2"/>
  <c r="A1805" i="2"/>
  <c r="I2811" i="2"/>
  <c r="G3412" i="2"/>
  <c r="F3412" i="2"/>
  <c r="F2664" i="2"/>
  <c r="D2811" i="2"/>
  <c r="A2811" i="2"/>
  <c r="H2035" i="2"/>
  <c r="A2035" i="2"/>
  <c r="H3607" i="2"/>
  <c r="G2811" i="2"/>
  <c r="C2388" i="2"/>
  <c r="H1999" i="2"/>
  <c r="I1666" i="2"/>
  <c r="B2664" i="2"/>
  <c r="G2664" i="2"/>
  <c r="B1805" i="2"/>
  <c r="B3607" i="2"/>
  <c r="I2035" i="2"/>
  <c r="C2282" i="2"/>
  <c r="A1666" i="2"/>
  <c r="F2035" i="2"/>
  <c r="F3607" i="2"/>
  <c r="D1999" i="2"/>
  <c r="I3412" i="2"/>
  <c r="C1805" i="2"/>
  <c r="I3607" i="2"/>
  <c r="D3412" i="2"/>
  <c r="F1805" i="2"/>
  <c r="G1999" i="2"/>
  <c r="G2035" i="2"/>
  <c r="D2282" i="2"/>
  <c r="D2664" i="2"/>
  <c r="I1999" i="2"/>
  <c r="H2664" i="2"/>
  <c r="B2282" i="2"/>
  <c r="D2388" i="2"/>
  <c r="H2282" i="2"/>
  <c r="C3607" i="2"/>
  <c r="G1805" i="2"/>
  <c r="A2664" i="2"/>
  <c r="B2035" i="2"/>
  <c r="I2388" i="2"/>
  <c r="C1666" i="2"/>
  <c r="F2282" i="2"/>
  <c r="F1999" i="2"/>
  <c r="A3412" i="2"/>
  <c r="C2811" i="2"/>
  <c r="A1873" i="2"/>
  <c r="A2554" i="2"/>
  <c r="F2580" i="2"/>
  <c r="B2435" i="2"/>
  <c r="B2580" i="2"/>
  <c r="F2435" i="2"/>
  <c r="G2900" i="2"/>
  <c r="D2580" i="2"/>
  <c r="B3496" i="2"/>
  <c r="D3073" i="2"/>
  <c r="C1678" i="2"/>
  <c r="D2900" i="2"/>
  <c r="F3496" i="2"/>
  <c r="G2326" i="2"/>
  <c r="D2435" i="2"/>
  <c r="H2900" i="2"/>
  <c r="H3213" i="2"/>
  <c r="I2435" i="2"/>
  <c r="I2580" i="2"/>
  <c r="D2326" i="2"/>
  <c r="D1678" i="2"/>
  <c r="I1873" i="2"/>
  <c r="A3213" i="2"/>
  <c r="G1873" i="2"/>
  <c r="F3073" i="2"/>
  <c r="B2900" i="2"/>
  <c r="B3213" i="2"/>
  <c r="D2554" i="2"/>
  <c r="G3073" i="2"/>
  <c r="H2580" i="2"/>
  <c r="I2554" i="2"/>
  <c r="I3213" i="2"/>
  <c r="F2900" i="2"/>
  <c r="C2326" i="2"/>
  <c r="B1678" i="2"/>
  <c r="H2326" i="2"/>
  <c r="A2580" i="2"/>
  <c r="H3073" i="2"/>
  <c r="G2435" i="2"/>
  <c r="A3496" i="2"/>
  <c r="A3073" i="2"/>
  <c r="B2326" i="2"/>
  <c r="C3213" i="2"/>
  <c r="D1873" i="2"/>
  <c r="H1678" i="2"/>
  <c r="I2326" i="2"/>
  <c r="F2326" i="2"/>
  <c r="C2554" i="2"/>
  <c r="C2580" i="2"/>
  <c r="I3073" i="2"/>
  <c r="F2554" i="2"/>
  <c r="C3496" i="2"/>
  <c r="F1678" i="2"/>
  <c r="F3213" i="2"/>
  <c r="A2900" i="2"/>
  <c r="G2554" i="2"/>
  <c r="A2435" i="2"/>
  <c r="D3496" i="2"/>
  <c r="C2435" i="2"/>
  <c r="F1873" i="2"/>
  <c r="A1678" i="2"/>
  <c r="D3213" i="2"/>
  <c r="H2554" i="2"/>
  <c r="B3073" i="2"/>
  <c r="G3496" i="2"/>
  <c r="I2900" i="2"/>
  <c r="H3496" i="2"/>
  <c r="H1873" i="2"/>
  <c r="B1873" i="2"/>
  <c r="I1678" i="2"/>
  <c r="B2554" i="2"/>
  <c r="C2900" i="2"/>
  <c r="G1678" i="2"/>
  <c r="G3213" i="2"/>
  <c r="A2326" i="2"/>
  <c r="H2435" i="2"/>
  <c r="G2580" i="2"/>
  <c r="C3073" i="2"/>
  <c r="I3496" i="2"/>
  <c r="C1873" i="2"/>
  <c r="H2325" i="2"/>
  <c r="H2489" i="2"/>
  <c r="B1555" i="2"/>
  <c r="F2325" i="2"/>
  <c r="H1555" i="2"/>
  <c r="I3620" i="2"/>
  <c r="B2761" i="2"/>
  <c r="G1555" i="2"/>
  <c r="B2325" i="2"/>
  <c r="A2761" i="2"/>
  <c r="C3620" i="2"/>
  <c r="F2597" i="2"/>
  <c r="C2325" i="2"/>
  <c r="I3184" i="2"/>
  <c r="I1555" i="2"/>
  <c r="D2533" i="2"/>
  <c r="D2565" i="2"/>
  <c r="G2533" i="2"/>
  <c r="D1555" i="2"/>
  <c r="F1555" i="2"/>
  <c r="A3184" i="2"/>
  <c r="A2325" i="2"/>
  <c r="B3184" i="2"/>
  <c r="A2597" i="2"/>
  <c r="H3620" i="2"/>
  <c r="C2761" i="2"/>
  <c r="B2489" i="2"/>
  <c r="I2489" i="2"/>
  <c r="I2597" i="2"/>
  <c r="D2597" i="2"/>
  <c r="D2489" i="2"/>
  <c r="B2533" i="2"/>
  <c r="D3184" i="2"/>
  <c r="A3091" i="2"/>
  <c r="G2489" i="2"/>
  <c r="I2325" i="2"/>
  <c r="I2533" i="2"/>
  <c r="G3620" i="2"/>
  <c r="G3184" i="2"/>
  <c r="G3091" i="2"/>
  <c r="H2533" i="2"/>
  <c r="H2565" i="2"/>
  <c r="F2565" i="2"/>
  <c r="F3091" i="2"/>
  <c r="D3091" i="2"/>
  <c r="F3184" i="2"/>
  <c r="H2761" i="2"/>
  <c r="A2565" i="2"/>
  <c r="C2489" i="2"/>
  <c r="A2533" i="2"/>
  <c r="C1555" i="2"/>
  <c r="D2761" i="2"/>
  <c r="G2325" i="2"/>
  <c r="H3091" i="2"/>
  <c r="A2489" i="2"/>
  <c r="I3091" i="2"/>
  <c r="D3620" i="2"/>
  <c r="B2565" i="2"/>
  <c r="B2597" i="2"/>
  <c r="C3091" i="2"/>
  <c r="I2565" i="2"/>
  <c r="F2761" i="2"/>
  <c r="C2565" i="2"/>
  <c r="B3620" i="2"/>
  <c r="C2597" i="2"/>
  <c r="F3620" i="2"/>
  <c r="G2597" i="2"/>
  <c r="F2533" i="2"/>
  <c r="I2761" i="2"/>
  <c r="C3184" i="2"/>
  <c r="F2489" i="2"/>
  <c r="G2761" i="2"/>
  <c r="B3091" i="2"/>
  <c r="H3184" i="2"/>
  <c r="D2325" i="2"/>
  <c r="G2565" i="2"/>
  <c r="A1555" i="2"/>
  <c r="H2597" i="2"/>
  <c r="C2533" i="2"/>
  <c r="A3620" i="2"/>
  <c r="B2507" i="2"/>
  <c r="H3548" i="2"/>
  <c r="F2609" i="2"/>
  <c r="F2655" i="2"/>
  <c r="D2507" i="2"/>
  <c r="D2194" i="2"/>
  <c r="D2609" i="2"/>
  <c r="A2328" i="2"/>
  <c r="G2194" i="2"/>
  <c r="D1956" i="2"/>
  <c r="C2942" i="2"/>
  <c r="F3548" i="2"/>
  <c r="B2655" i="2"/>
  <c r="D2328" i="2"/>
  <c r="I1956" i="2"/>
  <c r="C3548" i="2"/>
  <c r="B3548" i="2"/>
  <c r="A2472" i="2"/>
  <c r="H2328" i="2"/>
  <c r="H2942" i="2"/>
  <c r="A2942" i="2"/>
  <c r="D3037" i="2"/>
  <c r="G1956" i="2"/>
  <c r="F2472" i="2"/>
  <c r="D3548" i="2"/>
  <c r="F1956" i="2"/>
  <c r="F2507" i="2"/>
  <c r="C1956" i="2"/>
  <c r="I2507" i="2"/>
  <c r="I2472" i="2"/>
  <c r="G2609" i="2"/>
  <c r="F2328" i="2"/>
  <c r="B1956" i="2"/>
  <c r="H2655" i="2"/>
  <c r="H2472" i="2"/>
  <c r="B2328" i="2"/>
  <c r="C2328" i="2"/>
  <c r="G2472" i="2"/>
  <c r="I2609" i="2"/>
  <c r="I2655" i="2"/>
  <c r="G2942" i="2"/>
  <c r="F2194" i="2"/>
  <c r="B2194" i="2"/>
  <c r="C2655" i="2"/>
  <c r="F3037" i="2"/>
  <c r="B2472" i="2"/>
  <c r="H3037" i="2"/>
  <c r="G3037" i="2"/>
  <c r="H2507" i="2"/>
  <c r="H2609" i="2"/>
  <c r="B2942" i="2"/>
  <c r="G2328" i="2"/>
  <c r="G2507" i="2"/>
  <c r="C2472" i="2"/>
  <c r="H1956" i="2"/>
  <c r="I2194" i="2"/>
  <c r="D2942" i="2"/>
  <c r="A3037" i="2"/>
  <c r="I2942" i="2"/>
  <c r="A2194" i="2"/>
  <c r="C2609" i="2"/>
  <c r="D2655" i="2"/>
  <c r="G2655" i="2"/>
  <c r="C3037" i="2"/>
  <c r="C2507" i="2"/>
  <c r="I3548" i="2"/>
  <c r="C2194" i="2"/>
  <c r="G3548" i="2"/>
  <c r="I3037" i="2"/>
  <c r="B2609" i="2"/>
  <c r="H2194" i="2"/>
  <c r="A1956" i="2"/>
  <c r="I2328" i="2"/>
  <c r="A2609" i="2"/>
  <c r="A3548" i="2"/>
  <c r="D2472" i="2"/>
  <c r="A2655" i="2"/>
  <c r="F2942" i="2"/>
  <c r="A2507" i="2"/>
  <c r="B3037" i="2"/>
  <c r="D1867" i="2"/>
  <c r="B1867" i="2"/>
  <c r="F1920" i="2"/>
  <c r="D1776" i="2"/>
  <c r="F3028" i="2"/>
  <c r="C2973" i="2"/>
  <c r="B2875" i="2"/>
  <c r="A1792" i="2"/>
  <c r="H2274" i="2"/>
  <c r="B2274" i="2"/>
  <c r="B1776" i="2"/>
  <c r="A1867" i="2"/>
  <c r="F3046" i="2"/>
  <c r="B2973" i="2"/>
  <c r="I2734" i="2"/>
  <c r="I3028" i="2"/>
  <c r="C1920" i="2"/>
  <c r="B2734" i="2"/>
  <c r="A2734" i="2"/>
  <c r="A2973" i="2"/>
  <c r="G1776" i="2"/>
  <c r="G2875" i="2"/>
  <c r="A3046" i="2"/>
  <c r="I2973" i="2"/>
  <c r="H2734" i="2"/>
  <c r="A1920" i="2"/>
  <c r="H1792" i="2"/>
  <c r="H3028" i="2"/>
  <c r="F2734" i="2"/>
  <c r="D3046" i="2"/>
  <c r="D2274" i="2"/>
  <c r="F1776" i="2"/>
  <c r="G1867" i="2"/>
  <c r="A2274" i="2"/>
  <c r="G1792" i="2"/>
  <c r="D2973" i="2"/>
  <c r="C1867" i="2"/>
  <c r="I2875" i="2"/>
  <c r="I3046" i="2"/>
  <c r="C2274" i="2"/>
  <c r="F2274" i="2"/>
  <c r="D2875" i="2"/>
  <c r="B3046" i="2"/>
  <c r="I1920" i="2"/>
  <c r="H2875" i="2"/>
  <c r="C1792" i="2"/>
  <c r="A2875" i="2"/>
  <c r="C2734" i="2"/>
  <c r="H1867" i="2"/>
  <c r="D1920" i="2"/>
  <c r="C3028" i="2"/>
  <c r="F1792" i="2"/>
  <c r="H3046" i="2"/>
  <c r="G2274" i="2"/>
  <c r="H1920" i="2"/>
  <c r="I1792" i="2"/>
  <c r="C1776" i="2"/>
  <c r="G3046" i="2"/>
  <c r="G3028" i="2"/>
  <c r="C2875" i="2"/>
  <c r="F2973" i="2"/>
  <c r="D2734" i="2"/>
  <c r="H1776" i="2"/>
  <c r="B3028" i="2"/>
  <c r="D3028" i="2"/>
  <c r="I1867" i="2"/>
  <c r="B1792" i="2"/>
  <c r="A1776" i="2"/>
  <c r="G2973" i="2"/>
  <c r="B1920" i="2"/>
  <c r="C3046" i="2"/>
  <c r="H2973" i="2"/>
  <c r="D1792" i="2"/>
  <c r="I1776" i="2"/>
  <c r="F2875" i="2"/>
  <c r="I2274" i="2"/>
  <c r="F1867" i="2"/>
  <c r="G2734" i="2"/>
  <c r="A3028" i="2"/>
  <c r="G1920" i="2"/>
  <c r="H3346" i="2"/>
  <c r="F1786" i="2"/>
  <c r="B3529" i="2"/>
  <c r="F3529" i="2"/>
  <c r="A2887" i="2"/>
  <c r="A3529" i="2"/>
  <c r="H1935" i="2"/>
  <c r="G2620" i="2"/>
  <c r="B3346" i="2"/>
  <c r="F1850" i="2"/>
  <c r="C2887" i="2"/>
  <c r="D2620" i="2"/>
  <c r="C2620" i="2"/>
  <c r="D1786" i="2"/>
  <c r="B2522" i="2"/>
  <c r="D2522" i="2"/>
  <c r="G1850" i="2"/>
  <c r="H1850" i="2"/>
  <c r="I2522" i="2"/>
  <c r="D2596" i="2"/>
  <c r="I1744" i="2"/>
  <c r="I3346" i="2"/>
  <c r="B1744" i="2"/>
  <c r="F1935" i="2"/>
  <c r="I2620" i="2"/>
  <c r="I1850" i="2"/>
  <c r="D3529" i="2"/>
  <c r="D3346" i="2"/>
  <c r="G2887" i="2"/>
  <c r="B2596" i="2"/>
  <c r="G1744" i="2"/>
  <c r="I3529" i="2"/>
  <c r="A1786" i="2"/>
  <c r="C1850" i="2"/>
  <c r="G1935" i="2"/>
  <c r="G3346" i="2"/>
  <c r="H2887" i="2"/>
  <c r="D1850" i="2"/>
  <c r="A1935" i="2"/>
  <c r="D1935" i="2"/>
  <c r="B1786" i="2"/>
  <c r="H1744" i="2"/>
  <c r="C1935" i="2"/>
  <c r="F2620" i="2"/>
  <c r="B2620" i="2"/>
  <c r="C1786" i="2"/>
  <c r="B2887" i="2"/>
  <c r="A2596" i="2"/>
  <c r="H2522" i="2"/>
  <c r="G3529" i="2"/>
  <c r="A2620" i="2"/>
  <c r="D1744" i="2"/>
  <c r="G2522" i="2"/>
  <c r="D2887" i="2"/>
  <c r="F2596" i="2"/>
  <c r="C3346" i="2"/>
  <c r="F3346" i="2"/>
  <c r="B1850" i="2"/>
  <c r="I2596" i="2"/>
  <c r="G1786" i="2"/>
  <c r="I1935" i="2"/>
  <c r="F2887" i="2"/>
  <c r="H1786" i="2"/>
  <c r="F2522" i="2"/>
  <c r="C3529" i="2"/>
  <c r="C1744" i="2"/>
  <c r="C2596" i="2"/>
  <c r="A2522" i="2"/>
  <c r="G2596" i="2"/>
  <c r="A1744" i="2"/>
  <c r="F1744" i="2"/>
  <c r="H2620" i="2"/>
  <c r="H2596" i="2"/>
  <c r="I2887" i="2"/>
  <c r="A3346" i="2"/>
  <c r="H3529" i="2"/>
  <c r="A1850" i="2"/>
  <c r="B1935" i="2"/>
  <c r="C2522" i="2"/>
  <c r="I1786" i="2"/>
  <c r="F1623" i="2"/>
  <c r="B1623" i="2"/>
  <c r="D2247" i="2"/>
  <c r="B2640" i="2"/>
  <c r="D2256" i="2"/>
  <c r="B3537" i="2"/>
  <c r="C1639" i="2"/>
  <c r="B1639" i="2"/>
  <c r="A1705" i="2"/>
  <c r="B2247" i="2"/>
  <c r="B1705" i="2"/>
  <c r="C1623" i="2"/>
  <c r="B3043" i="2"/>
  <c r="H1639" i="2"/>
  <c r="F2774" i="2"/>
  <c r="C2640" i="2"/>
  <c r="H2256" i="2"/>
  <c r="G3043" i="2"/>
  <c r="C3537" i="2"/>
  <c r="F1639" i="2"/>
  <c r="D2774" i="2"/>
  <c r="G2256" i="2"/>
  <c r="H3537" i="2"/>
  <c r="A2640" i="2"/>
  <c r="A3537" i="2"/>
  <c r="I1639" i="2"/>
  <c r="A1623" i="2"/>
  <c r="A3043" i="2"/>
  <c r="A2247" i="2"/>
  <c r="H2774" i="2"/>
  <c r="A3217" i="2"/>
  <c r="G1639" i="2"/>
  <c r="D3043" i="2"/>
  <c r="H2640" i="2"/>
  <c r="F3043" i="2"/>
  <c r="G2774" i="2"/>
  <c r="D3217" i="2"/>
  <c r="F2256" i="2"/>
  <c r="C1705" i="2"/>
  <c r="I3043" i="2"/>
  <c r="B3217" i="2"/>
  <c r="I3217" i="2"/>
  <c r="C2256" i="2"/>
  <c r="H1623" i="2"/>
  <c r="C2774" i="2"/>
  <c r="I3537" i="2"/>
  <c r="I1623" i="2"/>
  <c r="I2247" i="2"/>
  <c r="F3537" i="2"/>
  <c r="G3217" i="2"/>
  <c r="D1639" i="2"/>
  <c r="I2774" i="2"/>
  <c r="G1623" i="2"/>
  <c r="H3043" i="2"/>
  <c r="F2640" i="2"/>
  <c r="F1705" i="2"/>
  <c r="G1705" i="2"/>
  <c r="C2247" i="2"/>
  <c r="D1705" i="2"/>
  <c r="F3217" i="2"/>
  <c r="B2774" i="2"/>
  <c r="G2247" i="2"/>
  <c r="I1705" i="2"/>
  <c r="F2247" i="2"/>
  <c r="G2640" i="2"/>
  <c r="D3537" i="2"/>
  <c r="A2256" i="2"/>
  <c r="C3217" i="2"/>
  <c r="I2640" i="2"/>
  <c r="B2256" i="2"/>
  <c r="C3043" i="2"/>
  <c r="H3217" i="2"/>
  <c r="H1705" i="2"/>
  <c r="A2774" i="2"/>
  <c r="G3537" i="2"/>
  <c r="H2247" i="2"/>
  <c r="D1623" i="2"/>
  <c r="A1639" i="2"/>
  <c r="D2640" i="2"/>
  <c r="I2256" i="2"/>
  <c r="D3359" i="2"/>
  <c r="C3019" i="2"/>
  <c r="B2063" i="2"/>
  <c r="H3185" i="2"/>
  <c r="I3185" i="2"/>
  <c r="D3185" i="2"/>
  <c r="D3610" i="2"/>
  <c r="G1661" i="2"/>
  <c r="G2709" i="2"/>
  <c r="G3359" i="2"/>
  <c r="H1923" i="2"/>
  <c r="F3185" i="2"/>
  <c r="A2709" i="2"/>
  <c r="B3019" i="2"/>
  <c r="A3359" i="2"/>
  <c r="F2063" i="2"/>
  <c r="A1923" i="2"/>
  <c r="H1661" i="2"/>
  <c r="F2709" i="2"/>
  <c r="H2709" i="2"/>
  <c r="I2485" i="2"/>
  <c r="A2063" i="2"/>
  <c r="H3019" i="2"/>
  <c r="H3584" i="2"/>
  <c r="F1923" i="2"/>
  <c r="A3019" i="2"/>
  <c r="B3610" i="2"/>
  <c r="D1661" i="2"/>
  <c r="I3584" i="2"/>
  <c r="F3610" i="2"/>
  <c r="B1661" i="2"/>
  <c r="A3584" i="2"/>
  <c r="G1923" i="2"/>
  <c r="C3610" i="2"/>
  <c r="C1661" i="2"/>
  <c r="D1923" i="2"/>
  <c r="G2485" i="2"/>
  <c r="B3359" i="2"/>
  <c r="H2063" i="2"/>
  <c r="G2063" i="2"/>
  <c r="I1661" i="2"/>
  <c r="C3584" i="2"/>
  <c r="F1661" i="2"/>
  <c r="F3359" i="2"/>
  <c r="G3584" i="2"/>
  <c r="A3185" i="2"/>
  <c r="D3019" i="2"/>
  <c r="C2063" i="2"/>
  <c r="G3019" i="2"/>
  <c r="B3185" i="2"/>
  <c r="G3610" i="2"/>
  <c r="H3610" i="2"/>
  <c r="H3359" i="2"/>
  <c r="A2485" i="2"/>
  <c r="C2709" i="2"/>
  <c r="I3359" i="2"/>
  <c r="B3584" i="2"/>
  <c r="H2485" i="2"/>
  <c r="I3610" i="2"/>
  <c r="B2485" i="2"/>
  <c r="B1923" i="2"/>
  <c r="F2485" i="2"/>
  <c r="G3185" i="2"/>
  <c r="D3584" i="2"/>
  <c r="I2709" i="2"/>
  <c r="D2063" i="2"/>
  <c r="I1923" i="2"/>
  <c r="D2485" i="2"/>
  <c r="C1923" i="2"/>
  <c r="B2709" i="2"/>
  <c r="I3019" i="2"/>
  <c r="A3610" i="2"/>
  <c r="C3359" i="2"/>
  <c r="I2063" i="2"/>
  <c r="F3584" i="2"/>
  <c r="F3019" i="2"/>
  <c r="C2485" i="2"/>
  <c r="C3185" i="2"/>
  <c r="A1661" i="2"/>
  <c r="D2709" i="2"/>
  <c r="B1851" i="2"/>
  <c r="H3020" i="2"/>
  <c r="D3020" i="2"/>
  <c r="D2928" i="2"/>
  <c r="A3481" i="2"/>
  <c r="A1931" i="2"/>
  <c r="G2711" i="2"/>
  <c r="C3020" i="2"/>
  <c r="G2666" i="2"/>
  <c r="G2928" i="2"/>
  <c r="C2382" i="2"/>
  <c r="D1931" i="2"/>
  <c r="G3481" i="2"/>
  <c r="C2317" i="2"/>
  <c r="C3180" i="2"/>
  <c r="C2928" i="2"/>
  <c r="B2317" i="2"/>
  <c r="F3180" i="2"/>
  <c r="B2382" i="2"/>
  <c r="F2317" i="2"/>
  <c r="G1931" i="2"/>
  <c r="F3020" i="2"/>
  <c r="G3180" i="2"/>
  <c r="A1851" i="2"/>
  <c r="H2317" i="2"/>
  <c r="I2666" i="2"/>
  <c r="F1931" i="2"/>
  <c r="I1851" i="2"/>
  <c r="B2666" i="2"/>
  <c r="F2666" i="2"/>
  <c r="B1931" i="2"/>
  <c r="D2711" i="2"/>
  <c r="G2317" i="2"/>
  <c r="I2382" i="2"/>
  <c r="D3481" i="2"/>
  <c r="A2666" i="2"/>
  <c r="A3180" i="2"/>
  <c r="H2928" i="2"/>
  <c r="F2382" i="2"/>
  <c r="I1931" i="2"/>
  <c r="D2317" i="2"/>
  <c r="I3481" i="2"/>
  <c r="H3180" i="2"/>
  <c r="G1851" i="2"/>
  <c r="F3481" i="2"/>
  <c r="B2711" i="2"/>
  <c r="H2711" i="2"/>
  <c r="A3020" i="2"/>
  <c r="H1851" i="2"/>
  <c r="D2382" i="2"/>
  <c r="B3180" i="2"/>
  <c r="F2928" i="2"/>
  <c r="H3481" i="2"/>
  <c r="I3180" i="2"/>
  <c r="D1851" i="2"/>
  <c r="A2382" i="2"/>
  <c r="C1931" i="2"/>
  <c r="I3020" i="2"/>
  <c r="H2382" i="2"/>
  <c r="B2928" i="2"/>
  <c r="I2711" i="2"/>
  <c r="A2928" i="2"/>
  <c r="B3481" i="2"/>
  <c r="A2711" i="2"/>
  <c r="F2711" i="2"/>
  <c r="G3020" i="2"/>
  <c r="C2666" i="2"/>
  <c r="D2666" i="2"/>
  <c r="I2317" i="2"/>
  <c r="C1851" i="2"/>
  <c r="C2711" i="2"/>
  <c r="B3020" i="2"/>
  <c r="I2928" i="2"/>
  <c r="F1851" i="2"/>
  <c r="H1931" i="2"/>
  <c r="G2382" i="2"/>
  <c r="A2317" i="2"/>
  <c r="C3481" i="2"/>
  <c r="H2666" i="2"/>
  <c r="D3180" i="2"/>
  <c r="D2431" i="2"/>
  <c r="A2467" i="2"/>
  <c r="I1950" i="2"/>
  <c r="D2222" i="2"/>
  <c r="G2431" i="2"/>
  <c r="D1950" i="2"/>
  <c r="G2955" i="2"/>
  <c r="C2431" i="2"/>
  <c r="A1950" i="2"/>
  <c r="B2222" i="2"/>
  <c r="I2508" i="2"/>
  <c r="C2955" i="2"/>
  <c r="A1702" i="2"/>
  <c r="I1702" i="2"/>
  <c r="C2467" i="2"/>
  <c r="D2064" i="2"/>
  <c r="C2222" i="2"/>
  <c r="D2467" i="2"/>
  <c r="A2222" i="2"/>
  <c r="F2064" i="2"/>
  <c r="H1950" i="2"/>
  <c r="F2222" i="2"/>
  <c r="C2064" i="2"/>
  <c r="I2467" i="2"/>
  <c r="D1702" i="2"/>
  <c r="I1812" i="2"/>
  <c r="H2403" i="2"/>
  <c r="B1702" i="2"/>
  <c r="G1702" i="2"/>
  <c r="A2064" i="2"/>
  <c r="H2431" i="2"/>
  <c r="H2508" i="2"/>
  <c r="B2955" i="2"/>
  <c r="F2955" i="2"/>
  <c r="C2403" i="2"/>
  <c r="C2508" i="2"/>
  <c r="H1702" i="2"/>
  <c r="H2955" i="2"/>
  <c r="F1812" i="2"/>
  <c r="G1812" i="2"/>
  <c r="B2403" i="2"/>
  <c r="H2222" i="2"/>
  <c r="C1950" i="2"/>
  <c r="G2508" i="2"/>
  <c r="F1950" i="2"/>
  <c r="G2467" i="2"/>
  <c r="A2955" i="2"/>
  <c r="H2064" i="2"/>
  <c r="A2431" i="2"/>
  <c r="G2064" i="2"/>
  <c r="I2064" i="2"/>
  <c r="A2403" i="2"/>
  <c r="F2508" i="2"/>
  <c r="B1812" i="2"/>
  <c r="D2955" i="2"/>
  <c r="H2467" i="2"/>
  <c r="A1812" i="2"/>
  <c r="I2431" i="2"/>
  <c r="H1812" i="2"/>
  <c r="B1950" i="2"/>
  <c r="B2508" i="2"/>
  <c r="C1702" i="2"/>
  <c r="G2403" i="2"/>
  <c r="B2467" i="2"/>
  <c r="F2431" i="2"/>
  <c r="G2222" i="2"/>
  <c r="C1812" i="2"/>
  <c r="I2403" i="2"/>
  <c r="A2508" i="2"/>
  <c r="D2403" i="2"/>
  <c r="F2403" i="2"/>
  <c r="B2064" i="2"/>
  <c r="I2955" i="2"/>
  <c r="F2467" i="2"/>
  <c r="D2508" i="2"/>
  <c r="G1950" i="2"/>
  <c r="I2222" i="2"/>
  <c r="F1702" i="2"/>
  <c r="B2431" i="2"/>
  <c r="D1812" i="2"/>
  <c r="G3615" i="2"/>
  <c r="A2254" i="2"/>
  <c r="I2562" i="2"/>
  <c r="D1682" i="2"/>
  <c r="B3128" i="2"/>
  <c r="G1682" i="2"/>
  <c r="F2562" i="2"/>
  <c r="D3128" i="2"/>
  <c r="H1825" i="2"/>
  <c r="H2562" i="2"/>
  <c r="B2889" i="2"/>
  <c r="D1676" i="2"/>
  <c r="H2889" i="2"/>
  <c r="H2912" i="2"/>
  <c r="B2912" i="2"/>
  <c r="H1676" i="2"/>
  <c r="G2912" i="2"/>
  <c r="H3128" i="2"/>
  <c r="C2562" i="2"/>
  <c r="A3128" i="2"/>
  <c r="A2889" i="2"/>
  <c r="A1825" i="2"/>
  <c r="F2912" i="2"/>
  <c r="F1676" i="2"/>
  <c r="D1825" i="2"/>
  <c r="I1825" i="2"/>
  <c r="D2254" i="2"/>
  <c r="I2924" i="2"/>
  <c r="B1676" i="2"/>
  <c r="D3615" i="2"/>
  <c r="C2889" i="2"/>
  <c r="C2912" i="2"/>
  <c r="C2254" i="2"/>
  <c r="G2562" i="2"/>
  <c r="H1682" i="2"/>
  <c r="I1682" i="2"/>
  <c r="D2912" i="2"/>
  <c r="B2924" i="2"/>
  <c r="C3128" i="2"/>
  <c r="C2924" i="2"/>
  <c r="H2254" i="2"/>
  <c r="G2254" i="2"/>
  <c r="H3615" i="2"/>
  <c r="C1825" i="2"/>
  <c r="I2912" i="2"/>
  <c r="G3128" i="2"/>
  <c r="G1676" i="2"/>
  <c r="B1825" i="2"/>
  <c r="F1825" i="2"/>
  <c r="C1682" i="2"/>
  <c r="D2562" i="2"/>
  <c r="D2889" i="2"/>
  <c r="I1676" i="2"/>
  <c r="F1682" i="2"/>
  <c r="B2254" i="2"/>
  <c r="A2924" i="2"/>
  <c r="H2924" i="2"/>
  <c r="G2889" i="2"/>
  <c r="I2254" i="2"/>
  <c r="I2889" i="2"/>
  <c r="C1676" i="2"/>
  <c r="A2562" i="2"/>
  <c r="F3615" i="2"/>
  <c r="I3615" i="2"/>
  <c r="C3615" i="2"/>
  <c r="F3128" i="2"/>
  <c r="G2924" i="2"/>
  <c r="D2924" i="2"/>
  <c r="B1682" i="2"/>
  <c r="B3615" i="2"/>
  <c r="F2889" i="2"/>
  <c r="A1676" i="2"/>
  <c r="A3615" i="2"/>
  <c r="F2254" i="2"/>
  <c r="F2924" i="2"/>
  <c r="A1682" i="2"/>
  <c r="I3128" i="2"/>
  <c r="G1825" i="2"/>
  <c r="B2562" i="2"/>
  <c r="A2912" i="2"/>
  <c r="F1820" i="2"/>
  <c r="B3270" i="2"/>
  <c r="B2343" i="2"/>
  <c r="G3270" i="2"/>
  <c r="A2410" i="2"/>
  <c r="B2410" i="2"/>
  <c r="F3406" i="2"/>
  <c r="F2343" i="2"/>
  <c r="H3270" i="2"/>
  <c r="G1820" i="2"/>
  <c r="I2854" i="2"/>
  <c r="G2946" i="2"/>
  <c r="I3270" i="2"/>
  <c r="D3270" i="2"/>
  <c r="I2946" i="2"/>
  <c r="I3406" i="2"/>
  <c r="C2410" i="2"/>
  <c r="D2854" i="2"/>
  <c r="D3406" i="2"/>
  <c r="G2854" i="2"/>
  <c r="G2410" i="2"/>
  <c r="D2343" i="2"/>
  <c r="B3057" i="2"/>
  <c r="C2361" i="2"/>
  <c r="I2410" i="2"/>
  <c r="H2854" i="2"/>
  <c r="A2343" i="2"/>
  <c r="D2946" i="2"/>
  <c r="C2946" i="2"/>
  <c r="F2854" i="2"/>
  <c r="C3057" i="2"/>
  <c r="F3057" i="2"/>
  <c r="F2361" i="2"/>
  <c r="A2854" i="2"/>
  <c r="D2361" i="2"/>
  <c r="H3057" i="2"/>
  <c r="G3057" i="2"/>
  <c r="B2361" i="2"/>
  <c r="C1820" i="2"/>
  <c r="A2946" i="2"/>
  <c r="G2361" i="2"/>
  <c r="H2410" i="2"/>
  <c r="I3057" i="2"/>
  <c r="G2343" i="2"/>
  <c r="H1820" i="2"/>
  <c r="B2946" i="2"/>
  <c r="I2343" i="2"/>
  <c r="I2361" i="2"/>
  <c r="C3007" i="2"/>
  <c r="F2946" i="2"/>
  <c r="A3007" i="2"/>
  <c r="A3406" i="2"/>
  <c r="G3406" i="2"/>
  <c r="H2361" i="2"/>
  <c r="B3007" i="2"/>
  <c r="D3057" i="2"/>
  <c r="G3007" i="2"/>
  <c r="C3270" i="2"/>
  <c r="H3007" i="2"/>
  <c r="D2410" i="2"/>
  <c r="B1820" i="2"/>
  <c r="D3007" i="2"/>
  <c r="F3007" i="2"/>
  <c r="C3406" i="2"/>
  <c r="A1820" i="2"/>
  <c r="C2854" i="2"/>
  <c r="H2343" i="2"/>
  <c r="F3270" i="2"/>
  <c r="B3406" i="2"/>
  <c r="I1820" i="2"/>
  <c r="A3270" i="2"/>
  <c r="C2343" i="2"/>
  <c r="H2946" i="2"/>
  <c r="A2361" i="2"/>
  <c r="I3007" i="2"/>
  <c r="H3406" i="2"/>
  <c r="F2410" i="2"/>
  <c r="A3057" i="2"/>
  <c r="D1820" i="2"/>
  <c r="B2854" i="2"/>
  <c r="I2586" i="2"/>
  <c r="I2782" i="2"/>
  <c r="C2400" i="2"/>
  <c r="C3115" i="2"/>
  <c r="B1969" i="2"/>
  <c r="H1925" i="2"/>
  <c r="G1803" i="2"/>
  <c r="C2453" i="2"/>
  <c r="A2453" i="2"/>
  <c r="G2782" i="2"/>
  <c r="C2053" i="2"/>
  <c r="G1925" i="2"/>
  <c r="D1969" i="2"/>
  <c r="G2586" i="2"/>
  <c r="G1969" i="2"/>
  <c r="D2400" i="2"/>
  <c r="B3115" i="2"/>
  <c r="F2586" i="2"/>
  <c r="H1803" i="2"/>
  <c r="I3115" i="2"/>
  <c r="B1925" i="2"/>
  <c r="G2453" i="2"/>
  <c r="H2453" i="2"/>
  <c r="I2453" i="2"/>
  <c r="D2453" i="2"/>
  <c r="B1803" i="2"/>
  <c r="G2400" i="2"/>
  <c r="I1803" i="2"/>
  <c r="G3115" i="2"/>
  <c r="A2782" i="2"/>
  <c r="F2400" i="2"/>
  <c r="H2586" i="2"/>
  <c r="I2053" i="2"/>
  <c r="I2400" i="2"/>
  <c r="A3115" i="2"/>
  <c r="A1969" i="2"/>
  <c r="I1925" i="2"/>
  <c r="D2053" i="2"/>
  <c r="I3264" i="2"/>
  <c r="F2782" i="2"/>
  <c r="G2053" i="2"/>
  <c r="B2782" i="2"/>
  <c r="B2453" i="2"/>
  <c r="H1969" i="2"/>
  <c r="F1969" i="2"/>
  <c r="A2400" i="2"/>
  <c r="C1925" i="2"/>
  <c r="H2053" i="2"/>
  <c r="I1969" i="2"/>
  <c r="D1803" i="2"/>
  <c r="C2586" i="2"/>
  <c r="A1925" i="2"/>
  <c r="C2782" i="2"/>
  <c r="F2053" i="2"/>
  <c r="H2400" i="2"/>
  <c r="A2586" i="2"/>
  <c r="D3115" i="2"/>
  <c r="A1803" i="2"/>
  <c r="D2586" i="2"/>
  <c r="G3264" i="2"/>
  <c r="B2053" i="2"/>
  <c r="D3264" i="2"/>
  <c r="H2782" i="2"/>
  <c r="B3264" i="2"/>
  <c r="H3264" i="2"/>
  <c r="F3115" i="2"/>
  <c r="A3264" i="2"/>
  <c r="C1803" i="2"/>
  <c r="F3264" i="2"/>
  <c r="F1925" i="2"/>
  <c r="F1803" i="2"/>
  <c r="D1925" i="2"/>
  <c r="C3264" i="2"/>
  <c r="D2782" i="2"/>
  <c r="C1969" i="2"/>
  <c r="A2053" i="2"/>
  <c r="B2586" i="2"/>
  <c r="B2400" i="2"/>
  <c r="H3115" i="2"/>
  <c r="F2453" i="2"/>
  <c r="D1655" i="2"/>
  <c r="F2917" i="2"/>
  <c r="A3093" i="2"/>
  <c r="D1826" i="2"/>
  <c r="D3410" i="2"/>
  <c r="H3093" i="2"/>
  <c r="C2828" i="2"/>
  <c r="I2980" i="2"/>
  <c r="H1636" i="2"/>
  <c r="H2997" i="2"/>
  <c r="H2980" i="2"/>
  <c r="B2828" i="2"/>
  <c r="C2980" i="2"/>
  <c r="C3410" i="2"/>
  <c r="F1655" i="2"/>
  <c r="G3361" i="2"/>
  <c r="D2997" i="2"/>
  <c r="C3361" i="2"/>
  <c r="I1636" i="2"/>
  <c r="B1826" i="2"/>
  <c r="I3410" i="2"/>
  <c r="B3093" i="2"/>
  <c r="B2917" i="2"/>
  <c r="A1636" i="2"/>
  <c r="I3093" i="2"/>
  <c r="A2980" i="2"/>
  <c r="B1636" i="2"/>
  <c r="H2917" i="2"/>
  <c r="I3361" i="2"/>
  <c r="G2828" i="2"/>
  <c r="H1826" i="2"/>
  <c r="A2917" i="2"/>
  <c r="D2917" i="2"/>
  <c r="C1636" i="2"/>
  <c r="F1826" i="2"/>
  <c r="I2917" i="2"/>
  <c r="F2997" i="2"/>
  <c r="F2828" i="2"/>
  <c r="A2828" i="2"/>
  <c r="G3410" i="2"/>
  <c r="D3361" i="2"/>
  <c r="D2980" i="2"/>
  <c r="H3361" i="2"/>
  <c r="A3410" i="2"/>
  <c r="G1636" i="2"/>
  <c r="G2997" i="2"/>
  <c r="B2980" i="2"/>
  <c r="A1826" i="2"/>
  <c r="I2828" i="2"/>
  <c r="F3093" i="2"/>
  <c r="B1655" i="2"/>
  <c r="G1655" i="2"/>
  <c r="C1826" i="2"/>
  <c r="C2917" i="2"/>
  <c r="F3410" i="2"/>
  <c r="B2997" i="2"/>
  <c r="B3410" i="2"/>
  <c r="I1826" i="2"/>
  <c r="D2828" i="2"/>
  <c r="F2980" i="2"/>
  <c r="A2997" i="2"/>
  <c r="A1655" i="2"/>
  <c r="G3093" i="2"/>
  <c r="F3361" i="2"/>
  <c r="C3093" i="2"/>
  <c r="A3361" i="2"/>
  <c r="C1655" i="2"/>
  <c r="F1636" i="2"/>
  <c r="C2997" i="2"/>
  <c r="I1655" i="2"/>
  <c r="D1636" i="2"/>
  <c r="H2828" i="2"/>
  <c r="H3410" i="2"/>
  <c r="G1826" i="2"/>
  <c r="D3093" i="2"/>
  <c r="I2997" i="2"/>
  <c r="B3361" i="2"/>
  <c r="G2917" i="2"/>
  <c r="G2980" i="2"/>
  <c r="H1655" i="2"/>
  <c r="C2981" i="2"/>
  <c r="H3555" i="2"/>
  <c r="F1764" i="2"/>
  <c r="C1544" i="2"/>
  <c r="I2380" i="2"/>
  <c r="C3456" i="2"/>
  <c r="G3555" i="2"/>
  <c r="I2981" i="2"/>
  <c r="D2658" i="2"/>
  <c r="G2380" i="2"/>
  <c r="A2380" i="2"/>
  <c r="I3308" i="2"/>
  <c r="F2981" i="2"/>
  <c r="C3308" i="2"/>
  <c r="G3456" i="2"/>
  <c r="G2767" i="2"/>
  <c r="H2767" i="2"/>
  <c r="A2652" i="2"/>
  <c r="B2380" i="2"/>
  <c r="B2767" i="2"/>
  <c r="F2652" i="2"/>
  <c r="B3308" i="2"/>
  <c r="A1764" i="2"/>
  <c r="I1764" i="2"/>
  <c r="I1544" i="2"/>
  <c r="D3456" i="2"/>
  <c r="G1544" i="2"/>
  <c r="B2652" i="2"/>
  <c r="G2658" i="2"/>
  <c r="A3456" i="2"/>
  <c r="H3308" i="2"/>
  <c r="I3456" i="2"/>
  <c r="A2981" i="2"/>
  <c r="F2658" i="2"/>
  <c r="H1544" i="2"/>
  <c r="H2981" i="2"/>
  <c r="F3555" i="2"/>
  <c r="C2380" i="2"/>
  <c r="C2652" i="2"/>
  <c r="B1544" i="2"/>
  <c r="I2652" i="2"/>
  <c r="G3308" i="2"/>
  <c r="I2658" i="2"/>
  <c r="C2767" i="2"/>
  <c r="A1544" i="2"/>
  <c r="D3555" i="2"/>
  <c r="A3308" i="2"/>
  <c r="B2658" i="2"/>
  <c r="D3308" i="2"/>
  <c r="A3555" i="2"/>
  <c r="G2652" i="2"/>
  <c r="C1764" i="2"/>
  <c r="H3456" i="2"/>
  <c r="F2767" i="2"/>
  <c r="F1544" i="2"/>
  <c r="H1764" i="2"/>
  <c r="H2658" i="2"/>
  <c r="C2658" i="2"/>
  <c r="G1764" i="2"/>
  <c r="D1764" i="2"/>
  <c r="I2767" i="2"/>
  <c r="H2652" i="2"/>
  <c r="H2380" i="2"/>
  <c r="I3555" i="2"/>
  <c r="G2981" i="2"/>
  <c r="C3555" i="2"/>
  <c r="D2767" i="2"/>
  <c r="F3456" i="2"/>
  <c r="F2380" i="2"/>
  <c r="D2981" i="2"/>
  <c r="B3555" i="2"/>
  <c r="A2658" i="2"/>
  <c r="D2652" i="2"/>
  <c r="B3456" i="2"/>
  <c r="A2767" i="2"/>
  <c r="D2380" i="2"/>
  <c r="B2981" i="2"/>
  <c r="F3308" i="2"/>
  <c r="B1764" i="2"/>
  <c r="D1544" i="2"/>
  <c r="B2499" i="2"/>
  <c r="H1694" i="2"/>
  <c r="I1633" i="2"/>
  <c r="A2455" i="2"/>
  <c r="B2434" i="2"/>
  <c r="A1633" i="2"/>
  <c r="F1633" i="2"/>
  <c r="C3343" i="2"/>
  <c r="B1633" i="2"/>
  <c r="I2434" i="2"/>
  <c r="D2499" i="2"/>
  <c r="A2499" i="2"/>
  <c r="I2499" i="2"/>
  <c r="A1981" i="2"/>
  <c r="F3343" i="2"/>
  <c r="I3508" i="2"/>
  <c r="F2455" i="2"/>
  <c r="A3508" i="2"/>
  <c r="G3508" i="2"/>
  <c r="F1694" i="2"/>
  <c r="C2455" i="2"/>
  <c r="D1981" i="2"/>
  <c r="H2434" i="2"/>
  <c r="H3508" i="2"/>
  <c r="B1981" i="2"/>
  <c r="G3343" i="2"/>
  <c r="B3017" i="2"/>
  <c r="I3017" i="2"/>
  <c r="B2455" i="2"/>
  <c r="I1694" i="2"/>
  <c r="B3508" i="2"/>
  <c r="C1694" i="2"/>
  <c r="F3029" i="2"/>
  <c r="G2455" i="2"/>
  <c r="G2434" i="2"/>
  <c r="C2434" i="2"/>
  <c r="I2455" i="2"/>
  <c r="I3343" i="2"/>
  <c r="G1633" i="2"/>
  <c r="A2434" i="2"/>
  <c r="F1981" i="2"/>
  <c r="B1694" i="2"/>
  <c r="H3029" i="2"/>
  <c r="C3029" i="2"/>
  <c r="C2499" i="2"/>
  <c r="C3017" i="2"/>
  <c r="A1694" i="2"/>
  <c r="F3508" i="2"/>
  <c r="B3343" i="2"/>
  <c r="G1981" i="2"/>
  <c r="D3508" i="2"/>
  <c r="C1981" i="2"/>
  <c r="G3029" i="2"/>
  <c r="I1981" i="2"/>
  <c r="G3017" i="2"/>
  <c r="H3017" i="2"/>
  <c r="H3343" i="2"/>
  <c r="C1633" i="2"/>
  <c r="I3029" i="2"/>
  <c r="B3029" i="2"/>
  <c r="D3343" i="2"/>
  <c r="D1633" i="2"/>
  <c r="H2499" i="2"/>
  <c r="D3029" i="2"/>
  <c r="D2455" i="2"/>
  <c r="D3017" i="2"/>
  <c r="A3017" i="2"/>
  <c r="G2499" i="2"/>
  <c r="D1694" i="2"/>
  <c r="F2434" i="2"/>
  <c r="D2434" i="2"/>
  <c r="H1981" i="2"/>
  <c r="F3017" i="2"/>
  <c r="F2499" i="2"/>
  <c r="G1694" i="2"/>
  <c r="C3508" i="2"/>
  <c r="H1633" i="2"/>
  <c r="A3029" i="2"/>
  <c r="H2455" i="2"/>
  <c r="A3343" i="2"/>
  <c r="D2188" i="2"/>
  <c r="A2921" i="2"/>
  <c r="I1577" i="2"/>
  <c r="I3277" i="2"/>
  <c r="G2313" i="2"/>
  <c r="G1577" i="2"/>
  <c r="G1677" i="2"/>
  <c r="A3277" i="2"/>
  <c r="C3277" i="2"/>
  <c r="D1577" i="2"/>
  <c r="A2313" i="2"/>
  <c r="C2188" i="2"/>
  <c r="G2263" i="2"/>
  <c r="H3277" i="2"/>
  <c r="I2532" i="2"/>
  <c r="F1677" i="2"/>
  <c r="A1677" i="2"/>
  <c r="B2188" i="2"/>
  <c r="H1577" i="2"/>
  <c r="G1973" i="2"/>
  <c r="A2532" i="2"/>
  <c r="D2313" i="2"/>
  <c r="H2263" i="2"/>
  <c r="I2188" i="2"/>
  <c r="A1973" i="2"/>
  <c r="B1677" i="2"/>
  <c r="F1973" i="2"/>
  <c r="C1577" i="2"/>
  <c r="B2263" i="2"/>
  <c r="B1973" i="2"/>
  <c r="F2188" i="2"/>
  <c r="D2263" i="2"/>
  <c r="B2532" i="2"/>
  <c r="I2313" i="2"/>
  <c r="D2921" i="2"/>
  <c r="B2313" i="2"/>
  <c r="G3277" i="2"/>
  <c r="H2937" i="2"/>
  <c r="F3277" i="2"/>
  <c r="C2313" i="2"/>
  <c r="B1577" i="2"/>
  <c r="F2532" i="2"/>
  <c r="I2263" i="2"/>
  <c r="H2921" i="2"/>
  <c r="A1577" i="2"/>
  <c r="H1973" i="2"/>
  <c r="D3277" i="2"/>
  <c r="F2937" i="2"/>
  <c r="G2532" i="2"/>
  <c r="I1973" i="2"/>
  <c r="G2921" i="2"/>
  <c r="B2937" i="2"/>
  <c r="I2921" i="2"/>
  <c r="H2313" i="2"/>
  <c r="C2532" i="2"/>
  <c r="C2937" i="2"/>
  <c r="I1677" i="2"/>
  <c r="D1973" i="2"/>
  <c r="C1677" i="2"/>
  <c r="G2937" i="2"/>
  <c r="F2921" i="2"/>
  <c r="D1677" i="2"/>
  <c r="B2921" i="2"/>
  <c r="F2263" i="2"/>
  <c r="I2937" i="2"/>
  <c r="D2532" i="2"/>
  <c r="A2937" i="2"/>
  <c r="A2263" i="2"/>
  <c r="G2188" i="2"/>
  <c r="H2188" i="2"/>
  <c r="A2188" i="2"/>
  <c r="B3277" i="2"/>
  <c r="H1677" i="2"/>
  <c r="C2263" i="2"/>
  <c r="D2937" i="2"/>
  <c r="C1973" i="2"/>
  <c r="H2532" i="2"/>
  <c r="C2921" i="2"/>
  <c r="F1577" i="2"/>
  <c r="F2313" i="2"/>
  <c r="F2106" i="2"/>
  <c r="A2243" i="2"/>
  <c r="I2925" i="2"/>
  <c r="C2106" i="2"/>
  <c r="A2925" i="2"/>
  <c r="I2957" i="2"/>
  <c r="H3506" i="2"/>
  <c r="D2957" i="2"/>
  <c r="H2265" i="2"/>
  <c r="B2265" i="2"/>
  <c r="F2243" i="2"/>
  <c r="F3256" i="2"/>
  <c r="D2106" i="2"/>
  <c r="B3506" i="2"/>
  <c r="I2106" i="2"/>
  <c r="H2106" i="2"/>
  <c r="D1937" i="2"/>
  <c r="D2925" i="2"/>
  <c r="F2265" i="2"/>
  <c r="A2745" i="2"/>
  <c r="D2265" i="2"/>
  <c r="C2925" i="2"/>
  <c r="D3256" i="2"/>
  <c r="I2265" i="2"/>
  <c r="A1937" i="2"/>
  <c r="F3558" i="2"/>
  <c r="F2925" i="2"/>
  <c r="A2957" i="2"/>
  <c r="G2925" i="2"/>
  <c r="I1937" i="2"/>
  <c r="G3506" i="2"/>
  <c r="G2745" i="2"/>
  <c r="H3558" i="2"/>
  <c r="D3558" i="2"/>
  <c r="B2957" i="2"/>
  <c r="C3256" i="2"/>
  <c r="B1937" i="2"/>
  <c r="G2265" i="2"/>
  <c r="C2745" i="2"/>
  <c r="I3256" i="2"/>
  <c r="D2745" i="2"/>
  <c r="B2243" i="2"/>
  <c r="C3558" i="2"/>
  <c r="F2745" i="2"/>
  <c r="H1937" i="2"/>
  <c r="G2957" i="2"/>
  <c r="C2957" i="2"/>
  <c r="G2243" i="2"/>
  <c r="I2243" i="2"/>
  <c r="A2106" i="2"/>
  <c r="C1937" i="2"/>
  <c r="C2265" i="2"/>
  <c r="C3506" i="2"/>
  <c r="B3256" i="2"/>
  <c r="D3506" i="2"/>
  <c r="A3558" i="2"/>
  <c r="H2243" i="2"/>
  <c r="C2243" i="2"/>
  <c r="B2745" i="2"/>
  <c r="I3506" i="2"/>
  <c r="G3256" i="2"/>
  <c r="F3506" i="2"/>
  <c r="G3558" i="2"/>
  <c r="H2925" i="2"/>
  <c r="F2957" i="2"/>
  <c r="I3558" i="2"/>
  <c r="B2106" i="2"/>
  <c r="F1937" i="2"/>
  <c r="H2745" i="2"/>
  <c r="H3256" i="2"/>
  <c r="A3506" i="2"/>
  <c r="H2957" i="2"/>
  <c r="A2265" i="2"/>
  <c r="D2243" i="2"/>
  <c r="B3558" i="2"/>
  <c r="B2925" i="2"/>
  <c r="I2745" i="2"/>
  <c r="A3256" i="2"/>
  <c r="G2106" i="2"/>
  <c r="G1937" i="2"/>
  <c r="A2220" i="2"/>
  <c r="A3560" i="2"/>
  <c r="F3196" i="2"/>
  <c r="A3457" i="2"/>
  <c r="D2352" i="2"/>
  <c r="A1732" i="2"/>
  <c r="G2965" i="2"/>
  <c r="B3560" i="2"/>
  <c r="G3103" i="2"/>
  <c r="D1748" i="2"/>
  <c r="H2352" i="2"/>
  <c r="B2352" i="2"/>
  <c r="F2220" i="2"/>
  <c r="I3457" i="2"/>
  <c r="D3560" i="2"/>
  <c r="I2352" i="2"/>
  <c r="B2220" i="2"/>
  <c r="D1732" i="2"/>
  <c r="C3457" i="2"/>
  <c r="F1748" i="2"/>
  <c r="G1748" i="2"/>
  <c r="G3457" i="2"/>
  <c r="H2802" i="2"/>
  <c r="C2352" i="2"/>
  <c r="I2220" i="2"/>
  <c r="A3196" i="2"/>
  <c r="F2802" i="2"/>
  <c r="I3103" i="2"/>
  <c r="F2352" i="2"/>
  <c r="I3196" i="2"/>
  <c r="D2220" i="2"/>
  <c r="F3560" i="2"/>
  <c r="H2965" i="2"/>
  <c r="C3196" i="2"/>
  <c r="A2352" i="2"/>
  <c r="C1732" i="2"/>
  <c r="I1748" i="2"/>
  <c r="F1732" i="2"/>
  <c r="D2802" i="2"/>
  <c r="D3196" i="2"/>
  <c r="G3560" i="2"/>
  <c r="B3457" i="2"/>
  <c r="D2965" i="2"/>
  <c r="B1732" i="2"/>
  <c r="C2220" i="2"/>
  <c r="C2965" i="2"/>
  <c r="B3196" i="2"/>
  <c r="G2802" i="2"/>
  <c r="A2802" i="2"/>
  <c r="A3103" i="2"/>
  <c r="B3103" i="2"/>
  <c r="G3196" i="2"/>
  <c r="I2802" i="2"/>
  <c r="A2965" i="2"/>
  <c r="G1732" i="2"/>
  <c r="B1748" i="2"/>
  <c r="I2965" i="2"/>
  <c r="D3103" i="2"/>
  <c r="H1748" i="2"/>
  <c r="H3103" i="2"/>
  <c r="C3560" i="2"/>
  <c r="D3457" i="2"/>
  <c r="C3103" i="2"/>
  <c r="H2220" i="2"/>
  <c r="C2802" i="2"/>
  <c r="A1748" i="2"/>
  <c r="F3457" i="2"/>
  <c r="H1732" i="2"/>
  <c r="B2965" i="2"/>
  <c r="B2802" i="2"/>
  <c r="I3560" i="2"/>
  <c r="H3560" i="2"/>
  <c r="H3196" i="2"/>
  <c r="G2352" i="2"/>
  <c r="F2965" i="2"/>
  <c r="I1732" i="2"/>
  <c r="G2220" i="2"/>
  <c r="C1748" i="2"/>
  <c r="H3457" i="2"/>
  <c r="F3103" i="2"/>
  <c r="I1884" i="2"/>
  <c r="H3710" i="2"/>
  <c r="A2174" i="2"/>
  <c r="G3095" i="2"/>
  <c r="I2898" i="2"/>
  <c r="H2888" i="2"/>
  <c r="I3710" i="2"/>
  <c r="H1952" i="2"/>
  <c r="C2898" i="2"/>
  <c r="H2898" i="2"/>
  <c r="H2642" i="2"/>
  <c r="G2642" i="2"/>
  <c r="I2830" i="2"/>
  <c r="A1884" i="2"/>
  <c r="C3095" i="2"/>
  <c r="B3710" i="2"/>
  <c r="A2888" i="2"/>
  <c r="C2642" i="2"/>
  <c r="D1952" i="2"/>
  <c r="I1952" i="2"/>
  <c r="F3095" i="2"/>
  <c r="G2898" i="2"/>
  <c r="D2888" i="2"/>
  <c r="A3710" i="2"/>
  <c r="C2830" i="2"/>
  <c r="B2174" i="2"/>
  <c r="B3095" i="2"/>
  <c r="F2830" i="2"/>
  <c r="F2898" i="2"/>
  <c r="D2898" i="2"/>
  <c r="D2174" i="2"/>
  <c r="F3710" i="2"/>
  <c r="B2642" i="2"/>
  <c r="B2898" i="2"/>
  <c r="H2830" i="2"/>
  <c r="I2888" i="2"/>
  <c r="B2045" i="2"/>
  <c r="D1884" i="2"/>
  <c r="G2888" i="2"/>
  <c r="A3095" i="2"/>
  <c r="C1952" i="2"/>
  <c r="H3095" i="2"/>
  <c r="G1884" i="2"/>
  <c r="F2888" i="2"/>
  <c r="C2174" i="2"/>
  <c r="D2830" i="2"/>
  <c r="G2174" i="2"/>
  <c r="B2830" i="2"/>
  <c r="C1884" i="2"/>
  <c r="G3710" i="2"/>
  <c r="F1952" i="2"/>
  <c r="C3710" i="2"/>
  <c r="D3095" i="2"/>
  <c r="F2642" i="2"/>
  <c r="F2045" i="2"/>
  <c r="A2045" i="2"/>
  <c r="C2045" i="2"/>
  <c r="I2174" i="2"/>
  <c r="B1884" i="2"/>
  <c r="G2045" i="2"/>
  <c r="A2830" i="2"/>
  <c r="C2888" i="2"/>
  <c r="H1884" i="2"/>
  <c r="I2642" i="2"/>
  <c r="B1952" i="2"/>
  <c r="A1952" i="2"/>
  <c r="F2174" i="2"/>
  <c r="I2045" i="2"/>
  <c r="D2045" i="2"/>
  <c r="A2642" i="2"/>
  <c r="D3710" i="2"/>
  <c r="B2888" i="2"/>
  <c r="A2898" i="2"/>
  <c r="H2045" i="2"/>
  <c r="D2642" i="2"/>
  <c r="F1884" i="2"/>
  <c r="G2830" i="2"/>
  <c r="G1952" i="2"/>
  <c r="H2174" i="2"/>
  <c r="I3095" i="2"/>
  <c r="F1746" i="2"/>
  <c r="I2683" i="2"/>
  <c r="I2697" i="2"/>
  <c r="B2233" i="2"/>
  <c r="C1746" i="2"/>
  <c r="F2039" i="2"/>
  <c r="C3549" i="2"/>
  <c r="F1528" i="2"/>
  <c r="A2039" i="2"/>
  <c r="A2233" i="2"/>
  <c r="I3514" i="2"/>
  <c r="B2039" i="2"/>
  <c r="G2233" i="2"/>
  <c r="I2233" i="2"/>
  <c r="C1528" i="2"/>
  <c r="H1746" i="2"/>
  <c r="A2683" i="2"/>
  <c r="C3514" i="2"/>
  <c r="F3549" i="2"/>
  <c r="I2039" i="2"/>
  <c r="G3514" i="2"/>
  <c r="G1528" i="2"/>
  <c r="G2697" i="2"/>
  <c r="A2476" i="2"/>
  <c r="G1746" i="2"/>
  <c r="I3084" i="2"/>
  <c r="G2039" i="2"/>
  <c r="A1528" i="2"/>
  <c r="D3084" i="2"/>
  <c r="A1746" i="2"/>
  <c r="H2697" i="2"/>
  <c r="C2476" i="2"/>
  <c r="C2683" i="2"/>
  <c r="I2476" i="2"/>
  <c r="G3549" i="2"/>
  <c r="C3084" i="2"/>
  <c r="I1746" i="2"/>
  <c r="G2476" i="2"/>
  <c r="B1528" i="2"/>
  <c r="F2233" i="2"/>
  <c r="A3549" i="2"/>
  <c r="A3514" i="2"/>
  <c r="D1528" i="2"/>
  <c r="H2476" i="2"/>
  <c r="I3549" i="2"/>
  <c r="H2233" i="2"/>
  <c r="H3084" i="2"/>
  <c r="D3549" i="2"/>
  <c r="D2683" i="2"/>
  <c r="D2476" i="2"/>
  <c r="H2683" i="2"/>
  <c r="D1746" i="2"/>
  <c r="F2683" i="2"/>
  <c r="B3084" i="2"/>
  <c r="B3514" i="2"/>
  <c r="G3084" i="2"/>
  <c r="H3514" i="2"/>
  <c r="B2683" i="2"/>
  <c r="B2476" i="2"/>
  <c r="B2697" i="2"/>
  <c r="A3084" i="2"/>
  <c r="H2039" i="2"/>
  <c r="H3549" i="2"/>
  <c r="D2039" i="2"/>
  <c r="I1528" i="2"/>
  <c r="A2697" i="2"/>
  <c r="F3514" i="2"/>
  <c r="D2697" i="2"/>
  <c r="F2697" i="2"/>
  <c r="C2233" i="2"/>
  <c r="F3084" i="2"/>
  <c r="D2233" i="2"/>
  <c r="D3514" i="2"/>
  <c r="C2697" i="2"/>
  <c r="F2476" i="2"/>
  <c r="B1746" i="2"/>
  <c r="C2039" i="2"/>
  <c r="H1528" i="2"/>
  <c r="G2683" i="2"/>
  <c r="B3549" i="2"/>
  <c r="G2907" i="2"/>
  <c r="G2420" i="2"/>
  <c r="G2169" i="2"/>
  <c r="G1673" i="2"/>
  <c r="F1976" i="2"/>
  <c r="F3206" i="2"/>
  <c r="A2907" i="2"/>
  <c r="A2157" i="2"/>
  <c r="F2420" i="2"/>
  <c r="B2420" i="2"/>
  <c r="H1673" i="2"/>
  <c r="B2169" i="2"/>
  <c r="F1673" i="2"/>
  <c r="G1495" i="2"/>
  <c r="C2420" i="2"/>
  <c r="A1495" i="2"/>
  <c r="G2344" i="2"/>
  <c r="I2907" i="2"/>
  <c r="B2157" i="2"/>
  <c r="H1976" i="2"/>
  <c r="D1495" i="2"/>
  <c r="C2344" i="2"/>
  <c r="F2907" i="2"/>
  <c r="I3206" i="2"/>
  <c r="I2157" i="2"/>
  <c r="D1976" i="2"/>
  <c r="C2157" i="2"/>
  <c r="C2348" i="2"/>
  <c r="F2157" i="2"/>
  <c r="I1673" i="2"/>
  <c r="G2157" i="2"/>
  <c r="H2420" i="2"/>
  <c r="G3206" i="2"/>
  <c r="C1976" i="2"/>
  <c r="F2169" i="2"/>
  <c r="B2348" i="2"/>
  <c r="D2344" i="2"/>
  <c r="F2344" i="2"/>
  <c r="B1976" i="2"/>
  <c r="A3206" i="2"/>
  <c r="A2348" i="2"/>
  <c r="D3206" i="2"/>
  <c r="D2169" i="2"/>
  <c r="C2169" i="2"/>
  <c r="H2348" i="2"/>
  <c r="C1673" i="2"/>
  <c r="C1495" i="2"/>
  <c r="I2169" i="2"/>
  <c r="B1495" i="2"/>
  <c r="H2344" i="2"/>
  <c r="B2907" i="2"/>
  <c r="G1976" i="2"/>
  <c r="F2348" i="2"/>
  <c r="D2420" i="2"/>
  <c r="D2157" i="2"/>
  <c r="D1673" i="2"/>
  <c r="D2907" i="2"/>
  <c r="C3206" i="2"/>
  <c r="G2348" i="2"/>
  <c r="I2348" i="2"/>
  <c r="I1495" i="2"/>
  <c r="B3206" i="2"/>
  <c r="A2420" i="2"/>
  <c r="A2344" i="2"/>
  <c r="A1673" i="2"/>
  <c r="H2907" i="2"/>
  <c r="H2169" i="2"/>
  <c r="I2344" i="2"/>
  <c r="H1495" i="2"/>
  <c r="I1976" i="2"/>
  <c r="A1976" i="2"/>
  <c r="F1495" i="2"/>
  <c r="B2344" i="2"/>
  <c r="B1673" i="2"/>
  <c r="D2348" i="2"/>
  <c r="C2907" i="2"/>
  <c r="H2157" i="2"/>
  <c r="I2420" i="2"/>
  <c r="H3206" i="2"/>
  <c r="A2169" i="2"/>
  <c r="A2387" i="2"/>
  <c r="A3433" i="2"/>
  <c r="B2423" i="2"/>
  <c r="G2822" i="2"/>
  <c r="I3433" i="2"/>
  <c r="C3197" i="2"/>
  <c r="A1773" i="2"/>
  <c r="H3433" i="2"/>
  <c r="G2886" i="2"/>
  <c r="I2387" i="2"/>
  <c r="F3433" i="2"/>
  <c r="B1890" i="2"/>
  <c r="G3433" i="2"/>
  <c r="F1998" i="2"/>
  <c r="B3134" i="2"/>
  <c r="D3134" i="2"/>
  <c r="D2423" i="2"/>
  <c r="D2822" i="2"/>
  <c r="I1773" i="2"/>
  <c r="A2886" i="2"/>
  <c r="H3134" i="2"/>
  <c r="B2822" i="2"/>
  <c r="F1773" i="2"/>
  <c r="G3197" i="2"/>
  <c r="C3433" i="2"/>
  <c r="G1773" i="2"/>
  <c r="I1998" i="2"/>
  <c r="H1998" i="2"/>
  <c r="F3134" i="2"/>
  <c r="H2387" i="2"/>
  <c r="A2822" i="2"/>
  <c r="F3197" i="2"/>
  <c r="G3134" i="2"/>
  <c r="I3134" i="2"/>
  <c r="B1998" i="2"/>
  <c r="A1998" i="2"/>
  <c r="I2423" i="2"/>
  <c r="B3197" i="2"/>
  <c r="C2387" i="2"/>
  <c r="C2822" i="2"/>
  <c r="F1890" i="2"/>
  <c r="F2387" i="2"/>
  <c r="D1890" i="2"/>
  <c r="A1890" i="2"/>
  <c r="I2822" i="2"/>
  <c r="H1773" i="2"/>
  <c r="I3197" i="2"/>
  <c r="G2423" i="2"/>
  <c r="A3134" i="2"/>
  <c r="F2423" i="2"/>
  <c r="C2886" i="2"/>
  <c r="G2387" i="2"/>
  <c r="C1890" i="2"/>
  <c r="F2822" i="2"/>
  <c r="D1998" i="2"/>
  <c r="I1890" i="2"/>
  <c r="I2886" i="2"/>
  <c r="H2423" i="2"/>
  <c r="A2423" i="2"/>
  <c r="B2387" i="2"/>
  <c r="C1998" i="2"/>
  <c r="H2886" i="2"/>
  <c r="D3197" i="2"/>
  <c r="D1773" i="2"/>
  <c r="F2886" i="2"/>
  <c r="A3197" i="2"/>
  <c r="B1773" i="2"/>
  <c r="B3433" i="2"/>
  <c r="B2886" i="2"/>
  <c r="G1890" i="2"/>
  <c r="G1998" i="2"/>
  <c r="C1773" i="2"/>
  <c r="H3197" i="2"/>
  <c r="D3433" i="2"/>
  <c r="H1890" i="2"/>
  <c r="C3134" i="2"/>
  <c r="D2387" i="2"/>
  <c r="D2886" i="2"/>
  <c r="C2423" i="2"/>
  <c r="H2822" i="2"/>
  <c r="D2402" i="2"/>
  <c r="F2968" i="2"/>
  <c r="H2952" i="2"/>
  <c r="A2402" i="2"/>
  <c r="B3177" i="2"/>
  <c r="I2375" i="2"/>
  <c r="G3505" i="2"/>
  <c r="B3505" i="2"/>
  <c r="I2402" i="2"/>
  <c r="G3218" i="2"/>
  <c r="D3350" i="2"/>
  <c r="I2309" i="2"/>
  <c r="D3505" i="2"/>
  <c r="G2375" i="2"/>
  <c r="C2375" i="2"/>
  <c r="F3218" i="2"/>
  <c r="H2968" i="2"/>
  <c r="H3218" i="2"/>
  <c r="H2446" i="2"/>
  <c r="I2446" i="2"/>
  <c r="I3505" i="2"/>
  <c r="B2968" i="2"/>
  <c r="I3218" i="2"/>
  <c r="A2375" i="2"/>
  <c r="C3218" i="2"/>
  <c r="G2952" i="2"/>
  <c r="H2309" i="2"/>
  <c r="F2446" i="2"/>
  <c r="I2968" i="2"/>
  <c r="F2402" i="2"/>
  <c r="C3177" i="2"/>
  <c r="B2375" i="2"/>
  <c r="G3350" i="2"/>
  <c r="H3350" i="2"/>
  <c r="I3350" i="2"/>
  <c r="I2952" i="2"/>
  <c r="D3177" i="2"/>
  <c r="D2968" i="2"/>
  <c r="A3350" i="2"/>
  <c r="D2952" i="2"/>
  <c r="B2952" i="2"/>
  <c r="C2968" i="2"/>
  <c r="B2309" i="2"/>
  <c r="I3177" i="2"/>
  <c r="H2375" i="2"/>
  <c r="A2309" i="2"/>
  <c r="C3505" i="2"/>
  <c r="G2309" i="2"/>
  <c r="H3177" i="2"/>
  <c r="B2446" i="2"/>
  <c r="C2309" i="2"/>
  <c r="A2952" i="2"/>
  <c r="C3350" i="2"/>
  <c r="D2446" i="2"/>
  <c r="G3177" i="2"/>
  <c r="A2446" i="2"/>
  <c r="H3505" i="2"/>
  <c r="A2968" i="2"/>
  <c r="B3350" i="2"/>
  <c r="B2402" i="2"/>
  <c r="G2446" i="2"/>
  <c r="D3218" i="2"/>
  <c r="F2375" i="2"/>
  <c r="C2952" i="2"/>
  <c r="F3505" i="2"/>
  <c r="D2309" i="2"/>
  <c r="A3177" i="2"/>
  <c r="H2402" i="2"/>
  <c r="A3218" i="2"/>
  <c r="G2402" i="2"/>
  <c r="D2375" i="2"/>
  <c r="F3350" i="2"/>
  <c r="C2446" i="2"/>
  <c r="F2952" i="2"/>
  <c r="G2968" i="2"/>
  <c r="F2309" i="2"/>
  <c r="B3218" i="2"/>
  <c r="A3505" i="2"/>
  <c r="C2402" i="2"/>
  <c r="F3177" i="2"/>
  <c r="B2253" i="2"/>
  <c r="D1654" i="2"/>
  <c r="H2147" i="2"/>
  <c r="F2561" i="2"/>
  <c r="A2770" i="2"/>
  <c r="C1654" i="2"/>
  <c r="A3288" i="2"/>
  <c r="B1654" i="2"/>
  <c r="I2561" i="2"/>
  <c r="B3042" i="2"/>
  <c r="F2253" i="2"/>
  <c r="G2147" i="2"/>
  <c r="G3451" i="2"/>
  <c r="H1654" i="2"/>
  <c r="A2253" i="2"/>
  <c r="C3042" i="2"/>
  <c r="G2253" i="2"/>
  <c r="F3042" i="2"/>
  <c r="A1654" i="2"/>
  <c r="C2147" i="2"/>
  <c r="H2253" i="2"/>
  <c r="A2561" i="2"/>
  <c r="B2945" i="2"/>
  <c r="A2147" i="2"/>
  <c r="H3288" i="2"/>
  <c r="I3451" i="2"/>
  <c r="B2147" i="2"/>
  <c r="D2561" i="2"/>
  <c r="F3451" i="2"/>
  <c r="F2770" i="2"/>
  <c r="D3451" i="2"/>
  <c r="G3288" i="2"/>
  <c r="H2945" i="2"/>
  <c r="G1775" i="2"/>
  <c r="C1775" i="2"/>
  <c r="B2561" i="2"/>
  <c r="G2945" i="2"/>
  <c r="I3042" i="2"/>
  <c r="D3288" i="2"/>
  <c r="C2561" i="2"/>
  <c r="I1654" i="2"/>
  <c r="H3451" i="2"/>
  <c r="B3288" i="2"/>
  <c r="C2945" i="2"/>
  <c r="A3451" i="2"/>
  <c r="B1775" i="2"/>
  <c r="C3451" i="2"/>
  <c r="F2945" i="2"/>
  <c r="H2561" i="2"/>
  <c r="I3288" i="2"/>
  <c r="D3042" i="2"/>
  <c r="I1775" i="2"/>
  <c r="D1775" i="2"/>
  <c r="F3288" i="2"/>
  <c r="D2945" i="2"/>
  <c r="A3042" i="2"/>
  <c r="I2770" i="2"/>
  <c r="C2770" i="2"/>
  <c r="I2147" i="2"/>
  <c r="D2253" i="2"/>
  <c r="G3042" i="2"/>
  <c r="G1654" i="2"/>
  <c r="H1775" i="2"/>
  <c r="B2770" i="2"/>
  <c r="A1775" i="2"/>
  <c r="F2147" i="2"/>
  <c r="I2253" i="2"/>
  <c r="D2770" i="2"/>
  <c r="H2770" i="2"/>
  <c r="B3451" i="2"/>
  <c r="H3042" i="2"/>
  <c r="C2253" i="2"/>
  <c r="D2147" i="2"/>
  <c r="A2945" i="2"/>
  <c r="F1654" i="2"/>
  <c r="G2770" i="2"/>
  <c r="I2945" i="2"/>
  <c r="C3288" i="2"/>
  <c r="G2561" i="2"/>
  <c r="F1775" i="2"/>
  <c r="G3118" i="2"/>
  <c r="B3445" i="2"/>
  <c r="F2153" i="2"/>
  <c r="D3436" i="2"/>
  <c r="I3436" i="2"/>
  <c r="F2168" i="2"/>
  <c r="G3445" i="2"/>
  <c r="H2564" i="2"/>
  <c r="H3445" i="2"/>
  <c r="B2168" i="2"/>
  <c r="H2181" i="2"/>
  <c r="C2153" i="2"/>
  <c r="G2866" i="2"/>
  <c r="G2564" i="2"/>
  <c r="D2564" i="2"/>
  <c r="I2944" i="2"/>
  <c r="H3118" i="2"/>
  <c r="H2866" i="2"/>
  <c r="C2564" i="2"/>
  <c r="I2564" i="2"/>
  <c r="B3436" i="2"/>
  <c r="F2181" i="2"/>
  <c r="G2181" i="2"/>
  <c r="H2168" i="2"/>
  <c r="D3445" i="2"/>
  <c r="D3365" i="2"/>
  <c r="G3436" i="2"/>
  <c r="F2564" i="2"/>
  <c r="H2944" i="2"/>
  <c r="I3445" i="2"/>
  <c r="A2944" i="2"/>
  <c r="D2153" i="2"/>
  <c r="F2866" i="2"/>
  <c r="I3365" i="2"/>
  <c r="F3436" i="2"/>
  <c r="F3445" i="2"/>
  <c r="H3365" i="2"/>
  <c r="C2168" i="2"/>
  <c r="D2866" i="2"/>
  <c r="A3365" i="2"/>
  <c r="D3118" i="2"/>
  <c r="A2181" i="2"/>
  <c r="I2866" i="2"/>
  <c r="F3365" i="2"/>
  <c r="G2168" i="2"/>
  <c r="I2181" i="2"/>
  <c r="G2153" i="2"/>
  <c r="A2866" i="2"/>
  <c r="D2944" i="2"/>
  <c r="D2168" i="2"/>
  <c r="A3436" i="2"/>
  <c r="G3365" i="2"/>
  <c r="A2564" i="2"/>
  <c r="C3436" i="2"/>
  <c r="H2153" i="2"/>
  <c r="B2181" i="2"/>
  <c r="B2153" i="2"/>
  <c r="C2866" i="2"/>
  <c r="F2944" i="2"/>
  <c r="A2153" i="2"/>
  <c r="B3118" i="2"/>
  <c r="C3118" i="2"/>
  <c r="C2944" i="2"/>
  <c r="F3118" i="2"/>
  <c r="A3445" i="2"/>
  <c r="A2168" i="2"/>
  <c r="A3118" i="2"/>
  <c r="D2181" i="2"/>
  <c r="C3365" i="2"/>
  <c r="B2944" i="2"/>
  <c r="B2564" i="2"/>
  <c r="I2153" i="2"/>
  <c r="B2866" i="2"/>
  <c r="H3436" i="2"/>
  <c r="C2181" i="2"/>
  <c r="G2944" i="2"/>
  <c r="I3118" i="2"/>
  <c r="I2168" i="2"/>
  <c r="C3445" i="2"/>
  <c r="B3365" i="2"/>
  <c r="I2013" i="2"/>
  <c r="B2043" i="2"/>
  <c r="B3236" i="2"/>
  <c r="A1897" i="2"/>
  <c r="I2043" i="2"/>
  <c r="G2081" i="2"/>
  <c r="F2291" i="2"/>
  <c r="G3236" i="2"/>
  <c r="B2291" i="2"/>
  <c r="I2081" i="2"/>
  <c r="H1795" i="2"/>
  <c r="C2081" i="2"/>
  <c r="C3236" i="2"/>
  <c r="A3236" i="2"/>
  <c r="I2397" i="2"/>
  <c r="B3135" i="2"/>
  <c r="I1768" i="2"/>
  <c r="H2043" i="2"/>
  <c r="A1795" i="2"/>
  <c r="A2291" i="2"/>
  <c r="B2013" i="2"/>
  <c r="F2043" i="2"/>
  <c r="A1768" i="2"/>
  <c r="D2043" i="2"/>
  <c r="C1897" i="2"/>
  <c r="F1897" i="2"/>
  <c r="H2397" i="2"/>
  <c r="H2013" i="2"/>
  <c r="D1897" i="2"/>
  <c r="F3135" i="2"/>
  <c r="H2291" i="2"/>
  <c r="A2397" i="2"/>
  <c r="I3236" i="2"/>
  <c r="H1768" i="2"/>
  <c r="H1897" i="2"/>
  <c r="A3135" i="2"/>
  <c r="F2081" i="2"/>
  <c r="D2397" i="2"/>
  <c r="I1795" i="2"/>
  <c r="D2013" i="2"/>
  <c r="D2081" i="2"/>
  <c r="B2397" i="2"/>
  <c r="D1768" i="2"/>
  <c r="C1768" i="2"/>
  <c r="F3236" i="2"/>
  <c r="G2043" i="2"/>
  <c r="B1768" i="2"/>
  <c r="C2043" i="2"/>
  <c r="D3236" i="2"/>
  <c r="F2013" i="2"/>
  <c r="D1795" i="2"/>
  <c r="I1897" i="2"/>
  <c r="G2397" i="2"/>
  <c r="G1768" i="2"/>
  <c r="B1897" i="2"/>
  <c r="C2397" i="2"/>
  <c r="B2081" i="2"/>
  <c r="G2291" i="2"/>
  <c r="G3135" i="2"/>
  <c r="F1795" i="2"/>
  <c r="D3135" i="2"/>
  <c r="C1795" i="2"/>
  <c r="C2291" i="2"/>
  <c r="B1795" i="2"/>
  <c r="H3135" i="2"/>
  <c r="I3135" i="2"/>
  <c r="A2013" i="2"/>
  <c r="I2291" i="2"/>
  <c r="C2013" i="2"/>
  <c r="G2013" i="2"/>
  <c r="G1795" i="2"/>
  <c r="F2397" i="2"/>
  <c r="F1768" i="2"/>
  <c r="G1897" i="2"/>
  <c r="A2043" i="2"/>
  <c r="C3135" i="2"/>
  <c r="D2291" i="2"/>
  <c r="H2081" i="2"/>
  <c r="H3236" i="2"/>
  <c r="A2081" i="2"/>
  <c r="C2492" i="2"/>
  <c r="G3543" i="2"/>
  <c r="C2138" i="2"/>
  <c r="F3543" i="2"/>
  <c r="I1753" i="2"/>
  <c r="G2158" i="2"/>
  <c r="B2492" i="2"/>
  <c r="H2221" i="2"/>
  <c r="H2003" i="2"/>
  <c r="F2221" i="2"/>
  <c r="I2138" i="2"/>
  <c r="B3543" i="2"/>
  <c r="G1753" i="2"/>
  <c r="A2138" i="2"/>
  <c r="B2221" i="2"/>
  <c r="H2613" i="2"/>
  <c r="F2003" i="2"/>
  <c r="G2492" i="2"/>
  <c r="B1753" i="2"/>
  <c r="I2613" i="2"/>
  <c r="G2613" i="2"/>
  <c r="I2221" i="2"/>
  <c r="A3543" i="2"/>
  <c r="I3543" i="2"/>
  <c r="D2138" i="2"/>
  <c r="D2158" i="2"/>
  <c r="I2492" i="2"/>
  <c r="F2018" i="2"/>
  <c r="F1753" i="2"/>
  <c r="D3437" i="2"/>
  <c r="A2018" i="2"/>
  <c r="H2492" i="2"/>
  <c r="C1753" i="2"/>
  <c r="D2221" i="2"/>
  <c r="A3437" i="2"/>
  <c r="C3437" i="2"/>
  <c r="D3543" i="2"/>
  <c r="C2613" i="2"/>
  <c r="H3543" i="2"/>
  <c r="C2158" i="2"/>
  <c r="C2221" i="2"/>
  <c r="F2613" i="2"/>
  <c r="B2138" i="2"/>
  <c r="I3437" i="2"/>
  <c r="G2221" i="2"/>
  <c r="I2018" i="2"/>
  <c r="B2158" i="2"/>
  <c r="A2492" i="2"/>
  <c r="B2613" i="2"/>
  <c r="A2158" i="2"/>
  <c r="H1753" i="2"/>
  <c r="D1753" i="2"/>
  <c r="F2158" i="2"/>
  <c r="C2003" i="2"/>
  <c r="H2158" i="2"/>
  <c r="I2003" i="2"/>
  <c r="H2018" i="2"/>
  <c r="D2003" i="2"/>
  <c r="C2018" i="2"/>
  <c r="D2018" i="2"/>
  <c r="G2138" i="2"/>
  <c r="B2003" i="2"/>
  <c r="F2138" i="2"/>
  <c r="F3437" i="2"/>
  <c r="D2613" i="2"/>
  <c r="G2003" i="2"/>
  <c r="B3437" i="2"/>
  <c r="D2492" i="2"/>
  <c r="G3437" i="2"/>
  <c r="G2018" i="2"/>
  <c r="H3437" i="2"/>
  <c r="A2003" i="2"/>
  <c r="H2138" i="2"/>
  <c r="A2613" i="2"/>
  <c r="C3543" i="2"/>
  <c r="F2492" i="2"/>
  <c r="A1753" i="2"/>
  <c r="A2221" i="2"/>
  <c r="B2018" i="2"/>
  <c r="I2158" i="2"/>
  <c r="H3507" i="2"/>
  <c r="B2791" i="2"/>
  <c r="G1863" i="2"/>
  <c r="B2839" i="2"/>
  <c r="G2839" i="2"/>
  <c r="D1863" i="2"/>
  <c r="F1863" i="2"/>
  <c r="G2145" i="2"/>
  <c r="D2839" i="2"/>
  <c r="G1513" i="2"/>
  <c r="H2145" i="2"/>
  <c r="C2089" i="2"/>
  <c r="B2882" i="2"/>
  <c r="G2128" i="2"/>
  <c r="I3507" i="2"/>
  <c r="F1513" i="2"/>
  <c r="G2882" i="2"/>
  <c r="F3507" i="2"/>
  <c r="H1863" i="2"/>
  <c r="D2145" i="2"/>
  <c r="I2145" i="2"/>
  <c r="I2791" i="2"/>
  <c r="G3507" i="2"/>
  <c r="H2128" i="2"/>
  <c r="B3507" i="2"/>
  <c r="I1513" i="2"/>
  <c r="B1863" i="2"/>
  <c r="I1863" i="2"/>
  <c r="C1513" i="2"/>
  <c r="A2145" i="2"/>
  <c r="I2128" i="2"/>
  <c r="H2839" i="2"/>
  <c r="A3533" i="2"/>
  <c r="A2882" i="2"/>
  <c r="H2882" i="2"/>
  <c r="A2089" i="2"/>
  <c r="F2839" i="2"/>
  <c r="C2839" i="2"/>
  <c r="G2089" i="2"/>
  <c r="A3507" i="2"/>
  <c r="A2128" i="2"/>
  <c r="I2089" i="2"/>
  <c r="B2128" i="2"/>
  <c r="F3533" i="2"/>
  <c r="B1513" i="2"/>
  <c r="D2128" i="2"/>
  <c r="C1863" i="2"/>
  <c r="G3533" i="2"/>
  <c r="I3533" i="2"/>
  <c r="G2791" i="2"/>
  <c r="I2839" i="2"/>
  <c r="A2791" i="2"/>
  <c r="D3533" i="2"/>
  <c r="I2882" i="2"/>
  <c r="C3533" i="2"/>
  <c r="F2089" i="2"/>
  <c r="B2145" i="2"/>
  <c r="D3507" i="2"/>
  <c r="F2791" i="2"/>
  <c r="F2145" i="2"/>
  <c r="H2791" i="2"/>
  <c r="D2882" i="2"/>
  <c r="F2882" i="2"/>
  <c r="C2128" i="2"/>
  <c r="B3533" i="2"/>
  <c r="D2791" i="2"/>
  <c r="D2089" i="2"/>
  <c r="A1513" i="2"/>
  <c r="D1513" i="2"/>
  <c r="H2089" i="2"/>
  <c r="C2882" i="2"/>
  <c r="B2089" i="2"/>
  <c r="F2128" i="2"/>
  <c r="C2791" i="2"/>
  <c r="A1863" i="2"/>
  <c r="A2839" i="2"/>
  <c r="H3533" i="2"/>
  <c r="H1513" i="2"/>
  <c r="C2145" i="2"/>
  <c r="C3507" i="2"/>
  <c r="G2105" i="2"/>
  <c r="F1905" i="2"/>
  <c r="D1882" i="2"/>
  <c r="F2092" i="2"/>
  <c r="G1987" i="2"/>
  <c r="H2092" i="2"/>
  <c r="F2416" i="2"/>
  <c r="H1905" i="2"/>
  <c r="B3089" i="2"/>
  <c r="B2416" i="2"/>
  <c r="I1905" i="2"/>
  <c r="F1934" i="2"/>
  <c r="C2416" i="2"/>
  <c r="D2547" i="2"/>
  <c r="F3089" i="2"/>
  <c r="H1882" i="2"/>
  <c r="B1882" i="2"/>
  <c r="B2354" i="2"/>
  <c r="C2105" i="2"/>
  <c r="I1882" i="2"/>
  <c r="B2547" i="2"/>
  <c r="C3089" i="2"/>
  <c r="G2092" i="2"/>
  <c r="C2354" i="2"/>
  <c r="B1934" i="2"/>
  <c r="C2092" i="2"/>
  <c r="I2092" i="2"/>
  <c r="I3089" i="2"/>
  <c r="A2416" i="2"/>
  <c r="F2105" i="2"/>
  <c r="F2547" i="2"/>
  <c r="D2092" i="2"/>
  <c r="F2354" i="2"/>
  <c r="A1905" i="2"/>
  <c r="H1934" i="2"/>
  <c r="D3089" i="2"/>
  <c r="H1987" i="2"/>
  <c r="G1934" i="2"/>
  <c r="B2105" i="2"/>
  <c r="C1882" i="2"/>
  <c r="D2416" i="2"/>
  <c r="G2354" i="2"/>
  <c r="C1905" i="2"/>
  <c r="D2354" i="2"/>
  <c r="D1987" i="2"/>
  <c r="G1882" i="2"/>
  <c r="H2547" i="2"/>
  <c r="A2547" i="2"/>
  <c r="I2354" i="2"/>
  <c r="C1987" i="2"/>
  <c r="D1905" i="2"/>
  <c r="G2416" i="2"/>
  <c r="H2105" i="2"/>
  <c r="I2105" i="2"/>
  <c r="I1934" i="2"/>
  <c r="I1987" i="2"/>
  <c r="H2354" i="2"/>
  <c r="G3089" i="2"/>
  <c r="A1934" i="2"/>
  <c r="H3089" i="2"/>
  <c r="G2547" i="2"/>
  <c r="D1934" i="2"/>
  <c r="I2416" i="2"/>
  <c r="F1987" i="2"/>
  <c r="B1987" i="2"/>
  <c r="D2105" i="2"/>
  <c r="A2092" i="2"/>
  <c r="B1905" i="2"/>
  <c r="F1882" i="2"/>
  <c r="I2547" i="2"/>
  <c r="A2354" i="2"/>
  <c r="A1987" i="2"/>
  <c r="A1882" i="2"/>
  <c r="H2416" i="2"/>
  <c r="G1905" i="2"/>
  <c r="A2105" i="2"/>
  <c r="A3089" i="2"/>
  <c r="B2092" i="2"/>
  <c r="C1934" i="2"/>
  <c r="C2547" i="2"/>
  <c r="D2079" i="2"/>
  <c r="G1982" i="2"/>
  <c r="D3515" i="2"/>
  <c r="G3515" i="2"/>
  <c r="C2428" i="2"/>
  <c r="A3290" i="2"/>
  <c r="B2079" i="2"/>
  <c r="D2701" i="2"/>
  <c r="C3490" i="2"/>
  <c r="I3290" i="2"/>
  <c r="H3515" i="2"/>
  <c r="B3290" i="2"/>
  <c r="C1982" i="2"/>
  <c r="H2428" i="2"/>
  <c r="G3290" i="2"/>
  <c r="I3490" i="2"/>
  <c r="G2428" i="2"/>
  <c r="D3421" i="2"/>
  <c r="F3421" i="2"/>
  <c r="F2330" i="2"/>
  <c r="I3421" i="2"/>
  <c r="A2428" i="2"/>
  <c r="C3290" i="2"/>
  <c r="B3515" i="2"/>
  <c r="D1982" i="2"/>
  <c r="G2330" i="2"/>
  <c r="C2330" i="2"/>
  <c r="D3290" i="2"/>
  <c r="F3290" i="2"/>
  <c r="B1982" i="2"/>
  <c r="F2428" i="2"/>
  <c r="B3421" i="2"/>
  <c r="H1982" i="2"/>
  <c r="A3490" i="2"/>
  <c r="H2079" i="2"/>
  <c r="B3490" i="2"/>
  <c r="C2079" i="2"/>
  <c r="F2288" i="2"/>
  <c r="G3421" i="2"/>
  <c r="G3490" i="2"/>
  <c r="I2079" i="2"/>
  <c r="A2701" i="2"/>
  <c r="F3490" i="2"/>
  <c r="D2330" i="2"/>
  <c r="G2288" i="2"/>
  <c r="H2288" i="2"/>
  <c r="D3490" i="2"/>
  <c r="G2079" i="2"/>
  <c r="H2330" i="2"/>
  <c r="H3421" i="2"/>
  <c r="B2330" i="2"/>
  <c r="I2428" i="2"/>
  <c r="B2701" i="2"/>
  <c r="B2288" i="2"/>
  <c r="C3421" i="2"/>
  <c r="F3515" i="2"/>
  <c r="F2079" i="2"/>
  <c r="I3515" i="2"/>
  <c r="F1982" i="2"/>
  <c r="F2701" i="2"/>
  <c r="D2428" i="2"/>
  <c r="G2701" i="2"/>
  <c r="H2701" i="2"/>
  <c r="I1982" i="2"/>
  <c r="A2288" i="2"/>
  <c r="A3515" i="2"/>
  <c r="D2288" i="2"/>
  <c r="C2701" i="2"/>
  <c r="I2288" i="2"/>
  <c r="A2330" i="2"/>
  <c r="C2288" i="2"/>
  <c r="I2330" i="2"/>
  <c r="H3290" i="2"/>
  <c r="A2079" i="2"/>
  <c r="C3515" i="2"/>
  <c r="I2701" i="2"/>
  <c r="A1982" i="2"/>
  <c r="B2428" i="2"/>
  <c r="H3490" i="2"/>
  <c r="A3421" i="2"/>
  <c r="B3189" i="2"/>
  <c r="B2496" i="2"/>
  <c r="B2788" i="2"/>
  <c r="B3521" i="2"/>
  <c r="A3085" i="2"/>
  <c r="A3521" i="2"/>
  <c r="I1798" i="2"/>
  <c r="G1798" i="2"/>
  <c r="H2788" i="2"/>
  <c r="B2585" i="2"/>
  <c r="D3499" i="2"/>
  <c r="B1798" i="2"/>
  <c r="H2601" i="2"/>
  <c r="C1798" i="2"/>
  <c r="C3367" i="2"/>
  <c r="C3499" i="2"/>
  <c r="G3085" i="2"/>
  <c r="C2601" i="2"/>
  <c r="C2496" i="2"/>
  <c r="C2585" i="2"/>
  <c r="A2496" i="2"/>
  <c r="H3521" i="2"/>
  <c r="F3499" i="2"/>
  <c r="D2585" i="2"/>
  <c r="F1798" i="2"/>
  <c r="G2601" i="2"/>
  <c r="D3367" i="2"/>
  <c r="D2496" i="2"/>
  <c r="C3189" i="2"/>
  <c r="G3521" i="2"/>
  <c r="I3499" i="2"/>
  <c r="A2585" i="2"/>
  <c r="C3085" i="2"/>
  <c r="F3521" i="2"/>
  <c r="D2601" i="2"/>
  <c r="G3189" i="2"/>
  <c r="G2788" i="2"/>
  <c r="H3085" i="2"/>
  <c r="F3367" i="2"/>
  <c r="A1798" i="2"/>
  <c r="I2601" i="2"/>
  <c r="H2496" i="2"/>
  <c r="B3367" i="2"/>
  <c r="A3189" i="2"/>
  <c r="B3499" i="2"/>
  <c r="G2496" i="2"/>
  <c r="H2585" i="2"/>
  <c r="F3085" i="2"/>
  <c r="H1798" i="2"/>
  <c r="B3085" i="2"/>
  <c r="I3085" i="2"/>
  <c r="B2601" i="2"/>
  <c r="A2788" i="2"/>
  <c r="G2585" i="2"/>
  <c r="C3521" i="2"/>
  <c r="F2496" i="2"/>
  <c r="F2585" i="2"/>
  <c r="D3189" i="2"/>
  <c r="G3499" i="2"/>
  <c r="A3367" i="2"/>
  <c r="F3189" i="2"/>
  <c r="C2788" i="2"/>
  <c r="I3367" i="2"/>
  <c r="A2601" i="2"/>
  <c r="H3499" i="2"/>
  <c r="G3367" i="2"/>
  <c r="D2788" i="2"/>
  <c r="I3189" i="2"/>
  <c r="I3521" i="2"/>
  <c r="I2788" i="2"/>
  <c r="D1798" i="2"/>
  <c r="H3189" i="2"/>
  <c r="F2601" i="2"/>
  <c r="H3367" i="2"/>
  <c r="D3521" i="2"/>
  <c r="F2788" i="2"/>
  <c r="I2496" i="2"/>
  <c r="I2585" i="2"/>
  <c r="A3499" i="2"/>
  <c r="D3085" i="2"/>
  <c r="B3306" i="2"/>
  <c r="D3047" i="2"/>
  <c r="F3306" i="2"/>
  <c r="I3371" i="2"/>
  <c r="C3006" i="2"/>
  <c r="A1808" i="2"/>
  <c r="C3047" i="2"/>
  <c r="I3047" i="2"/>
  <c r="C3296" i="2"/>
  <c r="B1808" i="2"/>
  <c r="B2659" i="2"/>
  <c r="C3371" i="2"/>
  <c r="D1790" i="2"/>
  <c r="G3371" i="2"/>
  <c r="I1808" i="2"/>
  <c r="A2430" i="2"/>
  <c r="D2359" i="2"/>
  <c r="I2430" i="2"/>
  <c r="H3306" i="2"/>
  <c r="C2430" i="2"/>
  <c r="A3306" i="2"/>
  <c r="H3371" i="2"/>
  <c r="C1808" i="2"/>
  <c r="G2359" i="2"/>
  <c r="F3371" i="2"/>
  <c r="A3006" i="2"/>
  <c r="H1808" i="2"/>
  <c r="I2359" i="2"/>
  <c r="G3047" i="2"/>
  <c r="G3006" i="2"/>
  <c r="G3306" i="2"/>
  <c r="I3006" i="2"/>
  <c r="A3296" i="2"/>
  <c r="G2430" i="2"/>
  <c r="C1790" i="2"/>
  <c r="G1808" i="2"/>
  <c r="D1808" i="2"/>
  <c r="F2659" i="2"/>
  <c r="D3006" i="2"/>
  <c r="I2659" i="2"/>
  <c r="G1790" i="2"/>
  <c r="B3047" i="2"/>
  <c r="F3296" i="2"/>
  <c r="F2430" i="2"/>
  <c r="H2659" i="2"/>
  <c r="I3306" i="2"/>
  <c r="C3306" i="2"/>
  <c r="H2359" i="2"/>
  <c r="H1790" i="2"/>
  <c r="H3006" i="2"/>
  <c r="C2659" i="2"/>
  <c r="H3296" i="2"/>
  <c r="B3006" i="2"/>
  <c r="H2430" i="2"/>
  <c r="I3296" i="2"/>
  <c r="B2359" i="2"/>
  <c r="C2359" i="2"/>
  <c r="A1790" i="2"/>
  <c r="G3296" i="2"/>
  <c r="A3047" i="2"/>
  <c r="D3296" i="2"/>
  <c r="B3371" i="2"/>
  <c r="H3047" i="2"/>
  <c r="D2659" i="2"/>
  <c r="I1790" i="2"/>
  <c r="F2359" i="2"/>
  <c r="A3371" i="2"/>
  <c r="A2659" i="2"/>
  <c r="B1790" i="2"/>
  <c r="D2430" i="2"/>
  <c r="B3296" i="2"/>
  <c r="D3306" i="2"/>
  <c r="F3047" i="2"/>
  <c r="B2430" i="2"/>
  <c r="F1808" i="2"/>
  <c r="D3371" i="2"/>
  <c r="A2359" i="2"/>
  <c r="F1790" i="2"/>
  <c r="G2659" i="2"/>
  <c r="F3006" i="2"/>
  <c r="C2543" i="2"/>
  <c r="F3289" i="2"/>
  <c r="H2543" i="2"/>
  <c r="G2466" i="2"/>
  <c r="H2469" i="2"/>
  <c r="I3309" i="2"/>
  <c r="I2226" i="2"/>
  <c r="C3387" i="2"/>
  <c r="C2469" i="2"/>
  <c r="A3140" i="2"/>
  <c r="F2226" i="2"/>
  <c r="G3387" i="2"/>
  <c r="B3140" i="2"/>
  <c r="F2466" i="2"/>
  <c r="C1828" i="2"/>
  <c r="D2543" i="2"/>
  <c r="B2226" i="2"/>
  <c r="D2226" i="2"/>
  <c r="B1828" i="2"/>
  <c r="G3289" i="2"/>
  <c r="H3387" i="2"/>
  <c r="A1828" i="2"/>
  <c r="F3140" i="2"/>
  <c r="A2469" i="2"/>
  <c r="F3387" i="2"/>
  <c r="F2543" i="2"/>
  <c r="H1828" i="2"/>
  <c r="B2469" i="2"/>
  <c r="H2226" i="2"/>
  <c r="G1828" i="2"/>
  <c r="H3289" i="2"/>
  <c r="D3387" i="2"/>
  <c r="A3289" i="2"/>
  <c r="D3309" i="2"/>
  <c r="A3309" i="2"/>
  <c r="I2543" i="2"/>
  <c r="C3140" i="2"/>
  <c r="H1648" i="2"/>
  <c r="G2226" i="2"/>
  <c r="I1828" i="2"/>
  <c r="G2469" i="2"/>
  <c r="C3289" i="2"/>
  <c r="D1648" i="2"/>
  <c r="I3289" i="2"/>
  <c r="C2466" i="2"/>
  <c r="I2469" i="2"/>
  <c r="I2466" i="2"/>
  <c r="A1648" i="2"/>
  <c r="I1648" i="2"/>
  <c r="G2543" i="2"/>
  <c r="A2466" i="2"/>
  <c r="B2466" i="2"/>
  <c r="F1828" i="2"/>
  <c r="G3140" i="2"/>
  <c r="I3387" i="2"/>
  <c r="I3140" i="2"/>
  <c r="C2226" i="2"/>
  <c r="D2469" i="2"/>
  <c r="B3387" i="2"/>
  <c r="B3309" i="2"/>
  <c r="B1648" i="2"/>
  <c r="C1648" i="2"/>
  <c r="F3309" i="2"/>
  <c r="H3309" i="2"/>
  <c r="B3289" i="2"/>
  <c r="H3140" i="2"/>
  <c r="H2466" i="2"/>
  <c r="F1648" i="2"/>
  <c r="G3309" i="2"/>
  <c r="B2543" i="2"/>
  <c r="D3140" i="2"/>
  <c r="D2466" i="2"/>
  <c r="A3387" i="2"/>
  <c r="D3289" i="2"/>
  <c r="D1828" i="2"/>
  <c r="G1648" i="2"/>
  <c r="C3309" i="2"/>
  <c r="F2469" i="2"/>
  <c r="A2226" i="2"/>
  <c r="A2543" i="2"/>
  <c r="G2723" i="2"/>
  <c r="C2723" i="2"/>
  <c r="G2237" i="2"/>
  <c r="G2055" i="2"/>
  <c r="I3051" i="2"/>
  <c r="D2335" i="2"/>
  <c r="H2347" i="2"/>
  <c r="I2331" i="2"/>
  <c r="H2331" i="2"/>
  <c r="F2335" i="2"/>
  <c r="D2237" i="2"/>
  <c r="H3376" i="2"/>
  <c r="H2055" i="2"/>
  <c r="B2335" i="2"/>
  <c r="G3376" i="2"/>
  <c r="H2237" i="2"/>
  <c r="I3376" i="2"/>
  <c r="B2237" i="2"/>
  <c r="A2723" i="2"/>
  <c r="C2237" i="2"/>
  <c r="B2055" i="2"/>
  <c r="F2718" i="2"/>
  <c r="F3051" i="2"/>
  <c r="A2718" i="2"/>
  <c r="F2055" i="2"/>
  <c r="A2331" i="2"/>
  <c r="C2335" i="2"/>
  <c r="A2219" i="2"/>
  <c r="C2219" i="2"/>
  <c r="G2335" i="2"/>
  <c r="B2347" i="2"/>
  <c r="D2718" i="2"/>
  <c r="G2219" i="2"/>
  <c r="B3376" i="2"/>
  <c r="B3051" i="2"/>
  <c r="H2335" i="2"/>
  <c r="G3051" i="2"/>
  <c r="C2347" i="2"/>
  <c r="D2055" i="2"/>
  <c r="F2347" i="2"/>
  <c r="B2718" i="2"/>
  <c r="C3376" i="2"/>
  <c r="H3051" i="2"/>
  <c r="I2723" i="2"/>
  <c r="F2331" i="2"/>
  <c r="G2331" i="2"/>
  <c r="I2718" i="2"/>
  <c r="A2055" i="2"/>
  <c r="I2237" i="2"/>
  <c r="A3376" i="2"/>
  <c r="I2347" i="2"/>
  <c r="B2723" i="2"/>
  <c r="G2347" i="2"/>
  <c r="I2055" i="2"/>
  <c r="B2219" i="2"/>
  <c r="F2237" i="2"/>
  <c r="A3051" i="2"/>
  <c r="C2331" i="2"/>
  <c r="H2718" i="2"/>
  <c r="F2723" i="2"/>
  <c r="D3051" i="2"/>
  <c r="H2723" i="2"/>
  <c r="D2219" i="2"/>
  <c r="A2335" i="2"/>
  <c r="B2331" i="2"/>
  <c r="I2219" i="2"/>
  <c r="D2347" i="2"/>
  <c r="C2718" i="2"/>
  <c r="F2219" i="2"/>
  <c r="F3376" i="2"/>
  <c r="A2347" i="2"/>
  <c r="A2237" i="2"/>
  <c r="H2219" i="2"/>
  <c r="C3051" i="2"/>
  <c r="D3376" i="2"/>
  <c r="C2055" i="2"/>
  <c r="I2335" i="2"/>
  <c r="D2723" i="2"/>
  <c r="D2331" i="2"/>
  <c r="G2718" i="2"/>
  <c r="C3131" i="2"/>
  <c r="D3403" i="2"/>
  <c r="B3131" i="2"/>
  <c r="G2394" i="2"/>
  <c r="H2390" i="2"/>
  <c r="D3540" i="2"/>
  <c r="B2390" i="2"/>
  <c r="C3403" i="2"/>
  <c r="A2036" i="2"/>
  <c r="I3131" i="2"/>
  <c r="G3061" i="2"/>
  <c r="G3685" i="2"/>
  <c r="F1894" i="2"/>
  <c r="A2390" i="2"/>
  <c r="I3061" i="2"/>
  <c r="C2390" i="2"/>
  <c r="C2036" i="2"/>
  <c r="C3061" i="2"/>
  <c r="A1894" i="2"/>
  <c r="D2810" i="2"/>
  <c r="I3685" i="2"/>
  <c r="G2390" i="2"/>
  <c r="H1894" i="2"/>
  <c r="F2390" i="2"/>
  <c r="F3131" i="2"/>
  <c r="D3131" i="2"/>
  <c r="I2394" i="2"/>
  <c r="D1894" i="2"/>
  <c r="H2810" i="2"/>
  <c r="I2036" i="2"/>
  <c r="F3061" i="2"/>
  <c r="B3685" i="2"/>
  <c r="D3685" i="2"/>
  <c r="B2036" i="2"/>
  <c r="B3061" i="2"/>
  <c r="G1894" i="2"/>
  <c r="A2394" i="2"/>
  <c r="I3403" i="2"/>
  <c r="B2394" i="2"/>
  <c r="C3685" i="2"/>
  <c r="G2810" i="2"/>
  <c r="A3403" i="2"/>
  <c r="B3403" i="2"/>
  <c r="F2810" i="2"/>
  <c r="I1894" i="2"/>
  <c r="D2390" i="2"/>
  <c r="G3540" i="2"/>
  <c r="C2394" i="2"/>
  <c r="A3131" i="2"/>
  <c r="H3540" i="2"/>
  <c r="C3540" i="2"/>
  <c r="F3403" i="2"/>
  <c r="I3540" i="2"/>
  <c r="A3540" i="2"/>
  <c r="I2810" i="2"/>
  <c r="F2036" i="2"/>
  <c r="B2810" i="2"/>
  <c r="H3403" i="2"/>
  <c r="D2036" i="2"/>
  <c r="B3540" i="2"/>
  <c r="D3061" i="2"/>
  <c r="F2394" i="2"/>
  <c r="G3131" i="2"/>
  <c r="A2810" i="2"/>
  <c r="B1894" i="2"/>
  <c r="A3685" i="2"/>
  <c r="G2036" i="2"/>
  <c r="H2394" i="2"/>
  <c r="A3061" i="2"/>
  <c r="F3685" i="2"/>
  <c r="H3131" i="2"/>
  <c r="H3685" i="2"/>
  <c r="C1894" i="2"/>
  <c r="H2036" i="2"/>
  <c r="H3061" i="2"/>
  <c r="G3403" i="2"/>
  <c r="I2390" i="2"/>
  <c r="C2810" i="2"/>
  <c r="D2394" i="2"/>
  <c r="F3540" i="2"/>
  <c r="C2173" i="2"/>
  <c r="C1900" i="2"/>
  <c r="G2173" i="2"/>
  <c r="I1900" i="2"/>
  <c r="F2152" i="2"/>
  <c r="I2173" i="2"/>
  <c r="D1858" i="2"/>
  <c r="A2152" i="2"/>
  <c r="I2432" i="2"/>
  <c r="G2152" i="2"/>
  <c r="D2264" i="2"/>
  <c r="A2173" i="2"/>
  <c r="B2152" i="2"/>
  <c r="G2080" i="2"/>
  <c r="C2432" i="2"/>
  <c r="F2264" i="2"/>
  <c r="I2264" i="2"/>
  <c r="C3267" i="2"/>
  <c r="H3267" i="2"/>
  <c r="C1858" i="2"/>
  <c r="F2432" i="2"/>
  <c r="B2432" i="2"/>
  <c r="D2152" i="2"/>
  <c r="D2080" i="2"/>
  <c r="D2061" i="2"/>
  <c r="G1900" i="2"/>
  <c r="F2061" i="2"/>
  <c r="B1900" i="2"/>
  <c r="C2152" i="2"/>
  <c r="H1900" i="2"/>
  <c r="D2432" i="2"/>
  <c r="A2264" i="2"/>
  <c r="G2432" i="2"/>
  <c r="H2061" i="2"/>
  <c r="B2264" i="2"/>
  <c r="F1900" i="2"/>
  <c r="G2264" i="2"/>
  <c r="B2080" i="2"/>
  <c r="H1858" i="2"/>
  <c r="H2432" i="2"/>
  <c r="D2173" i="2"/>
  <c r="H2271" i="2"/>
  <c r="B1858" i="2"/>
  <c r="F2080" i="2"/>
  <c r="H2080" i="2"/>
  <c r="G1858" i="2"/>
  <c r="B2173" i="2"/>
  <c r="D3267" i="2"/>
  <c r="C2271" i="2"/>
  <c r="B2271" i="2"/>
  <c r="A2080" i="2"/>
  <c r="D2271" i="2"/>
  <c r="I3267" i="2"/>
  <c r="A3267" i="2"/>
  <c r="I2061" i="2"/>
  <c r="C2061" i="2"/>
  <c r="F2173" i="2"/>
  <c r="B3267" i="2"/>
  <c r="I2271" i="2"/>
  <c r="I1858" i="2"/>
  <c r="F2271" i="2"/>
  <c r="G3267" i="2"/>
  <c r="C2080" i="2"/>
  <c r="G2271" i="2"/>
  <c r="A2061" i="2"/>
  <c r="B2061" i="2"/>
  <c r="C2264" i="2"/>
  <c r="H2152" i="2"/>
  <c r="A1858" i="2"/>
  <c r="A1900" i="2"/>
  <c r="D1900" i="2"/>
  <c r="A2271" i="2"/>
  <c r="H2264" i="2"/>
  <c r="F3267" i="2"/>
  <c r="H2173" i="2"/>
  <c r="F1858" i="2"/>
  <c r="I2152" i="2"/>
  <c r="G2061" i="2"/>
  <c r="A2432" i="2"/>
  <c r="I2080" i="2"/>
  <c r="D3004" i="2"/>
  <c r="G1957" i="2"/>
  <c r="B1957" i="2"/>
  <c r="A2049" i="2"/>
  <c r="A3004" i="2"/>
  <c r="G2556" i="2"/>
  <c r="I1957" i="2"/>
  <c r="I2763" i="2"/>
  <c r="G2763" i="2"/>
  <c r="B3004" i="2"/>
  <c r="H2363" i="2"/>
  <c r="G2999" i="2"/>
  <c r="A3144" i="2"/>
  <c r="H3004" i="2"/>
  <c r="C3004" i="2"/>
  <c r="G2363" i="2"/>
  <c r="H2556" i="2"/>
  <c r="D3144" i="2"/>
  <c r="D1957" i="2"/>
  <c r="I2510" i="2"/>
  <c r="F2457" i="2"/>
  <c r="D2457" i="2"/>
  <c r="D2763" i="2"/>
  <c r="G2049" i="2"/>
  <c r="D2049" i="2"/>
  <c r="C2457" i="2"/>
  <c r="C2999" i="2"/>
  <c r="D2510" i="2"/>
  <c r="F2763" i="2"/>
  <c r="C2363" i="2"/>
  <c r="A2556" i="2"/>
  <c r="B2556" i="2"/>
  <c r="F3004" i="2"/>
  <c r="A2363" i="2"/>
  <c r="I2556" i="2"/>
  <c r="A2510" i="2"/>
  <c r="G3144" i="2"/>
  <c r="B2457" i="2"/>
  <c r="I2363" i="2"/>
  <c r="F2049" i="2"/>
  <c r="A2999" i="2"/>
  <c r="B2999" i="2"/>
  <c r="B3144" i="2"/>
  <c r="C2556" i="2"/>
  <c r="H2999" i="2"/>
  <c r="H2457" i="2"/>
  <c r="G2510" i="2"/>
  <c r="I2457" i="2"/>
  <c r="H1957" i="2"/>
  <c r="H2510" i="2"/>
  <c r="D2556" i="2"/>
  <c r="F2999" i="2"/>
  <c r="A1957" i="2"/>
  <c r="F3144" i="2"/>
  <c r="H2049" i="2"/>
  <c r="C2049" i="2"/>
  <c r="H3144" i="2"/>
  <c r="C1957" i="2"/>
  <c r="A2763" i="2"/>
  <c r="A2457" i="2"/>
  <c r="B2763" i="2"/>
  <c r="C2510" i="2"/>
  <c r="I2049" i="2"/>
  <c r="F2363" i="2"/>
  <c r="C3144" i="2"/>
  <c r="C2763" i="2"/>
  <c r="D2999" i="2"/>
  <c r="B2510" i="2"/>
  <c r="I3004" i="2"/>
  <c r="F1957" i="2"/>
  <c r="H2763" i="2"/>
  <c r="B2363" i="2"/>
  <c r="I2999" i="2"/>
  <c r="B2049" i="2"/>
  <c r="I3144" i="2"/>
  <c r="G3004" i="2"/>
  <c r="D2363" i="2"/>
  <c r="F2556" i="2"/>
  <c r="G2457" i="2"/>
  <c r="F2510" i="2"/>
  <c r="H3594" i="2"/>
  <c r="A3285" i="2"/>
  <c r="I2757" i="2"/>
  <c r="C2684" i="2"/>
  <c r="F2462" i="2"/>
  <c r="C3594" i="2"/>
  <c r="I3594" i="2"/>
  <c r="B1979" i="2"/>
  <c r="H2684" i="2"/>
  <c r="G3594" i="2"/>
  <c r="D2684" i="2"/>
  <c r="D3285" i="2"/>
  <c r="B2441" i="2"/>
  <c r="B2757" i="2"/>
  <c r="B3285" i="2"/>
  <c r="A2757" i="2"/>
  <c r="G2823" i="2"/>
  <c r="C2823" i="2"/>
  <c r="H2462" i="2"/>
  <c r="H3285" i="2"/>
  <c r="C2757" i="2"/>
  <c r="F1979" i="2"/>
  <c r="A1979" i="2"/>
  <c r="I2452" i="2"/>
  <c r="I2684" i="2"/>
  <c r="A2441" i="2"/>
  <c r="F2823" i="2"/>
  <c r="G3285" i="2"/>
  <c r="D2452" i="2"/>
  <c r="G2452" i="2"/>
  <c r="D2757" i="2"/>
  <c r="D2823" i="2"/>
  <c r="C2452" i="2"/>
  <c r="D2462" i="2"/>
  <c r="F3594" i="2"/>
  <c r="C1979" i="2"/>
  <c r="G2441" i="2"/>
  <c r="C3285" i="2"/>
  <c r="I3285" i="2"/>
  <c r="G2462" i="2"/>
  <c r="H2823" i="2"/>
  <c r="G1979" i="2"/>
  <c r="H2441" i="2"/>
  <c r="I1852" i="2"/>
  <c r="B2452" i="2"/>
  <c r="A2452" i="2"/>
  <c r="D1979" i="2"/>
  <c r="I2441" i="2"/>
  <c r="B1852" i="2"/>
  <c r="G1852" i="2"/>
  <c r="F2757" i="2"/>
  <c r="A1852" i="2"/>
  <c r="H1852" i="2"/>
  <c r="F2452" i="2"/>
  <c r="A2823" i="2"/>
  <c r="C2462" i="2"/>
  <c r="F1852" i="2"/>
  <c r="F2684" i="2"/>
  <c r="D3594" i="2"/>
  <c r="B2684" i="2"/>
  <c r="H1979" i="2"/>
  <c r="H2757" i="2"/>
  <c r="A2684" i="2"/>
  <c r="D1852" i="2"/>
  <c r="A3594" i="2"/>
  <c r="C2441" i="2"/>
  <c r="A2462" i="2"/>
  <c r="I2823" i="2"/>
  <c r="I2462" i="2"/>
  <c r="D2441" i="2"/>
  <c r="F3285" i="2"/>
  <c r="H2452" i="2"/>
  <c r="B3594" i="2"/>
  <c r="F2441" i="2"/>
  <c r="I1979" i="2"/>
  <c r="B2462" i="2"/>
  <c r="G2757" i="2"/>
  <c r="B2823" i="2"/>
  <c r="C1852" i="2"/>
  <c r="G2684" i="2"/>
  <c r="C2845" i="2"/>
  <c r="A3401" i="2"/>
  <c r="I3401" i="2"/>
  <c r="F3009" i="2"/>
  <c r="G3401" i="2"/>
  <c r="H2754" i="2"/>
  <c r="H1909" i="2"/>
  <c r="A2754" i="2"/>
  <c r="C2754" i="2"/>
  <c r="I2754" i="2"/>
  <c r="B1909" i="2"/>
  <c r="G1909" i="2"/>
  <c r="F2845" i="2"/>
  <c r="B2679" i="2"/>
  <c r="G2754" i="2"/>
  <c r="B3295" i="2"/>
  <c r="F3295" i="2"/>
  <c r="H2258" i="2"/>
  <c r="B2754" i="2"/>
  <c r="D2754" i="2"/>
  <c r="C2353" i="2"/>
  <c r="I2258" i="2"/>
  <c r="I1757" i="2"/>
  <c r="D1909" i="2"/>
  <c r="B2353" i="2"/>
  <c r="D2353" i="2"/>
  <c r="I1909" i="2"/>
  <c r="B3401" i="2"/>
  <c r="H2353" i="2"/>
  <c r="D1757" i="2"/>
  <c r="D3009" i="2"/>
  <c r="I3295" i="2"/>
  <c r="D2258" i="2"/>
  <c r="H2679" i="2"/>
  <c r="D3401" i="2"/>
  <c r="B2258" i="2"/>
  <c r="I2353" i="2"/>
  <c r="H3009" i="2"/>
  <c r="A1909" i="2"/>
  <c r="G3295" i="2"/>
  <c r="G2845" i="2"/>
  <c r="A1757" i="2"/>
  <c r="D2845" i="2"/>
  <c r="F3401" i="2"/>
  <c r="C2679" i="2"/>
  <c r="B3009" i="2"/>
  <c r="D2679" i="2"/>
  <c r="A2679" i="2"/>
  <c r="G2258" i="2"/>
  <c r="I2679" i="2"/>
  <c r="C1757" i="2"/>
  <c r="C3009" i="2"/>
  <c r="C1909" i="2"/>
  <c r="F1757" i="2"/>
  <c r="A3009" i="2"/>
  <c r="G2679" i="2"/>
  <c r="B1757" i="2"/>
  <c r="C2258" i="2"/>
  <c r="H2845" i="2"/>
  <c r="I2845" i="2"/>
  <c r="H3295" i="2"/>
  <c r="G2353" i="2"/>
  <c r="H3401" i="2"/>
  <c r="G3009" i="2"/>
  <c r="C3295" i="2"/>
  <c r="D3295" i="2"/>
  <c r="F2258" i="2"/>
  <c r="H1757" i="2"/>
  <c r="A2353" i="2"/>
  <c r="B2845" i="2"/>
  <c r="F2754" i="2"/>
  <c r="A3295" i="2"/>
  <c r="A2258" i="2"/>
  <c r="C3401" i="2"/>
  <c r="G1757" i="2"/>
  <c r="A2845" i="2"/>
  <c r="F1909" i="2"/>
  <c r="I3009" i="2"/>
  <c r="F2679" i="2"/>
  <c r="F2353" i="2"/>
  <c r="C2650" i="2"/>
  <c r="B2481" i="2"/>
  <c r="F3120" i="2"/>
  <c r="G2624" i="2"/>
  <c r="C2298" i="2"/>
  <c r="G2650" i="2"/>
  <c r="C2624" i="2"/>
  <c r="G2824" i="2"/>
  <c r="A3120" i="2"/>
  <c r="B1966" i="2"/>
  <c r="B2824" i="2"/>
  <c r="F2298" i="2"/>
  <c r="H3519" i="2"/>
  <c r="B2060" i="2"/>
  <c r="A1861" i="2"/>
  <c r="A2650" i="2"/>
  <c r="C2481" i="2"/>
  <c r="D2624" i="2"/>
  <c r="G2481" i="2"/>
  <c r="H3120" i="2"/>
  <c r="F1966" i="2"/>
  <c r="G3120" i="2"/>
  <c r="H2481" i="2"/>
  <c r="D1966" i="2"/>
  <c r="D1861" i="2"/>
  <c r="I3120" i="2"/>
  <c r="A2060" i="2"/>
  <c r="C1861" i="2"/>
  <c r="H2624" i="2"/>
  <c r="A3519" i="2"/>
  <c r="B2650" i="2"/>
  <c r="G1966" i="2"/>
  <c r="D3519" i="2"/>
  <c r="I1966" i="2"/>
  <c r="C2060" i="2"/>
  <c r="G1861" i="2"/>
  <c r="D2298" i="2"/>
  <c r="I2060" i="2"/>
  <c r="A2824" i="2"/>
  <c r="B3519" i="2"/>
  <c r="D2481" i="2"/>
  <c r="C1966" i="2"/>
  <c r="F2650" i="2"/>
  <c r="F1861" i="2"/>
  <c r="H2060" i="2"/>
  <c r="I2298" i="2"/>
  <c r="I3519" i="2"/>
  <c r="B3120" i="2"/>
  <c r="A2298" i="2"/>
  <c r="D2060" i="2"/>
  <c r="H1861" i="2"/>
  <c r="D2650" i="2"/>
  <c r="I2824" i="2"/>
  <c r="A1966" i="2"/>
  <c r="C3519" i="2"/>
  <c r="F2824" i="2"/>
  <c r="I2624" i="2"/>
  <c r="H2650" i="2"/>
  <c r="B2624" i="2"/>
  <c r="D2824" i="2"/>
  <c r="F2481" i="2"/>
  <c r="I1861" i="2"/>
  <c r="H2298" i="2"/>
  <c r="I2481" i="2"/>
  <c r="F2060" i="2"/>
  <c r="G3519" i="2"/>
  <c r="D3120" i="2"/>
  <c r="B2298" i="2"/>
  <c r="F2624" i="2"/>
  <c r="H2824" i="2"/>
  <c r="A2624" i="2"/>
  <c r="F3519" i="2"/>
  <c r="H1966" i="2"/>
  <c r="G2060" i="2"/>
  <c r="A2481" i="2"/>
  <c r="B1861" i="2"/>
  <c r="I2650" i="2"/>
  <c r="C3120" i="2"/>
  <c r="C2824" i="2"/>
  <c r="G2298" i="2"/>
  <c r="G2915" i="2"/>
  <c r="I2915" i="2"/>
  <c r="A3531" i="2"/>
  <c r="A1647" i="2"/>
  <c r="H3428" i="2"/>
  <c r="D3498" i="2"/>
  <c r="F3399" i="2"/>
  <c r="H3478" i="2"/>
  <c r="B3428" i="2"/>
  <c r="H3498" i="2"/>
  <c r="H1723" i="2"/>
  <c r="C1723" i="2"/>
  <c r="I3531" i="2"/>
  <c r="H1647" i="2"/>
  <c r="G3478" i="2"/>
  <c r="B3495" i="2"/>
  <c r="B2915" i="2"/>
  <c r="F3495" i="2"/>
  <c r="A3399" i="2"/>
  <c r="I1647" i="2"/>
  <c r="F3498" i="2"/>
  <c r="A3495" i="2"/>
  <c r="D2915" i="2"/>
  <c r="F3428" i="2"/>
  <c r="D3428" i="2"/>
  <c r="C3495" i="2"/>
  <c r="B3498" i="2"/>
  <c r="G3495" i="2"/>
  <c r="F1647" i="2"/>
  <c r="I3478" i="2"/>
  <c r="I3428" i="2"/>
  <c r="F3478" i="2"/>
  <c r="A1883" i="2"/>
  <c r="H3531" i="2"/>
  <c r="B1647" i="2"/>
  <c r="G3498" i="2"/>
  <c r="D1647" i="2"/>
  <c r="H3399" i="2"/>
  <c r="G1883" i="2"/>
  <c r="D3495" i="2"/>
  <c r="D3478" i="2"/>
  <c r="A3498" i="2"/>
  <c r="B3531" i="2"/>
  <c r="G3399" i="2"/>
  <c r="G3531" i="2"/>
  <c r="C1883" i="2"/>
  <c r="G1723" i="2"/>
  <c r="H3495" i="2"/>
  <c r="G3428" i="2"/>
  <c r="B1723" i="2"/>
  <c r="I1883" i="2"/>
  <c r="C2915" i="2"/>
  <c r="I3399" i="2"/>
  <c r="A3478" i="2"/>
  <c r="A2915" i="2"/>
  <c r="I3498" i="2"/>
  <c r="D1883" i="2"/>
  <c r="D3399" i="2"/>
  <c r="A3428" i="2"/>
  <c r="C3478" i="2"/>
  <c r="F3531" i="2"/>
  <c r="H1883" i="2"/>
  <c r="F2915" i="2"/>
  <c r="C1647" i="2"/>
  <c r="F1723" i="2"/>
  <c r="D3531" i="2"/>
  <c r="B1883" i="2"/>
  <c r="C3399" i="2"/>
  <c r="D1723" i="2"/>
  <c r="I1723" i="2"/>
  <c r="F1883" i="2"/>
  <c r="I3495" i="2"/>
  <c r="C3531" i="2"/>
  <c r="A1723" i="2"/>
  <c r="C3498" i="2"/>
  <c r="B3478" i="2"/>
  <c r="G1647" i="2"/>
  <c r="B3399" i="2"/>
  <c r="C3428" i="2"/>
  <c r="H2915" i="2"/>
  <c r="B3246" i="2"/>
  <c r="C3246" i="2"/>
  <c r="A1936" i="2"/>
  <c r="D2519" i="2"/>
  <c r="C2500" i="2"/>
  <c r="I1936" i="2"/>
  <c r="H2519" i="2"/>
  <c r="D3342" i="2"/>
  <c r="D2235" i="2"/>
  <c r="I3340" i="2"/>
  <c r="H2500" i="2"/>
  <c r="C2142" i="2"/>
  <c r="G2500" i="2"/>
  <c r="D2500" i="2"/>
  <c r="A1960" i="2"/>
  <c r="C1936" i="2"/>
  <c r="B2500" i="2"/>
  <c r="H3340" i="2"/>
  <c r="D3246" i="2"/>
  <c r="B2142" i="2"/>
  <c r="G3342" i="2"/>
  <c r="H2235" i="2"/>
  <c r="I2142" i="2"/>
  <c r="A3246" i="2"/>
  <c r="A2519" i="2"/>
  <c r="D3340" i="2"/>
  <c r="C2519" i="2"/>
  <c r="D2314" i="2"/>
  <c r="H3342" i="2"/>
  <c r="H1960" i="2"/>
  <c r="F2314" i="2"/>
  <c r="G1960" i="2"/>
  <c r="G1936" i="2"/>
  <c r="B2235" i="2"/>
  <c r="B2519" i="2"/>
  <c r="F3340" i="2"/>
  <c r="A3342" i="2"/>
  <c r="D1936" i="2"/>
  <c r="B3342" i="2"/>
  <c r="F2500" i="2"/>
  <c r="G2142" i="2"/>
  <c r="C2235" i="2"/>
  <c r="C3342" i="2"/>
  <c r="I3342" i="2"/>
  <c r="G2519" i="2"/>
  <c r="B1960" i="2"/>
  <c r="C3340" i="2"/>
  <c r="B2314" i="2"/>
  <c r="I2314" i="2"/>
  <c r="A2314" i="2"/>
  <c r="D1960" i="2"/>
  <c r="B3340" i="2"/>
  <c r="G3340" i="2"/>
  <c r="F1960" i="2"/>
  <c r="B1936" i="2"/>
  <c r="F1936" i="2"/>
  <c r="F2142" i="2"/>
  <c r="F2519" i="2"/>
  <c r="G2314" i="2"/>
  <c r="A2235" i="2"/>
  <c r="D2142" i="2"/>
  <c r="I3246" i="2"/>
  <c r="H3246" i="2"/>
  <c r="G3246" i="2"/>
  <c r="C1960" i="2"/>
  <c r="A2142" i="2"/>
  <c r="G2235" i="2"/>
  <c r="A2500" i="2"/>
  <c r="H2314" i="2"/>
  <c r="F2235" i="2"/>
  <c r="I2519" i="2"/>
  <c r="A3340" i="2"/>
  <c r="H2142" i="2"/>
  <c r="I1960" i="2"/>
  <c r="C2314" i="2"/>
  <c r="F3342" i="2"/>
  <c r="H1936" i="2"/>
  <c r="I2235" i="2"/>
  <c r="I2500" i="2"/>
  <c r="F3246" i="2"/>
  <c r="G1872" i="2"/>
  <c r="A2621" i="2"/>
  <c r="H1872" i="2"/>
  <c r="B1737" i="2"/>
  <c r="H1878" i="2"/>
  <c r="D3420" i="2"/>
  <c r="A1878" i="2"/>
  <c r="A1737" i="2"/>
  <c r="F1737" i="2"/>
  <c r="C3058" i="2"/>
  <c r="H3168" i="2"/>
  <c r="I1872" i="2"/>
  <c r="C1878" i="2"/>
  <c r="G3058" i="2"/>
  <c r="H2720" i="2"/>
  <c r="H2037" i="2"/>
  <c r="D1878" i="2"/>
  <c r="I2183" i="2"/>
  <c r="C2037" i="2"/>
  <c r="G3168" i="2"/>
  <c r="I1737" i="2"/>
  <c r="H3058" i="2"/>
  <c r="A3420" i="2"/>
  <c r="H3420" i="2"/>
  <c r="D2037" i="2"/>
  <c r="B2183" i="2"/>
  <c r="F3420" i="2"/>
  <c r="I3168" i="2"/>
  <c r="H2621" i="2"/>
  <c r="B3168" i="2"/>
  <c r="B2720" i="2"/>
  <c r="C3168" i="2"/>
  <c r="G2037" i="2"/>
  <c r="B1878" i="2"/>
  <c r="D3058" i="2"/>
  <c r="F3168" i="2"/>
  <c r="B3420" i="2"/>
  <c r="B1872" i="2"/>
  <c r="A3058" i="2"/>
  <c r="B2621" i="2"/>
  <c r="G2183" i="2"/>
  <c r="H1737" i="2"/>
  <c r="C3420" i="2"/>
  <c r="I2621" i="2"/>
  <c r="C2621" i="2"/>
  <c r="A2183" i="2"/>
  <c r="A1872" i="2"/>
  <c r="F3058" i="2"/>
  <c r="G2621" i="2"/>
  <c r="B3058" i="2"/>
  <c r="D2621" i="2"/>
  <c r="F2037" i="2"/>
  <c r="I3420" i="2"/>
  <c r="A2720" i="2"/>
  <c r="I2720" i="2"/>
  <c r="I1878" i="2"/>
  <c r="C2720" i="2"/>
  <c r="I2037" i="2"/>
  <c r="D1872" i="2"/>
  <c r="D2720" i="2"/>
  <c r="H2183" i="2"/>
  <c r="D2183" i="2"/>
  <c r="F2183" i="2"/>
  <c r="G2720" i="2"/>
  <c r="D1737" i="2"/>
  <c r="C1872" i="2"/>
  <c r="F1878" i="2"/>
  <c r="A2037" i="2"/>
  <c r="D3168" i="2"/>
  <c r="C1737" i="2"/>
  <c r="G1878" i="2"/>
  <c r="B2037" i="2"/>
  <c r="F1872" i="2"/>
  <c r="F2621" i="2"/>
  <c r="G1737" i="2"/>
  <c r="C2183" i="2"/>
  <c r="A3168" i="2"/>
  <c r="G3420" i="2"/>
  <c r="F2720" i="2"/>
  <c r="I3058" i="2"/>
  <c r="D3464" i="2"/>
  <c r="B3464" i="2"/>
  <c r="I2790" i="2"/>
  <c r="G1924" i="2"/>
  <c r="I3464" i="2"/>
  <c r="A3464" i="2"/>
  <c r="A1924" i="2"/>
  <c r="D2974" i="2"/>
  <c r="C3315" i="2"/>
  <c r="G3315" i="2"/>
  <c r="F2306" i="2"/>
  <c r="I2306" i="2"/>
  <c r="D3315" i="2"/>
  <c r="A2028" i="2"/>
  <c r="A2306" i="2"/>
  <c r="G2790" i="2"/>
  <c r="B1895" i="2"/>
  <c r="D2096" i="2"/>
  <c r="B2974" i="2"/>
  <c r="C3210" i="2"/>
  <c r="B2096" i="2"/>
  <c r="C2306" i="2"/>
  <c r="I2028" i="2"/>
  <c r="H2790" i="2"/>
  <c r="D2790" i="2"/>
  <c r="H2028" i="2"/>
  <c r="B2306" i="2"/>
  <c r="H1895" i="2"/>
  <c r="F3210" i="2"/>
  <c r="A3210" i="2"/>
  <c r="H2974" i="2"/>
  <c r="D3210" i="2"/>
  <c r="C1924" i="2"/>
  <c r="F2790" i="2"/>
  <c r="C2790" i="2"/>
  <c r="A2790" i="2"/>
  <c r="G2096" i="2"/>
  <c r="G3210" i="2"/>
  <c r="D2306" i="2"/>
  <c r="B3210" i="2"/>
  <c r="G2028" i="2"/>
  <c r="F3315" i="2"/>
  <c r="I2096" i="2"/>
  <c r="I1895" i="2"/>
  <c r="C2028" i="2"/>
  <c r="G2974" i="2"/>
  <c r="D1924" i="2"/>
  <c r="H3464" i="2"/>
  <c r="G3464" i="2"/>
  <c r="A1895" i="2"/>
  <c r="F2028" i="2"/>
  <c r="B1924" i="2"/>
  <c r="C1895" i="2"/>
  <c r="G2306" i="2"/>
  <c r="B2028" i="2"/>
  <c r="I2974" i="2"/>
  <c r="G1895" i="2"/>
  <c r="F2974" i="2"/>
  <c r="F3464" i="2"/>
  <c r="D1895" i="2"/>
  <c r="F1924" i="2"/>
  <c r="A3315" i="2"/>
  <c r="C2974" i="2"/>
  <c r="B3315" i="2"/>
  <c r="I3210" i="2"/>
  <c r="I1924" i="2"/>
  <c r="A2096" i="2"/>
  <c r="C2096" i="2"/>
  <c r="I3315" i="2"/>
  <c r="F2096" i="2"/>
  <c r="H3315" i="2"/>
  <c r="H2096" i="2"/>
  <c r="H2306" i="2"/>
  <c r="B2790" i="2"/>
  <c r="F1895" i="2"/>
  <c r="H1924" i="2"/>
  <c r="A2974" i="2"/>
  <c r="D2028" i="2"/>
  <c r="H3210" i="2"/>
  <c r="C3464" i="2"/>
  <c r="F3108" i="2"/>
  <c r="B3157" i="2"/>
  <c r="I3157" i="2"/>
  <c r="H3157" i="2"/>
  <c r="I3374" i="2"/>
  <c r="A2186" i="2"/>
  <c r="B3562" i="2"/>
  <c r="B3108" i="2"/>
  <c r="A3486" i="2"/>
  <c r="B3374" i="2"/>
  <c r="I2885" i="2"/>
  <c r="D3486" i="2"/>
  <c r="I3562" i="2"/>
  <c r="F2195" i="2"/>
  <c r="F3486" i="2"/>
  <c r="H2186" i="2"/>
  <c r="D2186" i="2"/>
  <c r="A2885" i="2"/>
  <c r="I2195" i="2"/>
  <c r="F3039" i="2"/>
  <c r="B3486" i="2"/>
  <c r="D3039" i="2"/>
  <c r="G2195" i="2"/>
  <c r="C2560" i="2"/>
  <c r="H3039" i="2"/>
  <c r="A3039" i="2"/>
  <c r="H2885" i="2"/>
  <c r="B2560" i="2"/>
  <c r="I2560" i="2"/>
  <c r="C3157" i="2"/>
  <c r="C3562" i="2"/>
  <c r="C3374" i="2"/>
  <c r="H2560" i="2"/>
  <c r="A3157" i="2"/>
  <c r="G3157" i="2"/>
  <c r="F2186" i="2"/>
  <c r="G2186" i="2"/>
  <c r="I3039" i="2"/>
  <c r="G3562" i="2"/>
  <c r="G3108" i="2"/>
  <c r="A3374" i="2"/>
  <c r="C3486" i="2"/>
  <c r="A3562" i="2"/>
  <c r="G3486" i="2"/>
  <c r="A2195" i="2"/>
  <c r="H3108" i="2"/>
  <c r="H3562" i="2"/>
  <c r="G3039" i="2"/>
  <c r="G2885" i="2"/>
  <c r="H3486" i="2"/>
  <c r="G2560" i="2"/>
  <c r="A3108" i="2"/>
  <c r="B3039" i="2"/>
  <c r="F2560" i="2"/>
  <c r="D2560" i="2"/>
  <c r="D2195" i="2"/>
  <c r="B2195" i="2"/>
  <c r="D3108" i="2"/>
  <c r="H3374" i="2"/>
  <c r="F2885" i="2"/>
  <c r="B2186" i="2"/>
  <c r="D2885" i="2"/>
  <c r="F3562" i="2"/>
  <c r="D3374" i="2"/>
  <c r="I2186" i="2"/>
  <c r="C2885" i="2"/>
  <c r="G3374" i="2"/>
  <c r="H2195" i="2"/>
  <c r="C3108" i="2"/>
  <c r="B2885" i="2"/>
  <c r="A2560" i="2"/>
  <c r="D3157" i="2"/>
  <c r="I3486" i="2"/>
  <c r="C3039" i="2"/>
  <c r="D3562" i="2"/>
  <c r="F3157" i="2"/>
  <c r="F3374" i="2"/>
  <c r="C2195" i="2"/>
  <c r="I3108" i="2"/>
  <c r="C2186" i="2"/>
  <c r="D2558" i="2"/>
  <c r="A1729" i="2"/>
  <c r="C3522" i="2"/>
  <c r="D2360" i="2"/>
  <c r="A2360" i="2"/>
  <c r="G2558" i="2"/>
  <c r="B3539" i="2"/>
  <c r="D2604" i="2"/>
  <c r="A2558" i="2"/>
  <c r="F1729" i="2"/>
  <c r="H2360" i="2"/>
  <c r="C2793" i="2"/>
  <c r="D3024" i="2"/>
  <c r="B2793" i="2"/>
  <c r="A2103" i="2"/>
  <c r="D3522" i="2"/>
  <c r="G1729" i="2"/>
  <c r="H3024" i="2"/>
  <c r="A2604" i="2"/>
  <c r="A3522" i="2"/>
  <c r="B2712" i="2"/>
  <c r="F2604" i="2"/>
  <c r="G3024" i="2"/>
  <c r="I2103" i="2"/>
  <c r="F3522" i="2"/>
  <c r="H2103" i="2"/>
  <c r="G3522" i="2"/>
  <c r="H3522" i="2"/>
  <c r="F2103" i="2"/>
  <c r="D2712" i="2"/>
  <c r="C2712" i="2"/>
  <c r="D2103" i="2"/>
  <c r="B2558" i="2"/>
  <c r="F3024" i="2"/>
  <c r="I3024" i="2"/>
  <c r="B2360" i="2"/>
  <c r="B1729" i="2"/>
  <c r="I1729" i="2"/>
  <c r="D2793" i="2"/>
  <c r="F2712" i="2"/>
  <c r="I2793" i="2"/>
  <c r="C2558" i="2"/>
  <c r="C3539" i="2"/>
  <c r="D1729" i="2"/>
  <c r="A3024" i="2"/>
  <c r="G2103" i="2"/>
  <c r="H2793" i="2"/>
  <c r="F2360" i="2"/>
  <c r="H1729" i="2"/>
  <c r="A3539" i="2"/>
  <c r="C2604" i="2"/>
  <c r="G2604" i="2"/>
  <c r="I2712" i="2"/>
  <c r="C2360" i="2"/>
  <c r="H3539" i="2"/>
  <c r="H2712" i="2"/>
  <c r="D3539" i="2"/>
  <c r="I2604" i="2"/>
  <c r="I3539" i="2"/>
  <c r="B2103" i="2"/>
  <c r="G2360" i="2"/>
  <c r="C3024" i="2"/>
  <c r="F2558" i="2"/>
  <c r="G2793" i="2"/>
  <c r="A2793" i="2"/>
  <c r="F3539" i="2"/>
  <c r="G2712" i="2"/>
  <c r="I3522" i="2"/>
  <c r="I2558" i="2"/>
  <c r="B2604" i="2"/>
  <c r="B3024" i="2"/>
  <c r="H2604" i="2"/>
  <c r="F2793" i="2"/>
  <c r="C2103" i="2"/>
  <c r="C1729" i="2"/>
  <c r="I2360" i="2"/>
  <c r="H2558" i="2"/>
  <c r="G3539" i="2"/>
  <c r="A2712" i="2"/>
  <c r="B3522" i="2"/>
  <c r="B2685" i="2"/>
  <c r="A2584" i="2"/>
  <c r="D3045" i="2"/>
  <c r="I2076" i="2"/>
  <c r="D1880" i="2"/>
  <c r="I2636" i="2"/>
  <c r="D2685" i="2"/>
  <c r="D3229" i="2"/>
  <c r="H3229" i="2"/>
  <c r="H2584" i="2"/>
  <c r="G3045" i="2"/>
  <c r="A3482" i="2"/>
  <c r="D3000" i="2"/>
  <c r="G1880" i="2"/>
  <c r="A2685" i="2"/>
  <c r="B2076" i="2"/>
  <c r="H2636" i="2"/>
  <c r="G2584" i="2"/>
  <c r="C1880" i="2"/>
  <c r="D2584" i="2"/>
  <c r="F1880" i="2"/>
  <c r="G2076" i="2"/>
  <c r="G3441" i="2"/>
  <c r="B1880" i="2"/>
  <c r="F3482" i="2"/>
  <c r="G3482" i="2"/>
  <c r="D2636" i="2"/>
  <c r="C3229" i="2"/>
  <c r="A3045" i="2"/>
  <c r="B3441" i="2"/>
  <c r="F2584" i="2"/>
  <c r="C3000" i="2"/>
  <c r="B3045" i="2"/>
  <c r="G3229" i="2"/>
  <c r="H3482" i="2"/>
  <c r="C3045" i="2"/>
  <c r="I2685" i="2"/>
  <c r="H3000" i="2"/>
  <c r="I3000" i="2"/>
  <c r="H2685" i="2"/>
  <c r="C3441" i="2"/>
  <c r="F2076" i="2"/>
  <c r="F3045" i="2"/>
  <c r="A3229" i="2"/>
  <c r="B3000" i="2"/>
  <c r="B3229" i="2"/>
  <c r="F3000" i="2"/>
  <c r="C2584" i="2"/>
  <c r="F2685" i="2"/>
  <c r="A1880" i="2"/>
  <c r="B3482" i="2"/>
  <c r="A2636" i="2"/>
  <c r="H1880" i="2"/>
  <c r="H3441" i="2"/>
  <c r="D2076" i="2"/>
  <c r="G2636" i="2"/>
  <c r="F2636" i="2"/>
  <c r="H2076" i="2"/>
  <c r="B2584" i="2"/>
  <c r="G3000" i="2"/>
  <c r="I3441" i="2"/>
  <c r="C3482" i="2"/>
  <c r="I3045" i="2"/>
  <c r="A3441" i="2"/>
  <c r="F3229" i="2"/>
  <c r="D3482" i="2"/>
  <c r="B2636" i="2"/>
  <c r="A2076" i="2"/>
  <c r="D3441" i="2"/>
  <c r="G2685" i="2"/>
  <c r="H3045" i="2"/>
  <c r="C2636" i="2"/>
  <c r="I3229" i="2"/>
  <c r="A3000" i="2"/>
  <c r="I3482" i="2"/>
  <c r="C2076" i="2"/>
  <c r="I2584" i="2"/>
  <c r="F3441" i="2"/>
  <c r="C2685" i="2"/>
  <c r="I1880" i="2"/>
  <c r="F3012" i="2"/>
  <c r="G2259" i="2"/>
  <c r="G2437" i="2"/>
  <c r="A3523" i="2"/>
  <c r="I3012" i="2"/>
  <c r="F2520" i="2"/>
  <c r="G3230" i="2"/>
  <c r="B2433" i="2"/>
  <c r="B3012" i="2"/>
  <c r="C2520" i="2"/>
  <c r="F2259" i="2"/>
  <c r="C3523" i="2"/>
  <c r="A2520" i="2"/>
  <c r="I3230" i="2"/>
  <c r="C3012" i="2"/>
  <c r="F3070" i="2"/>
  <c r="D3012" i="2"/>
  <c r="C2785" i="2"/>
  <c r="B2437" i="2"/>
  <c r="B3070" i="2"/>
  <c r="C2437" i="2"/>
  <c r="B2785" i="2"/>
  <c r="A3070" i="2"/>
  <c r="F3230" i="2"/>
  <c r="G3070" i="2"/>
  <c r="A2437" i="2"/>
  <c r="C2259" i="2"/>
  <c r="I3070" i="2"/>
  <c r="G2433" i="2"/>
  <c r="C3511" i="2"/>
  <c r="D2259" i="2"/>
  <c r="A2433" i="2"/>
  <c r="A3511" i="2"/>
  <c r="G3511" i="2"/>
  <c r="C2433" i="2"/>
  <c r="B3230" i="2"/>
  <c r="I2433" i="2"/>
  <c r="I2520" i="2"/>
  <c r="A2259" i="2"/>
  <c r="D3230" i="2"/>
  <c r="F2785" i="2"/>
  <c r="I2437" i="2"/>
  <c r="H3511" i="2"/>
  <c r="G3012" i="2"/>
  <c r="G3523" i="2"/>
  <c r="D2520" i="2"/>
  <c r="H2437" i="2"/>
  <c r="B3511" i="2"/>
  <c r="B2520" i="2"/>
  <c r="G2785" i="2"/>
  <c r="D3523" i="2"/>
  <c r="H2520" i="2"/>
  <c r="I2259" i="2"/>
  <c r="H3523" i="2"/>
  <c r="H2259" i="2"/>
  <c r="C3230" i="2"/>
  <c r="H3070" i="2"/>
  <c r="H3012" i="2"/>
  <c r="D3070" i="2"/>
  <c r="D2785" i="2"/>
  <c r="F2433" i="2"/>
  <c r="F3523" i="2"/>
  <c r="A3230" i="2"/>
  <c r="F2437" i="2"/>
  <c r="D3511" i="2"/>
  <c r="I2785" i="2"/>
  <c r="D2433" i="2"/>
  <c r="H2785" i="2"/>
  <c r="B3523" i="2"/>
  <c r="I3511" i="2"/>
  <c r="H2433" i="2"/>
  <c r="B2259" i="2"/>
  <c r="C3070" i="2"/>
  <c r="D2437" i="2"/>
  <c r="A2785" i="2"/>
  <c r="H3230" i="2"/>
  <c r="F3511" i="2"/>
  <c r="A3012" i="2"/>
  <c r="G2520" i="2"/>
  <c r="I3523" i="2"/>
  <c r="F3044" i="2"/>
  <c r="C3044" i="2"/>
  <c r="I2829" i="2"/>
  <c r="F2695" i="2"/>
  <c r="G3599" i="2"/>
  <c r="I3599" i="2"/>
  <c r="I1650" i="2"/>
  <c r="I3044" i="2"/>
  <c r="C2998" i="2"/>
  <c r="D2695" i="2"/>
  <c r="C3617" i="2"/>
  <c r="H3599" i="2"/>
  <c r="I3300" i="2"/>
  <c r="C3300" i="2"/>
  <c r="I3617" i="2"/>
  <c r="D3617" i="2"/>
  <c r="G3617" i="2"/>
  <c r="D3044" i="2"/>
  <c r="F1650" i="2"/>
  <c r="A1650" i="2"/>
  <c r="C3599" i="2"/>
  <c r="B3300" i="2"/>
  <c r="F2119" i="2"/>
  <c r="B2090" i="2"/>
  <c r="H2695" i="2"/>
  <c r="A2119" i="2"/>
  <c r="H2998" i="2"/>
  <c r="A2695" i="2"/>
  <c r="B2695" i="2"/>
  <c r="B3617" i="2"/>
  <c r="D1650" i="2"/>
  <c r="H2090" i="2"/>
  <c r="G1650" i="2"/>
  <c r="C2695" i="2"/>
  <c r="B1650" i="2"/>
  <c r="A2998" i="2"/>
  <c r="H3617" i="2"/>
  <c r="B2119" i="2"/>
  <c r="H3300" i="2"/>
  <c r="G3300" i="2"/>
  <c r="D2829" i="2"/>
  <c r="C2829" i="2"/>
  <c r="G2829" i="2"/>
  <c r="B3599" i="2"/>
  <c r="D2998" i="2"/>
  <c r="B2998" i="2"/>
  <c r="G2119" i="2"/>
  <c r="F2998" i="2"/>
  <c r="C2119" i="2"/>
  <c r="A2090" i="2"/>
  <c r="A3599" i="2"/>
  <c r="H2119" i="2"/>
  <c r="A3300" i="2"/>
  <c r="G3044" i="2"/>
  <c r="D3599" i="2"/>
  <c r="F3617" i="2"/>
  <c r="A2829" i="2"/>
  <c r="H2829" i="2"/>
  <c r="F2829" i="2"/>
  <c r="G2695" i="2"/>
  <c r="I2090" i="2"/>
  <c r="D2119" i="2"/>
  <c r="B3044" i="2"/>
  <c r="F2090" i="2"/>
  <c r="I2998" i="2"/>
  <c r="C2090" i="2"/>
  <c r="A3044" i="2"/>
  <c r="D2090" i="2"/>
  <c r="F3300" i="2"/>
  <c r="H1650" i="2"/>
  <c r="D3300" i="2"/>
  <c r="I2119" i="2"/>
  <c r="C1650" i="2"/>
  <c r="F3599" i="2"/>
  <c r="A3617" i="2"/>
  <c r="G2090" i="2"/>
  <c r="B2829" i="2"/>
  <c r="G2998" i="2"/>
  <c r="I2695" i="2"/>
  <c r="H3044" i="2"/>
  <c r="G1687" i="2"/>
  <c r="B2656" i="2"/>
  <c r="H2179" i="2"/>
  <c r="H2175" i="2"/>
  <c r="G2656" i="2"/>
  <c r="I3369" i="2"/>
  <c r="I2180" i="2"/>
  <c r="A2175" i="2"/>
  <c r="A3369" i="2"/>
  <c r="A3146" i="2"/>
  <c r="A2656" i="2"/>
  <c r="D2108" i="2"/>
  <c r="D3369" i="2"/>
  <c r="B2180" i="2"/>
  <c r="F3369" i="2"/>
  <c r="G3146" i="2"/>
  <c r="C3146" i="2"/>
  <c r="I1985" i="2"/>
  <c r="H3369" i="2"/>
  <c r="H1955" i="2"/>
  <c r="F3146" i="2"/>
  <c r="A2179" i="2"/>
  <c r="F2175" i="2"/>
  <c r="H3146" i="2"/>
  <c r="H2108" i="2"/>
  <c r="H2180" i="2"/>
  <c r="G3369" i="2"/>
  <c r="B1955" i="2"/>
  <c r="G2175" i="2"/>
  <c r="B2179" i="2"/>
  <c r="F1687" i="2"/>
  <c r="B1687" i="2"/>
  <c r="A1985" i="2"/>
  <c r="C2656" i="2"/>
  <c r="D1687" i="2"/>
  <c r="B2175" i="2"/>
  <c r="F1955" i="2"/>
  <c r="C1687" i="2"/>
  <c r="D1985" i="2"/>
  <c r="D2656" i="2"/>
  <c r="C2175" i="2"/>
  <c r="I2656" i="2"/>
  <c r="D2180" i="2"/>
  <c r="G2179" i="2"/>
  <c r="B1985" i="2"/>
  <c r="I1687" i="2"/>
  <c r="G1955" i="2"/>
  <c r="H2656" i="2"/>
  <c r="H1687" i="2"/>
  <c r="A2108" i="2"/>
  <c r="I1955" i="2"/>
  <c r="C3369" i="2"/>
  <c r="G2180" i="2"/>
  <c r="D3146" i="2"/>
  <c r="C2108" i="2"/>
  <c r="I2175" i="2"/>
  <c r="H1985" i="2"/>
  <c r="B3146" i="2"/>
  <c r="F2108" i="2"/>
  <c r="G1985" i="2"/>
  <c r="D2179" i="2"/>
  <c r="C2179" i="2"/>
  <c r="G2108" i="2"/>
  <c r="F2179" i="2"/>
  <c r="A2180" i="2"/>
  <c r="F2180" i="2"/>
  <c r="F1985" i="2"/>
  <c r="B2108" i="2"/>
  <c r="A1955" i="2"/>
  <c r="C2180" i="2"/>
  <c r="C1955" i="2"/>
  <c r="F2656" i="2"/>
  <c r="D2175" i="2"/>
  <c r="I3146" i="2"/>
  <c r="I2179" i="2"/>
  <c r="C1985" i="2"/>
  <c r="A1687" i="2"/>
  <c r="B3369" i="2"/>
  <c r="D1955" i="2"/>
  <c r="I2108" i="2"/>
  <c r="D3147" i="2"/>
  <c r="F3476" i="2"/>
  <c r="C2427" i="2"/>
  <c r="H3147" i="2"/>
  <c r="D3109" i="2"/>
  <c r="B2893" i="2"/>
  <c r="F2765" i="2"/>
  <c r="G3474" i="2"/>
  <c r="F2050" i="2"/>
  <c r="H3652" i="2"/>
  <c r="G2765" i="2"/>
  <c r="G2050" i="2"/>
  <c r="I1662" i="2"/>
  <c r="C2050" i="2"/>
  <c r="D1662" i="2"/>
  <c r="I2427" i="2"/>
  <c r="I2050" i="2"/>
  <c r="C3109" i="2"/>
  <c r="F3652" i="2"/>
  <c r="C3476" i="2"/>
  <c r="B3476" i="2"/>
  <c r="H1662" i="2"/>
  <c r="F3147" i="2"/>
  <c r="A3474" i="2"/>
  <c r="I3652" i="2"/>
  <c r="A3652" i="2"/>
  <c r="C3652" i="2"/>
  <c r="D2893" i="2"/>
  <c r="D2427" i="2"/>
  <c r="I3474" i="2"/>
  <c r="I3476" i="2"/>
  <c r="C3147" i="2"/>
  <c r="A2050" i="2"/>
  <c r="G2427" i="2"/>
  <c r="H3474" i="2"/>
  <c r="I2765" i="2"/>
  <c r="B3147" i="2"/>
  <c r="H2050" i="2"/>
  <c r="G3147" i="2"/>
  <c r="F1662" i="2"/>
  <c r="B3109" i="2"/>
  <c r="A3109" i="2"/>
  <c r="A1662" i="2"/>
  <c r="A3147" i="2"/>
  <c r="H2893" i="2"/>
  <c r="A2893" i="2"/>
  <c r="D3476" i="2"/>
  <c r="A2765" i="2"/>
  <c r="F2427" i="2"/>
  <c r="C1662" i="2"/>
  <c r="D3652" i="2"/>
  <c r="B2050" i="2"/>
  <c r="B2765" i="2"/>
  <c r="F2893" i="2"/>
  <c r="A3476" i="2"/>
  <c r="H2427" i="2"/>
  <c r="I3109" i="2"/>
  <c r="H2765" i="2"/>
  <c r="D2765" i="2"/>
  <c r="G3109" i="2"/>
  <c r="H3109" i="2"/>
  <c r="G1662" i="2"/>
  <c r="D3474" i="2"/>
  <c r="H3476" i="2"/>
  <c r="C3474" i="2"/>
  <c r="C2893" i="2"/>
  <c r="B3652" i="2"/>
  <c r="F3474" i="2"/>
  <c r="I2893" i="2"/>
  <c r="B2427" i="2"/>
  <c r="B1662" i="2"/>
  <c r="G2893" i="2"/>
  <c r="B3474" i="2"/>
  <c r="G3652" i="2"/>
  <c r="F3109" i="2"/>
  <c r="D2050" i="2"/>
  <c r="G3476" i="2"/>
  <c r="C2765" i="2"/>
  <c r="A2427" i="2"/>
  <c r="I3147" i="2"/>
  <c r="D2591" i="2"/>
  <c r="H2502" i="2"/>
  <c r="D2355" i="2"/>
  <c r="D1837" i="2"/>
  <c r="H2355" i="2"/>
  <c r="H2891" i="2"/>
  <c r="B2922" i="2"/>
  <c r="F1837" i="2"/>
  <c r="A2922" i="2"/>
  <c r="F2355" i="2"/>
  <c r="H2910" i="2"/>
  <c r="I2591" i="2"/>
  <c r="C2355" i="2"/>
  <c r="B1837" i="2"/>
  <c r="A2910" i="2"/>
  <c r="H2178" i="2"/>
  <c r="C2891" i="2"/>
  <c r="D2910" i="2"/>
  <c r="F2502" i="2"/>
  <c r="G2891" i="2"/>
  <c r="G2178" i="2"/>
  <c r="B2355" i="2"/>
  <c r="C1837" i="2"/>
  <c r="C2591" i="2"/>
  <c r="I1837" i="2"/>
  <c r="F2922" i="2"/>
  <c r="D2891" i="2"/>
  <c r="I2355" i="2"/>
  <c r="C2502" i="2"/>
  <c r="I2575" i="2"/>
  <c r="A2575" i="2"/>
  <c r="B2910" i="2"/>
  <c r="F2178" i="2"/>
  <c r="H2575" i="2"/>
  <c r="G1780" i="2"/>
  <c r="B2178" i="2"/>
  <c r="C2575" i="2"/>
  <c r="B2502" i="2"/>
  <c r="I2891" i="2"/>
  <c r="G1837" i="2"/>
  <c r="D2575" i="2"/>
  <c r="B2575" i="2"/>
  <c r="F1780" i="2"/>
  <c r="C2910" i="2"/>
  <c r="A2355" i="2"/>
  <c r="I2922" i="2"/>
  <c r="A2178" i="2"/>
  <c r="C1780" i="2"/>
  <c r="G2922" i="2"/>
  <c r="D2178" i="2"/>
  <c r="A2591" i="2"/>
  <c r="G2591" i="2"/>
  <c r="A2502" i="2"/>
  <c r="I2910" i="2"/>
  <c r="I2178" i="2"/>
  <c r="H1837" i="2"/>
  <c r="H2922" i="2"/>
  <c r="C2922" i="2"/>
  <c r="F2891" i="2"/>
  <c r="G2910" i="2"/>
  <c r="B1780" i="2"/>
  <c r="B2591" i="2"/>
  <c r="H1780" i="2"/>
  <c r="F2575" i="2"/>
  <c r="G2502" i="2"/>
  <c r="I2502" i="2"/>
  <c r="A2891" i="2"/>
  <c r="D1780" i="2"/>
  <c r="I1780" i="2"/>
  <c r="G2355" i="2"/>
  <c r="F2591" i="2"/>
  <c r="B2891" i="2"/>
  <c r="F2910" i="2"/>
  <c r="D2502" i="2"/>
  <c r="H2591" i="2"/>
  <c r="D2922" i="2"/>
  <c r="A1837" i="2"/>
  <c r="C2178" i="2"/>
  <c r="A1780" i="2"/>
  <c r="G2575" i="2"/>
  <c r="F2702" i="2"/>
  <c r="F3231" i="2"/>
  <c r="D2444" i="2"/>
  <c r="H2702" i="2"/>
  <c r="F2503" i="2"/>
  <c r="H2377" i="2"/>
  <c r="B3231" i="2"/>
  <c r="A2702" i="2"/>
  <c r="C2141" i="2"/>
  <c r="C2444" i="2"/>
  <c r="H2141" i="2"/>
  <c r="D1749" i="2"/>
  <c r="A3259" i="2"/>
  <c r="I2444" i="2"/>
  <c r="I1922" i="2"/>
  <c r="B2141" i="2"/>
  <c r="G2377" i="2"/>
  <c r="A2377" i="2"/>
  <c r="C3231" i="2"/>
  <c r="A3520" i="2"/>
  <c r="G1922" i="2"/>
  <c r="F1922" i="2"/>
  <c r="F1749" i="2"/>
  <c r="D1922" i="2"/>
  <c r="H2444" i="2"/>
  <c r="B3520" i="2"/>
  <c r="D2503" i="2"/>
  <c r="B1922" i="2"/>
  <c r="G3520" i="2"/>
  <c r="C3520" i="2"/>
  <c r="B1749" i="2"/>
  <c r="A1749" i="2"/>
  <c r="F3520" i="2"/>
  <c r="C2377" i="2"/>
  <c r="D3259" i="2"/>
  <c r="H1922" i="2"/>
  <c r="G3231" i="2"/>
  <c r="A3231" i="2"/>
  <c r="D3231" i="2"/>
  <c r="B2702" i="2"/>
  <c r="C2503" i="2"/>
  <c r="I3259" i="2"/>
  <c r="B2503" i="2"/>
  <c r="F2141" i="2"/>
  <c r="A2141" i="2"/>
  <c r="F2444" i="2"/>
  <c r="I2141" i="2"/>
  <c r="F3259" i="2"/>
  <c r="F2377" i="2"/>
  <c r="D2377" i="2"/>
  <c r="H3520" i="2"/>
  <c r="C1922" i="2"/>
  <c r="B3259" i="2"/>
  <c r="A2503" i="2"/>
  <c r="G2141" i="2"/>
  <c r="H2503" i="2"/>
  <c r="H3259" i="2"/>
  <c r="H3231" i="2"/>
  <c r="G2503" i="2"/>
  <c r="I2702" i="2"/>
  <c r="G2702" i="2"/>
  <c r="G2444" i="2"/>
  <c r="B2377" i="2"/>
  <c r="G1749" i="2"/>
  <c r="D3520" i="2"/>
  <c r="G3259" i="2"/>
  <c r="I1749" i="2"/>
  <c r="H1749" i="2"/>
  <c r="A2444" i="2"/>
  <c r="D2702" i="2"/>
  <c r="A1922" i="2"/>
  <c r="I2503" i="2"/>
  <c r="C2702" i="2"/>
  <c r="I3231" i="2"/>
  <c r="B2444" i="2"/>
  <c r="C3259" i="2"/>
  <c r="D2141" i="2"/>
  <c r="I3520" i="2"/>
  <c r="I2377" i="2"/>
  <c r="C1749" i="2"/>
  <c r="I3527" i="2"/>
  <c r="A1645" i="2"/>
  <c r="I1645" i="2"/>
  <c r="B3220" i="2"/>
  <c r="I2131" i="2"/>
  <c r="B2131" i="2"/>
  <c r="D2966" i="2"/>
  <c r="C2966" i="2"/>
  <c r="C3220" i="2"/>
  <c r="G1959" i="2"/>
  <c r="H2783" i="2"/>
  <c r="A2950" i="2"/>
  <c r="H3183" i="2"/>
  <c r="B1959" i="2"/>
  <c r="I1930" i="2"/>
  <c r="H1959" i="2"/>
  <c r="B2950" i="2"/>
  <c r="G2783" i="2"/>
  <c r="A3220" i="2"/>
  <c r="G2131" i="2"/>
  <c r="G3183" i="2"/>
  <c r="F3183" i="2"/>
  <c r="I3220" i="2"/>
  <c r="D1959" i="2"/>
  <c r="D1930" i="2"/>
  <c r="G3527" i="2"/>
  <c r="F2783" i="2"/>
  <c r="A3183" i="2"/>
  <c r="C2131" i="2"/>
  <c r="B2966" i="2"/>
  <c r="F2966" i="2"/>
  <c r="I2966" i="2"/>
  <c r="C2783" i="2"/>
  <c r="G1930" i="2"/>
  <c r="D2783" i="2"/>
  <c r="A1930" i="2"/>
  <c r="F1645" i="2"/>
  <c r="B3527" i="2"/>
  <c r="I2950" i="2"/>
  <c r="C1959" i="2"/>
  <c r="F1930" i="2"/>
  <c r="H1930" i="2"/>
  <c r="D2131" i="2"/>
  <c r="C3183" i="2"/>
  <c r="A1959" i="2"/>
  <c r="D3527" i="2"/>
  <c r="H3220" i="2"/>
  <c r="H2966" i="2"/>
  <c r="C3527" i="2"/>
  <c r="H2950" i="2"/>
  <c r="D2950" i="2"/>
  <c r="F1959" i="2"/>
  <c r="D3183" i="2"/>
  <c r="A3527" i="2"/>
  <c r="A2131" i="2"/>
  <c r="I3183" i="2"/>
  <c r="G2950" i="2"/>
  <c r="F3220" i="2"/>
  <c r="G3220" i="2"/>
  <c r="H1645" i="2"/>
  <c r="C1645" i="2"/>
  <c r="A2783" i="2"/>
  <c r="H2131" i="2"/>
  <c r="G1645" i="2"/>
  <c r="A2966" i="2"/>
  <c r="F2950" i="2"/>
  <c r="C1930" i="2"/>
  <c r="D1645" i="2"/>
  <c r="H3527" i="2"/>
  <c r="I2783" i="2"/>
  <c r="B2783" i="2"/>
  <c r="F3527" i="2"/>
  <c r="B3183" i="2"/>
  <c r="B1930" i="2"/>
  <c r="C2950" i="2"/>
  <c r="B1645" i="2"/>
  <c r="F2131" i="2"/>
  <c r="D3220" i="2"/>
  <c r="I1959" i="2"/>
  <c r="G2966" i="2"/>
  <c r="G2150" i="2"/>
  <c r="A2816" i="2"/>
  <c r="I2816" i="2"/>
  <c r="G3013" i="2"/>
  <c r="G2465" i="2"/>
  <c r="C2150" i="2"/>
  <c r="I2215" i="2"/>
  <c r="H3013" i="2"/>
  <c r="H3530" i="2"/>
  <c r="B3163" i="2"/>
  <c r="B3107" i="2"/>
  <c r="H2465" i="2"/>
  <c r="F2150" i="2"/>
  <c r="I3530" i="2"/>
  <c r="F3013" i="2"/>
  <c r="I3186" i="2"/>
  <c r="C2426" i="2"/>
  <c r="D2465" i="2"/>
  <c r="A2426" i="2"/>
  <c r="F2215" i="2"/>
  <c r="B2215" i="2"/>
  <c r="F2426" i="2"/>
  <c r="D2150" i="2"/>
  <c r="C2215" i="2"/>
  <c r="I3013" i="2"/>
  <c r="D3013" i="2"/>
  <c r="G2816" i="2"/>
  <c r="D2426" i="2"/>
  <c r="G2426" i="2"/>
  <c r="G3107" i="2"/>
  <c r="A3186" i="2"/>
  <c r="D2215" i="2"/>
  <c r="H2816" i="2"/>
  <c r="F3163" i="2"/>
  <c r="C3530" i="2"/>
  <c r="B3186" i="2"/>
  <c r="D3163" i="2"/>
  <c r="A3107" i="2"/>
  <c r="H3186" i="2"/>
  <c r="B2816" i="2"/>
  <c r="H2426" i="2"/>
  <c r="B3530" i="2"/>
  <c r="A2465" i="2"/>
  <c r="I2426" i="2"/>
  <c r="G2215" i="2"/>
  <c r="F3530" i="2"/>
  <c r="H2150" i="2"/>
  <c r="D3186" i="2"/>
  <c r="G3186" i="2"/>
  <c r="D3530" i="2"/>
  <c r="I3107" i="2"/>
  <c r="F2465" i="2"/>
  <c r="H2215" i="2"/>
  <c r="C2816" i="2"/>
  <c r="C3186" i="2"/>
  <c r="H3107" i="2"/>
  <c r="I3163" i="2"/>
  <c r="H3163" i="2"/>
  <c r="I2465" i="2"/>
  <c r="B3013" i="2"/>
  <c r="A2150" i="2"/>
  <c r="F2816" i="2"/>
  <c r="C2465" i="2"/>
  <c r="F3107" i="2"/>
  <c r="I2150" i="2"/>
  <c r="G3163" i="2"/>
  <c r="A3530" i="2"/>
  <c r="C3163" i="2"/>
  <c r="C3107" i="2"/>
  <c r="C3013" i="2"/>
  <c r="B2426" i="2"/>
  <c r="B2150" i="2"/>
  <c r="F3186" i="2"/>
  <c r="D2816" i="2"/>
  <c r="A2215" i="2"/>
  <c r="A3013" i="2"/>
  <c r="A3163" i="2"/>
  <c r="B2465" i="2"/>
  <c r="G3530" i="2"/>
  <c r="D3107" i="2"/>
  <c r="B2057" i="2"/>
  <c r="C1660" i="2"/>
  <c r="G2552" i="2"/>
  <c r="G3247" i="2"/>
  <c r="A2283" i="2"/>
  <c r="H2552" i="2"/>
  <c r="F2552" i="2"/>
  <c r="A1835" i="2"/>
  <c r="B2283" i="2"/>
  <c r="I1989" i="2"/>
  <c r="I1660" i="2"/>
  <c r="H3156" i="2"/>
  <c r="F3090" i="2"/>
  <c r="G2909" i="2"/>
  <c r="A3247" i="2"/>
  <c r="B2909" i="2"/>
  <c r="C3090" i="2"/>
  <c r="B3156" i="2"/>
  <c r="H1660" i="2"/>
  <c r="D2909" i="2"/>
  <c r="C2552" i="2"/>
  <c r="D2057" i="2"/>
  <c r="B2552" i="2"/>
  <c r="B1835" i="2"/>
  <c r="D1660" i="2"/>
  <c r="H2057" i="2"/>
  <c r="B3247" i="2"/>
  <c r="F1660" i="2"/>
  <c r="H2283" i="2"/>
  <c r="F2057" i="2"/>
  <c r="G3156" i="2"/>
  <c r="C2057" i="2"/>
  <c r="I1835" i="2"/>
  <c r="G2283" i="2"/>
  <c r="B3090" i="2"/>
  <c r="B1660" i="2"/>
  <c r="H3090" i="2"/>
  <c r="H1989" i="2"/>
  <c r="D1835" i="2"/>
  <c r="I3156" i="2"/>
  <c r="A2909" i="2"/>
  <c r="D2552" i="2"/>
  <c r="G1989" i="2"/>
  <c r="F2283" i="2"/>
  <c r="H1835" i="2"/>
  <c r="C3247" i="2"/>
  <c r="A2552" i="2"/>
  <c r="D1989" i="2"/>
  <c r="F2909" i="2"/>
  <c r="A1660" i="2"/>
  <c r="C2283" i="2"/>
  <c r="H2909" i="2"/>
  <c r="D3156" i="2"/>
  <c r="H3247" i="2"/>
  <c r="C1835" i="2"/>
  <c r="D3090" i="2"/>
  <c r="G3090" i="2"/>
  <c r="B1989" i="2"/>
  <c r="F3247" i="2"/>
  <c r="C1989" i="2"/>
  <c r="F1835" i="2"/>
  <c r="I2909" i="2"/>
  <c r="D2283" i="2"/>
  <c r="A2057" i="2"/>
  <c r="F3156" i="2"/>
  <c r="C3156" i="2"/>
  <c r="G2057" i="2"/>
  <c r="A1989" i="2"/>
  <c r="D3247" i="2"/>
  <c r="A3090" i="2"/>
  <c r="I3090" i="2"/>
  <c r="F1989" i="2"/>
  <c r="I2057" i="2"/>
  <c r="G1835" i="2"/>
  <c r="C2909" i="2"/>
  <c r="I2552" i="2"/>
  <c r="I2283" i="2"/>
  <c r="A3156" i="2"/>
  <c r="I3247" i="2"/>
  <c r="G1660" i="2"/>
  <c r="B1993" i="2"/>
  <c r="G2301" i="2"/>
  <c r="B3379" i="2"/>
  <c r="F3187" i="2"/>
  <c r="B2301" i="2"/>
  <c r="I2201" i="2"/>
  <c r="D2401" i="2"/>
  <c r="I2401" i="2"/>
  <c r="A2855" i="2"/>
  <c r="D1829" i="2"/>
  <c r="G2657" i="2"/>
  <c r="H2201" i="2"/>
  <c r="F2855" i="2"/>
  <c r="I1829" i="2"/>
  <c r="I2657" i="2"/>
  <c r="F3379" i="2"/>
  <c r="H2401" i="2"/>
  <c r="B3137" i="2"/>
  <c r="C2301" i="2"/>
  <c r="C2401" i="2"/>
  <c r="C1829" i="2"/>
  <c r="D2301" i="2"/>
  <c r="A2401" i="2"/>
  <c r="H2855" i="2"/>
  <c r="G3379" i="2"/>
  <c r="H3379" i="2"/>
  <c r="D2855" i="2"/>
  <c r="D2201" i="2"/>
  <c r="D3187" i="2"/>
  <c r="F2201" i="2"/>
  <c r="A2301" i="2"/>
  <c r="A3379" i="2"/>
  <c r="H3187" i="2"/>
  <c r="A3137" i="2"/>
  <c r="A3187" i="2"/>
  <c r="H1993" i="2"/>
  <c r="G2401" i="2"/>
  <c r="F2657" i="2"/>
  <c r="D3137" i="2"/>
  <c r="H1829" i="2"/>
  <c r="G3137" i="2"/>
  <c r="A2201" i="2"/>
  <c r="H2657" i="2"/>
  <c r="I2301" i="2"/>
  <c r="C2657" i="2"/>
  <c r="G2855" i="2"/>
  <c r="D3379" i="2"/>
  <c r="A1993" i="2"/>
  <c r="C3137" i="2"/>
  <c r="H3137" i="2"/>
  <c r="C1993" i="2"/>
  <c r="A1829" i="2"/>
  <c r="B2401" i="2"/>
  <c r="I3187" i="2"/>
  <c r="G2201" i="2"/>
  <c r="C2201" i="2"/>
  <c r="B3187" i="2"/>
  <c r="G1993" i="2"/>
  <c r="D2657" i="2"/>
  <c r="I3379" i="2"/>
  <c r="F1993" i="2"/>
  <c r="F3137" i="2"/>
  <c r="F1829" i="2"/>
  <c r="B2657" i="2"/>
  <c r="C3187" i="2"/>
  <c r="I2855" i="2"/>
  <c r="D1993" i="2"/>
  <c r="C2855" i="2"/>
  <c r="G1829" i="2"/>
  <c r="H2301" i="2"/>
  <c r="I3137" i="2"/>
  <c r="B2201" i="2"/>
  <c r="C3379" i="2"/>
  <c r="G3187" i="2"/>
  <c r="F2301" i="2"/>
  <c r="B1829" i="2"/>
  <c r="A2657" i="2"/>
  <c r="F2401" i="2"/>
  <c r="I1993" i="2"/>
  <c r="B2855" i="2"/>
  <c r="G2841" i="2"/>
  <c r="A2155" i="2"/>
  <c r="I2841" i="2"/>
  <c r="F3513" i="2"/>
  <c r="D2841" i="2"/>
  <c r="B2155" i="2"/>
  <c r="B1896" i="2"/>
  <c r="A1896" i="2"/>
  <c r="B3126" i="2"/>
  <c r="G3126" i="2"/>
  <c r="C1734" i="2"/>
  <c r="G2268" i="2"/>
  <c r="H2356" i="2"/>
  <c r="D1896" i="2"/>
  <c r="A3513" i="2"/>
  <c r="A1734" i="2"/>
  <c r="I2155" i="2"/>
  <c r="C3201" i="2"/>
  <c r="F1944" i="2"/>
  <c r="F2155" i="2"/>
  <c r="B2268" i="2"/>
  <c r="G2356" i="2"/>
  <c r="A3126" i="2"/>
  <c r="B3201" i="2"/>
  <c r="I1734" i="2"/>
  <c r="H3126" i="2"/>
  <c r="D1944" i="2"/>
  <c r="H1944" i="2"/>
  <c r="F2356" i="2"/>
  <c r="F3201" i="2"/>
  <c r="D2268" i="2"/>
  <c r="D3513" i="2"/>
  <c r="G1734" i="2"/>
  <c r="C1896" i="2"/>
  <c r="A2268" i="2"/>
  <c r="F1734" i="2"/>
  <c r="G3201" i="2"/>
  <c r="A1944" i="2"/>
  <c r="F1896" i="2"/>
  <c r="I3126" i="2"/>
  <c r="H2268" i="2"/>
  <c r="C2356" i="2"/>
  <c r="I1944" i="2"/>
  <c r="A3201" i="2"/>
  <c r="A2356" i="2"/>
  <c r="I2268" i="2"/>
  <c r="G1896" i="2"/>
  <c r="G1944" i="2"/>
  <c r="H2841" i="2"/>
  <c r="I1896" i="2"/>
  <c r="C3126" i="2"/>
  <c r="D3201" i="2"/>
  <c r="H3201" i="2"/>
  <c r="C2841" i="2"/>
  <c r="D2155" i="2"/>
  <c r="I3513" i="2"/>
  <c r="B1944" i="2"/>
  <c r="D3126" i="2"/>
  <c r="D1734" i="2"/>
  <c r="F2268" i="2"/>
  <c r="C3513" i="2"/>
  <c r="B3513" i="2"/>
  <c r="A2841" i="2"/>
  <c r="G3513" i="2"/>
  <c r="I2356" i="2"/>
  <c r="F2841" i="2"/>
  <c r="C2155" i="2"/>
  <c r="G2155" i="2"/>
  <c r="B1734" i="2"/>
  <c r="B2356" i="2"/>
  <c r="F3126" i="2"/>
  <c r="C2268" i="2"/>
  <c r="H3513" i="2"/>
  <c r="I3201" i="2"/>
  <c r="H1734" i="2"/>
  <c r="H2155" i="2"/>
  <c r="B2841" i="2"/>
  <c r="D2356" i="2"/>
  <c r="C1944" i="2"/>
  <c r="H1896" i="2"/>
  <c r="G1891" i="2"/>
  <c r="I1891" i="2"/>
  <c r="H2880" i="2"/>
  <c r="D2996" i="2"/>
  <c r="D2582" i="2"/>
  <c r="B2747" i="2"/>
  <c r="C3390" i="2"/>
  <c r="F2880" i="2"/>
  <c r="I2880" i="2"/>
  <c r="G2122" i="2"/>
  <c r="H2951" i="2"/>
  <c r="F2951" i="2"/>
  <c r="I2996" i="2"/>
  <c r="B1918" i="2"/>
  <c r="H1918" i="2"/>
  <c r="G2951" i="2"/>
  <c r="F2582" i="2"/>
  <c r="F2996" i="2"/>
  <c r="B2951" i="2"/>
  <c r="A2747" i="2"/>
  <c r="A1817" i="2"/>
  <c r="A2996" i="2"/>
  <c r="B2880" i="2"/>
  <c r="A2582" i="2"/>
  <c r="G1817" i="2"/>
  <c r="D2951" i="2"/>
  <c r="A1918" i="2"/>
  <c r="A2122" i="2"/>
  <c r="C1891" i="2"/>
  <c r="B3390" i="2"/>
  <c r="B2996" i="2"/>
  <c r="I1918" i="2"/>
  <c r="C2996" i="2"/>
  <c r="B1817" i="2"/>
  <c r="G3390" i="2"/>
  <c r="I2582" i="2"/>
  <c r="D1817" i="2"/>
  <c r="D1891" i="2"/>
  <c r="I2747" i="2"/>
  <c r="G2996" i="2"/>
  <c r="H2582" i="2"/>
  <c r="D2747" i="2"/>
  <c r="B2122" i="2"/>
  <c r="C2880" i="2"/>
  <c r="F1918" i="2"/>
  <c r="G1918" i="2"/>
  <c r="B2582" i="2"/>
  <c r="H2747" i="2"/>
  <c r="G2880" i="2"/>
  <c r="C1918" i="2"/>
  <c r="C2582" i="2"/>
  <c r="C2747" i="2"/>
  <c r="C2122" i="2"/>
  <c r="A3390" i="2"/>
  <c r="A2951" i="2"/>
  <c r="B1891" i="2"/>
  <c r="H3390" i="2"/>
  <c r="C2951" i="2"/>
  <c r="F3390" i="2"/>
  <c r="H1817" i="2"/>
  <c r="C1817" i="2"/>
  <c r="A1891" i="2"/>
  <c r="H1891" i="2"/>
  <c r="H2122" i="2"/>
  <c r="I2122" i="2"/>
  <c r="D2880" i="2"/>
  <c r="G2747" i="2"/>
  <c r="I3390" i="2"/>
  <c r="D2122" i="2"/>
  <c r="I1817" i="2"/>
  <c r="D3390" i="2"/>
  <c r="I2951" i="2"/>
  <c r="H2996" i="2"/>
  <c r="F2747" i="2"/>
  <c r="G2582" i="2"/>
  <c r="F2122" i="2"/>
  <c r="A2880" i="2"/>
  <c r="D1918" i="2"/>
  <c r="F1891" i="2"/>
  <c r="F1817" i="2"/>
  <c r="D2305" i="2"/>
  <c r="I1995" i="2"/>
  <c r="F3429" i="2"/>
  <c r="D2730" i="2"/>
  <c r="D1868" i="2"/>
  <c r="B2305" i="2"/>
  <c r="G2730" i="2"/>
  <c r="D3106" i="2"/>
  <c r="C2730" i="2"/>
  <c r="H1868" i="2"/>
  <c r="A3429" i="2"/>
  <c r="D3181" i="2"/>
  <c r="G2851" i="2"/>
  <c r="F3181" i="2"/>
  <c r="I3181" i="2"/>
  <c r="G2916" i="2"/>
  <c r="D1995" i="2"/>
  <c r="C1868" i="2"/>
  <c r="B3429" i="2"/>
  <c r="C2851" i="2"/>
  <c r="B1995" i="2"/>
  <c r="A1868" i="2"/>
  <c r="B1868" i="2"/>
  <c r="A1995" i="2"/>
  <c r="F3106" i="2"/>
  <c r="F1995" i="2"/>
  <c r="D2851" i="2"/>
  <c r="B2916" i="2"/>
  <c r="G3106" i="2"/>
  <c r="C3429" i="2"/>
  <c r="B3181" i="2"/>
  <c r="C2643" i="2"/>
  <c r="H2305" i="2"/>
  <c r="G3181" i="2"/>
  <c r="F1868" i="2"/>
  <c r="C3181" i="2"/>
  <c r="G3429" i="2"/>
  <c r="F2916" i="2"/>
  <c r="F2851" i="2"/>
  <c r="B3106" i="2"/>
  <c r="I3429" i="2"/>
  <c r="H2851" i="2"/>
  <c r="F2643" i="2"/>
  <c r="H2730" i="2"/>
  <c r="I2643" i="2"/>
  <c r="B2730" i="2"/>
  <c r="I1868" i="2"/>
  <c r="C2916" i="2"/>
  <c r="I2305" i="2"/>
  <c r="C3106" i="2"/>
  <c r="H3429" i="2"/>
  <c r="I2851" i="2"/>
  <c r="H3106" i="2"/>
  <c r="I3106" i="2"/>
  <c r="G1995" i="2"/>
  <c r="B2643" i="2"/>
  <c r="A2305" i="2"/>
  <c r="I2916" i="2"/>
  <c r="G2643" i="2"/>
  <c r="F2305" i="2"/>
  <c r="D2643" i="2"/>
  <c r="A2643" i="2"/>
  <c r="H1995" i="2"/>
  <c r="H2916" i="2"/>
  <c r="B2851" i="2"/>
  <c r="I2730" i="2"/>
  <c r="A2916" i="2"/>
  <c r="H3181" i="2"/>
  <c r="G2305" i="2"/>
  <c r="A2730" i="2"/>
  <c r="F2730" i="2"/>
  <c r="C2305" i="2"/>
  <c r="H2643" i="2"/>
  <c r="D3429" i="2"/>
  <c r="A2851" i="2"/>
  <c r="A3106" i="2"/>
  <c r="D2916" i="2"/>
  <c r="C1995" i="2"/>
  <c r="A3181" i="2"/>
  <c r="G1868" i="2"/>
  <c r="G2848" i="2"/>
  <c r="H2742" i="2"/>
  <c r="G3158" i="2"/>
  <c r="A3452" i="2"/>
  <c r="G3452" i="2"/>
  <c r="D3452" i="2"/>
  <c r="F2742" i="2"/>
  <c r="C1856" i="2"/>
  <c r="F2848" i="2"/>
  <c r="A1745" i="2"/>
  <c r="B2056" i="2"/>
  <c r="F2136" i="2"/>
  <c r="I1856" i="2"/>
  <c r="B1745" i="2"/>
  <c r="H3158" i="2"/>
  <c r="I1745" i="2"/>
  <c r="B1856" i="2"/>
  <c r="I3067" i="2"/>
  <c r="G2742" i="2"/>
  <c r="H2136" i="2"/>
  <c r="D1707" i="2"/>
  <c r="B1707" i="2"/>
  <c r="C3158" i="2"/>
  <c r="D1856" i="2"/>
  <c r="B2742" i="2"/>
  <c r="A2848" i="2"/>
  <c r="H2056" i="2"/>
  <c r="G1745" i="2"/>
  <c r="A2136" i="2"/>
  <c r="F1707" i="2"/>
  <c r="A3067" i="2"/>
  <c r="I2848" i="2"/>
  <c r="F3158" i="2"/>
  <c r="B2136" i="2"/>
  <c r="A1856" i="2"/>
  <c r="I3158" i="2"/>
  <c r="H3452" i="2"/>
  <c r="F2056" i="2"/>
  <c r="G2056" i="2"/>
  <c r="H1856" i="2"/>
  <c r="D2056" i="2"/>
  <c r="H1745" i="2"/>
  <c r="A3158" i="2"/>
  <c r="F3067" i="2"/>
  <c r="G2136" i="2"/>
  <c r="C1745" i="2"/>
  <c r="H1707" i="2"/>
  <c r="D2136" i="2"/>
  <c r="H2848" i="2"/>
  <c r="D3158" i="2"/>
  <c r="C1707" i="2"/>
  <c r="C2848" i="2"/>
  <c r="C2742" i="2"/>
  <c r="F1745" i="2"/>
  <c r="G1707" i="2"/>
  <c r="A2742" i="2"/>
  <c r="F3452" i="2"/>
  <c r="B3452" i="2"/>
  <c r="D2848" i="2"/>
  <c r="C3067" i="2"/>
  <c r="C2056" i="2"/>
  <c r="D2742" i="2"/>
  <c r="G1856" i="2"/>
  <c r="D3067" i="2"/>
  <c r="I2056" i="2"/>
  <c r="B3067" i="2"/>
  <c r="C2136" i="2"/>
  <c r="I3452" i="2"/>
  <c r="G3067" i="2"/>
  <c r="I1707" i="2"/>
  <c r="A2056" i="2"/>
  <c r="F1856" i="2"/>
  <c r="C3452" i="2"/>
  <c r="I2136" i="2"/>
  <c r="D1745" i="2"/>
  <c r="B2848" i="2"/>
  <c r="B3158" i="2"/>
  <c r="I2742" i="2"/>
  <c r="H3067" i="2"/>
  <c r="A1707" i="2"/>
  <c r="F2526" i="2"/>
  <c r="C3313" i="2"/>
  <c r="F3145" i="2"/>
  <c r="I3145" i="2"/>
  <c r="A3208" i="2"/>
  <c r="G3565" i="2"/>
  <c r="D3149" i="2"/>
  <c r="B3149" i="2"/>
  <c r="A3149" i="2"/>
  <c r="G2990" i="2"/>
  <c r="I3208" i="2"/>
  <c r="C3208" i="2"/>
  <c r="F3208" i="2"/>
  <c r="F3313" i="2"/>
  <c r="D1681" i="2"/>
  <c r="F3565" i="2"/>
  <c r="I2990" i="2"/>
  <c r="F3005" i="2"/>
  <c r="F2990" i="2"/>
  <c r="H3244" i="2"/>
  <c r="B1681" i="2"/>
  <c r="D2526" i="2"/>
  <c r="G3145" i="2"/>
  <c r="C1681" i="2"/>
  <c r="H1681" i="2"/>
  <c r="H3565" i="2"/>
  <c r="A2990" i="2"/>
  <c r="F3244" i="2"/>
  <c r="B3145" i="2"/>
  <c r="A3313" i="2"/>
  <c r="F3149" i="2"/>
  <c r="G3313" i="2"/>
  <c r="I2526" i="2"/>
  <c r="B2526" i="2"/>
  <c r="A1681" i="2"/>
  <c r="G2526" i="2"/>
  <c r="G1681" i="2"/>
  <c r="C3005" i="2"/>
  <c r="B2990" i="2"/>
  <c r="B3565" i="2"/>
  <c r="A2526" i="2"/>
  <c r="I3005" i="2"/>
  <c r="A3145" i="2"/>
  <c r="F1681" i="2"/>
  <c r="D3208" i="2"/>
  <c r="D3313" i="2"/>
  <c r="I3313" i="2"/>
  <c r="C3244" i="2"/>
  <c r="C3149" i="2"/>
  <c r="G3149" i="2"/>
  <c r="C3565" i="2"/>
  <c r="H3208" i="2"/>
  <c r="A3565" i="2"/>
  <c r="C3145" i="2"/>
  <c r="G3244" i="2"/>
  <c r="I3565" i="2"/>
  <c r="H3005" i="2"/>
  <c r="H3313" i="2"/>
  <c r="D3005" i="2"/>
  <c r="D3244" i="2"/>
  <c r="C2990" i="2"/>
  <c r="B3208" i="2"/>
  <c r="A3244" i="2"/>
  <c r="H2526" i="2"/>
  <c r="H3145" i="2"/>
  <c r="I3244" i="2"/>
  <c r="H3149" i="2"/>
  <c r="G3005" i="2"/>
  <c r="A3005" i="2"/>
  <c r="D3565" i="2"/>
  <c r="D2990" i="2"/>
  <c r="B3313" i="2"/>
  <c r="H2990" i="2"/>
  <c r="B3005" i="2"/>
  <c r="G3208" i="2"/>
  <c r="I3149" i="2"/>
  <c r="C2526" i="2"/>
  <c r="I1681" i="2"/>
  <c r="B3244" i="2"/>
  <c r="D3145" i="2"/>
  <c r="H2671" i="2"/>
  <c r="B2671" i="2"/>
  <c r="A2625" i="2"/>
  <c r="A2850" i="2"/>
  <c r="G1847" i="2"/>
  <c r="D1887" i="2"/>
  <c r="F2661" i="2"/>
  <c r="C1887" i="2"/>
  <c r="D1793" i="2"/>
  <c r="I1887" i="2"/>
  <c r="G2661" i="2"/>
  <c r="I1847" i="2"/>
  <c r="G1758" i="2"/>
  <c r="B2661" i="2"/>
  <c r="G2671" i="2"/>
  <c r="G2625" i="2"/>
  <c r="B2625" i="2"/>
  <c r="B1887" i="2"/>
  <c r="A1887" i="2"/>
  <c r="D2671" i="2"/>
  <c r="H1887" i="2"/>
  <c r="D1758" i="2"/>
  <c r="I1793" i="2"/>
  <c r="C2878" i="2"/>
  <c r="F2671" i="2"/>
  <c r="A1758" i="2"/>
  <c r="D2850" i="2"/>
  <c r="B1758" i="2"/>
  <c r="C1847" i="2"/>
  <c r="A2341" i="2"/>
  <c r="B2878" i="2"/>
  <c r="D1847" i="2"/>
  <c r="F2625" i="2"/>
  <c r="F1887" i="2"/>
  <c r="F2850" i="2"/>
  <c r="G2878" i="2"/>
  <c r="F2341" i="2"/>
  <c r="B2341" i="2"/>
  <c r="I2341" i="2"/>
  <c r="A1793" i="2"/>
  <c r="G1793" i="2"/>
  <c r="B1847" i="2"/>
  <c r="G2341" i="2"/>
  <c r="H1758" i="2"/>
  <c r="I1758" i="2"/>
  <c r="B1793" i="2"/>
  <c r="C2850" i="2"/>
  <c r="D2661" i="2"/>
  <c r="D2625" i="2"/>
  <c r="H1793" i="2"/>
  <c r="F1847" i="2"/>
  <c r="I2850" i="2"/>
  <c r="C2671" i="2"/>
  <c r="H2625" i="2"/>
  <c r="F2878" i="2"/>
  <c r="H2661" i="2"/>
  <c r="A2661" i="2"/>
  <c r="I2878" i="2"/>
  <c r="I2625" i="2"/>
  <c r="C2341" i="2"/>
  <c r="B2850" i="2"/>
  <c r="H2850" i="2"/>
  <c r="A2671" i="2"/>
  <c r="C1793" i="2"/>
  <c r="H2341" i="2"/>
  <c r="F1758" i="2"/>
  <c r="D2878" i="2"/>
  <c r="C2661" i="2"/>
  <c r="A1847" i="2"/>
  <c r="A2878" i="2"/>
  <c r="H2878" i="2"/>
  <c r="C1758" i="2"/>
  <c r="G1887" i="2"/>
  <c r="D2341" i="2"/>
  <c r="H1847" i="2"/>
  <c r="G2850" i="2"/>
  <c r="C2625" i="2"/>
  <c r="I2671" i="2"/>
  <c r="F1793" i="2"/>
  <c r="I2661" i="2"/>
  <c r="G2512" i="2"/>
  <c r="B2806" i="2"/>
  <c r="C1926" i="2"/>
  <c r="C2017" i="2"/>
  <c r="H3337" i="2"/>
  <c r="A3081" i="2"/>
  <c r="B2512" i="2"/>
  <c r="G1926" i="2"/>
  <c r="G2504" i="2"/>
  <c r="G2806" i="2"/>
  <c r="I2512" i="2"/>
  <c r="A1796" i="2"/>
  <c r="I1796" i="2"/>
  <c r="C3395" i="2"/>
  <c r="B1796" i="2"/>
  <c r="H2504" i="2"/>
  <c r="F1796" i="2"/>
  <c r="D3025" i="2"/>
  <c r="G3337" i="2"/>
  <c r="F3025" i="2"/>
  <c r="D2806" i="2"/>
  <c r="D2504" i="2"/>
  <c r="H3025" i="2"/>
  <c r="C3025" i="2"/>
  <c r="H3081" i="2"/>
  <c r="B3081" i="2"/>
  <c r="A3025" i="2"/>
  <c r="D3395" i="2"/>
  <c r="C1796" i="2"/>
  <c r="H3395" i="2"/>
  <c r="C2504" i="2"/>
  <c r="F2017" i="2"/>
  <c r="D3337" i="2"/>
  <c r="I2017" i="2"/>
  <c r="B3337" i="2"/>
  <c r="D2017" i="2"/>
  <c r="F2806" i="2"/>
  <c r="B1926" i="2"/>
  <c r="F2512" i="2"/>
  <c r="D2512" i="2"/>
  <c r="I2806" i="2"/>
  <c r="H2806" i="2"/>
  <c r="F3081" i="2"/>
  <c r="A1926" i="2"/>
  <c r="C3081" i="2"/>
  <c r="G1796" i="2"/>
  <c r="G3081" i="2"/>
  <c r="A2504" i="2"/>
  <c r="D3081" i="2"/>
  <c r="I3025" i="2"/>
  <c r="A3337" i="2"/>
  <c r="C2512" i="2"/>
  <c r="F1926" i="2"/>
  <c r="I1926" i="2"/>
  <c r="A2017" i="2"/>
  <c r="I2504" i="2"/>
  <c r="H2512" i="2"/>
  <c r="B2017" i="2"/>
  <c r="G3395" i="2"/>
  <c r="I3395" i="2"/>
  <c r="A3395" i="2"/>
  <c r="B3025" i="2"/>
  <c r="F2504" i="2"/>
  <c r="C3337" i="2"/>
  <c r="F3337" i="2"/>
  <c r="C2806" i="2"/>
  <c r="H1926" i="2"/>
  <c r="H2017" i="2"/>
  <c r="D1796" i="2"/>
  <c r="B3395" i="2"/>
  <c r="F3395" i="2"/>
  <c r="G2017" i="2"/>
  <c r="D1926" i="2"/>
  <c r="I3081" i="2"/>
  <c r="A2512" i="2"/>
  <c r="H1796" i="2"/>
  <c r="B2504" i="2"/>
  <c r="A2806" i="2"/>
  <c r="G3025" i="2"/>
  <c r="I3337" i="2"/>
  <c r="D3076" i="2"/>
  <c r="I3454" i="2"/>
  <c r="B2296" i="2"/>
  <c r="B3179" i="2"/>
  <c r="C1819" i="2"/>
  <c r="I1819" i="2"/>
  <c r="H3076" i="2"/>
  <c r="F1949" i="2"/>
  <c r="F1862" i="2"/>
  <c r="G3454" i="2"/>
  <c r="F3239" i="2"/>
  <c r="F1819" i="2"/>
  <c r="F3076" i="2"/>
  <c r="H2275" i="2"/>
  <c r="D3542" i="2"/>
  <c r="F3542" i="2"/>
  <c r="D1819" i="2"/>
  <c r="H3179" i="2"/>
  <c r="I2275" i="2"/>
  <c r="C2275" i="2"/>
  <c r="H3454" i="2"/>
  <c r="B3239" i="2"/>
  <c r="B1862" i="2"/>
  <c r="D3454" i="2"/>
  <c r="I1862" i="2"/>
  <c r="F2275" i="2"/>
  <c r="C1949" i="2"/>
  <c r="H3239" i="2"/>
  <c r="D3239" i="2"/>
  <c r="D2275" i="2"/>
  <c r="D2296" i="2"/>
  <c r="B1949" i="2"/>
  <c r="B2275" i="2"/>
  <c r="H3542" i="2"/>
  <c r="A3239" i="2"/>
  <c r="G2296" i="2"/>
  <c r="G1862" i="2"/>
  <c r="F3454" i="2"/>
  <c r="F3179" i="2"/>
  <c r="B1819" i="2"/>
  <c r="F2296" i="2"/>
  <c r="B3454" i="2"/>
  <c r="I3239" i="2"/>
  <c r="H1862" i="2"/>
  <c r="C3179" i="2"/>
  <c r="I3076" i="2"/>
  <c r="H1949" i="2"/>
  <c r="B3542" i="2"/>
  <c r="A1949" i="2"/>
  <c r="C2296" i="2"/>
  <c r="A3542" i="2"/>
  <c r="B3076" i="2"/>
  <c r="H2296" i="2"/>
  <c r="G2275" i="2"/>
  <c r="I3542" i="2"/>
  <c r="A3179" i="2"/>
  <c r="G3542" i="2"/>
  <c r="C3076" i="2"/>
  <c r="D1949" i="2"/>
  <c r="H1819" i="2"/>
  <c r="I2296" i="2"/>
  <c r="G3076" i="2"/>
  <c r="C3454" i="2"/>
  <c r="C1862" i="2"/>
  <c r="C3239" i="2"/>
  <c r="D1862" i="2"/>
  <c r="I1949" i="2"/>
  <c r="D3179" i="2"/>
  <c r="I3179" i="2"/>
  <c r="G1819" i="2"/>
  <c r="A1862" i="2"/>
  <c r="A3454" i="2"/>
  <c r="A1819" i="2"/>
  <c r="G3179" i="2"/>
  <c r="A2296" i="2"/>
  <c r="G3239" i="2"/>
  <c r="C3542" i="2"/>
  <c r="G1949" i="2"/>
  <c r="A3076" i="2"/>
  <c r="A2275" i="2"/>
  <c r="D1910" i="2"/>
  <c r="I3052" i="2"/>
  <c r="A3575" i="2"/>
  <c r="H3575" i="2"/>
  <c r="G3575" i="2"/>
  <c r="F2908" i="2"/>
  <c r="C1910" i="2"/>
  <c r="B1736" i="2"/>
  <c r="D2963" i="2"/>
  <c r="D1736" i="2"/>
  <c r="A1783" i="2"/>
  <c r="G3278" i="2"/>
  <c r="G2724" i="2"/>
  <c r="A3052" i="2"/>
  <c r="D3052" i="2"/>
  <c r="C2908" i="2"/>
  <c r="A2908" i="2"/>
  <c r="D2832" i="2"/>
  <c r="I2724" i="2"/>
  <c r="A3278" i="2"/>
  <c r="F1783" i="2"/>
  <c r="C1736" i="2"/>
  <c r="C2724" i="2"/>
  <c r="G1736" i="2"/>
  <c r="I2908" i="2"/>
  <c r="G3052" i="2"/>
  <c r="A1736" i="2"/>
  <c r="H3278" i="2"/>
  <c r="I3278" i="2"/>
  <c r="B1783" i="2"/>
  <c r="H1910" i="2"/>
  <c r="D1783" i="2"/>
  <c r="F3575" i="2"/>
  <c r="I1910" i="2"/>
  <c r="H2963" i="2"/>
  <c r="H1736" i="2"/>
  <c r="A2724" i="2"/>
  <c r="H2724" i="2"/>
  <c r="H1783" i="2"/>
  <c r="G2908" i="2"/>
  <c r="A1910" i="2"/>
  <c r="F3052" i="2"/>
  <c r="F2963" i="2"/>
  <c r="B2963" i="2"/>
  <c r="D3278" i="2"/>
  <c r="D3575" i="2"/>
  <c r="C3575" i="2"/>
  <c r="C3278" i="2"/>
  <c r="A2832" i="2"/>
  <c r="G2832" i="2"/>
  <c r="C2832" i="2"/>
  <c r="C2963" i="2"/>
  <c r="F2832" i="2"/>
  <c r="G2963" i="2"/>
  <c r="F2724" i="2"/>
  <c r="I2832" i="2"/>
  <c r="H2908" i="2"/>
  <c r="G1783" i="2"/>
  <c r="B1910" i="2"/>
  <c r="H2832" i="2"/>
  <c r="B2724" i="2"/>
  <c r="B2908" i="2"/>
  <c r="F1736" i="2"/>
  <c r="B3052" i="2"/>
  <c r="B3278" i="2"/>
  <c r="C1783" i="2"/>
  <c r="H3052" i="2"/>
  <c r="I2963" i="2"/>
  <c r="F1910" i="2"/>
  <c r="B3575" i="2"/>
  <c r="G1910" i="2"/>
  <c r="I3575" i="2"/>
  <c r="D2908" i="2"/>
  <c r="I1736" i="2"/>
  <c r="B2832" i="2"/>
  <c r="A2963" i="2"/>
  <c r="C3052" i="2"/>
  <c r="D2724" i="2"/>
  <c r="F3278" i="2"/>
  <c r="I1783" i="2"/>
  <c r="C1787" i="2"/>
  <c r="H2874" i="2"/>
  <c r="D3602" i="2"/>
  <c r="G2016" i="2"/>
  <c r="C2016" i="2"/>
  <c r="B1860" i="2"/>
  <c r="I2874" i="2"/>
  <c r="I2482" i="2"/>
  <c r="F2411" i="2"/>
  <c r="A3291" i="2"/>
  <c r="D2411" i="2"/>
  <c r="G3291" i="2"/>
  <c r="C1860" i="2"/>
  <c r="A2016" i="2"/>
  <c r="G2093" i="2"/>
  <c r="H1860" i="2"/>
  <c r="G3602" i="2"/>
  <c r="I2016" i="2"/>
  <c r="C2482" i="2"/>
  <c r="H1787" i="2"/>
  <c r="D1860" i="2"/>
  <c r="D1787" i="2"/>
  <c r="B1787" i="2"/>
  <c r="H2411" i="2"/>
  <c r="A1860" i="2"/>
  <c r="G2482" i="2"/>
  <c r="B2093" i="2"/>
  <c r="F3291" i="2"/>
  <c r="F1787" i="2"/>
  <c r="C2093" i="2"/>
  <c r="G2874" i="2"/>
  <c r="C2874" i="2"/>
  <c r="I1787" i="2"/>
  <c r="B3291" i="2"/>
  <c r="F2417" i="2"/>
  <c r="A3602" i="2"/>
  <c r="I1860" i="2"/>
  <c r="H2016" i="2"/>
  <c r="D2093" i="2"/>
  <c r="F2482" i="2"/>
  <c r="A2411" i="2"/>
  <c r="D2874" i="2"/>
  <c r="B2016" i="2"/>
  <c r="I2093" i="2"/>
  <c r="B2482" i="2"/>
  <c r="A2093" i="2"/>
  <c r="A2417" i="2"/>
  <c r="B2411" i="2"/>
  <c r="I3291" i="2"/>
  <c r="I2417" i="2"/>
  <c r="G2417" i="2"/>
  <c r="F2093" i="2"/>
  <c r="C3291" i="2"/>
  <c r="D3291" i="2"/>
  <c r="B2417" i="2"/>
  <c r="G1787" i="2"/>
  <c r="D2417" i="2"/>
  <c r="B2874" i="2"/>
  <c r="I2411" i="2"/>
  <c r="H2417" i="2"/>
  <c r="D2016" i="2"/>
  <c r="C2411" i="2"/>
  <c r="D2482" i="2"/>
  <c r="F3602" i="2"/>
  <c r="H3602" i="2"/>
  <c r="B3602" i="2"/>
  <c r="F2874" i="2"/>
  <c r="A2482" i="2"/>
  <c r="C3602" i="2"/>
  <c r="F1860" i="2"/>
  <c r="I3602" i="2"/>
  <c r="A1787" i="2"/>
  <c r="G2411" i="2"/>
  <c r="C2417" i="2"/>
  <c r="H2093" i="2"/>
  <c r="H3291" i="2"/>
  <c r="H2482" i="2"/>
  <c r="A2874" i="2"/>
  <c r="G1860" i="2"/>
  <c r="F2016" i="2"/>
  <c r="G3102" i="2"/>
  <c r="C2366" i="2"/>
  <c r="H3102" i="2"/>
  <c r="G1830" i="2"/>
  <c r="G2654" i="2"/>
  <c r="I2654" i="2"/>
  <c r="F3102" i="2"/>
  <c r="D2540" i="2"/>
  <c r="B2540" i="2"/>
  <c r="G3547" i="2"/>
  <c r="H2654" i="2"/>
  <c r="A1830" i="2"/>
  <c r="A2654" i="2"/>
  <c r="G2014" i="2"/>
  <c r="B2014" i="2"/>
  <c r="I3547" i="2"/>
  <c r="C3547" i="2"/>
  <c r="F2540" i="2"/>
  <c r="F2310" i="2"/>
  <c r="A2014" i="2"/>
  <c r="A3102" i="2"/>
  <c r="I1997" i="2"/>
  <c r="H2251" i="2"/>
  <c r="C2310" i="2"/>
  <c r="F1997" i="2"/>
  <c r="H2310" i="2"/>
  <c r="A2540" i="2"/>
  <c r="D3102" i="2"/>
  <c r="A2251" i="2"/>
  <c r="D1830" i="2"/>
  <c r="B1830" i="2"/>
  <c r="I2014" i="2"/>
  <c r="D2654" i="2"/>
  <c r="D2014" i="2"/>
  <c r="C1997" i="2"/>
  <c r="B1997" i="2"/>
  <c r="F2366" i="2"/>
  <c r="A3547" i="2"/>
  <c r="H1997" i="2"/>
  <c r="H2014" i="2"/>
  <c r="B2366" i="2"/>
  <c r="G2540" i="2"/>
  <c r="C1830" i="2"/>
  <c r="C2540" i="2"/>
  <c r="C2251" i="2"/>
  <c r="I1830" i="2"/>
  <c r="B2654" i="2"/>
  <c r="B3547" i="2"/>
  <c r="H3547" i="2"/>
  <c r="I2310" i="2"/>
  <c r="C2654" i="2"/>
  <c r="F3547" i="2"/>
  <c r="A1997" i="2"/>
  <c r="H2366" i="2"/>
  <c r="D1997" i="2"/>
  <c r="I2251" i="2"/>
  <c r="B2310" i="2"/>
  <c r="F2014" i="2"/>
  <c r="D2251" i="2"/>
  <c r="F1830" i="2"/>
  <c r="D2310" i="2"/>
  <c r="I2540" i="2"/>
  <c r="B3102" i="2"/>
  <c r="I2366" i="2"/>
  <c r="G2366" i="2"/>
  <c r="G2310" i="2"/>
  <c r="C3102" i="2"/>
  <c r="B2251" i="2"/>
  <c r="C2014" i="2"/>
  <c r="F2251" i="2"/>
  <c r="A2366" i="2"/>
  <c r="I3102" i="2"/>
  <c r="H1830" i="2"/>
  <c r="H2540" i="2"/>
  <c r="G2251" i="2"/>
  <c r="D3547" i="2"/>
  <c r="G1997" i="2"/>
  <c r="A2310" i="2"/>
  <c r="F2654" i="2"/>
  <c r="D2366" i="2"/>
  <c r="A2985" i="2"/>
  <c r="D2497" i="2"/>
  <c r="C2008" i="2"/>
  <c r="I1899" i="2"/>
  <c r="G2985" i="2"/>
  <c r="C2041" i="2"/>
  <c r="C2778" i="2"/>
  <c r="B2838" i="2"/>
  <c r="H2041" i="2"/>
  <c r="G1899" i="2"/>
  <c r="F2111" i="2"/>
  <c r="F2838" i="2"/>
  <c r="I2034" i="2"/>
  <c r="I2008" i="2"/>
  <c r="B2778" i="2"/>
  <c r="B2008" i="2"/>
  <c r="F2985" i="2"/>
  <c r="A2041" i="2"/>
  <c r="A1576" i="2"/>
  <c r="B2034" i="2"/>
  <c r="C2111" i="2"/>
  <c r="H1899" i="2"/>
  <c r="G2838" i="2"/>
  <c r="D2008" i="2"/>
  <c r="H2838" i="2"/>
  <c r="G2008" i="2"/>
  <c r="D2985" i="2"/>
  <c r="A2497" i="2"/>
  <c r="F1899" i="2"/>
  <c r="C2034" i="2"/>
  <c r="B2041" i="2"/>
  <c r="C1899" i="2"/>
  <c r="F1576" i="2"/>
  <c r="B2111" i="2"/>
  <c r="D2041" i="2"/>
  <c r="F2497" i="2"/>
  <c r="B1576" i="2"/>
  <c r="I2497" i="2"/>
  <c r="A2778" i="2"/>
  <c r="F2778" i="2"/>
  <c r="I2985" i="2"/>
  <c r="B2985" i="2"/>
  <c r="H2034" i="2"/>
  <c r="C2497" i="2"/>
  <c r="G2034" i="2"/>
  <c r="D1576" i="2"/>
  <c r="D2838" i="2"/>
  <c r="A2838" i="2"/>
  <c r="G2497" i="2"/>
  <c r="I1576" i="2"/>
  <c r="A1899" i="2"/>
  <c r="H2497" i="2"/>
  <c r="D2111" i="2"/>
  <c r="C2838" i="2"/>
  <c r="F2034" i="2"/>
  <c r="H2111" i="2"/>
  <c r="G2778" i="2"/>
  <c r="D1899" i="2"/>
  <c r="H2008" i="2"/>
  <c r="I2111" i="2"/>
  <c r="C1576" i="2"/>
  <c r="F2041" i="2"/>
  <c r="A2008" i="2"/>
  <c r="D2034" i="2"/>
  <c r="H2985" i="2"/>
  <c r="G2041" i="2"/>
  <c r="H2778" i="2"/>
  <c r="G2111" i="2"/>
  <c r="I2778" i="2"/>
  <c r="B1899" i="2"/>
  <c r="H1576" i="2"/>
  <c r="I2838" i="2"/>
  <c r="F2008" i="2"/>
  <c r="A2111" i="2"/>
  <c r="D2778" i="2"/>
  <c r="I2041" i="2"/>
  <c r="G1576" i="2"/>
  <c r="B2497" i="2"/>
  <c r="A2034" i="2"/>
  <c r="C2985" i="2"/>
  <c r="C2255" i="2"/>
  <c r="G2862" i="2"/>
  <c r="D1804" i="2"/>
  <c r="B1765" i="2"/>
  <c r="G1711" i="2"/>
  <c r="F1709" i="2"/>
  <c r="H2102" i="2"/>
  <c r="D2255" i="2"/>
  <c r="B2862" i="2"/>
  <c r="H1711" i="2"/>
  <c r="A1804" i="2"/>
  <c r="B1804" i="2"/>
  <c r="D3460" i="2"/>
  <c r="F1765" i="2"/>
  <c r="G1765" i="2"/>
  <c r="D1711" i="2"/>
  <c r="D2862" i="2"/>
  <c r="C1765" i="2"/>
  <c r="F3460" i="2"/>
  <c r="B3460" i="2"/>
  <c r="A3460" i="2"/>
  <c r="H3460" i="2"/>
  <c r="H2255" i="2"/>
  <c r="I1765" i="2"/>
  <c r="H1709" i="2"/>
  <c r="G1709" i="2"/>
  <c r="H2818" i="2"/>
  <c r="A2255" i="2"/>
  <c r="G1804" i="2"/>
  <c r="B2255" i="2"/>
  <c r="I2102" i="2"/>
  <c r="I1709" i="2"/>
  <c r="G2818" i="2"/>
  <c r="C2102" i="2"/>
  <c r="A1665" i="2"/>
  <c r="C1665" i="2"/>
  <c r="B2102" i="2"/>
  <c r="H2862" i="2"/>
  <c r="A2862" i="2"/>
  <c r="B2818" i="2"/>
  <c r="F2862" i="2"/>
  <c r="A2818" i="2"/>
  <c r="G3460" i="2"/>
  <c r="C2818" i="2"/>
  <c r="C3460" i="2"/>
  <c r="H1765" i="2"/>
  <c r="F2102" i="2"/>
  <c r="D1765" i="2"/>
  <c r="A1709" i="2"/>
  <c r="B1709" i="2"/>
  <c r="D1665" i="2"/>
  <c r="G1665" i="2"/>
  <c r="F1665" i="2"/>
  <c r="I1804" i="2"/>
  <c r="B1711" i="2"/>
  <c r="F1711" i="2"/>
  <c r="D2818" i="2"/>
  <c r="D1709" i="2"/>
  <c r="C1711" i="2"/>
  <c r="A2102" i="2"/>
  <c r="D2102" i="2"/>
  <c r="H1804" i="2"/>
  <c r="I1711" i="2"/>
  <c r="H1665" i="2"/>
  <c r="I2862" i="2"/>
  <c r="F2818" i="2"/>
  <c r="G2255" i="2"/>
  <c r="B1665" i="2"/>
  <c r="C1804" i="2"/>
  <c r="C2862" i="2"/>
  <c r="F2255" i="2"/>
  <c r="I3460" i="2"/>
  <c r="I2255" i="2"/>
  <c r="G2102" i="2"/>
  <c r="C1709" i="2"/>
  <c r="I2818" i="2"/>
  <c r="I1665" i="2"/>
  <c r="A1711" i="2"/>
  <c r="F1804" i="2"/>
  <c r="A1765" i="2"/>
  <c r="C3041" i="2"/>
  <c r="D1721" i="2"/>
  <c r="H1840" i="2"/>
  <c r="D2583" i="2"/>
  <c r="C2715" i="2"/>
  <c r="H3041" i="2"/>
  <c r="G2715" i="2"/>
  <c r="H3225" i="2"/>
  <c r="F3041" i="2"/>
  <c r="I3479" i="2"/>
  <c r="G2807" i="2"/>
  <c r="G3479" i="2"/>
  <c r="B3041" i="2"/>
  <c r="D3479" i="2"/>
  <c r="C3298" i="2"/>
  <c r="F1785" i="2"/>
  <c r="A1785" i="2"/>
  <c r="B3298" i="2"/>
  <c r="B2583" i="2"/>
  <c r="F3479" i="2"/>
  <c r="F2715" i="2"/>
  <c r="C1840" i="2"/>
  <c r="D2715" i="2"/>
  <c r="D1840" i="2"/>
  <c r="H3479" i="2"/>
  <c r="C1721" i="2"/>
  <c r="A3479" i="2"/>
  <c r="B3225" i="2"/>
  <c r="B1785" i="2"/>
  <c r="I2583" i="2"/>
  <c r="F1721" i="2"/>
  <c r="B3479" i="2"/>
  <c r="F1840" i="2"/>
  <c r="A3298" i="2"/>
  <c r="G2583" i="2"/>
  <c r="A2807" i="2"/>
  <c r="I3298" i="2"/>
  <c r="H1785" i="2"/>
  <c r="A3041" i="2"/>
  <c r="G1840" i="2"/>
  <c r="A2715" i="2"/>
  <c r="A1721" i="2"/>
  <c r="G1785" i="2"/>
  <c r="I1721" i="2"/>
  <c r="F2807" i="2"/>
  <c r="I2715" i="2"/>
  <c r="C2807" i="2"/>
  <c r="D1785" i="2"/>
  <c r="A1840" i="2"/>
  <c r="I3041" i="2"/>
  <c r="A3225" i="2"/>
  <c r="D3298" i="2"/>
  <c r="I1785" i="2"/>
  <c r="I3225" i="2"/>
  <c r="F3298" i="2"/>
  <c r="C2583" i="2"/>
  <c r="I1840" i="2"/>
  <c r="C3225" i="2"/>
  <c r="B2807" i="2"/>
  <c r="F3225" i="2"/>
  <c r="D3041" i="2"/>
  <c r="B1721" i="2"/>
  <c r="H1721" i="2"/>
  <c r="H2583" i="2"/>
  <c r="I2807" i="2"/>
  <c r="G3225" i="2"/>
  <c r="H2807" i="2"/>
  <c r="G3298" i="2"/>
  <c r="A2583" i="2"/>
  <c r="H2715" i="2"/>
  <c r="H3298" i="2"/>
  <c r="C3479" i="2"/>
  <c r="G1721" i="2"/>
  <c r="C1785" i="2"/>
  <c r="D3225" i="2"/>
  <c r="B1840" i="2"/>
  <c r="G3041" i="2"/>
  <c r="B2715" i="2"/>
  <c r="F2583" i="2"/>
  <c r="D2807" i="2"/>
  <c r="A3272" i="2"/>
  <c r="C2276" i="2"/>
  <c r="F2531" i="2"/>
  <c r="H1735" i="2"/>
  <c r="G3036" i="2"/>
  <c r="G1907" i="2"/>
  <c r="G1725" i="2"/>
  <c r="H3272" i="2"/>
  <c r="C3272" i="2"/>
  <c r="B3272" i="2"/>
  <c r="D1735" i="2"/>
  <c r="I2531" i="2"/>
  <c r="G2902" i="2"/>
  <c r="H3544" i="2"/>
  <c r="B2531" i="2"/>
  <c r="B1735" i="2"/>
  <c r="F3036" i="2"/>
  <c r="I1725" i="2"/>
  <c r="A1735" i="2"/>
  <c r="B3544" i="2"/>
  <c r="H2755" i="2"/>
  <c r="A2902" i="2"/>
  <c r="I3544" i="2"/>
  <c r="D1907" i="2"/>
  <c r="C2755" i="2"/>
  <c r="F2755" i="2"/>
  <c r="C1725" i="2"/>
  <c r="A1725" i="2"/>
  <c r="G2276" i="2"/>
  <c r="B2276" i="2"/>
  <c r="C1907" i="2"/>
  <c r="B3036" i="2"/>
  <c r="B2902" i="2"/>
  <c r="I1907" i="2"/>
  <c r="I3272" i="2"/>
  <c r="G3272" i="2"/>
  <c r="C2531" i="2"/>
  <c r="C3036" i="2"/>
  <c r="A3544" i="2"/>
  <c r="H2531" i="2"/>
  <c r="G1735" i="2"/>
  <c r="D2755" i="2"/>
  <c r="A3036" i="2"/>
  <c r="B1725" i="2"/>
  <c r="B1907" i="2"/>
  <c r="A2276" i="2"/>
  <c r="A2755" i="2"/>
  <c r="G2755" i="2"/>
  <c r="H2902" i="2"/>
  <c r="F3272" i="2"/>
  <c r="C3544" i="2"/>
  <c r="F1907" i="2"/>
  <c r="G3544" i="2"/>
  <c r="C1735" i="2"/>
  <c r="D1725" i="2"/>
  <c r="D2276" i="2"/>
  <c r="H3036" i="2"/>
  <c r="F2902" i="2"/>
  <c r="B2755" i="2"/>
  <c r="I1735" i="2"/>
  <c r="H1907" i="2"/>
  <c r="I2902" i="2"/>
  <c r="F3544" i="2"/>
  <c r="D2531" i="2"/>
  <c r="A2531" i="2"/>
  <c r="H1725" i="2"/>
  <c r="D3036" i="2"/>
  <c r="C2902" i="2"/>
  <c r="H2276" i="2"/>
  <c r="F2276" i="2"/>
  <c r="I2276" i="2"/>
  <c r="G2531" i="2"/>
  <c r="F1735" i="2"/>
  <c r="D2902" i="2"/>
  <c r="I3036" i="2"/>
  <c r="I2755" i="2"/>
  <c r="A1907" i="2"/>
  <c r="D3544" i="2"/>
  <c r="F1725" i="2"/>
  <c r="D3272" i="2"/>
  <c r="D2261" i="2"/>
  <c r="H1908" i="2"/>
  <c r="D3501" i="2"/>
  <c r="C2505" i="2"/>
  <c r="G2641" i="2"/>
  <c r="I2121" i="2"/>
  <c r="D2121" i="2"/>
  <c r="C2641" i="2"/>
  <c r="D2505" i="2"/>
  <c r="I1908" i="2"/>
  <c r="D1908" i="2"/>
  <c r="C2539" i="2"/>
  <c r="I2505" i="2"/>
  <c r="D2539" i="2"/>
  <c r="F3292" i="2"/>
  <c r="H2261" i="2"/>
  <c r="G2505" i="2"/>
  <c r="A3292" i="2"/>
  <c r="H2121" i="2"/>
  <c r="F2539" i="2"/>
  <c r="H3503" i="2"/>
  <c r="F2261" i="2"/>
  <c r="G3501" i="2"/>
  <c r="I3501" i="2"/>
  <c r="G2261" i="2"/>
  <c r="I3111" i="2"/>
  <c r="A2641" i="2"/>
  <c r="A2261" i="2"/>
  <c r="A2121" i="2"/>
  <c r="C3501" i="2"/>
  <c r="D3292" i="2"/>
  <c r="B1908" i="2"/>
  <c r="H3292" i="2"/>
  <c r="C3292" i="2"/>
  <c r="C3503" i="2"/>
  <c r="C3111" i="2"/>
  <c r="F3111" i="2"/>
  <c r="A2539" i="2"/>
  <c r="G2539" i="2"/>
  <c r="F3503" i="2"/>
  <c r="B3292" i="2"/>
  <c r="F1908" i="2"/>
  <c r="C2121" i="2"/>
  <c r="B3501" i="2"/>
  <c r="B3111" i="2"/>
  <c r="A3503" i="2"/>
  <c r="B2641" i="2"/>
  <c r="B3503" i="2"/>
  <c r="B2505" i="2"/>
  <c r="H2539" i="2"/>
  <c r="I2641" i="2"/>
  <c r="A2505" i="2"/>
  <c r="D2641" i="2"/>
  <c r="G3111" i="2"/>
  <c r="D3503" i="2"/>
  <c r="I2261" i="2"/>
  <c r="G2121" i="2"/>
  <c r="F2505" i="2"/>
  <c r="F3501" i="2"/>
  <c r="A3111" i="2"/>
  <c r="B2261" i="2"/>
  <c r="D3111" i="2"/>
  <c r="A1908" i="2"/>
  <c r="B2539" i="2"/>
  <c r="F2641" i="2"/>
  <c r="G3503" i="2"/>
  <c r="G1908" i="2"/>
  <c r="G3292" i="2"/>
  <c r="A3501" i="2"/>
  <c r="B2121" i="2"/>
  <c r="I2539" i="2"/>
  <c r="I3292" i="2"/>
  <c r="I3503" i="2"/>
  <c r="C1908" i="2"/>
  <c r="C2261" i="2"/>
  <c r="F2121" i="2"/>
  <c r="H2505" i="2"/>
  <c r="H2641" i="2"/>
  <c r="H3501" i="2"/>
  <c r="H3111" i="2"/>
  <c r="C2808" i="2"/>
  <c r="A1664" i="2"/>
  <c r="G1946" i="2"/>
  <c r="I2647" i="2"/>
  <c r="H1684" i="2"/>
  <c r="I2808" i="2"/>
  <c r="G2687" i="2"/>
  <c r="B1946" i="2"/>
  <c r="F1684" i="2"/>
  <c r="H1664" i="2"/>
  <c r="A2687" i="2"/>
  <c r="B1664" i="2"/>
  <c r="I2074" i="2"/>
  <c r="C2074" i="2"/>
  <c r="C2240" i="2"/>
  <c r="G2384" i="2"/>
  <c r="I2687" i="2"/>
  <c r="D1684" i="2"/>
  <c r="D2603" i="2"/>
  <c r="I1684" i="2"/>
  <c r="B2647" i="2"/>
  <c r="C2384" i="2"/>
  <c r="A2240" i="2"/>
  <c r="I2384" i="2"/>
  <c r="F2603" i="2"/>
  <c r="G2074" i="2"/>
  <c r="A2808" i="2"/>
  <c r="I1664" i="2"/>
  <c r="H2647" i="2"/>
  <c r="F2647" i="2"/>
  <c r="I2603" i="2"/>
  <c r="H2603" i="2"/>
  <c r="F2687" i="2"/>
  <c r="B1684" i="2"/>
  <c r="F2808" i="2"/>
  <c r="C1684" i="2"/>
  <c r="C2647" i="2"/>
  <c r="G2603" i="2"/>
  <c r="D2074" i="2"/>
  <c r="C2603" i="2"/>
  <c r="B2384" i="2"/>
  <c r="F2074" i="2"/>
  <c r="G1664" i="2"/>
  <c r="H2384" i="2"/>
  <c r="B2240" i="2"/>
  <c r="H2240" i="2"/>
  <c r="A1684" i="2"/>
  <c r="H2808" i="2"/>
  <c r="D2384" i="2"/>
  <c r="A1946" i="2"/>
  <c r="B2808" i="2"/>
  <c r="I1946" i="2"/>
  <c r="D1946" i="2"/>
  <c r="D2647" i="2"/>
  <c r="D2240" i="2"/>
  <c r="D2687" i="2"/>
  <c r="B2687" i="2"/>
  <c r="H1946" i="2"/>
  <c r="A2074" i="2"/>
  <c r="C1664" i="2"/>
  <c r="F2240" i="2"/>
  <c r="D2808" i="2"/>
  <c r="B2074" i="2"/>
  <c r="A2384" i="2"/>
  <c r="A2647" i="2"/>
  <c r="C1946" i="2"/>
  <c r="G2240" i="2"/>
  <c r="B2603" i="2"/>
  <c r="C2687" i="2"/>
  <c r="D1664" i="2"/>
  <c r="H2074" i="2"/>
  <c r="G2647" i="2"/>
  <c r="A2603" i="2"/>
  <c r="H2687" i="2"/>
  <c r="F2384" i="2"/>
  <c r="G2808" i="2"/>
  <c r="F1946" i="2"/>
  <c r="F1664" i="2"/>
  <c r="I2240" i="2"/>
  <c r="G1684" i="2"/>
  <c r="I2199" i="2"/>
  <c r="D3221" i="2"/>
  <c r="C2199" i="2"/>
  <c r="D2308" i="2"/>
  <c r="A2350" i="2"/>
  <c r="B2599" i="2"/>
  <c r="A2308" i="2"/>
  <c r="C2062" i="2"/>
  <c r="F2448" i="2"/>
  <c r="B2308" i="2"/>
  <c r="H3221" i="2"/>
  <c r="B3221" i="2"/>
  <c r="B1967" i="2"/>
  <c r="I2248" i="2"/>
  <c r="A2599" i="2"/>
  <c r="A3221" i="2"/>
  <c r="D2448" i="2"/>
  <c r="D1740" i="2"/>
  <c r="H2308" i="2"/>
  <c r="D2062" i="2"/>
  <c r="I1967" i="2"/>
  <c r="G2199" i="2"/>
  <c r="F3221" i="2"/>
  <c r="C2599" i="2"/>
  <c r="I2062" i="2"/>
  <c r="H1740" i="2"/>
  <c r="A2062" i="2"/>
  <c r="H2248" i="2"/>
  <c r="H1967" i="2"/>
  <c r="A1740" i="2"/>
  <c r="H2599" i="2"/>
  <c r="B2248" i="2"/>
  <c r="C2448" i="2"/>
  <c r="D2248" i="2"/>
  <c r="G1740" i="2"/>
  <c r="B2448" i="2"/>
  <c r="G2599" i="2"/>
  <c r="B2062" i="2"/>
  <c r="I1740" i="2"/>
  <c r="F2350" i="2"/>
  <c r="G2062" i="2"/>
  <c r="B1740" i="2"/>
  <c r="C1967" i="2"/>
  <c r="B2199" i="2"/>
  <c r="G2248" i="2"/>
  <c r="H2448" i="2"/>
  <c r="I3221" i="2"/>
  <c r="F1740" i="2"/>
  <c r="G3221" i="2"/>
  <c r="A2248" i="2"/>
  <c r="D1967" i="2"/>
  <c r="F2062" i="2"/>
  <c r="C2248" i="2"/>
  <c r="I2308" i="2"/>
  <c r="D2199" i="2"/>
  <c r="G2350" i="2"/>
  <c r="B2350" i="2"/>
  <c r="H2199" i="2"/>
  <c r="F2308" i="2"/>
  <c r="D2599" i="2"/>
  <c r="A2448" i="2"/>
  <c r="H2350" i="2"/>
  <c r="I2350" i="2"/>
  <c r="A1967" i="2"/>
  <c r="I2448" i="2"/>
  <c r="F2199" i="2"/>
  <c r="I2599" i="2"/>
  <c r="F1967" i="2"/>
  <c r="G2308" i="2"/>
  <c r="D2350" i="2"/>
  <c r="G1967" i="2"/>
  <c r="C1740" i="2"/>
  <c r="A2199" i="2"/>
  <c r="C2308" i="2"/>
  <c r="H2062" i="2"/>
  <c r="F2248" i="2"/>
  <c r="C3221" i="2"/>
  <c r="C2350" i="2"/>
  <c r="F2599" i="2"/>
  <c r="G2448" i="2"/>
  <c r="G2577" i="2"/>
  <c r="F1972" i="2"/>
  <c r="H2065" i="2"/>
  <c r="A2346" i="2"/>
  <c r="A1864" i="2"/>
  <c r="C1972" i="2"/>
  <c r="D2161" i="2"/>
  <c r="H2577" i="2"/>
  <c r="H1589" i="2"/>
  <c r="B1864" i="2"/>
  <c r="B2161" i="2"/>
  <c r="B2577" i="2"/>
  <c r="H3191" i="2"/>
  <c r="F2577" i="2"/>
  <c r="A1972" i="2"/>
  <c r="D1876" i="2"/>
  <c r="H2346" i="2"/>
  <c r="B1876" i="2"/>
  <c r="I1876" i="2"/>
  <c r="B1589" i="2"/>
  <c r="C1864" i="2"/>
  <c r="C2346" i="2"/>
  <c r="D1864" i="2"/>
  <c r="A2577" i="2"/>
  <c r="G2082" i="2"/>
  <c r="H2161" i="2"/>
  <c r="G1589" i="2"/>
  <c r="I1589" i="2"/>
  <c r="D2082" i="2"/>
  <c r="A2161" i="2"/>
  <c r="G1876" i="2"/>
  <c r="G2161" i="2"/>
  <c r="F2065" i="2"/>
  <c r="C1589" i="2"/>
  <c r="F2161" i="2"/>
  <c r="I3191" i="2"/>
  <c r="I1972" i="2"/>
  <c r="B2065" i="2"/>
  <c r="H1876" i="2"/>
  <c r="D2577" i="2"/>
  <c r="F3191" i="2"/>
  <c r="D3191" i="2"/>
  <c r="F1864" i="2"/>
  <c r="H1864" i="2"/>
  <c r="G1972" i="2"/>
  <c r="G3191" i="2"/>
  <c r="G2065" i="2"/>
  <c r="B1972" i="2"/>
  <c r="A1589" i="2"/>
  <c r="F2082" i="2"/>
  <c r="I2082" i="2"/>
  <c r="A3191" i="2"/>
  <c r="A2065" i="2"/>
  <c r="A1876" i="2"/>
  <c r="D2065" i="2"/>
  <c r="B2346" i="2"/>
  <c r="C2577" i="2"/>
  <c r="A2082" i="2"/>
  <c r="F1876" i="2"/>
  <c r="B2082" i="2"/>
  <c r="F2346" i="2"/>
  <c r="I1864" i="2"/>
  <c r="I2346" i="2"/>
  <c r="H2082" i="2"/>
  <c r="C2161" i="2"/>
  <c r="D1972" i="2"/>
  <c r="I2065" i="2"/>
  <c r="G2346" i="2"/>
  <c r="F1589" i="2"/>
  <c r="B3191" i="2"/>
  <c r="C2082" i="2"/>
  <c r="G1864" i="2"/>
  <c r="I2577" i="2"/>
  <c r="C1876" i="2"/>
  <c r="H1972" i="2"/>
  <c r="C3191" i="2"/>
  <c r="D2346" i="2"/>
  <c r="C2065" i="2"/>
  <c r="I2161" i="2"/>
  <c r="D1589" i="2"/>
  <c r="D1800" i="2"/>
  <c r="B3261" i="2"/>
  <c r="C2901" i="2"/>
  <c r="F2456" i="2"/>
  <c r="B2901" i="2"/>
  <c r="F1800" i="2"/>
  <c r="B3034" i="2"/>
  <c r="D2901" i="2"/>
  <c r="G2456" i="2"/>
  <c r="G3261" i="2"/>
  <c r="H2456" i="2"/>
  <c r="D2456" i="2"/>
  <c r="D2132" i="2"/>
  <c r="C2132" i="2"/>
  <c r="A3261" i="2"/>
  <c r="C2456" i="2"/>
  <c r="D2871" i="2"/>
  <c r="A2901" i="2"/>
  <c r="D3280" i="2"/>
  <c r="A1800" i="2"/>
  <c r="B3280" i="2"/>
  <c r="G3280" i="2"/>
  <c r="C3261" i="2"/>
  <c r="B2132" i="2"/>
  <c r="F1968" i="2"/>
  <c r="A2456" i="2"/>
  <c r="G2871" i="2"/>
  <c r="B1800" i="2"/>
  <c r="B1968" i="2"/>
  <c r="A2871" i="2"/>
  <c r="C3280" i="2"/>
  <c r="F2871" i="2"/>
  <c r="F2901" i="2"/>
  <c r="H3389" i="2"/>
  <c r="I1800" i="2"/>
  <c r="C1968" i="2"/>
  <c r="A3034" i="2"/>
  <c r="B2871" i="2"/>
  <c r="H2871" i="2"/>
  <c r="C3389" i="2"/>
  <c r="I2456" i="2"/>
  <c r="F3034" i="2"/>
  <c r="A1968" i="2"/>
  <c r="D3261" i="2"/>
  <c r="H3280" i="2"/>
  <c r="H1800" i="2"/>
  <c r="C3034" i="2"/>
  <c r="A2132" i="2"/>
  <c r="D3034" i="2"/>
  <c r="H2132" i="2"/>
  <c r="F2132" i="2"/>
  <c r="F3389" i="2"/>
  <c r="H3034" i="2"/>
  <c r="I3261" i="2"/>
  <c r="D3389" i="2"/>
  <c r="G3034" i="2"/>
  <c r="I2901" i="2"/>
  <c r="G2901" i="2"/>
  <c r="I1968" i="2"/>
  <c r="B3389" i="2"/>
  <c r="I3389" i="2"/>
  <c r="H1968" i="2"/>
  <c r="A3280" i="2"/>
  <c r="I2871" i="2"/>
  <c r="C1800" i="2"/>
  <c r="F3261" i="2"/>
  <c r="I2132" i="2"/>
  <c r="D1968" i="2"/>
  <c r="I3280" i="2"/>
  <c r="G3389" i="2"/>
  <c r="A3389" i="2"/>
  <c r="G1800" i="2"/>
  <c r="G1968" i="2"/>
  <c r="H2901" i="2"/>
  <c r="C2871" i="2"/>
  <c r="F3280" i="2"/>
  <c r="H3261" i="2"/>
  <c r="B2456" i="2"/>
  <c r="G2132" i="2"/>
  <c r="I3034" i="2"/>
  <c r="C2813" i="2"/>
  <c r="G3164" i="2"/>
  <c r="I1566" i="2"/>
  <c r="I2954" i="2"/>
  <c r="I2857" i="2"/>
  <c r="C1566" i="2"/>
  <c r="G3287" i="2"/>
  <c r="C2857" i="2"/>
  <c r="G2970" i="2"/>
  <c r="H2320" i="2"/>
  <c r="I2970" i="2"/>
  <c r="D1992" i="2"/>
  <c r="F3182" i="2"/>
  <c r="G2813" i="2"/>
  <c r="B3287" i="2"/>
  <c r="H3164" i="2"/>
  <c r="A2954" i="2"/>
  <c r="D3182" i="2"/>
  <c r="H2857" i="2"/>
  <c r="I2813" i="2"/>
  <c r="F3287" i="2"/>
  <c r="H1992" i="2"/>
  <c r="F2813" i="2"/>
  <c r="F1566" i="2"/>
  <c r="D3164" i="2"/>
  <c r="B2857" i="2"/>
  <c r="C3164" i="2"/>
  <c r="B1566" i="2"/>
  <c r="D2954" i="2"/>
  <c r="G3182" i="2"/>
  <c r="G1566" i="2"/>
  <c r="G2857" i="2"/>
  <c r="A3182" i="2"/>
  <c r="B2970" i="2"/>
  <c r="I3182" i="2"/>
  <c r="A3164" i="2"/>
  <c r="D2970" i="2"/>
  <c r="D3287" i="2"/>
  <c r="F2320" i="2"/>
  <c r="B3164" i="2"/>
  <c r="H2813" i="2"/>
  <c r="A2970" i="2"/>
  <c r="A2320" i="2"/>
  <c r="G2320" i="2"/>
  <c r="C3287" i="2"/>
  <c r="A1992" i="2"/>
  <c r="I2320" i="2"/>
  <c r="F2970" i="2"/>
  <c r="G2954" i="2"/>
  <c r="F2954" i="2"/>
  <c r="G1992" i="2"/>
  <c r="C2954" i="2"/>
  <c r="H1566" i="2"/>
  <c r="B1992" i="2"/>
  <c r="A2857" i="2"/>
  <c r="F2857" i="2"/>
  <c r="C3182" i="2"/>
  <c r="I1992" i="2"/>
  <c r="H2954" i="2"/>
  <c r="C2970" i="2"/>
  <c r="F3164" i="2"/>
  <c r="A1566" i="2"/>
  <c r="I3287" i="2"/>
  <c r="H3182" i="2"/>
  <c r="C1992" i="2"/>
  <c r="B2813" i="2"/>
  <c r="H3287" i="2"/>
  <c r="B2320" i="2"/>
  <c r="D2813" i="2"/>
  <c r="A2813" i="2"/>
  <c r="C2320" i="2"/>
  <c r="F1992" i="2"/>
  <c r="B3182" i="2"/>
  <c r="I3164" i="2"/>
  <c r="H2970" i="2"/>
  <c r="B2954" i="2"/>
  <c r="D2320" i="2"/>
  <c r="A3287" i="2"/>
  <c r="D2857" i="2"/>
  <c r="D1566" i="2"/>
  <c r="F2541" i="2"/>
  <c r="D3345" i="2"/>
  <c r="G3169" i="2"/>
  <c r="D2762" i="2"/>
  <c r="D3169" i="2"/>
  <c r="B3169" i="2"/>
  <c r="A3094" i="2"/>
  <c r="D2459" i="2"/>
  <c r="I2040" i="2"/>
  <c r="B3345" i="2"/>
  <c r="D3094" i="2"/>
  <c r="B2025" i="2"/>
  <c r="A3074" i="2"/>
  <c r="B2762" i="2"/>
  <c r="H3094" i="2"/>
  <c r="F3074" i="2"/>
  <c r="G2541" i="2"/>
  <c r="F2459" i="2"/>
  <c r="A3169" i="2"/>
  <c r="G2025" i="2"/>
  <c r="H3345" i="2"/>
  <c r="F3094" i="2"/>
  <c r="F3345" i="2"/>
  <c r="C3074" i="2"/>
  <c r="A2459" i="2"/>
  <c r="D2040" i="2"/>
  <c r="H2040" i="2"/>
  <c r="I2459" i="2"/>
  <c r="I3345" i="2"/>
  <c r="B3170" i="2"/>
  <c r="G3074" i="2"/>
  <c r="A3170" i="2"/>
  <c r="G2762" i="2"/>
  <c r="F2040" i="2"/>
  <c r="B2040" i="2"/>
  <c r="C3170" i="2"/>
  <c r="F2025" i="2"/>
  <c r="B3094" i="2"/>
  <c r="A2025" i="2"/>
  <c r="G2040" i="2"/>
  <c r="I3074" i="2"/>
  <c r="F3170" i="2"/>
  <c r="C3094" i="2"/>
  <c r="D2025" i="2"/>
  <c r="A2040" i="2"/>
  <c r="H3074" i="2"/>
  <c r="H3170" i="2"/>
  <c r="C2459" i="2"/>
  <c r="A2541" i="2"/>
  <c r="C2541" i="2"/>
  <c r="H2025" i="2"/>
  <c r="H2762" i="2"/>
  <c r="B2541" i="2"/>
  <c r="F2762" i="2"/>
  <c r="I2762" i="2"/>
  <c r="G3094" i="2"/>
  <c r="G3170" i="2"/>
  <c r="C2762" i="2"/>
  <c r="B3074" i="2"/>
  <c r="I3169" i="2"/>
  <c r="F3169" i="2"/>
  <c r="H2459" i="2"/>
  <c r="G3345" i="2"/>
  <c r="I2541" i="2"/>
  <c r="D3170" i="2"/>
  <c r="I2025" i="2"/>
  <c r="D2541" i="2"/>
  <c r="H3169" i="2"/>
  <c r="B2459" i="2"/>
  <c r="A3345" i="2"/>
  <c r="D3074" i="2"/>
  <c r="G2459" i="2"/>
  <c r="A2762" i="2"/>
  <c r="I3170" i="2"/>
  <c r="C2025" i="2"/>
  <c r="I3094" i="2"/>
  <c r="C2040" i="2"/>
  <c r="C3169" i="2"/>
  <c r="H2541" i="2"/>
  <c r="C3345" i="2"/>
  <c r="F2286" i="2"/>
  <c r="C2217" i="2"/>
  <c r="F2399" i="2"/>
  <c r="F2906" i="2"/>
  <c r="H2217" i="2"/>
  <c r="I1994" i="2"/>
  <c r="C3432" i="2"/>
  <c r="F2939" i="2"/>
  <c r="G2192" i="2"/>
  <c r="I2906" i="2"/>
  <c r="B2429" i="2"/>
  <c r="I2939" i="2"/>
  <c r="D3432" i="2"/>
  <c r="A2281" i="2"/>
  <c r="H2939" i="2"/>
  <c r="F2281" i="2"/>
  <c r="D2217" i="2"/>
  <c r="A2906" i="2"/>
  <c r="G2217" i="2"/>
  <c r="F2217" i="2"/>
  <c r="G2906" i="2"/>
  <c r="I2217" i="2"/>
  <c r="G2939" i="2"/>
  <c r="B2217" i="2"/>
  <c r="A2192" i="2"/>
  <c r="F3432" i="2"/>
  <c r="C2286" i="2"/>
  <c r="A2429" i="2"/>
  <c r="I2192" i="2"/>
  <c r="I2281" i="2"/>
  <c r="C2429" i="2"/>
  <c r="G2281" i="2"/>
  <c r="D2192" i="2"/>
  <c r="D2429" i="2"/>
  <c r="H2399" i="2"/>
  <c r="H2281" i="2"/>
  <c r="I2399" i="2"/>
  <c r="D2906" i="2"/>
  <c r="B2281" i="2"/>
  <c r="C2281" i="2"/>
  <c r="B2399" i="2"/>
  <c r="A3432" i="2"/>
  <c r="I2286" i="2"/>
  <c r="C2192" i="2"/>
  <c r="H1994" i="2"/>
  <c r="A2399" i="2"/>
  <c r="D1994" i="2"/>
  <c r="H2429" i="2"/>
  <c r="F2192" i="2"/>
  <c r="B2192" i="2"/>
  <c r="H2286" i="2"/>
  <c r="G1994" i="2"/>
  <c r="A1994" i="2"/>
  <c r="B2939" i="2"/>
  <c r="C2399" i="2"/>
  <c r="F2429" i="2"/>
  <c r="F1994" i="2"/>
  <c r="H3432" i="2"/>
  <c r="A2939" i="2"/>
  <c r="G2286" i="2"/>
  <c r="D2939" i="2"/>
  <c r="C2906" i="2"/>
  <c r="A2286" i="2"/>
  <c r="I3432" i="2"/>
  <c r="D2399" i="2"/>
  <c r="I2429" i="2"/>
  <c r="G3432" i="2"/>
  <c r="H2906" i="2"/>
  <c r="D2286" i="2"/>
  <c r="C1994" i="2"/>
  <c r="B2906" i="2"/>
  <c r="H2192" i="2"/>
  <c r="D2281" i="2"/>
  <c r="G2429" i="2"/>
  <c r="A2217" i="2"/>
  <c r="C2939" i="2"/>
  <c r="B2286" i="2"/>
  <c r="B3432" i="2"/>
  <c r="G2399" i="2"/>
  <c r="B1994" i="2"/>
  <c r="C2324" i="2"/>
  <c r="F2551" i="2"/>
  <c r="C2232" i="2"/>
  <c r="C3015" i="2"/>
  <c r="B2232" i="2"/>
  <c r="F1954" i="2"/>
  <c r="H3015" i="2"/>
  <c r="G2227" i="2"/>
  <c r="G1801" i="2"/>
  <c r="A1801" i="2"/>
  <c r="A1954" i="2"/>
  <c r="B2768" i="2"/>
  <c r="A2877" i="2"/>
  <c r="I3015" i="2"/>
  <c r="G3550" i="2"/>
  <c r="I2551" i="2"/>
  <c r="H2768" i="2"/>
  <c r="C1801" i="2"/>
  <c r="C2227" i="2"/>
  <c r="A2324" i="2"/>
  <c r="H2877" i="2"/>
  <c r="B2551" i="2"/>
  <c r="B2877" i="2"/>
  <c r="C2551" i="2"/>
  <c r="H2232" i="2"/>
  <c r="G2877" i="2"/>
  <c r="F2324" i="2"/>
  <c r="G2232" i="2"/>
  <c r="B3550" i="2"/>
  <c r="I3550" i="2"/>
  <c r="H2227" i="2"/>
  <c r="A2768" i="2"/>
  <c r="C1954" i="2"/>
  <c r="A3015" i="2"/>
  <c r="B1801" i="2"/>
  <c r="B2227" i="2"/>
  <c r="D2324" i="2"/>
  <c r="D3015" i="2"/>
  <c r="I2324" i="2"/>
  <c r="I2768" i="2"/>
  <c r="D2768" i="2"/>
  <c r="D2227" i="2"/>
  <c r="F3550" i="2"/>
  <c r="G2551" i="2"/>
  <c r="I1801" i="2"/>
  <c r="B1954" i="2"/>
  <c r="C2768" i="2"/>
  <c r="F2877" i="2"/>
  <c r="C2877" i="2"/>
  <c r="G2324" i="2"/>
  <c r="F2232" i="2"/>
  <c r="F3015" i="2"/>
  <c r="A3550" i="2"/>
  <c r="I2227" i="2"/>
  <c r="I2232" i="2"/>
  <c r="G2768" i="2"/>
  <c r="F2227" i="2"/>
  <c r="D3550" i="2"/>
  <c r="C3550" i="2"/>
  <c r="I1954" i="2"/>
  <c r="A2551" i="2"/>
  <c r="G1954" i="2"/>
  <c r="D2551" i="2"/>
  <c r="D1801" i="2"/>
  <c r="H2324" i="2"/>
  <c r="F1801" i="2"/>
  <c r="D1954" i="2"/>
  <c r="B3015" i="2"/>
  <c r="I2877" i="2"/>
  <c r="A2232" i="2"/>
  <c r="H1954" i="2"/>
  <c r="H1801" i="2"/>
  <c r="H2551" i="2"/>
  <c r="F2768" i="2"/>
  <c r="D2232" i="2"/>
  <c r="G3015" i="2"/>
  <c r="D2877" i="2"/>
  <c r="B2324" i="2"/>
  <c r="H3550" i="2"/>
  <c r="A2227" i="2"/>
  <c r="A2890" i="2"/>
  <c r="I2756" i="2"/>
  <c r="C2376" i="2"/>
  <c r="B3317" i="2"/>
  <c r="C3317" i="2"/>
  <c r="H2337" i="2"/>
  <c r="H2890" i="2"/>
  <c r="B2589" i="2"/>
  <c r="G3317" i="2"/>
  <c r="F2890" i="2"/>
  <c r="G2756" i="2"/>
  <c r="G3331" i="2"/>
  <c r="C1722" i="2"/>
  <c r="F2376" i="2"/>
  <c r="G1722" i="2"/>
  <c r="A2376" i="2"/>
  <c r="C2890" i="2"/>
  <c r="A2589" i="2"/>
  <c r="A2805" i="2"/>
  <c r="H2805" i="2"/>
  <c r="C2337" i="2"/>
  <c r="I3317" i="2"/>
  <c r="D2337" i="2"/>
  <c r="D3331" i="2"/>
  <c r="H3317" i="2"/>
  <c r="B2890" i="2"/>
  <c r="B2805" i="2"/>
  <c r="A2054" i="2"/>
  <c r="G2337" i="2"/>
  <c r="B2376" i="2"/>
  <c r="G2054" i="2"/>
  <c r="A3317" i="2"/>
  <c r="G2805" i="2"/>
  <c r="H2054" i="2"/>
  <c r="D2756" i="2"/>
  <c r="H2376" i="2"/>
  <c r="H1722" i="2"/>
  <c r="D1722" i="2"/>
  <c r="B3331" i="2"/>
  <c r="B2337" i="2"/>
  <c r="H2756" i="2"/>
  <c r="D2054" i="2"/>
  <c r="C2589" i="2"/>
  <c r="I2054" i="2"/>
  <c r="C2756" i="2"/>
  <c r="A3331" i="2"/>
  <c r="A1722" i="2"/>
  <c r="C2805" i="2"/>
  <c r="B2054" i="2"/>
  <c r="F2054" i="2"/>
  <c r="F2805" i="2"/>
  <c r="I2376" i="2"/>
  <c r="D2890" i="2"/>
  <c r="D2805" i="2"/>
  <c r="B1722" i="2"/>
  <c r="C3331" i="2"/>
  <c r="I2589" i="2"/>
  <c r="H2589" i="2"/>
  <c r="I1722" i="2"/>
  <c r="A2337" i="2"/>
  <c r="F2756" i="2"/>
  <c r="H3331" i="2"/>
  <c r="I3331" i="2"/>
  <c r="G2376" i="2"/>
  <c r="D3317" i="2"/>
  <c r="B2756" i="2"/>
  <c r="G2589" i="2"/>
  <c r="F2589" i="2"/>
  <c r="F2337" i="2"/>
  <c r="G2890" i="2"/>
  <c r="F3317" i="2"/>
  <c r="I2337" i="2"/>
  <c r="D2376" i="2"/>
  <c r="I2890" i="2"/>
  <c r="F3331" i="2"/>
  <c r="D2589" i="2"/>
  <c r="F1722" i="2"/>
  <c r="I2805" i="2"/>
  <c r="A2756" i="2"/>
  <c r="C2054" i="2"/>
  <c r="H2449" i="2"/>
  <c r="I1769" i="2"/>
  <c r="B3528" i="2"/>
  <c r="D2149" i="2"/>
  <c r="G1769" i="2"/>
  <c r="H2693" i="2"/>
  <c r="A2693" i="2"/>
  <c r="G2668" i="2"/>
  <c r="B3353" i="2"/>
  <c r="A1708" i="2"/>
  <c r="D1708" i="2"/>
  <c r="I2149" i="2"/>
  <c r="I2668" i="2"/>
  <c r="B2693" i="2"/>
  <c r="B1963" i="2"/>
  <c r="I2693" i="2"/>
  <c r="F2668" i="2"/>
  <c r="A2449" i="2"/>
  <c r="C2819" i="2"/>
  <c r="G1963" i="2"/>
  <c r="G2149" i="2"/>
  <c r="C1708" i="2"/>
  <c r="C2668" i="2"/>
  <c r="G2449" i="2"/>
  <c r="I1708" i="2"/>
  <c r="B2449" i="2"/>
  <c r="C1963" i="2"/>
  <c r="F3528" i="2"/>
  <c r="F2449" i="2"/>
  <c r="G3353" i="2"/>
  <c r="I1963" i="2"/>
  <c r="B1769" i="2"/>
  <c r="H3528" i="2"/>
  <c r="G3528" i="2"/>
  <c r="B1708" i="2"/>
  <c r="C1769" i="2"/>
  <c r="F2819" i="2"/>
  <c r="F2149" i="2"/>
  <c r="A2149" i="2"/>
  <c r="B2149" i="2"/>
  <c r="G2819" i="2"/>
  <c r="I3353" i="2"/>
  <c r="B2819" i="2"/>
  <c r="H1769" i="2"/>
  <c r="H2149" i="2"/>
  <c r="H1963" i="2"/>
  <c r="A1963" i="2"/>
  <c r="G1708" i="2"/>
  <c r="H2668" i="2"/>
  <c r="A2819" i="2"/>
  <c r="D1963" i="2"/>
  <c r="C2449" i="2"/>
  <c r="F1708" i="2"/>
  <c r="I2449" i="2"/>
  <c r="F3353" i="2"/>
  <c r="D2693" i="2"/>
  <c r="D3353" i="2"/>
  <c r="A1769" i="2"/>
  <c r="C2693" i="2"/>
  <c r="C3528" i="2"/>
  <c r="H2819" i="2"/>
  <c r="A3353" i="2"/>
  <c r="D1769" i="2"/>
  <c r="A2668" i="2"/>
  <c r="F2693" i="2"/>
  <c r="B2668" i="2"/>
  <c r="D2819" i="2"/>
  <c r="C3353" i="2"/>
  <c r="I3528" i="2"/>
  <c r="A3528" i="2"/>
  <c r="I2819" i="2"/>
  <c r="F1963" i="2"/>
  <c r="D2668" i="2"/>
  <c r="F1769" i="2"/>
  <c r="H3353" i="2"/>
  <c r="G2693" i="2"/>
  <c r="D2449" i="2"/>
  <c r="H1708" i="2"/>
  <c r="D3528" i="2"/>
  <c r="C2149" i="2"/>
  <c r="A3538" i="2"/>
  <c r="B3461" i="2"/>
  <c r="B3352" i="2"/>
  <c r="I1731" i="2"/>
  <c r="C1743" i="2"/>
  <c r="H3538" i="2"/>
  <c r="G3492" i="2"/>
  <c r="C1587" i="2"/>
  <c r="F1743" i="2"/>
  <c r="I3492" i="2"/>
  <c r="B2895" i="2"/>
  <c r="H1731" i="2"/>
  <c r="H2548" i="2"/>
  <c r="G1587" i="2"/>
  <c r="G2548" i="2"/>
  <c r="H1587" i="2"/>
  <c r="D1587" i="2"/>
  <c r="A3461" i="2"/>
  <c r="D1743" i="2"/>
  <c r="C3352" i="2"/>
  <c r="C3538" i="2"/>
  <c r="C3461" i="2"/>
  <c r="D3352" i="2"/>
  <c r="H1743" i="2"/>
  <c r="C2895" i="2"/>
  <c r="I2548" i="2"/>
  <c r="F1587" i="2"/>
  <c r="I3352" i="2"/>
  <c r="D1731" i="2"/>
  <c r="D3492" i="2"/>
  <c r="G3461" i="2"/>
  <c r="I1587" i="2"/>
  <c r="H3492" i="2"/>
  <c r="G1731" i="2"/>
  <c r="D2548" i="2"/>
  <c r="I3525" i="2"/>
  <c r="F1731" i="2"/>
  <c r="C1731" i="2"/>
  <c r="D3538" i="2"/>
  <c r="B2548" i="2"/>
  <c r="F3352" i="2"/>
  <c r="C3492" i="2"/>
  <c r="A1587" i="2"/>
  <c r="A1743" i="2"/>
  <c r="G3538" i="2"/>
  <c r="D2895" i="2"/>
  <c r="F3461" i="2"/>
  <c r="F2895" i="2"/>
  <c r="B1743" i="2"/>
  <c r="C3525" i="2"/>
  <c r="A2548" i="2"/>
  <c r="A3525" i="2"/>
  <c r="F3525" i="2"/>
  <c r="H3525" i="2"/>
  <c r="H3461" i="2"/>
  <c r="G3352" i="2"/>
  <c r="I1743" i="2"/>
  <c r="B3492" i="2"/>
  <c r="F2548" i="2"/>
  <c r="I3461" i="2"/>
  <c r="H3352" i="2"/>
  <c r="I3538" i="2"/>
  <c r="I2895" i="2"/>
  <c r="A2895" i="2"/>
  <c r="A3492" i="2"/>
  <c r="F3538" i="2"/>
  <c r="G2895" i="2"/>
  <c r="B3525" i="2"/>
  <c r="D3525" i="2"/>
  <c r="A1731" i="2"/>
  <c r="C2548" i="2"/>
  <c r="D3461" i="2"/>
  <c r="F3492" i="2"/>
  <c r="B1731" i="2"/>
  <c r="G1743" i="2"/>
  <c r="B3538" i="2"/>
  <c r="G3525" i="2"/>
  <c r="H2895" i="2"/>
  <c r="A3352" i="2"/>
  <c r="B1587" i="2"/>
  <c r="C2440" i="2"/>
  <c r="F1478" i="2"/>
  <c r="G2869" i="2"/>
  <c r="I3438" i="2"/>
  <c r="G2553" i="2"/>
  <c r="G2934" i="2"/>
  <c r="C2418" i="2"/>
  <c r="D2869" i="2"/>
  <c r="F2869" i="2"/>
  <c r="B2553" i="2"/>
  <c r="A2934" i="2"/>
  <c r="B2418" i="2"/>
  <c r="I2759" i="2"/>
  <c r="H1478" i="2"/>
  <c r="C2869" i="2"/>
  <c r="F2163" i="2"/>
  <c r="D2934" i="2"/>
  <c r="G3438" i="2"/>
  <c r="D2163" i="2"/>
  <c r="D2418" i="2"/>
  <c r="D2759" i="2"/>
  <c r="D3438" i="2"/>
  <c r="B2934" i="2"/>
  <c r="I2163" i="2"/>
  <c r="B1478" i="2"/>
  <c r="B2163" i="2"/>
  <c r="F2934" i="2"/>
  <c r="F2553" i="2"/>
  <c r="G2418" i="2"/>
  <c r="G2163" i="2"/>
  <c r="G2759" i="2"/>
  <c r="A2759" i="2"/>
  <c r="A2524" i="2"/>
  <c r="D1478" i="2"/>
  <c r="I2440" i="2"/>
  <c r="I2869" i="2"/>
  <c r="C3438" i="2"/>
  <c r="H2759" i="2"/>
  <c r="G2524" i="2"/>
  <c r="H2163" i="2"/>
  <c r="C2934" i="2"/>
  <c r="G2440" i="2"/>
  <c r="A3438" i="2"/>
  <c r="B2524" i="2"/>
  <c r="C2524" i="2"/>
  <c r="G1478" i="2"/>
  <c r="H2869" i="2"/>
  <c r="I2934" i="2"/>
  <c r="H2440" i="2"/>
  <c r="H2418" i="2"/>
  <c r="F3438" i="2"/>
  <c r="C2163" i="2"/>
  <c r="F2418" i="2"/>
  <c r="A1478" i="2"/>
  <c r="C1478" i="2"/>
  <c r="B3438" i="2"/>
  <c r="F2524" i="2"/>
  <c r="B2440" i="2"/>
  <c r="D2553" i="2"/>
  <c r="I2553" i="2"/>
  <c r="C2553" i="2"/>
  <c r="F2440" i="2"/>
  <c r="I2524" i="2"/>
  <c r="D2440" i="2"/>
  <c r="B2869" i="2"/>
  <c r="H2553" i="2"/>
  <c r="B2759" i="2"/>
  <c r="I2418" i="2"/>
  <c r="C2759" i="2"/>
  <c r="H2524" i="2"/>
  <c r="F2759" i="2"/>
  <c r="H2934" i="2"/>
  <c r="A2869" i="2"/>
  <c r="A2418" i="2"/>
  <c r="A2440" i="2"/>
  <c r="D2524" i="2"/>
  <c r="H3438" i="2"/>
  <c r="A2163" i="2"/>
  <c r="I1478" i="2"/>
  <c r="A2553" i="2"/>
  <c r="D2926" i="2"/>
  <c r="H3083" i="2"/>
  <c r="D3083" i="2"/>
  <c r="B2033" i="2"/>
  <c r="G2033" i="2"/>
  <c r="H2926" i="2"/>
  <c r="B3570" i="2"/>
  <c r="A2073" i="2"/>
  <c r="A2926" i="2"/>
  <c r="A2488" i="2"/>
  <c r="H2033" i="2"/>
  <c r="I3083" i="2"/>
  <c r="C2461" i="2"/>
  <c r="I2926" i="2"/>
  <c r="H3570" i="2"/>
  <c r="D2033" i="2"/>
  <c r="B2488" i="2"/>
  <c r="B2084" i="2"/>
  <c r="F2033" i="2"/>
  <c r="A3570" i="2"/>
  <c r="G2073" i="2"/>
  <c r="F1893" i="2"/>
  <c r="H2073" i="2"/>
  <c r="C3083" i="2"/>
  <c r="D2461" i="2"/>
  <c r="F3083" i="2"/>
  <c r="C2033" i="2"/>
  <c r="D2488" i="2"/>
  <c r="I2073" i="2"/>
  <c r="H2488" i="2"/>
  <c r="G2084" i="2"/>
  <c r="F2073" i="2"/>
  <c r="F2926" i="2"/>
  <c r="A1814" i="2"/>
  <c r="C1814" i="2"/>
  <c r="I2084" i="2"/>
  <c r="G2461" i="2"/>
  <c r="G2488" i="2"/>
  <c r="F2084" i="2"/>
  <c r="H1893" i="2"/>
  <c r="I2461" i="2"/>
  <c r="A3083" i="2"/>
  <c r="G2926" i="2"/>
  <c r="D2084" i="2"/>
  <c r="G1814" i="2"/>
  <c r="B2461" i="2"/>
  <c r="A2084" i="2"/>
  <c r="I3570" i="2"/>
  <c r="B2926" i="2"/>
  <c r="I1814" i="2"/>
  <c r="C3570" i="2"/>
  <c r="B1814" i="2"/>
  <c r="A2033" i="2"/>
  <c r="F2461" i="2"/>
  <c r="H2461" i="2"/>
  <c r="H2084" i="2"/>
  <c r="B2073" i="2"/>
  <c r="I1893" i="2"/>
  <c r="F3570" i="2"/>
  <c r="G1893" i="2"/>
  <c r="G3083" i="2"/>
  <c r="I2488" i="2"/>
  <c r="C1893" i="2"/>
  <c r="A1893" i="2"/>
  <c r="C2488" i="2"/>
  <c r="C2073" i="2"/>
  <c r="G3570" i="2"/>
  <c r="D1893" i="2"/>
  <c r="F1814" i="2"/>
  <c r="A2461" i="2"/>
  <c r="C2084" i="2"/>
  <c r="F2488" i="2"/>
  <c r="C2926" i="2"/>
  <c r="H1814" i="2"/>
  <c r="B1893" i="2"/>
  <c r="B3083" i="2"/>
  <c r="I2033" i="2"/>
  <c r="D3570" i="2"/>
  <c r="D2073" i="2"/>
  <c r="D1814" i="2"/>
  <c r="G1691" i="2"/>
  <c r="B2211" i="2"/>
  <c r="G3393" i="2"/>
  <c r="H1699" i="2"/>
  <c r="H2012" i="2"/>
  <c r="D2692" i="2"/>
  <c r="C1699" i="2"/>
  <c r="A2692" i="2"/>
  <c r="D2677" i="2"/>
  <c r="F1699" i="2"/>
  <c r="C2692" i="2"/>
  <c r="B3385" i="2"/>
  <c r="F3385" i="2"/>
  <c r="D1691" i="2"/>
  <c r="D2639" i="2"/>
  <c r="G2639" i="2"/>
  <c r="I1691" i="2"/>
  <c r="H2692" i="2"/>
  <c r="I1699" i="2"/>
  <c r="H2611" i="2"/>
  <c r="B2611" i="2"/>
  <c r="I3393" i="2"/>
  <c r="A1691" i="2"/>
  <c r="A2639" i="2"/>
  <c r="H1691" i="2"/>
  <c r="H3385" i="2"/>
  <c r="F1691" i="2"/>
  <c r="H2677" i="2"/>
  <c r="B3393" i="2"/>
  <c r="F2211" i="2"/>
  <c r="I2211" i="2"/>
  <c r="H2639" i="2"/>
  <c r="C2639" i="2"/>
  <c r="H3393" i="2"/>
  <c r="D3393" i="2"/>
  <c r="A2211" i="2"/>
  <c r="F2012" i="2"/>
  <c r="B2639" i="2"/>
  <c r="I2012" i="2"/>
  <c r="C2012" i="2"/>
  <c r="F2677" i="2"/>
  <c r="B2012" i="2"/>
  <c r="C3393" i="2"/>
  <c r="A2611" i="2"/>
  <c r="G3385" i="2"/>
  <c r="H2211" i="2"/>
  <c r="I2611" i="2"/>
  <c r="C2677" i="2"/>
  <c r="C3385" i="2"/>
  <c r="A3385" i="2"/>
  <c r="C2211" i="2"/>
  <c r="F2611" i="2"/>
  <c r="F2692" i="2"/>
  <c r="G2211" i="2"/>
  <c r="A2677" i="2"/>
  <c r="I2677" i="2"/>
  <c r="B1691" i="2"/>
  <c r="B2677" i="2"/>
  <c r="A2012" i="2"/>
  <c r="F3393" i="2"/>
  <c r="D1699" i="2"/>
  <c r="G2611" i="2"/>
  <c r="D2611" i="2"/>
  <c r="G2692" i="2"/>
  <c r="B1699" i="2"/>
  <c r="I2692" i="2"/>
  <c r="D2012" i="2"/>
  <c r="I2639" i="2"/>
  <c r="D3385" i="2"/>
  <c r="A1699" i="2"/>
  <c r="F2639" i="2"/>
  <c r="G1699" i="2"/>
  <c r="C2611" i="2"/>
  <c r="A3393" i="2"/>
  <c r="I3385" i="2"/>
  <c r="C1691" i="2"/>
  <c r="G2012" i="2"/>
  <c r="G2677" i="2"/>
  <c r="D2211" i="2"/>
  <c r="B2692" i="2"/>
  <c r="G3477" i="2"/>
  <c r="C3477" i="2"/>
  <c r="H2494" i="2"/>
  <c r="H2234" i="2"/>
  <c r="A3190" i="2"/>
  <c r="D2984" i="2"/>
  <c r="I2425" i="2"/>
  <c r="D2425" i="2"/>
  <c r="A1742" i="2"/>
  <c r="H2984" i="2"/>
  <c r="I2984" i="2"/>
  <c r="A3477" i="2"/>
  <c r="F2789" i="2"/>
  <c r="I3099" i="2"/>
  <c r="H2425" i="2"/>
  <c r="G3190" i="2"/>
  <c r="D3477" i="2"/>
  <c r="G1742" i="2"/>
  <c r="B1742" i="2"/>
  <c r="A3099" i="2"/>
  <c r="D1742" i="2"/>
  <c r="B2234" i="2"/>
  <c r="A2984" i="2"/>
  <c r="C1742" i="2"/>
  <c r="I3190" i="2"/>
  <c r="C3190" i="2"/>
  <c r="B1941" i="2"/>
  <c r="C2984" i="2"/>
  <c r="G3099" i="2"/>
  <c r="I1941" i="2"/>
  <c r="C2494" i="2"/>
  <c r="B3190" i="2"/>
  <c r="H2789" i="2"/>
  <c r="F3099" i="2"/>
  <c r="B3099" i="2"/>
  <c r="D2789" i="2"/>
  <c r="F1742" i="2"/>
  <c r="B2984" i="2"/>
  <c r="B2494" i="2"/>
  <c r="C3099" i="2"/>
  <c r="D2494" i="2"/>
  <c r="G2425" i="2"/>
  <c r="B2789" i="2"/>
  <c r="F3190" i="2"/>
  <c r="D2234" i="2"/>
  <c r="D3099" i="2"/>
  <c r="I2789" i="2"/>
  <c r="F2494" i="2"/>
  <c r="F2234" i="2"/>
  <c r="F1941" i="2"/>
  <c r="G1941" i="2"/>
  <c r="C2234" i="2"/>
  <c r="C1941" i="2"/>
  <c r="I2234" i="2"/>
  <c r="H1941" i="2"/>
  <c r="F3477" i="2"/>
  <c r="D1941" i="2"/>
  <c r="A2234" i="2"/>
  <c r="A2789" i="2"/>
  <c r="F2425" i="2"/>
  <c r="H3477" i="2"/>
  <c r="I2494" i="2"/>
  <c r="D3190" i="2"/>
  <c r="C2789" i="2"/>
  <c r="B2425" i="2"/>
  <c r="I3477" i="2"/>
  <c r="I1742" i="2"/>
  <c r="C2425" i="2"/>
  <c r="A2494" i="2"/>
  <c r="F2984" i="2"/>
  <c r="A2425" i="2"/>
  <c r="H3099" i="2"/>
  <c r="G2494" i="2"/>
  <c r="B3477" i="2"/>
  <c r="G2789" i="2"/>
  <c r="H3190" i="2"/>
  <c r="A1941" i="2"/>
  <c r="G2234" i="2"/>
  <c r="H1742" i="2"/>
  <c r="G2984" i="2"/>
  <c r="G2487" i="2"/>
  <c r="G2743" i="2"/>
  <c r="I3439" i="2"/>
  <c r="I2164" i="2"/>
  <c r="B2743" i="2"/>
  <c r="F2743" i="2"/>
  <c r="D2164" i="2"/>
  <c r="D2517" i="2"/>
  <c r="H2487" i="2"/>
  <c r="G2776" i="2"/>
  <c r="A2743" i="2"/>
  <c r="F2487" i="2"/>
  <c r="F2164" i="2"/>
  <c r="C3467" i="2"/>
  <c r="H2239" i="2"/>
  <c r="A2776" i="2"/>
  <c r="C2743" i="2"/>
  <c r="H2164" i="2"/>
  <c r="G3467" i="2"/>
  <c r="F3509" i="2"/>
  <c r="F2167" i="2"/>
  <c r="I2239" i="2"/>
  <c r="C2776" i="2"/>
  <c r="H3467" i="2"/>
  <c r="C2167" i="2"/>
  <c r="I3509" i="2"/>
  <c r="H2743" i="2"/>
  <c r="D2743" i="2"/>
  <c r="B3467" i="2"/>
  <c r="D3509" i="2"/>
  <c r="H2517" i="2"/>
  <c r="B2487" i="2"/>
  <c r="F3439" i="2"/>
  <c r="B3439" i="2"/>
  <c r="B2167" i="2"/>
  <c r="F2517" i="2"/>
  <c r="D3439" i="2"/>
  <c r="H2167" i="2"/>
  <c r="C2164" i="2"/>
  <c r="G3439" i="2"/>
  <c r="C3509" i="2"/>
  <c r="D2239" i="2"/>
  <c r="C2239" i="2"/>
  <c r="D3467" i="2"/>
  <c r="I2487" i="2"/>
  <c r="F2239" i="2"/>
  <c r="D2487" i="2"/>
  <c r="B2164" i="2"/>
  <c r="B3509" i="2"/>
  <c r="B2776" i="2"/>
  <c r="H2776" i="2"/>
  <c r="D2167" i="2"/>
  <c r="G2164" i="2"/>
  <c r="B2517" i="2"/>
  <c r="G2239" i="2"/>
  <c r="A2239" i="2"/>
  <c r="A2167" i="2"/>
  <c r="A3439" i="2"/>
  <c r="I2776" i="2"/>
  <c r="D2776" i="2"/>
  <c r="G2167" i="2"/>
  <c r="F3467" i="2"/>
  <c r="H3509" i="2"/>
  <c r="A3467" i="2"/>
  <c r="A2487" i="2"/>
  <c r="A3509" i="2"/>
  <c r="C2517" i="2"/>
  <c r="I2517" i="2"/>
  <c r="G2517" i="2"/>
  <c r="C3439" i="2"/>
  <c r="H3439" i="2"/>
  <c r="I2743" i="2"/>
  <c r="C2487" i="2"/>
  <c r="G3509" i="2"/>
  <c r="F2776" i="2"/>
  <c r="A2517" i="2"/>
  <c r="I2167" i="2"/>
  <c r="B2239" i="2"/>
  <c r="I3467" i="2"/>
  <c r="A2164" i="2"/>
  <c r="C2972" i="2"/>
  <c r="G3303" i="2"/>
  <c r="F3142" i="2"/>
  <c r="I2530" i="2"/>
  <c r="D3303" i="2"/>
  <c r="D2962" i="2"/>
  <c r="C2962" i="2"/>
  <c r="B2144" i="2"/>
  <c r="I2630" i="2"/>
  <c r="C2010" i="2"/>
  <c r="A3142" i="2"/>
  <c r="H3142" i="2"/>
  <c r="H2144" i="2"/>
  <c r="D2831" i="2"/>
  <c r="B3702" i="2"/>
  <c r="B2962" i="2"/>
  <c r="D3702" i="2"/>
  <c r="G2831" i="2"/>
  <c r="C2144" i="2"/>
  <c r="F2530" i="2"/>
  <c r="F2831" i="2"/>
  <c r="G3702" i="2"/>
  <c r="H3303" i="2"/>
  <c r="H3702" i="2"/>
  <c r="B2831" i="2"/>
  <c r="C2530" i="2"/>
  <c r="F2010" i="2"/>
  <c r="G2010" i="2"/>
  <c r="F2144" i="2"/>
  <c r="I2010" i="2"/>
  <c r="F3702" i="2"/>
  <c r="H2831" i="2"/>
  <c r="G2630" i="2"/>
  <c r="A2530" i="2"/>
  <c r="I2144" i="2"/>
  <c r="A3702" i="2"/>
  <c r="A2144" i="2"/>
  <c r="D3142" i="2"/>
  <c r="C3702" i="2"/>
  <c r="F2630" i="2"/>
  <c r="A3303" i="2"/>
  <c r="A2010" i="2"/>
  <c r="H2530" i="2"/>
  <c r="A2962" i="2"/>
  <c r="A2831" i="2"/>
  <c r="H2630" i="2"/>
  <c r="I3142" i="2"/>
  <c r="G2972" i="2"/>
  <c r="H2962" i="2"/>
  <c r="C3303" i="2"/>
  <c r="B2972" i="2"/>
  <c r="H2010" i="2"/>
  <c r="A2630" i="2"/>
  <c r="B2630" i="2"/>
  <c r="D2972" i="2"/>
  <c r="G2144" i="2"/>
  <c r="I3303" i="2"/>
  <c r="I2831" i="2"/>
  <c r="D2630" i="2"/>
  <c r="I2962" i="2"/>
  <c r="G2530" i="2"/>
  <c r="D2530" i="2"/>
  <c r="G3142" i="2"/>
  <c r="B3142" i="2"/>
  <c r="F3303" i="2"/>
  <c r="I2972" i="2"/>
  <c r="A2972" i="2"/>
  <c r="H2972" i="2"/>
  <c r="F2962" i="2"/>
  <c r="D2010" i="2"/>
  <c r="B2530" i="2"/>
  <c r="C3142" i="2"/>
  <c r="B3303" i="2"/>
  <c r="C2630" i="2"/>
  <c r="D2144" i="2"/>
  <c r="F2972" i="2"/>
  <c r="C2831" i="2"/>
  <c r="I3702" i="2"/>
  <c r="B2010" i="2"/>
  <c r="G2962" i="2"/>
  <c r="I2468" i="2"/>
  <c r="I2859" i="2"/>
  <c r="F2771" i="2"/>
  <c r="G2859" i="2"/>
  <c r="A2771" i="2"/>
  <c r="C3463" i="2"/>
  <c r="F2859" i="2"/>
  <c r="D2470" i="2"/>
  <c r="I2470" i="2"/>
  <c r="C3535" i="2"/>
  <c r="G2651" i="2"/>
  <c r="C2133" i="2"/>
  <c r="D2321" i="2"/>
  <c r="D3463" i="2"/>
  <c r="B2321" i="2"/>
  <c r="H3535" i="2"/>
  <c r="D2771" i="2"/>
  <c r="G1686" i="2"/>
  <c r="I3463" i="2"/>
  <c r="F1686" i="2"/>
  <c r="G2468" i="2"/>
  <c r="B2859" i="2"/>
  <c r="C2859" i="2"/>
  <c r="A3535" i="2"/>
  <c r="A2321" i="2"/>
  <c r="G2470" i="2"/>
  <c r="H1686" i="2"/>
  <c r="B3535" i="2"/>
  <c r="G2321" i="2"/>
  <c r="F2651" i="2"/>
  <c r="F2470" i="2"/>
  <c r="C2470" i="2"/>
  <c r="A1686" i="2"/>
  <c r="D2133" i="2"/>
  <c r="H2468" i="2"/>
  <c r="B2651" i="2"/>
  <c r="H2859" i="2"/>
  <c r="A2133" i="2"/>
  <c r="H2771" i="2"/>
  <c r="D2651" i="2"/>
  <c r="D3535" i="2"/>
  <c r="A2468" i="2"/>
  <c r="I2651" i="2"/>
  <c r="C1686" i="2"/>
  <c r="C2468" i="2"/>
  <c r="H2651" i="2"/>
  <c r="G3535" i="2"/>
  <c r="I2133" i="2"/>
  <c r="H2133" i="2"/>
  <c r="D2859" i="2"/>
  <c r="H2470" i="2"/>
  <c r="B2771" i="2"/>
  <c r="I3535" i="2"/>
  <c r="F3463" i="2"/>
  <c r="C2771" i="2"/>
  <c r="D1686" i="2"/>
  <c r="H2321" i="2"/>
  <c r="I2771" i="2"/>
  <c r="C2651" i="2"/>
  <c r="G2133" i="2"/>
  <c r="I2321" i="2"/>
  <c r="F2321" i="2"/>
  <c r="A2470" i="2"/>
  <c r="B3463" i="2"/>
  <c r="B1686" i="2"/>
  <c r="A3463" i="2"/>
  <c r="H3463" i="2"/>
  <c r="B2468" i="2"/>
  <c r="D2468" i="2"/>
  <c r="F2133" i="2"/>
  <c r="F2468" i="2"/>
  <c r="B2470" i="2"/>
  <c r="B2133" i="2"/>
  <c r="A2651" i="2"/>
  <c r="F3535" i="2"/>
  <c r="C2321" i="2"/>
  <c r="G2771" i="2"/>
  <c r="G3463" i="2"/>
  <c r="I1686" i="2"/>
  <c r="A2859" i="2"/>
  <c r="I1627" i="2"/>
  <c r="B1943" i="2"/>
  <c r="C1627" i="2"/>
  <c r="A1943" i="2"/>
  <c r="H1943" i="2"/>
  <c r="G3391" i="2"/>
  <c r="F1545" i="2"/>
  <c r="B1675" i="2"/>
  <c r="I2241" i="2"/>
  <c r="B3391" i="2"/>
  <c r="B3069" i="2"/>
  <c r="D1943" i="2"/>
  <c r="D1627" i="2"/>
  <c r="I1901" i="2"/>
  <c r="A1545" i="2"/>
  <c r="D1901" i="2"/>
  <c r="G1627" i="2"/>
  <c r="H2024" i="2"/>
  <c r="C2241" i="2"/>
  <c r="G1545" i="2"/>
  <c r="H1627" i="2"/>
  <c r="F2241" i="2"/>
  <c r="F1675" i="2"/>
  <c r="B1706" i="2"/>
  <c r="F3391" i="2"/>
  <c r="G1675" i="2"/>
  <c r="C1901" i="2"/>
  <c r="C2024" i="2"/>
  <c r="H1901" i="2"/>
  <c r="G1901" i="2"/>
  <c r="D1706" i="2"/>
  <c r="I2024" i="2"/>
  <c r="C3391" i="2"/>
  <c r="F2024" i="2"/>
  <c r="D3069" i="2"/>
  <c r="A1901" i="2"/>
  <c r="A3391" i="2"/>
  <c r="H1675" i="2"/>
  <c r="I1943" i="2"/>
  <c r="B1545" i="2"/>
  <c r="F1943" i="2"/>
  <c r="C3069" i="2"/>
  <c r="A2241" i="2"/>
  <c r="H3069" i="2"/>
  <c r="H2241" i="2"/>
  <c r="I3069" i="2"/>
  <c r="A1706" i="2"/>
  <c r="H1545" i="2"/>
  <c r="H1706" i="2"/>
  <c r="D3391" i="2"/>
  <c r="G2024" i="2"/>
  <c r="C1675" i="2"/>
  <c r="I1706" i="2"/>
  <c r="B2241" i="2"/>
  <c r="I3391" i="2"/>
  <c r="B1901" i="2"/>
  <c r="B1627" i="2"/>
  <c r="A3069" i="2"/>
  <c r="B2024" i="2"/>
  <c r="G1943" i="2"/>
  <c r="D2241" i="2"/>
  <c r="C1706" i="2"/>
  <c r="C1545" i="2"/>
  <c r="F1706" i="2"/>
  <c r="F3069" i="2"/>
  <c r="I1545" i="2"/>
  <c r="D1675" i="2"/>
  <c r="A2024" i="2"/>
  <c r="A1675" i="2"/>
  <c r="A1627" i="2"/>
  <c r="D2024" i="2"/>
  <c r="G1706" i="2"/>
  <c r="H3391" i="2"/>
  <c r="G3069" i="2"/>
  <c r="F1901" i="2"/>
  <c r="G2241" i="2"/>
  <c r="F1627" i="2"/>
  <c r="I1675" i="2"/>
  <c r="D1545" i="2"/>
  <c r="C1943" i="2"/>
  <c r="A2605" i="2"/>
  <c r="H2581" i="2"/>
  <c r="I2443" i="2"/>
  <c r="H2443" i="2"/>
  <c r="G2969" i="2"/>
  <c r="A2419" i="2"/>
  <c r="D1523" i="2"/>
  <c r="G2727" i="2"/>
  <c r="H1523" i="2"/>
  <c r="A2187" i="2"/>
  <c r="A3211" i="2"/>
  <c r="B2419" i="2"/>
  <c r="F2727" i="2"/>
  <c r="B3211" i="2"/>
  <c r="C1523" i="2"/>
  <c r="I3211" i="2"/>
  <c r="D2419" i="2"/>
  <c r="F2187" i="2"/>
  <c r="C2727" i="2"/>
  <c r="A2581" i="2"/>
  <c r="H2419" i="2"/>
  <c r="I2727" i="2"/>
  <c r="B2727" i="2"/>
  <c r="I1523" i="2"/>
  <c r="G2187" i="2"/>
  <c r="H2605" i="2"/>
  <c r="B2224" i="2"/>
  <c r="C2187" i="2"/>
  <c r="C3211" i="2"/>
  <c r="A2443" i="2"/>
  <c r="B2969" i="2"/>
  <c r="F2605" i="2"/>
  <c r="D3211" i="2"/>
  <c r="G2581" i="2"/>
  <c r="G2224" i="2"/>
  <c r="F3211" i="2"/>
  <c r="B1523" i="2"/>
  <c r="H2187" i="2"/>
  <c r="H2224" i="2"/>
  <c r="H2969" i="2"/>
  <c r="F1523" i="2"/>
  <c r="C2224" i="2"/>
  <c r="F2581" i="2"/>
  <c r="G2419" i="2"/>
  <c r="F2443" i="2"/>
  <c r="C2605" i="2"/>
  <c r="B2443" i="2"/>
  <c r="D2224" i="2"/>
  <c r="C2443" i="2"/>
  <c r="I2605" i="2"/>
  <c r="A2727" i="2"/>
  <c r="D2581" i="2"/>
  <c r="G2605" i="2"/>
  <c r="I2419" i="2"/>
  <c r="I2581" i="2"/>
  <c r="F2969" i="2"/>
  <c r="A2969" i="2"/>
  <c r="C2419" i="2"/>
  <c r="I2224" i="2"/>
  <c r="G1523" i="2"/>
  <c r="D2443" i="2"/>
  <c r="B2605" i="2"/>
  <c r="D2969" i="2"/>
  <c r="I2187" i="2"/>
  <c r="H2727" i="2"/>
  <c r="H3211" i="2"/>
  <c r="F2224" i="2"/>
  <c r="D2187" i="2"/>
  <c r="B2581" i="2"/>
  <c r="C2969" i="2"/>
  <c r="D2727" i="2"/>
  <c r="D2605" i="2"/>
  <c r="A2224" i="2"/>
  <c r="A1523" i="2"/>
  <c r="I2969" i="2"/>
  <c r="G2443" i="2"/>
  <c r="C2581" i="2"/>
  <c r="B2187" i="2"/>
  <c r="G3211" i="2"/>
  <c r="F2419" i="2"/>
  <c r="F3130" i="2"/>
  <c r="G3148" i="2"/>
  <c r="H1846" i="2"/>
  <c r="A3471" i="2"/>
  <c r="F3434" i="2"/>
  <c r="I1846" i="2"/>
  <c r="C2130" i="2"/>
  <c r="H3087" i="2"/>
  <c r="F3250" i="2"/>
  <c r="I3148" i="2"/>
  <c r="A3130" i="2"/>
  <c r="D3130" i="2"/>
  <c r="C2705" i="2"/>
  <c r="I3471" i="2"/>
  <c r="F3471" i="2"/>
  <c r="A2130" i="2"/>
  <c r="B2130" i="2"/>
  <c r="C3471" i="2"/>
  <c r="D3014" i="2"/>
  <c r="H3148" i="2"/>
  <c r="G3130" i="2"/>
  <c r="C3014" i="2"/>
  <c r="D2130" i="2"/>
  <c r="G3087" i="2"/>
  <c r="I2705" i="2"/>
  <c r="I3130" i="2"/>
  <c r="B3087" i="2"/>
  <c r="G3471" i="2"/>
  <c r="A1846" i="2"/>
  <c r="F3087" i="2"/>
  <c r="G3014" i="2"/>
  <c r="I3014" i="2"/>
  <c r="F1846" i="2"/>
  <c r="H3434" i="2"/>
  <c r="D2705" i="2"/>
  <c r="I2130" i="2"/>
  <c r="C1846" i="2"/>
  <c r="C3148" i="2"/>
  <c r="C3087" i="2"/>
  <c r="A2705" i="2"/>
  <c r="D3148" i="2"/>
  <c r="H3014" i="2"/>
  <c r="I3250" i="2"/>
  <c r="A3250" i="2"/>
  <c r="C3434" i="2"/>
  <c r="B1846" i="2"/>
  <c r="G3250" i="2"/>
  <c r="B3148" i="2"/>
  <c r="D3250" i="2"/>
  <c r="A3014" i="2"/>
  <c r="G2130" i="2"/>
  <c r="C3250" i="2"/>
  <c r="C3130" i="2"/>
  <c r="D3434" i="2"/>
  <c r="B3434" i="2"/>
  <c r="A3434" i="2"/>
  <c r="B3471" i="2"/>
  <c r="F2705" i="2"/>
  <c r="H3250" i="2"/>
  <c r="B2705" i="2"/>
  <c r="B3130" i="2"/>
  <c r="G1846" i="2"/>
  <c r="D3471" i="2"/>
  <c r="A3087" i="2"/>
  <c r="F3148" i="2"/>
  <c r="I3434" i="2"/>
  <c r="H2130" i="2"/>
  <c r="I3087" i="2"/>
  <c r="B3014" i="2"/>
  <c r="H2705" i="2"/>
  <c r="F3014" i="2"/>
  <c r="F2130" i="2"/>
  <c r="H3471" i="2"/>
  <c r="D3087" i="2"/>
  <c r="G3434" i="2"/>
  <c r="D1846" i="2"/>
  <c r="A3148" i="2"/>
  <c r="G2705" i="2"/>
  <c r="H3130" i="2"/>
  <c r="B3250" i="2"/>
  <c r="F2535" i="2"/>
  <c r="G3215" i="2"/>
  <c r="F2903" i="2"/>
  <c r="G2903" i="2"/>
  <c r="H2903" i="2"/>
  <c r="B2535" i="2"/>
  <c r="C2653" i="2"/>
  <c r="A3480" i="2"/>
  <c r="F3320" i="2"/>
  <c r="C3545" i="2"/>
  <c r="D3215" i="2"/>
  <c r="A2903" i="2"/>
  <c r="A2535" i="2"/>
  <c r="B3320" i="2"/>
  <c r="D2238" i="2"/>
  <c r="G2653" i="2"/>
  <c r="C3320" i="2"/>
  <c r="D3545" i="2"/>
  <c r="F3215" i="2"/>
  <c r="G2484" i="2"/>
  <c r="H2067" i="2"/>
  <c r="H2238" i="2"/>
  <c r="H3480" i="2"/>
  <c r="C3215" i="2"/>
  <c r="G2067" i="2"/>
  <c r="C2535" i="2"/>
  <c r="C2484" i="2"/>
  <c r="B2653" i="2"/>
  <c r="B2238" i="2"/>
  <c r="A2653" i="2"/>
  <c r="D3480" i="2"/>
  <c r="G3320" i="2"/>
  <c r="I3215" i="2"/>
  <c r="B2903" i="2"/>
  <c r="D2653" i="2"/>
  <c r="F2653" i="2"/>
  <c r="A3545" i="2"/>
  <c r="B3545" i="2"/>
  <c r="I2067" i="2"/>
  <c r="D2484" i="2"/>
  <c r="H3545" i="2"/>
  <c r="C2238" i="2"/>
  <c r="D3320" i="2"/>
  <c r="F2484" i="2"/>
  <c r="H2535" i="2"/>
  <c r="I2484" i="2"/>
  <c r="I3545" i="2"/>
  <c r="B3480" i="2"/>
  <c r="A3320" i="2"/>
  <c r="C3480" i="2"/>
  <c r="A2067" i="2"/>
  <c r="G2238" i="2"/>
  <c r="D2903" i="2"/>
  <c r="G3545" i="2"/>
  <c r="G3480" i="2"/>
  <c r="I3480" i="2"/>
  <c r="F2067" i="2"/>
  <c r="I3320" i="2"/>
  <c r="I2238" i="2"/>
  <c r="D2535" i="2"/>
  <c r="A3215" i="2"/>
  <c r="G2535" i="2"/>
  <c r="I2903" i="2"/>
  <c r="D2067" i="2"/>
  <c r="B2484" i="2"/>
  <c r="H2484" i="2"/>
  <c r="A2238" i="2"/>
  <c r="C2067" i="2"/>
  <c r="H3215" i="2"/>
  <c r="I2653" i="2"/>
  <c r="H2653" i="2"/>
  <c r="B3215" i="2"/>
  <c r="H3320" i="2"/>
  <c r="I2535" i="2"/>
  <c r="F3545" i="2"/>
  <c r="A2484" i="2"/>
  <c r="C2903" i="2"/>
  <c r="F2238" i="2"/>
  <c r="B2067" i="2"/>
  <c r="F3480" i="2"/>
  <c r="A2737" i="2"/>
  <c r="F3327" i="2"/>
  <c r="D3212" i="2"/>
  <c r="D2229" i="2"/>
  <c r="H2229" i="2"/>
  <c r="B2667" i="2"/>
  <c r="A2667" i="2"/>
  <c r="I2289" i="2"/>
  <c r="F2940" i="2"/>
  <c r="G3567" i="2"/>
  <c r="G3212" i="2"/>
  <c r="F2667" i="2"/>
  <c r="I2737" i="2"/>
  <c r="I2229" i="2"/>
  <c r="H2940" i="2"/>
  <c r="C2737" i="2"/>
  <c r="B2289" i="2"/>
  <c r="D2667" i="2"/>
  <c r="C3212" i="2"/>
  <c r="C2940" i="2"/>
  <c r="G2667" i="2"/>
  <c r="D2289" i="2"/>
  <c r="F2289" i="2"/>
  <c r="F3567" i="2"/>
  <c r="D3567" i="2"/>
  <c r="G3327" i="2"/>
  <c r="H2289" i="2"/>
  <c r="A2940" i="2"/>
  <c r="A2229" i="2"/>
  <c r="B3491" i="2"/>
  <c r="C3567" i="2"/>
  <c r="H3212" i="2"/>
  <c r="D3381" i="2"/>
  <c r="B3327" i="2"/>
  <c r="D3491" i="2"/>
  <c r="C3327" i="2"/>
  <c r="F2737" i="2"/>
  <c r="I3381" i="2"/>
  <c r="A3327" i="2"/>
  <c r="C3491" i="2"/>
  <c r="F3381" i="2"/>
  <c r="A3567" i="2"/>
  <c r="B3567" i="2"/>
  <c r="G2737" i="2"/>
  <c r="B2737" i="2"/>
  <c r="H3327" i="2"/>
  <c r="G2229" i="2"/>
  <c r="G3381" i="2"/>
  <c r="D2940" i="2"/>
  <c r="B2940" i="2"/>
  <c r="C2667" i="2"/>
  <c r="A3212" i="2"/>
  <c r="I3491" i="2"/>
  <c r="H3491" i="2"/>
  <c r="I3567" i="2"/>
  <c r="C3381" i="2"/>
  <c r="F3491" i="2"/>
  <c r="I2667" i="2"/>
  <c r="G2940" i="2"/>
  <c r="B3212" i="2"/>
  <c r="B2229" i="2"/>
  <c r="C2229" i="2"/>
  <c r="G3491" i="2"/>
  <c r="H2737" i="2"/>
  <c r="D3327" i="2"/>
  <c r="A3381" i="2"/>
  <c r="G2289" i="2"/>
  <c r="H3381" i="2"/>
  <c r="C2289" i="2"/>
  <c r="F3212" i="2"/>
  <c r="I3327" i="2"/>
  <c r="A2289" i="2"/>
  <c r="F2229" i="2"/>
  <c r="H3567" i="2"/>
  <c r="I3212" i="2"/>
  <c r="A3491" i="2"/>
  <c r="H2667" i="2"/>
  <c r="I2940" i="2"/>
  <c r="B3381" i="2"/>
  <c r="D2737" i="2"/>
  <c r="C1756" i="2"/>
  <c r="F3123" i="2"/>
  <c r="D1683" i="2"/>
  <c r="F3450" i="2"/>
  <c r="B3133" i="2"/>
  <c r="B3123" i="2"/>
  <c r="C3293" i="2"/>
  <c r="A3271" i="2"/>
  <c r="D3450" i="2"/>
  <c r="F2736" i="2"/>
  <c r="I3450" i="2"/>
  <c r="H3293" i="2"/>
  <c r="A1756" i="2"/>
  <c r="G1961" i="2"/>
  <c r="D1961" i="2"/>
  <c r="H3133" i="2"/>
  <c r="A2460" i="2"/>
  <c r="D1756" i="2"/>
  <c r="I2460" i="2"/>
  <c r="F1683" i="2"/>
  <c r="G2460" i="2"/>
  <c r="H3271" i="2"/>
  <c r="H2736" i="2"/>
  <c r="C1683" i="2"/>
  <c r="G3450" i="2"/>
  <c r="F3293" i="2"/>
  <c r="A3450" i="2"/>
  <c r="H1961" i="2"/>
  <c r="D2460" i="2"/>
  <c r="F3271" i="2"/>
  <c r="C3123" i="2"/>
  <c r="I1961" i="2"/>
  <c r="C3450" i="2"/>
  <c r="D3271" i="2"/>
  <c r="B2736" i="2"/>
  <c r="H3123" i="2"/>
  <c r="A3133" i="2"/>
  <c r="C2460" i="2"/>
  <c r="H1683" i="2"/>
  <c r="I3123" i="2"/>
  <c r="I3293" i="2"/>
  <c r="I2736" i="2"/>
  <c r="B3271" i="2"/>
  <c r="G3271" i="2"/>
  <c r="I1756" i="2"/>
  <c r="B1756" i="2"/>
  <c r="A2736" i="2"/>
  <c r="F3133" i="2"/>
  <c r="G3123" i="2"/>
  <c r="B3293" i="2"/>
  <c r="D3293" i="2"/>
  <c r="D3133" i="2"/>
  <c r="F1961" i="2"/>
  <c r="H2460" i="2"/>
  <c r="H3450" i="2"/>
  <c r="B1683" i="2"/>
  <c r="G3293" i="2"/>
  <c r="G3133" i="2"/>
  <c r="D2736" i="2"/>
  <c r="H1756" i="2"/>
  <c r="I3133" i="2"/>
  <c r="C1961" i="2"/>
  <c r="A1683" i="2"/>
  <c r="G1756" i="2"/>
  <c r="F2460" i="2"/>
  <c r="C3271" i="2"/>
  <c r="I1683" i="2"/>
  <c r="D3123" i="2"/>
  <c r="A1961" i="2"/>
  <c r="F1756" i="2"/>
  <c r="G2736" i="2"/>
  <c r="C3133" i="2"/>
  <c r="A3123" i="2"/>
  <c r="C2736" i="2"/>
  <c r="B3450" i="2"/>
  <c r="B2460" i="2"/>
  <c r="B1961" i="2"/>
  <c r="A3293" i="2"/>
  <c r="G1683" i="2"/>
  <c r="I3271" i="2"/>
  <c r="F2892" i="2"/>
  <c r="A2406" i="2"/>
  <c r="H1680" i="2"/>
  <c r="H3075" i="2"/>
  <c r="C2191" i="2"/>
  <c r="B2892" i="2"/>
  <c r="D1680" i="2"/>
  <c r="I1951" i="2"/>
  <c r="B2191" i="2"/>
  <c r="I2191" i="2"/>
  <c r="C2892" i="2"/>
  <c r="I3226" i="2"/>
  <c r="D2550" i="2"/>
  <c r="G2892" i="2"/>
  <c r="C2333" i="2"/>
  <c r="G2333" i="2"/>
  <c r="F2550" i="2"/>
  <c r="B2316" i="2"/>
  <c r="B3075" i="2"/>
  <c r="C2550" i="2"/>
  <c r="D2191" i="2"/>
  <c r="D2316" i="2"/>
  <c r="H2333" i="2"/>
  <c r="G3075" i="2"/>
  <c r="B3226" i="2"/>
  <c r="A1951" i="2"/>
  <c r="B1951" i="2"/>
  <c r="D1951" i="2"/>
  <c r="A2316" i="2"/>
  <c r="G2406" i="2"/>
  <c r="A2333" i="2"/>
  <c r="C1951" i="2"/>
  <c r="I2333" i="2"/>
  <c r="I1680" i="2"/>
  <c r="C1680" i="2"/>
  <c r="F2333" i="2"/>
  <c r="F3075" i="2"/>
  <c r="D2892" i="2"/>
  <c r="A2191" i="2"/>
  <c r="F2316" i="2"/>
  <c r="F1951" i="2"/>
  <c r="H3226" i="2"/>
  <c r="H2892" i="2"/>
  <c r="G3226" i="2"/>
  <c r="A3075" i="2"/>
  <c r="C2316" i="2"/>
  <c r="I2550" i="2"/>
  <c r="I3075" i="2"/>
  <c r="F1680" i="2"/>
  <c r="A3226" i="2"/>
  <c r="C3075" i="2"/>
  <c r="A1680" i="2"/>
  <c r="G2550" i="2"/>
  <c r="G1951" i="2"/>
  <c r="D3226" i="2"/>
  <c r="D2406" i="2"/>
  <c r="C2406" i="2"/>
  <c r="A2892" i="2"/>
  <c r="H2191" i="2"/>
  <c r="B2406" i="2"/>
  <c r="D2333" i="2"/>
  <c r="F2406" i="2"/>
  <c r="B1680" i="2"/>
  <c r="B2550" i="2"/>
  <c r="A2550" i="2"/>
  <c r="H2406" i="2"/>
  <c r="I2316" i="2"/>
  <c r="G2316" i="2"/>
  <c r="F2191" i="2"/>
  <c r="C3226" i="2"/>
  <c r="B2333" i="2"/>
  <c r="H2316" i="2"/>
  <c r="G2191" i="2"/>
  <c r="D3075" i="2"/>
  <c r="G1680" i="2"/>
  <c r="H2550" i="2"/>
  <c r="F3226" i="2"/>
  <c r="I2406" i="2"/>
  <c r="H1951" i="2"/>
  <c r="I2892" i="2"/>
  <c r="D3465" i="2"/>
  <c r="B2706" i="2"/>
  <c r="H1741" i="2"/>
  <c r="A2706" i="2"/>
  <c r="D1730" i="2"/>
  <c r="C2101" i="2"/>
  <c r="D1741" i="2"/>
  <c r="B1741" i="2"/>
  <c r="D2706" i="2"/>
  <c r="I2262" i="2"/>
  <c r="I1508" i="2"/>
  <c r="C2933" i="2"/>
  <c r="I2706" i="2"/>
  <c r="C3066" i="2"/>
  <c r="F1730" i="2"/>
  <c r="B3465" i="2"/>
  <c r="C3504" i="2"/>
  <c r="G1508" i="2"/>
  <c r="F1741" i="2"/>
  <c r="F2706" i="2"/>
  <c r="C1730" i="2"/>
  <c r="D2101" i="2"/>
  <c r="H2262" i="2"/>
  <c r="B3066" i="2"/>
  <c r="F2101" i="2"/>
  <c r="G1741" i="2"/>
  <c r="A3504" i="2"/>
  <c r="G1730" i="2"/>
  <c r="C2706" i="2"/>
  <c r="C3465" i="2"/>
  <c r="H2706" i="2"/>
  <c r="C1741" i="2"/>
  <c r="C1508" i="2"/>
  <c r="F3066" i="2"/>
  <c r="B2262" i="2"/>
  <c r="B3504" i="2"/>
  <c r="A1508" i="2"/>
  <c r="I3504" i="2"/>
  <c r="H2101" i="2"/>
  <c r="D2262" i="2"/>
  <c r="I3465" i="2"/>
  <c r="I1741" i="2"/>
  <c r="G2262" i="2"/>
  <c r="F2262" i="2"/>
  <c r="G2933" i="2"/>
  <c r="C2262" i="2"/>
  <c r="H3066" i="2"/>
  <c r="B2933" i="2"/>
  <c r="B1508" i="2"/>
  <c r="H1730" i="2"/>
  <c r="D1508" i="2"/>
  <c r="I3066" i="2"/>
  <c r="D3504" i="2"/>
  <c r="H1508" i="2"/>
  <c r="B1730" i="2"/>
  <c r="A3066" i="2"/>
  <c r="A2101" i="2"/>
  <c r="H2933" i="2"/>
  <c r="H3465" i="2"/>
  <c r="G3465" i="2"/>
  <c r="F2933" i="2"/>
  <c r="H3504" i="2"/>
  <c r="G3066" i="2"/>
  <c r="A2933" i="2"/>
  <c r="I1730" i="2"/>
  <c r="A3465" i="2"/>
  <c r="G3504" i="2"/>
  <c r="I2101" i="2"/>
  <c r="G2101" i="2"/>
  <c r="D2933" i="2"/>
  <c r="D3066" i="2"/>
  <c r="I2933" i="2"/>
  <c r="F1508" i="2"/>
  <c r="G2706" i="2"/>
  <c r="A1741" i="2"/>
  <c r="F3504" i="2"/>
  <c r="A1730" i="2"/>
  <c r="F3465" i="2"/>
  <c r="B2101" i="2"/>
  <c r="A2262" i="2"/>
  <c r="D2511" i="2"/>
  <c r="A1986" i="2"/>
  <c r="F1986" i="2"/>
  <c r="G1962" i="2"/>
  <c r="D2007" i="2"/>
  <c r="F3104" i="2"/>
  <c r="A2511" i="2"/>
  <c r="D3104" i="2"/>
  <c r="F2029" i="2"/>
  <c r="F1962" i="2"/>
  <c r="B1996" i="2"/>
  <c r="F2665" i="2"/>
  <c r="B3338" i="2"/>
  <c r="I2007" i="2"/>
  <c r="B2029" i="2"/>
  <c r="F1996" i="2"/>
  <c r="G2007" i="2"/>
  <c r="B3104" i="2"/>
  <c r="G2029" i="2"/>
  <c r="C1962" i="2"/>
  <c r="A2007" i="2"/>
  <c r="D1986" i="2"/>
  <c r="G2511" i="2"/>
  <c r="H2029" i="2"/>
  <c r="D3338" i="2"/>
  <c r="H3338" i="2"/>
  <c r="G3152" i="2"/>
  <c r="C2007" i="2"/>
  <c r="D2029" i="2"/>
  <c r="H2665" i="2"/>
  <c r="H3104" i="2"/>
  <c r="H2511" i="2"/>
  <c r="I2665" i="2"/>
  <c r="G2665" i="2"/>
  <c r="B2665" i="2"/>
  <c r="F3338" i="2"/>
  <c r="I1996" i="2"/>
  <c r="A2029" i="2"/>
  <c r="A1962" i="2"/>
  <c r="G3338" i="2"/>
  <c r="F3152" i="2"/>
  <c r="I1962" i="2"/>
  <c r="C3104" i="2"/>
  <c r="G1986" i="2"/>
  <c r="D2665" i="2"/>
  <c r="C1986" i="2"/>
  <c r="B2007" i="2"/>
  <c r="H1986" i="2"/>
  <c r="A3338" i="2"/>
  <c r="A3152" i="2"/>
  <c r="A1996" i="2"/>
  <c r="A3104" i="2"/>
  <c r="C1996" i="2"/>
  <c r="F2007" i="2"/>
  <c r="I3338" i="2"/>
  <c r="D1996" i="2"/>
  <c r="B1962" i="2"/>
  <c r="B3152" i="2"/>
  <c r="I3152" i="2"/>
  <c r="B1986" i="2"/>
  <c r="G1996" i="2"/>
  <c r="H3152" i="2"/>
  <c r="H1962" i="2"/>
  <c r="F2511" i="2"/>
  <c r="C2029" i="2"/>
  <c r="A2665" i="2"/>
  <c r="D3152" i="2"/>
  <c r="C2511" i="2"/>
  <c r="I3104" i="2"/>
  <c r="I2511" i="2"/>
  <c r="B2511" i="2"/>
  <c r="H2007" i="2"/>
  <c r="I2029" i="2"/>
  <c r="C3152" i="2"/>
  <c r="H1996" i="2"/>
  <c r="D1962" i="2"/>
  <c r="C2665" i="2"/>
  <c r="G3104" i="2"/>
  <c r="I1986" i="2"/>
  <c r="C3338" i="2"/>
  <c r="A2319" i="2"/>
  <c r="I3237" i="2"/>
  <c r="H2623" i="2"/>
  <c r="D3237" i="2"/>
  <c r="C2319" i="2"/>
  <c r="A3237" i="2"/>
  <c r="A1940" i="2"/>
  <c r="D2513" i="2"/>
  <c r="G2623" i="2"/>
  <c r="C2230" i="2"/>
  <c r="D2729" i="2"/>
  <c r="D2627" i="2"/>
  <c r="B2230" i="2"/>
  <c r="H3022" i="2"/>
  <c r="D1940" i="2"/>
  <c r="F3427" i="2"/>
  <c r="A3427" i="2"/>
  <c r="I2623" i="2"/>
  <c r="B2627" i="2"/>
  <c r="H1940" i="2"/>
  <c r="A2513" i="2"/>
  <c r="B2729" i="2"/>
  <c r="D2623" i="2"/>
  <c r="G3427" i="2"/>
  <c r="G2627" i="2"/>
  <c r="F2230" i="2"/>
  <c r="H3427" i="2"/>
  <c r="F2513" i="2"/>
  <c r="A3022" i="2"/>
  <c r="D3427" i="2"/>
  <c r="D2319" i="2"/>
  <c r="F3022" i="2"/>
  <c r="C1940" i="2"/>
  <c r="H2627" i="2"/>
  <c r="I2230" i="2"/>
  <c r="F2627" i="2"/>
  <c r="G3022" i="2"/>
  <c r="A2729" i="2"/>
  <c r="G2319" i="2"/>
  <c r="I3427" i="2"/>
  <c r="C2623" i="2"/>
  <c r="C2627" i="2"/>
  <c r="H2729" i="2"/>
  <c r="B2513" i="2"/>
  <c r="I3022" i="2"/>
  <c r="A2230" i="2"/>
  <c r="F3237" i="2"/>
  <c r="D3022" i="2"/>
  <c r="B3427" i="2"/>
  <c r="B3237" i="2"/>
  <c r="C2729" i="2"/>
  <c r="H2319" i="2"/>
  <c r="H2230" i="2"/>
  <c r="F1940" i="2"/>
  <c r="C3237" i="2"/>
  <c r="I2729" i="2"/>
  <c r="H2513" i="2"/>
  <c r="D2230" i="2"/>
  <c r="I2319" i="2"/>
  <c r="I2627" i="2"/>
  <c r="F2623" i="2"/>
  <c r="F2729" i="2"/>
  <c r="G1940" i="2"/>
  <c r="B2623" i="2"/>
  <c r="H3237" i="2"/>
  <c r="C3022" i="2"/>
  <c r="C2513" i="2"/>
  <c r="B2319" i="2"/>
  <c r="I1940" i="2"/>
  <c r="G2513" i="2"/>
  <c r="G3237" i="2"/>
  <c r="A2627" i="2"/>
  <c r="G2230" i="2"/>
  <c r="B1940" i="2"/>
  <c r="C3427" i="2"/>
  <c r="F2319" i="2"/>
  <c r="B3022" i="2"/>
  <c r="G2729" i="2"/>
  <c r="I2513" i="2"/>
  <c r="A2623" i="2"/>
  <c r="D3355" i="2"/>
  <c r="D2216" i="2"/>
  <c r="I3232" i="2"/>
  <c r="C3355" i="2"/>
  <c r="D3475" i="2"/>
  <c r="A2616" i="2"/>
  <c r="B2216" i="2"/>
  <c r="H3161" i="2"/>
  <c r="I3161" i="2"/>
  <c r="I2710" i="2"/>
  <c r="C3049" i="2"/>
  <c r="D1806" i="2"/>
  <c r="D3161" i="2"/>
  <c r="H2710" i="2"/>
  <c r="B3475" i="2"/>
  <c r="F3335" i="2"/>
  <c r="G3049" i="2"/>
  <c r="I3049" i="2"/>
  <c r="B3355" i="2"/>
  <c r="A3232" i="2"/>
  <c r="B1806" i="2"/>
  <c r="F1806" i="2"/>
  <c r="F3161" i="2"/>
  <c r="F2710" i="2"/>
  <c r="A3049" i="2"/>
  <c r="C1806" i="2"/>
  <c r="B2710" i="2"/>
  <c r="D3335" i="2"/>
  <c r="B3161" i="2"/>
  <c r="A3475" i="2"/>
  <c r="G2710" i="2"/>
  <c r="F3475" i="2"/>
  <c r="A3355" i="2"/>
  <c r="F2216" i="2"/>
  <c r="H2216" i="2"/>
  <c r="I3475" i="2"/>
  <c r="B3335" i="2"/>
  <c r="I3335" i="2"/>
  <c r="G2216" i="2"/>
  <c r="H3049" i="2"/>
  <c r="G3232" i="2"/>
  <c r="G3335" i="2"/>
  <c r="G1806" i="2"/>
  <c r="C2616" i="2"/>
  <c r="A3161" i="2"/>
  <c r="A2710" i="2"/>
  <c r="H2616" i="2"/>
  <c r="F3232" i="2"/>
  <c r="G3355" i="2"/>
  <c r="I1806" i="2"/>
  <c r="H1806" i="2"/>
  <c r="C3335" i="2"/>
  <c r="H3232" i="2"/>
  <c r="G3161" i="2"/>
  <c r="A3335" i="2"/>
  <c r="F2616" i="2"/>
  <c r="G3475" i="2"/>
  <c r="F3355" i="2"/>
  <c r="C2216" i="2"/>
  <c r="F3049" i="2"/>
  <c r="C2710" i="2"/>
  <c r="I2616" i="2"/>
  <c r="I3355" i="2"/>
  <c r="D3049" i="2"/>
  <c r="D3232" i="2"/>
  <c r="B3232" i="2"/>
  <c r="G2616" i="2"/>
  <c r="B2616" i="2"/>
  <c r="A2216" i="2"/>
  <c r="H3475" i="2"/>
  <c r="D2710" i="2"/>
  <c r="I2216" i="2"/>
  <c r="C3161" i="2"/>
  <c r="C3232" i="2"/>
  <c r="C3475" i="2"/>
  <c r="H3355" i="2"/>
  <c r="H3335" i="2"/>
  <c r="D2616" i="2"/>
  <c r="A1806" i="2"/>
  <c r="B3049" i="2"/>
  <c r="C1700" i="2"/>
  <c r="H2615" i="2"/>
  <c r="H2722" i="2"/>
  <c r="G2615" i="2"/>
  <c r="H1971" i="2"/>
  <c r="C3139" i="2"/>
  <c r="H3080" i="2"/>
  <c r="G2722" i="2"/>
  <c r="I1700" i="2"/>
  <c r="H2610" i="2"/>
  <c r="D3114" i="2"/>
  <c r="I2722" i="2"/>
  <c r="I3139" i="2"/>
  <c r="B1971" i="2"/>
  <c r="C1971" i="2"/>
  <c r="A3139" i="2"/>
  <c r="F2398" i="2"/>
  <c r="G3139" i="2"/>
  <c r="G2398" i="2"/>
  <c r="G2610" i="2"/>
  <c r="D3080" i="2"/>
  <c r="G3114" i="2"/>
  <c r="F3139" i="2"/>
  <c r="C2610" i="2"/>
  <c r="A3114" i="2"/>
  <c r="G1971" i="2"/>
  <c r="D3139" i="2"/>
  <c r="D2398" i="2"/>
  <c r="H1700" i="2"/>
  <c r="D1700" i="2"/>
  <c r="I3114" i="2"/>
  <c r="C2615" i="2"/>
  <c r="A2722" i="2"/>
  <c r="F2610" i="2"/>
  <c r="C3114" i="2"/>
  <c r="A2610" i="2"/>
  <c r="B2398" i="2"/>
  <c r="G3080" i="2"/>
  <c r="B2615" i="2"/>
  <c r="D2615" i="2"/>
  <c r="G2058" i="2"/>
  <c r="C2398" i="2"/>
  <c r="C2722" i="2"/>
  <c r="F1971" i="2"/>
  <c r="B2722" i="2"/>
  <c r="C2058" i="2"/>
  <c r="D2610" i="2"/>
  <c r="F2615" i="2"/>
  <c r="B3114" i="2"/>
  <c r="F3080" i="2"/>
  <c r="B1700" i="2"/>
  <c r="H2058" i="2"/>
  <c r="H2398" i="2"/>
  <c r="A1700" i="2"/>
  <c r="F2058" i="2"/>
  <c r="A2615" i="2"/>
  <c r="A3080" i="2"/>
  <c r="H3139" i="2"/>
  <c r="F2722" i="2"/>
  <c r="H3114" i="2"/>
  <c r="I2398" i="2"/>
  <c r="B2058" i="2"/>
  <c r="D1971" i="2"/>
  <c r="A1971" i="2"/>
  <c r="A2058" i="2"/>
  <c r="I3080" i="2"/>
  <c r="D2058" i="2"/>
  <c r="F1700" i="2"/>
  <c r="C3080" i="2"/>
  <c r="I2610" i="2"/>
  <c r="A2398" i="2"/>
  <c r="I2058" i="2"/>
  <c r="I1971" i="2"/>
  <c r="G1700" i="2"/>
  <c r="D2722" i="2"/>
  <c r="B2610" i="2"/>
  <c r="B3080" i="2"/>
  <c r="F3114" i="2"/>
  <c r="B3139" i="2"/>
  <c r="I2615" i="2"/>
  <c r="A2844" i="2"/>
  <c r="I3472" i="2"/>
  <c r="I2566" i="2"/>
  <c r="C2536" i="2"/>
  <c r="H2914" i="2"/>
  <c r="H3472" i="2"/>
  <c r="B2704" i="2"/>
  <c r="I2154" i="2"/>
  <c r="F3472" i="2"/>
  <c r="A1651" i="2"/>
  <c r="C2914" i="2"/>
  <c r="D3472" i="2"/>
  <c r="H2536" i="2"/>
  <c r="I2704" i="2"/>
  <c r="I2844" i="2"/>
  <c r="D2914" i="2"/>
  <c r="F1651" i="2"/>
  <c r="I2536" i="2"/>
  <c r="I2628" i="2"/>
  <c r="G2914" i="2"/>
  <c r="H2844" i="2"/>
  <c r="A2566" i="2"/>
  <c r="F2704" i="2"/>
  <c r="A2628" i="2"/>
  <c r="G2154" i="2"/>
  <c r="B1886" i="2"/>
  <c r="F2536" i="2"/>
  <c r="G2628" i="2"/>
  <c r="A3472" i="2"/>
  <c r="C2154" i="2"/>
  <c r="I2914" i="2"/>
  <c r="A2536" i="2"/>
  <c r="B2628" i="2"/>
  <c r="G1651" i="2"/>
  <c r="B2566" i="2"/>
  <c r="B1651" i="2"/>
  <c r="H1651" i="2"/>
  <c r="I1651" i="2"/>
  <c r="C3472" i="2"/>
  <c r="C2628" i="2"/>
  <c r="B2914" i="2"/>
  <c r="F2628" i="2"/>
  <c r="F2844" i="2"/>
  <c r="C2566" i="2"/>
  <c r="G2566" i="2"/>
  <c r="C2844" i="2"/>
  <c r="G3472" i="2"/>
  <c r="A2704" i="2"/>
  <c r="H2154" i="2"/>
  <c r="C1651" i="2"/>
  <c r="D2628" i="2"/>
  <c r="B2154" i="2"/>
  <c r="B2536" i="2"/>
  <c r="I1886" i="2"/>
  <c r="H2704" i="2"/>
  <c r="H2566" i="2"/>
  <c r="G2704" i="2"/>
  <c r="G2536" i="2"/>
  <c r="F1886" i="2"/>
  <c r="A2154" i="2"/>
  <c r="D2566" i="2"/>
  <c r="F2914" i="2"/>
  <c r="D2154" i="2"/>
  <c r="B2844" i="2"/>
  <c r="D1886" i="2"/>
  <c r="D2844" i="2"/>
  <c r="C1886" i="2"/>
  <c r="A1886" i="2"/>
  <c r="D2704" i="2"/>
  <c r="G1886" i="2"/>
  <c r="D1651" i="2"/>
  <c r="D2536" i="2"/>
  <c r="F2154" i="2"/>
  <c r="A2914" i="2"/>
  <c r="F2566" i="2"/>
  <c r="G2844" i="2"/>
  <c r="C2704" i="2"/>
  <c r="H1886" i="2"/>
  <c r="H2628" i="2"/>
  <c r="B3472" i="2"/>
  <c r="G2936" i="2"/>
  <c r="D2071" i="2"/>
  <c r="C3063" i="2"/>
  <c r="D2407" i="2"/>
  <c r="A1965" i="2"/>
  <c r="D1965" i="2"/>
  <c r="A2407" i="2"/>
  <c r="G2983" i="2"/>
  <c r="G3425" i="2"/>
  <c r="G2407" i="2"/>
  <c r="F2407" i="2"/>
  <c r="G2071" i="2"/>
  <c r="I3425" i="2"/>
  <c r="D2983" i="2"/>
  <c r="H2977" i="2"/>
  <c r="F1965" i="2"/>
  <c r="H3063" i="2"/>
  <c r="H2407" i="2"/>
  <c r="A3054" i="2"/>
  <c r="B1965" i="2"/>
  <c r="C2936" i="2"/>
  <c r="A3063" i="2"/>
  <c r="H2983" i="2"/>
  <c r="A3425" i="2"/>
  <c r="B3063" i="2"/>
  <c r="F2983" i="2"/>
  <c r="G1965" i="2"/>
  <c r="F3054" i="2"/>
  <c r="F2977" i="2"/>
  <c r="G3063" i="2"/>
  <c r="F3063" i="2"/>
  <c r="F2071" i="2"/>
  <c r="D2840" i="2"/>
  <c r="A2983" i="2"/>
  <c r="F2840" i="2"/>
  <c r="B2977" i="2"/>
  <c r="C2071" i="2"/>
  <c r="G2840" i="2"/>
  <c r="D2936" i="2"/>
  <c r="I3063" i="2"/>
  <c r="C2407" i="2"/>
  <c r="B2071" i="2"/>
  <c r="B2840" i="2"/>
  <c r="F3425" i="2"/>
  <c r="A2936" i="2"/>
  <c r="A2977" i="2"/>
  <c r="I2977" i="2"/>
  <c r="B2936" i="2"/>
  <c r="I2407" i="2"/>
  <c r="H3425" i="2"/>
  <c r="H2840" i="2"/>
  <c r="G3054" i="2"/>
  <c r="C3054" i="2"/>
  <c r="I2983" i="2"/>
  <c r="G2977" i="2"/>
  <c r="H3054" i="2"/>
  <c r="B3054" i="2"/>
  <c r="C2977" i="2"/>
  <c r="I2936" i="2"/>
  <c r="I3054" i="2"/>
  <c r="I2071" i="2"/>
  <c r="H2071" i="2"/>
  <c r="D3425" i="2"/>
  <c r="I2840" i="2"/>
  <c r="A2840" i="2"/>
  <c r="C1965" i="2"/>
  <c r="F2936" i="2"/>
  <c r="B3425" i="2"/>
  <c r="H1965" i="2"/>
  <c r="C2983" i="2"/>
  <c r="I1965" i="2"/>
  <c r="C2840" i="2"/>
  <c r="H2936" i="2"/>
  <c r="D3054" i="2"/>
  <c r="D3063" i="2"/>
  <c r="B2983" i="2"/>
  <c r="A2071" i="2"/>
  <c r="D2977" i="2"/>
  <c r="C3425" i="2"/>
  <c r="B2407" i="2"/>
  <c r="G3386" i="2"/>
  <c r="D1622" i="2"/>
  <c r="D1714" i="2"/>
  <c r="I3269" i="2"/>
  <c r="C3269" i="2"/>
  <c r="F1714" i="2"/>
  <c r="G3536" i="2"/>
  <c r="B3269" i="2"/>
  <c r="B2391" i="2"/>
  <c r="A3112" i="2"/>
  <c r="C3536" i="2"/>
  <c r="A2391" i="2"/>
  <c r="I1622" i="2"/>
  <c r="D3112" i="2"/>
  <c r="I2048" i="2"/>
  <c r="B2203" i="2"/>
  <c r="F3536" i="2"/>
  <c r="B3536" i="2"/>
  <c r="A2798" i="2"/>
  <c r="F3386" i="2"/>
  <c r="H1622" i="2"/>
  <c r="I3112" i="2"/>
  <c r="I3536" i="2"/>
  <c r="A2048" i="2"/>
  <c r="G2203" i="2"/>
  <c r="I2203" i="2"/>
  <c r="H2391" i="2"/>
  <c r="A3386" i="2"/>
  <c r="G2048" i="2"/>
  <c r="D3536" i="2"/>
  <c r="H2203" i="2"/>
  <c r="B3386" i="2"/>
  <c r="G3112" i="2"/>
  <c r="C1714" i="2"/>
  <c r="H3112" i="2"/>
  <c r="B3112" i="2"/>
  <c r="F2798" i="2"/>
  <c r="B2048" i="2"/>
  <c r="A1622" i="2"/>
  <c r="D3269" i="2"/>
  <c r="H2798" i="2"/>
  <c r="F2203" i="2"/>
  <c r="A1714" i="2"/>
  <c r="F3269" i="2"/>
  <c r="H1714" i="2"/>
  <c r="F2048" i="2"/>
  <c r="C3386" i="2"/>
  <c r="D2798" i="2"/>
  <c r="D2048" i="2"/>
  <c r="C2798" i="2"/>
  <c r="D2203" i="2"/>
  <c r="H3269" i="2"/>
  <c r="H2048" i="2"/>
  <c r="H3536" i="2"/>
  <c r="G1622" i="2"/>
  <c r="C2391" i="2"/>
  <c r="B1714" i="2"/>
  <c r="G2391" i="2"/>
  <c r="G2798" i="2"/>
  <c r="B1622" i="2"/>
  <c r="I2798" i="2"/>
  <c r="G1714" i="2"/>
  <c r="I3386" i="2"/>
  <c r="A2203" i="2"/>
  <c r="F1622" i="2"/>
  <c r="I2391" i="2"/>
  <c r="D3386" i="2"/>
  <c r="A3269" i="2"/>
  <c r="C3112" i="2"/>
  <c r="F2391" i="2"/>
  <c r="I1714" i="2"/>
  <c r="C1622" i="2"/>
  <c r="H3386" i="2"/>
  <c r="B2798" i="2"/>
  <c r="G3269" i="2"/>
  <c r="C2203" i="2"/>
  <c r="F3112" i="2"/>
  <c r="C2048" i="2"/>
  <c r="D2391" i="2"/>
  <c r="A3536" i="2"/>
  <c r="F3324" i="2"/>
  <c r="D1625" i="2"/>
  <c r="D3096" i="2"/>
  <c r="F3096" i="2"/>
  <c r="D3026" i="2"/>
  <c r="B1625" i="2"/>
  <c r="G3234" i="2"/>
  <c r="H2095" i="2"/>
  <c r="F3121" i="2"/>
  <c r="F3234" i="2"/>
  <c r="F3018" i="2"/>
  <c r="A3324" i="2"/>
  <c r="C2095" i="2"/>
  <c r="H3324" i="2"/>
  <c r="F2140" i="2"/>
  <c r="D3234" i="2"/>
  <c r="D2140" i="2"/>
  <c r="I2140" i="2"/>
  <c r="H3018" i="2"/>
  <c r="A3018" i="2"/>
  <c r="A2140" i="2"/>
  <c r="I3121" i="2"/>
  <c r="G2095" i="2"/>
  <c r="C3324" i="2"/>
  <c r="H3026" i="2"/>
  <c r="I3324" i="2"/>
  <c r="H3234" i="2"/>
  <c r="B2140" i="2"/>
  <c r="B3234" i="2"/>
  <c r="F3026" i="2"/>
  <c r="G3121" i="2"/>
  <c r="D3121" i="2"/>
  <c r="A3552" i="2"/>
  <c r="C2140" i="2"/>
  <c r="B3552" i="2"/>
  <c r="C3026" i="2"/>
  <c r="D3018" i="2"/>
  <c r="G3018" i="2"/>
  <c r="A3096" i="2"/>
  <c r="G3552" i="2"/>
  <c r="G1625" i="2"/>
  <c r="C3234" i="2"/>
  <c r="G3096" i="2"/>
  <c r="D3324" i="2"/>
  <c r="C3121" i="2"/>
  <c r="A3121" i="2"/>
  <c r="G3026" i="2"/>
  <c r="A1625" i="2"/>
  <c r="I3018" i="2"/>
  <c r="H3552" i="2"/>
  <c r="B2095" i="2"/>
  <c r="F1625" i="2"/>
  <c r="C1625" i="2"/>
  <c r="A3026" i="2"/>
  <c r="H1625" i="2"/>
  <c r="A3234" i="2"/>
  <c r="D2095" i="2"/>
  <c r="F3552" i="2"/>
  <c r="B3096" i="2"/>
  <c r="C3552" i="2"/>
  <c r="I2095" i="2"/>
  <c r="I3096" i="2"/>
  <c r="C3096" i="2"/>
  <c r="C3018" i="2"/>
  <c r="B3121" i="2"/>
  <c r="G3324" i="2"/>
  <c r="I3026" i="2"/>
  <c r="D3552" i="2"/>
  <c r="F2095" i="2"/>
  <c r="H2140" i="2"/>
  <c r="B3324" i="2"/>
  <c r="I3234" i="2"/>
  <c r="A2095" i="2"/>
  <c r="B3018" i="2"/>
  <c r="H3096" i="2"/>
  <c r="I1625" i="2"/>
  <c r="G2140" i="2"/>
  <c r="I3552" i="2"/>
  <c r="B3026" i="2"/>
  <c r="H3121" i="2"/>
  <c r="I2464" i="2"/>
  <c r="A2464" i="2"/>
  <c r="H3323" i="2"/>
  <c r="C2764" i="2"/>
  <c r="A3462" i="2"/>
  <c r="B3255" i="2"/>
  <c r="A2371" i="2"/>
  <c r="D3323" i="2"/>
  <c r="G2371" i="2"/>
  <c r="F2464" i="2"/>
  <c r="I3255" i="2"/>
  <c r="C2464" i="2"/>
  <c r="G3323" i="2"/>
  <c r="F2764" i="2"/>
  <c r="I3462" i="2"/>
  <c r="B2746" i="2"/>
  <c r="D1849" i="2"/>
  <c r="H2523" i="2"/>
  <c r="I3323" i="2"/>
  <c r="A2523" i="2"/>
  <c r="B2336" i="2"/>
  <c r="H2336" i="2"/>
  <c r="G1849" i="2"/>
  <c r="F2336" i="2"/>
  <c r="I2371" i="2"/>
  <c r="G2523" i="2"/>
  <c r="A3255" i="2"/>
  <c r="D2464" i="2"/>
  <c r="H3255" i="2"/>
  <c r="D2746" i="2"/>
  <c r="B2464" i="2"/>
  <c r="A2746" i="2"/>
  <c r="I2746" i="2"/>
  <c r="H3462" i="2"/>
  <c r="H2371" i="2"/>
  <c r="C2746" i="2"/>
  <c r="I2336" i="2"/>
  <c r="F1849" i="2"/>
  <c r="H2764" i="2"/>
  <c r="A2764" i="2"/>
  <c r="F2746" i="2"/>
  <c r="C2523" i="2"/>
  <c r="F2523" i="2"/>
  <c r="I1849" i="2"/>
  <c r="A1849" i="2"/>
  <c r="C2336" i="2"/>
  <c r="B2371" i="2"/>
  <c r="F3255" i="2"/>
  <c r="B1849" i="2"/>
  <c r="G2336" i="2"/>
  <c r="F3323" i="2"/>
  <c r="B3323" i="2"/>
  <c r="G3462" i="2"/>
  <c r="H2464" i="2"/>
  <c r="C3255" i="2"/>
  <c r="G2764" i="2"/>
  <c r="B2523" i="2"/>
  <c r="D3462" i="2"/>
  <c r="C1849" i="2"/>
  <c r="F3462" i="2"/>
  <c r="D2371" i="2"/>
  <c r="I2523" i="2"/>
  <c r="I2764" i="2"/>
  <c r="C3323" i="2"/>
  <c r="H2746" i="2"/>
  <c r="A2336" i="2"/>
  <c r="C2371" i="2"/>
  <c r="G3255" i="2"/>
  <c r="B3462" i="2"/>
  <c r="B2764" i="2"/>
  <c r="C3462" i="2"/>
  <c r="F2371" i="2"/>
  <c r="A3323" i="2"/>
  <c r="D2764" i="2"/>
  <c r="D2336" i="2"/>
  <c r="D3255" i="2"/>
  <c r="G2746" i="2"/>
  <c r="H1849" i="2"/>
  <c r="G2464" i="2"/>
  <c r="D2523" i="2"/>
  <c r="C3366" i="2"/>
  <c r="I3366" i="2"/>
  <c r="I2703" i="2"/>
  <c r="D2703" i="2"/>
  <c r="B2277" i="2"/>
  <c r="D1903" i="2"/>
  <c r="D2277" i="2"/>
  <c r="B3366" i="2"/>
  <c r="C2277" i="2"/>
  <c r="F3493" i="2"/>
  <c r="B3050" i="2"/>
  <c r="D2408" i="2"/>
  <c r="D2269" i="2"/>
  <c r="F2269" i="2"/>
  <c r="C1903" i="2"/>
  <c r="C3493" i="2"/>
  <c r="H3493" i="2"/>
  <c r="F1903" i="2"/>
  <c r="C2269" i="2"/>
  <c r="G2703" i="2"/>
  <c r="H3366" i="2"/>
  <c r="D3050" i="2"/>
  <c r="A3050" i="2"/>
  <c r="B3493" i="2"/>
  <c r="F3050" i="2"/>
  <c r="A2269" i="2"/>
  <c r="G2329" i="2"/>
  <c r="B2703" i="2"/>
  <c r="H3050" i="2"/>
  <c r="H2269" i="2"/>
  <c r="H2408" i="2"/>
  <c r="A3366" i="2"/>
  <c r="B3159" i="2"/>
  <c r="I3493" i="2"/>
  <c r="G2277" i="2"/>
  <c r="H2703" i="2"/>
  <c r="G1903" i="2"/>
  <c r="A3493" i="2"/>
  <c r="B1903" i="2"/>
  <c r="D3493" i="2"/>
  <c r="G3159" i="2"/>
  <c r="G3050" i="2"/>
  <c r="H1903" i="2"/>
  <c r="A3159" i="2"/>
  <c r="F2329" i="2"/>
  <c r="I2269" i="2"/>
  <c r="F2408" i="2"/>
  <c r="C2329" i="2"/>
  <c r="G2408" i="2"/>
  <c r="H3159" i="2"/>
  <c r="A2408" i="2"/>
  <c r="I3050" i="2"/>
  <c r="I3159" i="2"/>
  <c r="C2408" i="2"/>
  <c r="C2703" i="2"/>
  <c r="F2277" i="2"/>
  <c r="G2269" i="2"/>
  <c r="I1903" i="2"/>
  <c r="C3159" i="2"/>
  <c r="H2329" i="2"/>
  <c r="D2329" i="2"/>
  <c r="D3159" i="2"/>
  <c r="H2277" i="2"/>
  <c r="I2408" i="2"/>
  <c r="F3366" i="2"/>
  <c r="G3366" i="2"/>
  <c r="B2329" i="2"/>
  <c r="F2703" i="2"/>
  <c r="A2277" i="2"/>
  <c r="I2329" i="2"/>
  <c r="A2703" i="2"/>
  <c r="G3493" i="2"/>
  <c r="F3159" i="2"/>
  <c r="A2329" i="2"/>
  <c r="B2269" i="2"/>
  <c r="D3366" i="2"/>
  <c r="C3050" i="2"/>
  <c r="B2408" i="2"/>
  <c r="I2277" i="2"/>
  <c r="A1903" i="2"/>
  <c r="H2748" i="2"/>
  <c r="D3205" i="2"/>
  <c r="G1810" i="2"/>
  <c r="C3205" i="2"/>
  <c r="G3252" i="2"/>
  <c r="A1810" i="2"/>
  <c r="B3321" i="2"/>
  <c r="G3321" i="2"/>
  <c r="H3233" i="2"/>
  <c r="A3435" i="2"/>
  <c r="F3233" i="2"/>
  <c r="C1810" i="2"/>
  <c r="I3233" i="2"/>
  <c r="A2280" i="2"/>
  <c r="B1810" i="2"/>
  <c r="D2748" i="2"/>
  <c r="I2068" i="2"/>
  <c r="G3435" i="2"/>
  <c r="B2068" i="2"/>
  <c r="B2748" i="2"/>
  <c r="D1974" i="2"/>
  <c r="H3321" i="2"/>
  <c r="D3435" i="2"/>
  <c r="B3252" i="2"/>
  <c r="D2068" i="2"/>
  <c r="H3435" i="2"/>
  <c r="C3252" i="2"/>
  <c r="H2280" i="2"/>
  <c r="G2280" i="2"/>
  <c r="G3205" i="2"/>
  <c r="H3205" i="2"/>
  <c r="I3205" i="2"/>
  <c r="D3233" i="2"/>
  <c r="F2748" i="2"/>
  <c r="C3435" i="2"/>
  <c r="F3205" i="2"/>
  <c r="C3321" i="2"/>
  <c r="I2280" i="2"/>
  <c r="A2748" i="2"/>
  <c r="C3233" i="2"/>
  <c r="A2068" i="2"/>
  <c r="F3435" i="2"/>
  <c r="B2280" i="2"/>
  <c r="D3321" i="2"/>
  <c r="G2068" i="2"/>
  <c r="B3205" i="2"/>
  <c r="D3252" i="2"/>
  <c r="I1810" i="2"/>
  <c r="H2068" i="2"/>
  <c r="B3435" i="2"/>
  <c r="F3252" i="2"/>
  <c r="A3233" i="2"/>
  <c r="I1974" i="2"/>
  <c r="G1974" i="2"/>
  <c r="F2068" i="2"/>
  <c r="H3252" i="2"/>
  <c r="I3252" i="2"/>
  <c r="C2748" i="2"/>
  <c r="D2280" i="2"/>
  <c r="A1974" i="2"/>
  <c r="B1974" i="2"/>
  <c r="F1810" i="2"/>
  <c r="H1810" i="2"/>
  <c r="I2748" i="2"/>
  <c r="I3321" i="2"/>
  <c r="F2280" i="2"/>
  <c r="F1974" i="2"/>
  <c r="C1974" i="2"/>
  <c r="A3321" i="2"/>
  <c r="B3233" i="2"/>
  <c r="D1810" i="2"/>
  <c r="A3205" i="2"/>
  <c r="A3252" i="2"/>
  <c r="G3233" i="2"/>
  <c r="C2068" i="2"/>
  <c r="C2280" i="2"/>
  <c r="F3321" i="2"/>
  <c r="I3435" i="2"/>
  <c r="G2748" i="2"/>
  <c r="H1974" i="2"/>
  <c r="H3294" i="2"/>
  <c r="F2861" i="2"/>
  <c r="D2112" i="2"/>
  <c r="C2861" i="2"/>
  <c r="F1726" i="2"/>
  <c r="G1726" i="2"/>
  <c r="C1726" i="2"/>
  <c r="A2000" i="2"/>
  <c r="G2112" i="2"/>
  <c r="D2861" i="2"/>
  <c r="C2557" i="2"/>
  <c r="F2358" i="2"/>
  <c r="B1726" i="2"/>
  <c r="A2557" i="2"/>
  <c r="G2726" i="2"/>
  <c r="F1689" i="2"/>
  <c r="F2000" i="2"/>
  <c r="B2726" i="2"/>
  <c r="C3294" i="2"/>
  <c r="B2358" i="2"/>
  <c r="B3294" i="2"/>
  <c r="G2000" i="2"/>
  <c r="C2775" i="2"/>
  <c r="B2112" i="2"/>
  <c r="G2557" i="2"/>
  <c r="C2112" i="2"/>
  <c r="I2861" i="2"/>
  <c r="C2358" i="2"/>
  <c r="H2726" i="2"/>
  <c r="D2358" i="2"/>
  <c r="A1726" i="2"/>
  <c r="D2775" i="2"/>
  <c r="I2726" i="2"/>
  <c r="A2775" i="2"/>
  <c r="H2557" i="2"/>
  <c r="A1689" i="2"/>
  <c r="C2000" i="2"/>
  <c r="H2112" i="2"/>
  <c r="I3294" i="2"/>
  <c r="G2775" i="2"/>
  <c r="I2000" i="2"/>
  <c r="D2726" i="2"/>
  <c r="A2112" i="2"/>
  <c r="G2358" i="2"/>
  <c r="I1726" i="2"/>
  <c r="I2775" i="2"/>
  <c r="F2112" i="2"/>
  <c r="C2726" i="2"/>
  <c r="I2557" i="2"/>
  <c r="B2557" i="2"/>
  <c r="F2557" i="2"/>
  <c r="B2861" i="2"/>
  <c r="B1689" i="2"/>
  <c r="D1689" i="2"/>
  <c r="G1689" i="2"/>
  <c r="G3294" i="2"/>
  <c r="A3294" i="2"/>
  <c r="C1689" i="2"/>
  <c r="F2775" i="2"/>
  <c r="A2861" i="2"/>
  <c r="H1689" i="2"/>
  <c r="H1726" i="2"/>
  <c r="F2726" i="2"/>
  <c r="H2861" i="2"/>
  <c r="F3294" i="2"/>
  <c r="B2775" i="2"/>
  <c r="D2000" i="2"/>
  <c r="B2000" i="2"/>
  <c r="A2358" i="2"/>
  <c r="H2358" i="2"/>
  <c r="I2112" i="2"/>
  <c r="G2861" i="2"/>
  <c r="A2726" i="2"/>
  <c r="D3294" i="2"/>
  <c r="I2358" i="2"/>
  <c r="D2557" i="2"/>
  <c r="D1726" i="2"/>
  <c r="I1689" i="2"/>
  <c r="H2775" i="2"/>
  <c r="H2000" i="2"/>
  <c r="C3219" i="2"/>
  <c r="F1698" i="2"/>
  <c r="H1866" i="2"/>
  <c r="D3219" i="2"/>
  <c r="G3333" i="2"/>
  <c r="G3242" i="2"/>
  <c r="I3333" i="2"/>
  <c r="F2681" i="2"/>
  <c r="G1988" i="2"/>
  <c r="F3494" i="2"/>
  <c r="H3333" i="2"/>
  <c r="I1866" i="2"/>
  <c r="C3494" i="2"/>
  <c r="F2784" i="2"/>
  <c r="H1698" i="2"/>
  <c r="D3333" i="2"/>
  <c r="D3319" i="2"/>
  <c r="I3219" i="2"/>
  <c r="C3333" i="2"/>
  <c r="B2681" i="2"/>
  <c r="B1866" i="2"/>
  <c r="H3242" i="2"/>
  <c r="D3494" i="2"/>
  <c r="F3319" i="2"/>
  <c r="H3319" i="2"/>
  <c r="B3219" i="2"/>
  <c r="F3333" i="2"/>
  <c r="A3333" i="2"/>
  <c r="F1988" i="2"/>
  <c r="C1866" i="2"/>
  <c r="F3219" i="2"/>
  <c r="C3319" i="2"/>
  <c r="H3494" i="2"/>
  <c r="B3494" i="2"/>
  <c r="I1698" i="2"/>
  <c r="A1866" i="2"/>
  <c r="H3219" i="2"/>
  <c r="B2784" i="2"/>
  <c r="B3242" i="2"/>
  <c r="I3319" i="2"/>
  <c r="G1698" i="2"/>
  <c r="G3494" i="2"/>
  <c r="D2784" i="2"/>
  <c r="G2681" i="2"/>
  <c r="A3242" i="2"/>
  <c r="D2681" i="2"/>
  <c r="H1988" i="2"/>
  <c r="C1698" i="2"/>
  <c r="B1698" i="2"/>
  <c r="D1988" i="2"/>
  <c r="I3242" i="2"/>
  <c r="C2784" i="2"/>
  <c r="H2681" i="2"/>
  <c r="G1866" i="2"/>
  <c r="D1698" i="2"/>
  <c r="H2784" i="2"/>
  <c r="C3242" i="2"/>
  <c r="C2681" i="2"/>
  <c r="F3242" i="2"/>
  <c r="A3494" i="2"/>
  <c r="C1988" i="2"/>
  <c r="A2784" i="2"/>
  <c r="F1866" i="2"/>
  <c r="I2784" i="2"/>
  <c r="A1988" i="2"/>
  <c r="A3319" i="2"/>
  <c r="A3219" i="2"/>
  <c r="I1988" i="2"/>
  <c r="I2681" i="2"/>
  <c r="G3319" i="2"/>
  <c r="G3219" i="2"/>
  <c r="B3319" i="2"/>
  <c r="B3333" i="2"/>
  <c r="B1988" i="2"/>
  <c r="D3242" i="2"/>
  <c r="A1698" i="2"/>
  <c r="D1866" i="2"/>
  <c r="G2784" i="2"/>
  <c r="A2681" i="2"/>
  <c r="I3494" i="2"/>
  <c r="F3488" i="2"/>
  <c r="F2804" i="2"/>
  <c r="C2786" i="2"/>
  <c r="A2728" i="2"/>
  <c r="F2786" i="2"/>
  <c r="G3062" i="2"/>
  <c r="H3483" i="2"/>
  <c r="I2022" i="2"/>
  <c r="F3483" i="2"/>
  <c r="B2022" i="2"/>
  <c r="C3062" i="2"/>
  <c r="I2728" i="2"/>
  <c r="H2786" i="2"/>
  <c r="H3488" i="2"/>
  <c r="F2022" i="2"/>
  <c r="F2340" i="2"/>
  <c r="D3483" i="2"/>
  <c r="I3483" i="2"/>
  <c r="A1713" i="2"/>
  <c r="F1933" i="2"/>
  <c r="F3062" i="2"/>
  <c r="A2786" i="2"/>
  <c r="D1713" i="2"/>
  <c r="G3488" i="2"/>
  <c r="C1933" i="2"/>
  <c r="B2804" i="2"/>
  <c r="H2728" i="2"/>
  <c r="G3483" i="2"/>
  <c r="H1933" i="2"/>
  <c r="I3062" i="2"/>
  <c r="C2728" i="2"/>
  <c r="B1713" i="2"/>
  <c r="H2340" i="2"/>
  <c r="C2340" i="2"/>
  <c r="D2728" i="2"/>
  <c r="F1713" i="2"/>
  <c r="A2804" i="2"/>
  <c r="G2340" i="2"/>
  <c r="C3483" i="2"/>
  <c r="G2728" i="2"/>
  <c r="B2728" i="2"/>
  <c r="I2340" i="2"/>
  <c r="I2804" i="2"/>
  <c r="G1933" i="2"/>
  <c r="D1933" i="2"/>
  <c r="H3062" i="2"/>
  <c r="I1933" i="2"/>
  <c r="B3062" i="2"/>
  <c r="B3483" i="2"/>
  <c r="G2022" i="2"/>
  <c r="B2786" i="2"/>
  <c r="G2804" i="2"/>
  <c r="D2340" i="2"/>
  <c r="C2022" i="2"/>
  <c r="A2340" i="2"/>
  <c r="A2022" i="2"/>
  <c r="A3062" i="2"/>
  <c r="D3488" i="2"/>
  <c r="H2804" i="2"/>
  <c r="G1713" i="2"/>
  <c r="H1713" i="2"/>
  <c r="D2022" i="2"/>
  <c r="I1713" i="2"/>
  <c r="G2786" i="2"/>
  <c r="A3488" i="2"/>
  <c r="C3488" i="2"/>
  <c r="C2804" i="2"/>
  <c r="I2786" i="2"/>
  <c r="B3488" i="2"/>
  <c r="C1713" i="2"/>
  <c r="B1933" i="2"/>
  <c r="A3483" i="2"/>
  <c r="I3488" i="2"/>
  <c r="A1933" i="2"/>
  <c r="D3062" i="2"/>
  <c r="F2728" i="2"/>
  <c r="D2804" i="2"/>
  <c r="B2340" i="2"/>
  <c r="D2786" i="2"/>
  <c r="H2022" i="2"/>
  <c r="A2077" i="2"/>
  <c r="D3265" i="2"/>
  <c r="F2151" i="2"/>
  <c r="H3557" i="2"/>
  <c r="D2151" i="2"/>
  <c r="C3282" i="2"/>
  <c r="G3265" i="2"/>
  <c r="D3534" i="2"/>
  <c r="B3265" i="2"/>
  <c r="F3235" i="2"/>
  <c r="F3557" i="2"/>
  <c r="D2077" i="2"/>
  <c r="C3557" i="2"/>
  <c r="A3557" i="2"/>
  <c r="C2151" i="2"/>
  <c r="G3235" i="2"/>
  <c r="G3557" i="2"/>
  <c r="G2672" i="2"/>
  <c r="D3282" i="2"/>
  <c r="G2483" i="2"/>
  <c r="G2077" i="2"/>
  <c r="C3534" i="2"/>
  <c r="A2483" i="2"/>
  <c r="H3382" i="2"/>
  <c r="A3382" i="2"/>
  <c r="F3382" i="2"/>
  <c r="H2672" i="2"/>
  <c r="G3534" i="2"/>
  <c r="C3265" i="2"/>
  <c r="H3282" i="2"/>
  <c r="F2483" i="2"/>
  <c r="I3534" i="2"/>
  <c r="B2672" i="2"/>
  <c r="I3382" i="2"/>
  <c r="B2151" i="2"/>
  <c r="D3235" i="2"/>
  <c r="C3382" i="2"/>
  <c r="G3382" i="2"/>
  <c r="F3265" i="2"/>
  <c r="H3235" i="2"/>
  <c r="C2672" i="2"/>
  <c r="I2483" i="2"/>
  <c r="H3265" i="2"/>
  <c r="A3235" i="2"/>
  <c r="C2077" i="2"/>
  <c r="H2077" i="2"/>
  <c r="B3382" i="2"/>
  <c r="G2151" i="2"/>
  <c r="H3534" i="2"/>
  <c r="B3534" i="2"/>
  <c r="D2672" i="2"/>
  <c r="G3282" i="2"/>
  <c r="B3282" i="2"/>
  <c r="D3557" i="2"/>
  <c r="F2672" i="2"/>
  <c r="H2151" i="2"/>
  <c r="F2077" i="2"/>
  <c r="D2483" i="2"/>
  <c r="I2672" i="2"/>
  <c r="B2483" i="2"/>
  <c r="B3557" i="2"/>
  <c r="I3282" i="2"/>
  <c r="A2151" i="2"/>
  <c r="I2077" i="2"/>
  <c r="F3282" i="2"/>
  <c r="I3265" i="2"/>
  <c r="B3235" i="2"/>
  <c r="H2483" i="2"/>
  <c r="I3235" i="2"/>
  <c r="F3534" i="2"/>
  <c r="I3557" i="2"/>
  <c r="C2483" i="2"/>
  <c r="A3265" i="2"/>
  <c r="D3382" i="2"/>
  <c r="C3235" i="2"/>
  <c r="A3282" i="2"/>
  <c r="I2151" i="2"/>
  <c r="A2672" i="2"/>
  <c r="A3534" i="2"/>
  <c r="B2077" i="2"/>
  <c r="F2086" i="2"/>
  <c r="C2086" i="2"/>
  <c r="D1739" i="2"/>
  <c r="C3173" i="2"/>
  <c r="A2758" i="2"/>
  <c r="A2303" i="2"/>
  <c r="C2125" i="2"/>
  <c r="A1739" i="2"/>
  <c r="A2086" i="2"/>
  <c r="I2396" i="2"/>
  <c r="F1739" i="2"/>
  <c r="F2125" i="2"/>
  <c r="I1739" i="2"/>
  <c r="B2396" i="2"/>
  <c r="D2758" i="2"/>
  <c r="I1701" i="2"/>
  <c r="C2303" i="2"/>
  <c r="H2758" i="2"/>
  <c r="I3339" i="2"/>
  <c r="H2125" i="2"/>
  <c r="A2396" i="2"/>
  <c r="B3173" i="2"/>
  <c r="C1871" i="2"/>
  <c r="F1701" i="2"/>
  <c r="A1871" i="2"/>
  <c r="F3339" i="2"/>
  <c r="A3173" i="2"/>
  <c r="C2396" i="2"/>
  <c r="G2125" i="2"/>
  <c r="G1739" i="2"/>
  <c r="H1871" i="2"/>
  <c r="D1701" i="2"/>
  <c r="B3339" i="2"/>
  <c r="B2086" i="2"/>
  <c r="C1701" i="2"/>
  <c r="C3339" i="2"/>
  <c r="D3339" i="2"/>
  <c r="H2303" i="2"/>
  <c r="F1871" i="2"/>
  <c r="B2125" i="2"/>
  <c r="H1739" i="2"/>
  <c r="G3173" i="2"/>
  <c r="I2086" i="2"/>
  <c r="I3173" i="2"/>
  <c r="B1701" i="2"/>
  <c r="F2396" i="2"/>
  <c r="B2303" i="2"/>
  <c r="C2758" i="2"/>
  <c r="G2396" i="2"/>
  <c r="G2086" i="2"/>
  <c r="D2396" i="2"/>
  <c r="A1701" i="2"/>
  <c r="C1739" i="2"/>
  <c r="B1871" i="2"/>
  <c r="A2125" i="2"/>
  <c r="H3339" i="2"/>
  <c r="I2758" i="2"/>
  <c r="D3173" i="2"/>
  <c r="D2086" i="2"/>
  <c r="B2758" i="2"/>
  <c r="G1871" i="2"/>
  <c r="D2125" i="2"/>
  <c r="F2303" i="2"/>
  <c r="G2758" i="2"/>
  <c r="D2303" i="2"/>
  <c r="G1701" i="2"/>
  <c r="G2303" i="2"/>
  <c r="H3173" i="2"/>
  <c r="A3339" i="2"/>
  <c r="I1871" i="2"/>
  <c r="G3339" i="2"/>
  <c r="D1871" i="2"/>
  <c r="F3173" i="2"/>
  <c r="H1701" i="2"/>
  <c r="B1739" i="2"/>
  <c r="I2125" i="2"/>
  <c r="F2758" i="2"/>
  <c r="H2086" i="2"/>
  <c r="I2303" i="2"/>
  <c r="H2396" i="2"/>
  <c r="I2166" i="2"/>
  <c r="A2166" i="2"/>
  <c r="C2473" i="2"/>
  <c r="F1535" i="2"/>
  <c r="B2458" i="2"/>
  <c r="B2379" i="2"/>
  <c r="D3347" i="2"/>
  <c r="D2166" i="2"/>
  <c r="I1958" i="2"/>
  <c r="H1958" i="2"/>
  <c r="G2379" i="2"/>
  <c r="B2030" i="2"/>
  <c r="I2030" i="2"/>
  <c r="A1535" i="2"/>
  <c r="C3347" i="2"/>
  <c r="H2458" i="2"/>
  <c r="G3347" i="2"/>
  <c r="F2473" i="2"/>
  <c r="B3347" i="2"/>
  <c r="H2932" i="2"/>
  <c r="B3078" i="2"/>
  <c r="C1535" i="2"/>
  <c r="H2166" i="2"/>
  <c r="F1958" i="2"/>
  <c r="D2473" i="2"/>
  <c r="A2379" i="2"/>
  <c r="D2379" i="2"/>
  <c r="G2473" i="2"/>
  <c r="H2473" i="2"/>
  <c r="G2458" i="2"/>
  <c r="I2932" i="2"/>
  <c r="B2166" i="2"/>
  <c r="G1535" i="2"/>
  <c r="D3078" i="2"/>
  <c r="I3347" i="2"/>
  <c r="B2932" i="2"/>
  <c r="D2030" i="2"/>
  <c r="H1535" i="2"/>
  <c r="H2379" i="2"/>
  <c r="H2030" i="2"/>
  <c r="C2932" i="2"/>
  <c r="G1958" i="2"/>
  <c r="A1958" i="2"/>
  <c r="G3078" i="2"/>
  <c r="C1958" i="2"/>
  <c r="D1535" i="2"/>
  <c r="I3078" i="2"/>
  <c r="C2030" i="2"/>
  <c r="F2166" i="2"/>
  <c r="F2458" i="2"/>
  <c r="F3347" i="2"/>
  <c r="B2473" i="2"/>
  <c r="I2458" i="2"/>
  <c r="F3078" i="2"/>
  <c r="D2458" i="2"/>
  <c r="G2030" i="2"/>
  <c r="I2379" i="2"/>
  <c r="H3078" i="2"/>
  <c r="D1958" i="2"/>
  <c r="F2379" i="2"/>
  <c r="D2932" i="2"/>
  <c r="A2473" i="2"/>
  <c r="F2932" i="2"/>
  <c r="C2458" i="2"/>
  <c r="A3078" i="2"/>
  <c r="A2030" i="2"/>
  <c r="B1535" i="2"/>
  <c r="G2932" i="2"/>
  <c r="G2166" i="2"/>
  <c r="A3347" i="2"/>
  <c r="I1535" i="2"/>
  <c r="C2379" i="2"/>
  <c r="A2458" i="2"/>
  <c r="C3078" i="2"/>
  <c r="F2030" i="2"/>
  <c r="I2473" i="2"/>
  <c r="B1958" i="2"/>
  <c r="C2166" i="2"/>
  <c r="A2932" i="2"/>
  <c r="H3347" i="2"/>
  <c r="H2190" i="2"/>
  <c r="H1704" i="2"/>
  <c r="H2318" i="2"/>
  <c r="A2781" i="2"/>
  <c r="B1704" i="2"/>
  <c r="C2339" i="2"/>
  <c r="B2190" i="2"/>
  <c r="B3563" i="2"/>
  <c r="I2312" i="2"/>
  <c r="G1704" i="2"/>
  <c r="C3227" i="2"/>
  <c r="H2731" i="2"/>
  <c r="C2312" i="2"/>
  <c r="G2731" i="2"/>
  <c r="I2318" i="2"/>
  <c r="H3563" i="2"/>
  <c r="D2190" i="2"/>
  <c r="B2318" i="2"/>
  <c r="B2294" i="2"/>
  <c r="F3227" i="2"/>
  <c r="F2318" i="2"/>
  <c r="I2294" i="2"/>
  <c r="I3563" i="2"/>
  <c r="B2339" i="2"/>
  <c r="C2190" i="2"/>
  <c r="C1704" i="2"/>
  <c r="B3227" i="2"/>
  <c r="A3563" i="2"/>
  <c r="G2190" i="2"/>
  <c r="I2190" i="2"/>
  <c r="I1704" i="2"/>
  <c r="D2731" i="2"/>
  <c r="F2294" i="2"/>
  <c r="G3227" i="2"/>
  <c r="A2339" i="2"/>
  <c r="F2781" i="2"/>
  <c r="G2318" i="2"/>
  <c r="I2781" i="2"/>
  <c r="G2294" i="2"/>
  <c r="D2781" i="2"/>
  <c r="G2312" i="2"/>
  <c r="I3227" i="2"/>
  <c r="D1704" i="2"/>
  <c r="G3563" i="2"/>
  <c r="H2781" i="2"/>
  <c r="F2731" i="2"/>
  <c r="H2294" i="2"/>
  <c r="C2781" i="2"/>
  <c r="C3563" i="2"/>
  <c r="I2339" i="2"/>
  <c r="A1704" i="2"/>
  <c r="B2312" i="2"/>
  <c r="A2731" i="2"/>
  <c r="C2731" i="2"/>
  <c r="H2339" i="2"/>
  <c r="G2339" i="2"/>
  <c r="A2312" i="2"/>
  <c r="C2294" i="2"/>
  <c r="A2318" i="2"/>
  <c r="G2781" i="2"/>
  <c r="H3227" i="2"/>
  <c r="H2312" i="2"/>
  <c r="I2731" i="2"/>
  <c r="D2339" i="2"/>
  <c r="D2294" i="2"/>
  <c r="D3227" i="2"/>
  <c r="D2318" i="2"/>
  <c r="D2312" i="2"/>
  <c r="D3563" i="2"/>
  <c r="A2294" i="2"/>
  <c r="B2781" i="2"/>
  <c r="A2190" i="2"/>
  <c r="B2731" i="2"/>
  <c r="A3227" i="2"/>
  <c r="F2312" i="2"/>
  <c r="F2190" i="2"/>
  <c r="F1704" i="2"/>
  <c r="F2339" i="2"/>
  <c r="F3563" i="2"/>
  <c r="C2318" i="2"/>
  <c r="A3318" i="2"/>
  <c r="D3318" i="2"/>
  <c r="H3318" i="2"/>
  <c r="D3053" i="2"/>
  <c r="F3446" i="2"/>
  <c r="F3053" i="2"/>
  <c r="I3318" i="2"/>
  <c r="F1688" i="2"/>
  <c r="D2837" i="2"/>
  <c r="C1688" i="2"/>
  <c r="G2837" i="2"/>
  <c r="D1688" i="2"/>
  <c r="F2290" i="2"/>
  <c r="I3176" i="2"/>
  <c r="B1688" i="2"/>
  <c r="B2837" i="2"/>
  <c r="I2015" i="2"/>
  <c r="I2290" i="2"/>
  <c r="G3318" i="2"/>
  <c r="A3053" i="2"/>
  <c r="A3240" i="2"/>
  <c r="G1688" i="2"/>
  <c r="D2290" i="2"/>
  <c r="I3240" i="2"/>
  <c r="F2837" i="2"/>
  <c r="F2015" i="2"/>
  <c r="C3446" i="2"/>
  <c r="B3446" i="2"/>
  <c r="A2290" i="2"/>
  <c r="A1688" i="2"/>
  <c r="H2015" i="2"/>
  <c r="F3318" i="2"/>
  <c r="H3053" i="2"/>
  <c r="H2837" i="2"/>
  <c r="B3053" i="2"/>
  <c r="B3176" i="2"/>
  <c r="C2837" i="2"/>
  <c r="B3318" i="2"/>
  <c r="H3446" i="2"/>
  <c r="B2015" i="2"/>
  <c r="G2015" i="2"/>
  <c r="A3176" i="2"/>
  <c r="H1688" i="2"/>
  <c r="A2837" i="2"/>
  <c r="H3176" i="2"/>
  <c r="H2290" i="2"/>
  <c r="F2020" i="2"/>
  <c r="D2020" i="2"/>
  <c r="G3176" i="2"/>
  <c r="I3446" i="2"/>
  <c r="H2020" i="2"/>
  <c r="D3446" i="2"/>
  <c r="C2015" i="2"/>
  <c r="G3240" i="2"/>
  <c r="D3176" i="2"/>
  <c r="C3176" i="2"/>
  <c r="A2020" i="2"/>
  <c r="C3053" i="2"/>
  <c r="C3240" i="2"/>
  <c r="I3053" i="2"/>
  <c r="G2020" i="2"/>
  <c r="I2020" i="2"/>
  <c r="D3240" i="2"/>
  <c r="D2015" i="2"/>
  <c r="H3240" i="2"/>
  <c r="B2290" i="2"/>
  <c r="B3240" i="2"/>
  <c r="C2020" i="2"/>
  <c r="A3446" i="2"/>
  <c r="C2290" i="2"/>
  <c r="G3446" i="2"/>
  <c r="F3240" i="2"/>
  <c r="F3176" i="2"/>
  <c r="I2837" i="2"/>
  <c r="A2015" i="2"/>
  <c r="I1688" i="2"/>
  <c r="G2290" i="2"/>
  <c r="B2020" i="2"/>
  <c r="G3053" i="2"/>
  <c r="C3318" i="2"/>
  <c r="C3424" i="2"/>
  <c r="A3358" i="2"/>
  <c r="A3424" i="2"/>
  <c r="G3411" i="2"/>
  <c r="G2038" i="2"/>
  <c r="F3358" i="2"/>
  <c r="D2038" i="2"/>
  <c r="B2593" i="2"/>
  <c r="B3358" i="2"/>
  <c r="G2593" i="2"/>
  <c r="H2038" i="2"/>
  <c r="H2451" i="2"/>
  <c r="F3411" i="2"/>
  <c r="I3411" i="2"/>
  <c r="B3424" i="2"/>
  <c r="I1877" i="2"/>
  <c r="A2593" i="2"/>
  <c r="H3358" i="2"/>
  <c r="I3424" i="2"/>
  <c r="B1877" i="2"/>
  <c r="A1874" i="2"/>
  <c r="D3358" i="2"/>
  <c r="B1916" i="2"/>
  <c r="A3411" i="2"/>
  <c r="D2593" i="2"/>
  <c r="D1874" i="2"/>
  <c r="A1877" i="2"/>
  <c r="C2451" i="2"/>
  <c r="G1916" i="2"/>
  <c r="H2304" i="2"/>
  <c r="I1916" i="2"/>
  <c r="G1877" i="2"/>
  <c r="H1877" i="2"/>
  <c r="F1916" i="2"/>
  <c r="F2038" i="2"/>
  <c r="H2593" i="2"/>
  <c r="H1874" i="2"/>
  <c r="G2304" i="2"/>
  <c r="I2038" i="2"/>
  <c r="A2038" i="2"/>
  <c r="G1874" i="2"/>
  <c r="C2038" i="2"/>
  <c r="F1874" i="2"/>
  <c r="H1916" i="2"/>
  <c r="H3424" i="2"/>
  <c r="G3424" i="2"/>
  <c r="A1916" i="2"/>
  <c r="D1877" i="2"/>
  <c r="A2451" i="2"/>
  <c r="D1916" i="2"/>
  <c r="D2451" i="2"/>
  <c r="F3424" i="2"/>
  <c r="A2304" i="2"/>
  <c r="B2451" i="2"/>
  <c r="C3358" i="2"/>
  <c r="H3411" i="2"/>
  <c r="G3358" i="2"/>
  <c r="G2451" i="2"/>
  <c r="I2304" i="2"/>
  <c r="C1874" i="2"/>
  <c r="C1877" i="2"/>
  <c r="B2304" i="2"/>
  <c r="C3411" i="2"/>
  <c r="D3411" i="2"/>
  <c r="F2451" i="2"/>
  <c r="C2304" i="2"/>
  <c r="D2304" i="2"/>
  <c r="F2593" i="2"/>
  <c r="B1874" i="2"/>
  <c r="I2593" i="2"/>
  <c r="F1877" i="2"/>
  <c r="B3411" i="2"/>
  <c r="F2304" i="2"/>
  <c r="C1916" i="2"/>
  <c r="I3358" i="2"/>
  <c r="I1874" i="2"/>
  <c r="B2038" i="2"/>
  <c r="D3424" i="2"/>
  <c r="C2593" i="2"/>
  <c r="I2451" i="2"/>
  <c r="A3329" i="2"/>
  <c r="H2477" i="2"/>
  <c r="F3329" i="2"/>
  <c r="H3368" i="2"/>
  <c r="I1789" i="2"/>
  <c r="B2961" i="2"/>
  <c r="G2477" i="2"/>
  <c r="A1789" i="2"/>
  <c r="I3334" i="2"/>
  <c r="D2670" i="2"/>
  <c r="H1789" i="2"/>
  <c r="D2961" i="2"/>
  <c r="H2670" i="2"/>
  <c r="B1789" i="2"/>
  <c r="G3329" i="2"/>
  <c r="I2904" i="2"/>
  <c r="B3316" i="2"/>
  <c r="I3368" i="2"/>
  <c r="I1932" i="2"/>
  <c r="G2904" i="2"/>
  <c r="A2670" i="2"/>
  <c r="I2670" i="2"/>
  <c r="C3334" i="2"/>
  <c r="F3368" i="2"/>
  <c r="H2961" i="2"/>
  <c r="C2904" i="2"/>
  <c r="D1932" i="2"/>
  <c r="B1932" i="2"/>
  <c r="C3368" i="2"/>
  <c r="F2904" i="2"/>
  <c r="B3368" i="2"/>
  <c r="D3329" i="2"/>
  <c r="G3316" i="2"/>
  <c r="F3334" i="2"/>
  <c r="B3329" i="2"/>
  <c r="G1932" i="2"/>
  <c r="F2670" i="2"/>
  <c r="B2904" i="2"/>
  <c r="F1789" i="2"/>
  <c r="F2961" i="2"/>
  <c r="I3316" i="2"/>
  <c r="A2904" i="2"/>
  <c r="C1789" i="2"/>
  <c r="A2477" i="2"/>
  <c r="F3316" i="2"/>
  <c r="D2904" i="2"/>
  <c r="H3334" i="2"/>
  <c r="G2961" i="2"/>
  <c r="G1789" i="2"/>
  <c r="D3368" i="2"/>
  <c r="D2477" i="2"/>
  <c r="C2670" i="2"/>
  <c r="B2477" i="2"/>
  <c r="C3329" i="2"/>
  <c r="A2961" i="2"/>
  <c r="F1932" i="2"/>
  <c r="C2477" i="2"/>
  <c r="D3334" i="2"/>
  <c r="F2477" i="2"/>
  <c r="C3316" i="2"/>
  <c r="B3334" i="2"/>
  <c r="G3334" i="2"/>
  <c r="B2670" i="2"/>
  <c r="A3368" i="2"/>
  <c r="I3329" i="2"/>
  <c r="H1932" i="2"/>
  <c r="H3316" i="2"/>
  <c r="A3316" i="2"/>
  <c r="I2961" i="2"/>
  <c r="A1932" i="2"/>
  <c r="A3334" i="2"/>
  <c r="C1932" i="2"/>
  <c r="G3368" i="2"/>
  <c r="H3329" i="2"/>
  <c r="D3316" i="2"/>
  <c r="H2904" i="2"/>
  <c r="G2670" i="2"/>
  <c r="D1789" i="2"/>
  <c r="C2961" i="2"/>
  <c r="I2477" i="2"/>
  <c r="F2680" i="2"/>
  <c r="I2463" i="2"/>
  <c r="D2463" i="2"/>
  <c r="A2395" i="2"/>
  <c r="A2680" i="2"/>
  <c r="B2197" i="2"/>
  <c r="A3336" i="2"/>
  <c r="C3336" i="2"/>
  <c r="C2680" i="2"/>
  <c r="H2680" i="2"/>
  <c r="D2395" i="2"/>
  <c r="I2395" i="2"/>
  <c r="D2100" i="2"/>
  <c r="G2100" i="2"/>
  <c r="F3336" i="2"/>
  <c r="A2463" i="2"/>
  <c r="H2189" i="2"/>
  <c r="F2100" i="2"/>
  <c r="F2395" i="2"/>
  <c r="B2680" i="2"/>
  <c r="D2189" i="2"/>
  <c r="B1869" i="2"/>
  <c r="H2395" i="2"/>
  <c r="A1869" i="2"/>
  <c r="I2864" i="2"/>
  <c r="C2100" i="2"/>
  <c r="C2197" i="2"/>
  <c r="I1869" i="2"/>
  <c r="F2864" i="2"/>
  <c r="D3336" i="2"/>
  <c r="D2635" i="2"/>
  <c r="B2864" i="2"/>
  <c r="G2189" i="2"/>
  <c r="H2197" i="2"/>
  <c r="B2463" i="2"/>
  <c r="A2635" i="2"/>
  <c r="F2189" i="2"/>
  <c r="D1869" i="2"/>
  <c r="I2197" i="2"/>
  <c r="H2864" i="2"/>
  <c r="D2864" i="2"/>
  <c r="G2635" i="2"/>
  <c r="G3336" i="2"/>
  <c r="H1869" i="2"/>
  <c r="A2197" i="2"/>
  <c r="G1869" i="2"/>
  <c r="I2100" i="2"/>
  <c r="I3336" i="2"/>
  <c r="D2680" i="2"/>
  <c r="F1869" i="2"/>
  <c r="A2100" i="2"/>
  <c r="A2864" i="2"/>
  <c r="G2395" i="2"/>
  <c r="C2635" i="2"/>
  <c r="A2189" i="2"/>
  <c r="C2395" i="2"/>
  <c r="B2100" i="2"/>
  <c r="F2197" i="2"/>
  <c r="C2189" i="2"/>
  <c r="B2189" i="2"/>
  <c r="I2635" i="2"/>
  <c r="H2463" i="2"/>
  <c r="G2197" i="2"/>
  <c r="F2635" i="2"/>
  <c r="H2635" i="2"/>
  <c r="H3336" i="2"/>
  <c r="F2463" i="2"/>
  <c r="I2680" i="2"/>
  <c r="G2864" i="2"/>
  <c r="C2463" i="2"/>
  <c r="G2680" i="2"/>
  <c r="C2864" i="2"/>
  <c r="B3336" i="2"/>
  <c r="H2100" i="2"/>
  <c r="C1869" i="2"/>
  <c r="I2189" i="2"/>
  <c r="B2635" i="2"/>
  <c r="D2197" i="2"/>
  <c r="G2463" i="2"/>
  <c r="B2395" i="2"/>
  <c r="B3016" i="2"/>
  <c r="D3110" i="2"/>
  <c r="D3541" i="2"/>
  <c r="G3002" i="2"/>
  <c r="F3276" i="2"/>
  <c r="D3449" i="2"/>
  <c r="A3449" i="2"/>
  <c r="H3384" i="2"/>
  <c r="I3110" i="2"/>
  <c r="A2571" i="2"/>
  <c r="C3276" i="2"/>
  <c r="F3419" i="2"/>
  <c r="C3384" i="2"/>
  <c r="I3449" i="2"/>
  <c r="A3419" i="2"/>
  <c r="G2571" i="2"/>
  <c r="A3002" i="2"/>
  <c r="B3419" i="2"/>
  <c r="C3110" i="2"/>
  <c r="B3276" i="2"/>
  <c r="F3449" i="2"/>
  <c r="B3384" i="2"/>
  <c r="A3276" i="2"/>
  <c r="F3677" i="2"/>
  <c r="D3384" i="2"/>
  <c r="I3002" i="2"/>
  <c r="H3449" i="2"/>
  <c r="D3016" i="2"/>
  <c r="H3016" i="2"/>
  <c r="C2571" i="2"/>
  <c r="B3002" i="2"/>
  <c r="H3276" i="2"/>
  <c r="D3677" i="2"/>
  <c r="F3002" i="2"/>
  <c r="F3110" i="2"/>
  <c r="F2571" i="2"/>
  <c r="G3449" i="2"/>
  <c r="G3276" i="2"/>
  <c r="H3677" i="2"/>
  <c r="F3541" i="2"/>
  <c r="H3541" i="2"/>
  <c r="B2571" i="2"/>
  <c r="I3541" i="2"/>
  <c r="B3677" i="2"/>
  <c r="I3384" i="2"/>
  <c r="F3016" i="2"/>
  <c r="A3384" i="2"/>
  <c r="C3002" i="2"/>
  <c r="B3541" i="2"/>
  <c r="G3016" i="2"/>
  <c r="D2571" i="2"/>
  <c r="C3541" i="2"/>
  <c r="A3110" i="2"/>
  <c r="A3016" i="2"/>
  <c r="D3276" i="2"/>
  <c r="A3677" i="2"/>
  <c r="G3110" i="2"/>
  <c r="H3419" i="2"/>
  <c r="G3677" i="2"/>
  <c r="H3110" i="2"/>
  <c r="F3384" i="2"/>
  <c r="D3419" i="2"/>
  <c r="I3419" i="2"/>
  <c r="H3002" i="2"/>
  <c r="I2571" i="2"/>
  <c r="C3419" i="2"/>
  <c r="C3016" i="2"/>
  <c r="A3541" i="2"/>
  <c r="I3677" i="2"/>
  <c r="C3449" i="2"/>
  <c r="B3449" i="2"/>
  <c r="B3110" i="2"/>
  <c r="I3016" i="2"/>
  <c r="G3541" i="2"/>
  <c r="D3002" i="2"/>
  <c r="I3276" i="2"/>
  <c r="G3384" i="2"/>
  <c r="H2571" i="2"/>
  <c r="C3677" i="2"/>
  <c r="G3419" i="2"/>
  <c r="H2075" i="2"/>
  <c r="I2740" i="2"/>
  <c r="H2740" i="2"/>
  <c r="B2208" i="2"/>
  <c r="D3077" i="2"/>
  <c r="D2634" i="2"/>
  <c r="H3077" i="2"/>
  <c r="H2634" i="2"/>
  <c r="B3266" i="2"/>
  <c r="B3077" i="2"/>
  <c r="A3546" i="2"/>
  <c r="B1693" i="2"/>
  <c r="D2075" i="2"/>
  <c r="G3266" i="2"/>
  <c r="C1693" i="2"/>
  <c r="C2075" i="2"/>
  <c r="G2740" i="2"/>
  <c r="D3546" i="2"/>
  <c r="A3266" i="2"/>
  <c r="F1831" i="2"/>
  <c r="B1831" i="2"/>
  <c r="B1964" i="2"/>
  <c r="H2208" i="2"/>
  <c r="G2208" i="2"/>
  <c r="I2208" i="2"/>
  <c r="G2075" i="2"/>
  <c r="B2740" i="2"/>
  <c r="G2634" i="2"/>
  <c r="A2740" i="2"/>
  <c r="D1964" i="2"/>
  <c r="G3077" i="2"/>
  <c r="F2740" i="2"/>
  <c r="C1831" i="2"/>
  <c r="I3266" i="2"/>
  <c r="B3546" i="2"/>
  <c r="D1693" i="2"/>
  <c r="G1964" i="2"/>
  <c r="D3266" i="2"/>
  <c r="I3546" i="2"/>
  <c r="C3266" i="2"/>
  <c r="I2075" i="2"/>
  <c r="C2634" i="2"/>
  <c r="D2208" i="2"/>
  <c r="I1831" i="2"/>
  <c r="I1693" i="2"/>
  <c r="F3266" i="2"/>
  <c r="H3546" i="2"/>
  <c r="A1831" i="2"/>
  <c r="C3546" i="2"/>
  <c r="C2208" i="2"/>
  <c r="F2634" i="2"/>
  <c r="A1964" i="2"/>
  <c r="F1964" i="2"/>
  <c r="B2075" i="2"/>
  <c r="I3077" i="2"/>
  <c r="I2634" i="2"/>
  <c r="A2075" i="2"/>
  <c r="G1831" i="2"/>
  <c r="A1693" i="2"/>
  <c r="C2740" i="2"/>
  <c r="H1964" i="2"/>
  <c r="C3077" i="2"/>
  <c r="D1831" i="2"/>
  <c r="G1693" i="2"/>
  <c r="A2208" i="2"/>
  <c r="I1964" i="2"/>
  <c r="B2634" i="2"/>
  <c r="H1693" i="2"/>
  <c r="G3546" i="2"/>
  <c r="F3077" i="2"/>
  <c r="H1831" i="2"/>
  <c r="A2634" i="2"/>
  <c r="F2208" i="2"/>
  <c r="H3266" i="2"/>
  <c r="F2075" i="2"/>
  <c r="F1693" i="2"/>
  <c r="C1964" i="2"/>
  <c r="F3546" i="2"/>
  <c r="A3077" i="2"/>
  <c r="D2740" i="2"/>
  <c r="A2293" i="2"/>
  <c r="D1763" i="2"/>
  <c r="B2669" i="2"/>
  <c r="F2207" i="2"/>
  <c r="I2817" i="2"/>
  <c r="I2801" i="2"/>
  <c r="C2293" i="2"/>
  <c r="C2958" i="2"/>
  <c r="H2801" i="2"/>
  <c r="G2293" i="2"/>
  <c r="A2801" i="2"/>
  <c r="I2334" i="2"/>
  <c r="H1657" i="2"/>
  <c r="F2334" i="2"/>
  <c r="B2817" i="2"/>
  <c r="H2958" i="2"/>
  <c r="I1763" i="2"/>
  <c r="F1763" i="2"/>
  <c r="C1763" i="2"/>
  <c r="F2801" i="2"/>
  <c r="D2801" i="2"/>
  <c r="C2801" i="2"/>
  <c r="I2733" i="2"/>
  <c r="A2207" i="2"/>
  <c r="D2669" i="2"/>
  <c r="D2334" i="2"/>
  <c r="H2334" i="2"/>
  <c r="B2958" i="2"/>
  <c r="D1657" i="2"/>
  <c r="B2293" i="2"/>
  <c r="A2733" i="2"/>
  <c r="H2733" i="2"/>
  <c r="H2669" i="2"/>
  <c r="C2669" i="2"/>
  <c r="G2669" i="2"/>
  <c r="G1763" i="2"/>
  <c r="D2733" i="2"/>
  <c r="C2817" i="2"/>
  <c r="D2207" i="2"/>
  <c r="G2958" i="2"/>
  <c r="G2817" i="2"/>
  <c r="C1657" i="2"/>
  <c r="F2293" i="2"/>
  <c r="I1657" i="2"/>
  <c r="C2207" i="2"/>
  <c r="A2817" i="2"/>
  <c r="F1657" i="2"/>
  <c r="B2733" i="2"/>
  <c r="C2334" i="2"/>
  <c r="D2293" i="2"/>
  <c r="A2669" i="2"/>
  <c r="I2293" i="2"/>
  <c r="A1763" i="2"/>
  <c r="B2801" i="2"/>
  <c r="B2207" i="2"/>
  <c r="G2334" i="2"/>
  <c r="A2334" i="2"/>
  <c r="B1763" i="2"/>
  <c r="F2669" i="2"/>
  <c r="I2207" i="2"/>
  <c r="G1657" i="2"/>
  <c r="D2958" i="2"/>
  <c r="D2817" i="2"/>
  <c r="A1657" i="2"/>
  <c r="G2733" i="2"/>
  <c r="A2958" i="2"/>
  <c r="H2207" i="2"/>
  <c r="F2958" i="2"/>
  <c r="F2817" i="2"/>
  <c r="C2733" i="2"/>
  <c r="G2801" i="2"/>
  <c r="H1763" i="2"/>
  <c r="B1657" i="2"/>
  <c r="F2733" i="2"/>
  <c r="H2817" i="2"/>
  <c r="H2293" i="2"/>
  <c r="I2669" i="2"/>
  <c r="G2207" i="2"/>
  <c r="I2958" i="2"/>
  <c r="B2334" i="2"/>
  <c r="A2351" i="2"/>
  <c r="I2994" i="2"/>
  <c r="G3301" i="2"/>
  <c r="B2351" i="2"/>
  <c r="F2995" i="2"/>
  <c r="B3388" i="2"/>
  <c r="C3301" i="2"/>
  <c r="H1978" i="2"/>
  <c r="A1978" i="2"/>
  <c r="C1978" i="2"/>
  <c r="A1898" i="2"/>
  <c r="A2994" i="2"/>
  <c r="F2521" i="2"/>
  <c r="D1811" i="2"/>
  <c r="H1811" i="2"/>
  <c r="C3388" i="2"/>
  <c r="H2521" i="2"/>
  <c r="D3301" i="2"/>
  <c r="G1898" i="2"/>
  <c r="F1978" i="2"/>
  <c r="G1811" i="2"/>
  <c r="D1898" i="2"/>
  <c r="D2994" i="2"/>
  <c r="F3301" i="2"/>
  <c r="D1978" i="2"/>
  <c r="A1811" i="2"/>
  <c r="I1811" i="2"/>
  <c r="H3388" i="2"/>
  <c r="A1710" i="2"/>
  <c r="C2994" i="2"/>
  <c r="B2995" i="2"/>
  <c r="F1811" i="2"/>
  <c r="G2521" i="2"/>
  <c r="B2521" i="2"/>
  <c r="F1710" i="2"/>
  <c r="I2521" i="2"/>
  <c r="F2351" i="2"/>
  <c r="I2351" i="2"/>
  <c r="D2995" i="2"/>
  <c r="H1710" i="2"/>
  <c r="I3388" i="2"/>
  <c r="B1978" i="2"/>
  <c r="C2351" i="2"/>
  <c r="B2994" i="2"/>
  <c r="G2351" i="2"/>
  <c r="B1710" i="2"/>
  <c r="G2994" i="2"/>
  <c r="H3301" i="2"/>
  <c r="C1898" i="2"/>
  <c r="B1898" i="2"/>
  <c r="A3301" i="2"/>
  <c r="C2995" i="2"/>
  <c r="B1811" i="2"/>
  <c r="I1898" i="2"/>
  <c r="D3388" i="2"/>
  <c r="I1978" i="2"/>
  <c r="D2351" i="2"/>
  <c r="D2521" i="2"/>
  <c r="A3388" i="2"/>
  <c r="F1898" i="2"/>
  <c r="C1710" i="2"/>
  <c r="G2995" i="2"/>
  <c r="I1710" i="2"/>
  <c r="A2995" i="2"/>
  <c r="H2995" i="2"/>
  <c r="F2994" i="2"/>
  <c r="A2521" i="2"/>
  <c r="B3301" i="2"/>
  <c r="D1710" i="2"/>
  <c r="G3388" i="2"/>
  <c r="I2995" i="2"/>
  <c r="C1811" i="2"/>
  <c r="G1978" i="2"/>
  <c r="H2994" i="2"/>
  <c r="F3388" i="2"/>
  <c r="I3301" i="2"/>
  <c r="H1898" i="2"/>
  <c r="C2521" i="2"/>
  <c r="H2351" i="2"/>
  <c r="G1710" i="2"/>
  <c r="A3065" i="2"/>
  <c r="A2225" i="2"/>
  <c r="I2631" i="2"/>
  <c r="H3065" i="2"/>
  <c r="C2927" i="2"/>
  <c r="H2225" i="2"/>
  <c r="G2690" i="2"/>
  <c r="F3065" i="2"/>
  <c r="B2225" i="2"/>
  <c r="I2047" i="2"/>
  <c r="C2047" i="2"/>
  <c r="H3416" i="2"/>
  <c r="H2690" i="2"/>
  <c r="A1715" i="2"/>
  <c r="F1755" i="2"/>
  <c r="D3127" i="2"/>
  <c r="C1715" i="2"/>
  <c r="A2047" i="2"/>
  <c r="B2690" i="2"/>
  <c r="B3127" i="2"/>
  <c r="H2047" i="2"/>
  <c r="C3127" i="2"/>
  <c r="D3065" i="2"/>
  <c r="A3416" i="2"/>
  <c r="G2927" i="2"/>
  <c r="B3065" i="2"/>
  <c r="H2631" i="2"/>
  <c r="F2631" i="2"/>
  <c r="I1755" i="2"/>
  <c r="H1715" i="2"/>
  <c r="B2631" i="2"/>
  <c r="H1755" i="2"/>
  <c r="F2927" i="2"/>
  <c r="C1755" i="2"/>
  <c r="B1715" i="2"/>
  <c r="A2927" i="2"/>
  <c r="F2225" i="2"/>
  <c r="B2927" i="2"/>
  <c r="B1755" i="2"/>
  <c r="A3127" i="2"/>
  <c r="D2631" i="2"/>
  <c r="C2690" i="2"/>
  <c r="D1755" i="2"/>
  <c r="G1715" i="2"/>
  <c r="G3065" i="2"/>
  <c r="D2047" i="2"/>
  <c r="G2631" i="2"/>
  <c r="F3127" i="2"/>
  <c r="I3127" i="2"/>
  <c r="F3416" i="2"/>
  <c r="C3416" i="2"/>
  <c r="A2690" i="2"/>
  <c r="D2225" i="2"/>
  <c r="I2225" i="2"/>
  <c r="F2690" i="2"/>
  <c r="D1715" i="2"/>
  <c r="I2927" i="2"/>
  <c r="H2927" i="2"/>
  <c r="G3416" i="2"/>
  <c r="I2690" i="2"/>
  <c r="A1755" i="2"/>
  <c r="F2047" i="2"/>
  <c r="I1715" i="2"/>
  <c r="B2047" i="2"/>
  <c r="B3416" i="2"/>
  <c r="I3065" i="2"/>
  <c r="D3416" i="2"/>
  <c r="H3127" i="2"/>
  <c r="G2225" i="2"/>
  <c r="C2631" i="2"/>
  <c r="I3416" i="2"/>
  <c r="G1755" i="2"/>
  <c r="D2690" i="2"/>
  <c r="F1715" i="2"/>
  <c r="G3127" i="2"/>
  <c r="C3065" i="2"/>
  <c r="A2631" i="2"/>
  <c r="G2047" i="2"/>
  <c r="D2927" i="2"/>
  <c r="C2225" i="2"/>
  <c r="A1822" i="2"/>
  <c r="F2362" i="2"/>
  <c r="D3258" i="2"/>
  <c r="F2182" i="2"/>
  <c r="B1855" i="2"/>
  <c r="A2182" i="2"/>
  <c r="H1822" i="2"/>
  <c r="I3453" i="2"/>
  <c r="D3178" i="2"/>
  <c r="D3453" i="2"/>
  <c r="C2982" i="2"/>
  <c r="B3258" i="2"/>
  <c r="F1822" i="2"/>
  <c r="D1822" i="2"/>
  <c r="B2576" i="2"/>
  <c r="I1822" i="2"/>
  <c r="H2576" i="2"/>
  <c r="B3470" i="2"/>
  <c r="A2576" i="2"/>
  <c r="A2362" i="2"/>
  <c r="G2982" i="2"/>
  <c r="B3178" i="2"/>
  <c r="I3470" i="2"/>
  <c r="F3453" i="2"/>
  <c r="G1855" i="2"/>
  <c r="H3453" i="2"/>
  <c r="I3258" i="2"/>
  <c r="H3470" i="2"/>
  <c r="C2182" i="2"/>
  <c r="H2182" i="2"/>
  <c r="B2982" i="2"/>
  <c r="B2362" i="2"/>
  <c r="F3470" i="2"/>
  <c r="G3178" i="2"/>
  <c r="B3453" i="2"/>
  <c r="I1855" i="2"/>
  <c r="C3470" i="2"/>
  <c r="D1855" i="2"/>
  <c r="B1822" i="2"/>
  <c r="G3258" i="2"/>
  <c r="F2576" i="2"/>
  <c r="F3178" i="2"/>
  <c r="I2576" i="2"/>
  <c r="D2362" i="2"/>
  <c r="C3258" i="2"/>
  <c r="G3453" i="2"/>
  <c r="F1855" i="2"/>
  <c r="H3258" i="2"/>
  <c r="I3178" i="2"/>
  <c r="F2982" i="2"/>
  <c r="H1855" i="2"/>
  <c r="C1822" i="2"/>
  <c r="H2362" i="2"/>
  <c r="G2362" i="2"/>
  <c r="G3470" i="2"/>
  <c r="D2982" i="2"/>
  <c r="I2982" i="2"/>
  <c r="A3178" i="2"/>
  <c r="H3178" i="2"/>
  <c r="I2362" i="2"/>
  <c r="I2182" i="2"/>
  <c r="B2182" i="2"/>
  <c r="D3470" i="2"/>
  <c r="G2182" i="2"/>
  <c r="A3453" i="2"/>
  <c r="A3258" i="2"/>
  <c r="C2576" i="2"/>
  <c r="D2576" i="2"/>
  <c r="C1855" i="2"/>
  <c r="A2982" i="2"/>
  <c r="F3258" i="2"/>
  <c r="H2982" i="2"/>
  <c r="G2576" i="2"/>
  <c r="C2362" i="2"/>
  <c r="C3453" i="2"/>
  <c r="G1822" i="2"/>
  <c r="C3178" i="2"/>
  <c r="A3470" i="2"/>
  <c r="A1855" i="2"/>
  <c r="D2182" i="2"/>
  <c r="C1841" i="2"/>
  <c r="A2769" i="2"/>
  <c r="I1841" i="2"/>
  <c r="F1604" i="2"/>
  <c r="C1604" i="2"/>
  <c r="C3101" i="2"/>
  <c r="B1841" i="2"/>
  <c r="F2769" i="2"/>
  <c r="G1604" i="2"/>
  <c r="D1762" i="2"/>
  <c r="D2070" i="2"/>
  <c r="B3279" i="2"/>
  <c r="B1762" i="2"/>
  <c r="A2094" i="2"/>
  <c r="I1762" i="2"/>
  <c r="F3101" i="2"/>
  <c r="G2931" i="2"/>
  <c r="D1604" i="2"/>
  <c r="H1604" i="2"/>
  <c r="C2070" i="2"/>
  <c r="H2931" i="2"/>
  <c r="F2094" i="2"/>
  <c r="C1762" i="2"/>
  <c r="I1604" i="2"/>
  <c r="A2820" i="2"/>
  <c r="B2094" i="2"/>
  <c r="I2769" i="2"/>
  <c r="G3279" i="2"/>
  <c r="C2931" i="2"/>
  <c r="B2070" i="2"/>
  <c r="B1604" i="2"/>
  <c r="F1762" i="2"/>
  <c r="H2070" i="2"/>
  <c r="I3279" i="2"/>
  <c r="A2070" i="2"/>
  <c r="D2769" i="2"/>
  <c r="B2820" i="2"/>
  <c r="D3279" i="2"/>
  <c r="C2820" i="2"/>
  <c r="A3101" i="2"/>
  <c r="I2094" i="2"/>
  <c r="F2070" i="2"/>
  <c r="H2820" i="2"/>
  <c r="H2769" i="2"/>
  <c r="B2769" i="2"/>
  <c r="F2931" i="2"/>
  <c r="F2820" i="2"/>
  <c r="B3101" i="2"/>
  <c r="G2820" i="2"/>
  <c r="G2769" i="2"/>
  <c r="G3101" i="2"/>
  <c r="F1841" i="2"/>
  <c r="I2931" i="2"/>
  <c r="D2820" i="2"/>
  <c r="F3279" i="2"/>
  <c r="H3101" i="2"/>
  <c r="C2094" i="2"/>
  <c r="D1841" i="2"/>
  <c r="G1762" i="2"/>
  <c r="A1841" i="2"/>
  <c r="H2094" i="2"/>
  <c r="G2094" i="2"/>
  <c r="H1841" i="2"/>
  <c r="A1762" i="2"/>
  <c r="D3101" i="2"/>
  <c r="B2931" i="2"/>
  <c r="C3279" i="2"/>
  <c r="I2070" i="2"/>
  <c r="A3279" i="2"/>
  <c r="D2931" i="2"/>
  <c r="A1604" i="2"/>
  <c r="C2769" i="2"/>
  <c r="D2094" i="2"/>
  <c r="A2931" i="2"/>
  <c r="I3101" i="2"/>
  <c r="G1841" i="2"/>
  <c r="H3279" i="2"/>
  <c r="H1762" i="2"/>
  <c r="I2820" i="2"/>
  <c r="G2070" i="2"/>
  <c r="I2991" i="2"/>
  <c r="D2991" i="2"/>
  <c r="A1630" i="2"/>
  <c r="H2612" i="2"/>
  <c r="D2612" i="2"/>
  <c r="G3405" i="2"/>
  <c r="G2842" i="2"/>
  <c r="I1990" i="2"/>
  <c r="D2842" i="2"/>
  <c r="H2991" i="2"/>
  <c r="C1630" i="2"/>
  <c r="D1990" i="2"/>
  <c r="D3405" i="2"/>
  <c r="D2307" i="2"/>
  <c r="A2708" i="2"/>
  <c r="B1754" i="2"/>
  <c r="A1754" i="2"/>
  <c r="A2741" i="2"/>
  <c r="B2842" i="2"/>
  <c r="G1630" i="2"/>
  <c r="I2842" i="2"/>
  <c r="F2307" i="2"/>
  <c r="F2741" i="2"/>
  <c r="C2307" i="2"/>
  <c r="A2991" i="2"/>
  <c r="A2307" i="2"/>
  <c r="F3405" i="2"/>
  <c r="G2708" i="2"/>
  <c r="I2741" i="2"/>
  <c r="G2307" i="2"/>
  <c r="C3405" i="2"/>
  <c r="G2741" i="2"/>
  <c r="I1754" i="2"/>
  <c r="D2708" i="2"/>
  <c r="C2708" i="2"/>
  <c r="C2612" i="2"/>
  <c r="D1754" i="2"/>
  <c r="G2991" i="2"/>
  <c r="F2991" i="2"/>
  <c r="B1630" i="2"/>
  <c r="A2612" i="2"/>
  <c r="D2741" i="2"/>
  <c r="C1990" i="2"/>
  <c r="B2612" i="2"/>
  <c r="F1630" i="2"/>
  <c r="H1990" i="2"/>
  <c r="H2708" i="2"/>
  <c r="I2307" i="2"/>
  <c r="F2708" i="2"/>
  <c r="I2612" i="2"/>
  <c r="B3405" i="2"/>
  <c r="B2991" i="2"/>
  <c r="A3405" i="2"/>
  <c r="B2741" i="2"/>
  <c r="H2307" i="2"/>
  <c r="G1990" i="2"/>
  <c r="H3405" i="2"/>
  <c r="C2842" i="2"/>
  <c r="I1630" i="2"/>
  <c r="B2708" i="2"/>
  <c r="C1754" i="2"/>
  <c r="H2842" i="2"/>
  <c r="H1630" i="2"/>
  <c r="A1990" i="2"/>
  <c r="F1754" i="2"/>
  <c r="G2612" i="2"/>
  <c r="G1754" i="2"/>
  <c r="F2842" i="2"/>
  <c r="H2741" i="2"/>
  <c r="I2708" i="2"/>
  <c r="F1990" i="2"/>
  <c r="B1990" i="2"/>
  <c r="D1630" i="2"/>
  <c r="H1754" i="2"/>
  <c r="C2741" i="2"/>
  <c r="I3405" i="2"/>
  <c r="B2307" i="2"/>
  <c r="C2991" i="2"/>
  <c r="F2612" i="2"/>
  <c r="A2842" i="2"/>
  <c r="B2617" i="2"/>
  <c r="H3048" i="2"/>
  <c r="H2383" i="2"/>
  <c r="H2617" i="2"/>
  <c r="C2617" i="2"/>
  <c r="I2322" i="2"/>
  <c r="C2165" i="2"/>
  <c r="D2617" i="2"/>
  <c r="D3048" i="2"/>
  <c r="F3048" i="2"/>
  <c r="F2322" i="2"/>
  <c r="D2322" i="2"/>
  <c r="A1518" i="2"/>
  <c r="C3068" i="2"/>
  <c r="G2988" i="2"/>
  <c r="B1518" i="2"/>
  <c r="A2617" i="2"/>
  <c r="G1518" i="2"/>
  <c r="A2322" i="2"/>
  <c r="A2988" i="2"/>
  <c r="I2988" i="2"/>
  <c r="F2165" i="2"/>
  <c r="A3274" i="2"/>
  <c r="H3274" i="2"/>
  <c r="A3068" i="2"/>
  <c r="G2322" i="2"/>
  <c r="I2617" i="2"/>
  <c r="C3274" i="2"/>
  <c r="H2165" i="2"/>
  <c r="B3274" i="2"/>
  <c r="I3274" i="2"/>
  <c r="D3274" i="2"/>
  <c r="B3048" i="2"/>
  <c r="D2383" i="2"/>
  <c r="G2165" i="2"/>
  <c r="D2393" i="2"/>
  <c r="D1518" i="2"/>
  <c r="I2165" i="2"/>
  <c r="B2393" i="2"/>
  <c r="C2393" i="2"/>
  <c r="A2165" i="2"/>
  <c r="C2988" i="2"/>
  <c r="B2988" i="2"/>
  <c r="C3048" i="2"/>
  <c r="H2393" i="2"/>
  <c r="D3068" i="2"/>
  <c r="G2617" i="2"/>
  <c r="G2383" i="2"/>
  <c r="I2393" i="2"/>
  <c r="I3048" i="2"/>
  <c r="C2383" i="2"/>
  <c r="G3274" i="2"/>
  <c r="D2988" i="2"/>
  <c r="B2165" i="2"/>
  <c r="H1518" i="2"/>
  <c r="H3068" i="2"/>
  <c r="F2383" i="2"/>
  <c r="B2383" i="2"/>
  <c r="F1518" i="2"/>
  <c r="B2322" i="2"/>
  <c r="F3068" i="2"/>
  <c r="H2322" i="2"/>
  <c r="F2988" i="2"/>
  <c r="G2393" i="2"/>
  <c r="I1518" i="2"/>
  <c r="F2393" i="2"/>
  <c r="B3068" i="2"/>
  <c r="I3068" i="2"/>
  <c r="A2383" i="2"/>
  <c r="A3048" i="2"/>
  <c r="D2165" i="2"/>
  <c r="G3048" i="2"/>
  <c r="A2393" i="2"/>
  <c r="F2617" i="2"/>
  <c r="H2988" i="2"/>
  <c r="C1518" i="2"/>
  <c r="F3274" i="2"/>
  <c r="I2383" i="2"/>
  <c r="G3068" i="2"/>
  <c r="C2322" i="2"/>
  <c r="A1879" i="2"/>
  <c r="C2559" i="2"/>
  <c r="A3380" i="2"/>
  <c r="I3380" i="2"/>
  <c r="G2896" i="2"/>
  <c r="I2559" i="2"/>
  <c r="H2228" i="2"/>
  <c r="D2228" i="2"/>
  <c r="H2559" i="2"/>
  <c r="C3380" i="2"/>
  <c r="F3380" i="2"/>
  <c r="F2896" i="2"/>
  <c r="G1879" i="2"/>
  <c r="D2896" i="2"/>
  <c r="H3356" i="2"/>
  <c r="F2572" i="2"/>
  <c r="F1879" i="2"/>
  <c r="F3356" i="2"/>
  <c r="I2896" i="2"/>
  <c r="C1879" i="2"/>
  <c r="A2896" i="2"/>
  <c r="D2572" i="2"/>
  <c r="C3356" i="2"/>
  <c r="G3356" i="2"/>
  <c r="H1879" i="2"/>
  <c r="B3299" i="2"/>
  <c r="F2559" i="2"/>
  <c r="F2278" i="2"/>
  <c r="A2278" i="2"/>
  <c r="H2779" i="2"/>
  <c r="B2228" i="2"/>
  <c r="B2559" i="2"/>
  <c r="C2278" i="2"/>
  <c r="D2559" i="2"/>
  <c r="A3299" i="2"/>
  <c r="A3356" i="2"/>
  <c r="G3380" i="2"/>
  <c r="A2779" i="2"/>
  <c r="D3356" i="2"/>
  <c r="F3299" i="2"/>
  <c r="I1879" i="2"/>
  <c r="F2779" i="2"/>
  <c r="F2228" i="2"/>
  <c r="H2572" i="2"/>
  <c r="G2572" i="2"/>
  <c r="H3299" i="2"/>
  <c r="I2278" i="2"/>
  <c r="B3380" i="2"/>
  <c r="D1879" i="2"/>
  <c r="C3299" i="2"/>
  <c r="D3299" i="2"/>
  <c r="B2779" i="2"/>
  <c r="C2779" i="2"/>
  <c r="I2779" i="2"/>
  <c r="H2896" i="2"/>
  <c r="H3380" i="2"/>
  <c r="B2572" i="2"/>
  <c r="C2896" i="2"/>
  <c r="G2559" i="2"/>
  <c r="A2228" i="2"/>
  <c r="B2278" i="2"/>
  <c r="G2278" i="2"/>
  <c r="G2228" i="2"/>
  <c r="I3356" i="2"/>
  <c r="H2278" i="2"/>
  <c r="C2572" i="2"/>
  <c r="D2779" i="2"/>
  <c r="G3299" i="2"/>
  <c r="I2572" i="2"/>
  <c r="C2228" i="2"/>
  <c r="A2559" i="2"/>
  <c r="I3299" i="2"/>
  <c r="A2572" i="2"/>
  <c r="I2228" i="2"/>
  <c r="G2779" i="2"/>
  <c r="B1879" i="2"/>
  <c r="D3380" i="2"/>
  <c r="B2896" i="2"/>
  <c r="D2278" i="2"/>
  <c r="B3356" i="2"/>
  <c r="I1838" i="2"/>
  <c r="H2478" i="2"/>
  <c r="A2738" i="2"/>
  <c r="D3204" i="2"/>
  <c r="B2738" i="2"/>
  <c r="A2607" i="2"/>
  <c r="B3143" i="2"/>
  <c r="G2031" i="2"/>
  <c r="F3204" i="2"/>
  <c r="I3204" i="2"/>
  <c r="C2607" i="2"/>
  <c r="F2607" i="2"/>
  <c r="D2436" i="2"/>
  <c r="B3204" i="2"/>
  <c r="F3143" i="2"/>
  <c r="F2436" i="2"/>
  <c r="B2031" i="2"/>
  <c r="C2072" i="2"/>
  <c r="A1838" i="2"/>
  <c r="I2478" i="2"/>
  <c r="D2072" i="2"/>
  <c r="F1838" i="2"/>
  <c r="A3199" i="2"/>
  <c r="A3204" i="2"/>
  <c r="G3204" i="2"/>
  <c r="C3199" i="2"/>
  <c r="D2031" i="2"/>
  <c r="I3143" i="2"/>
  <c r="D3199" i="2"/>
  <c r="I2031" i="2"/>
  <c r="G2738" i="2"/>
  <c r="H2607" i="2"/>
  <c r="A2031" i="2"/>
  <c r="F2478" i="2"/>
  <c r="I2607" i="2"/>
  <c r="G3143" i="2"/>
  <c r="C2738" i="2"/>
  <c r="D2738" i="2"/>
  <c r="C2478" i="2"/>
  <c r="H2072" i="2"/>
  <c r="F3199" i="2"/>
  <c r="B2072" i="2"/>
  <c r="I2436" i="2"/>
  <c r="B2607" i="2"/>
  <c r="I2072" i="2"/>
  <c r="D3143" i="2"/>
  <c r="H3199" i="2"/>
  <c r="H3204" i="2"/>
  <c r="H3143" i="2"/>
  <c r="C1838" i="2"/>
  <c r="A3143" i="2"/>
  <c r="H2738" i="2"/>
  <c r="I3199" i="2"/>
  <c r="B1838" i="2"/>
  <c r="D1838" i="2"/>
  <c r="F2031" i="2"/>
  <c r="C2436" i="2"/>
  <c r="B3199" i="2"/>
  <c r="H2436" i="2"/>
  <c r="G2072" i="2"/>
  <c r="F2738" i="2"/>
  <c r="D2478" i="2"/>
  <c r="D2607" i="2"/>
  <c r="B2436" i="2"/>
  <c r="F2072" i="2"/>
  <c r="A2478" i="2"/>
  <c r="A2436" i="2"/>
  <c r="G1838" i="2"/>
  <c r="G2478" i="2"/>
  <c r="H2031" i="2"/>
  <c r="B2478" i="2"/>
  <c r="A2072" i="2"/>
  <c r="G2436" i="2"/>
  <c r="G2607" i="2"/>
  <c r="I2738" i="2"/>
  <c r="G3199" i="2"/>
  <c r="C3204" i="2"/>
  <c r="C2031" i="2"/>
  <c r="C3143" i="2"/>
  <c r="H1838" i="2"/>
  <c r="G3088" i="2"/>
  <c r="C3378" i="2"/>
  <c r="G1939" i="2"/>
  <c r="G3297" i="2"/>
  <c r="D3088" i="2"/>
  <c r="F2626" i="2"/>
  <c r="I2867" i="2"/>
  <c r="I3088" i="2"/>
  <c r="G2867" i="2"/>
  <c r="B3448" i="2"/>
  <c r="B3378" i="2"/>
  <c r="G2626" i="2"/>
  <c r="F2987" i="2"/>
  <c r="C3448" i="2"/>
  <c r="D2626" i="2"/>
  <c r="G3448" i="2"/>
  <c r="F1781" i="2"/>
  <c r="C2867" i="2"/>
  <c r="I1781" i="2"/>
  <c r="H2987" i="2"/>
  <c r="C2148" i="2"/>
  <c r="C3088" i="2"/>
  <c r="B2987" i="2"/>
  <c r="H3448" i="2"/>
  <c r="C1939" i="2"/>
  <c r="I2148" i="2"/>
  <c r="F3448" i="2"/>
  <c r="C2626" i="2"/>
  <c r="B1939" i="2"/>
  <c r="A2626" i="2"/>
  <c r="A3088" i="2"/>
  <c r="G3378" i="2"/>
  <c r="F1939" i="2"/>
  <c r="A3378" i="2"/>
  <c r="C2987" i="2"/>
  <c r="C3297" i="2"/>
  <c r="D1939" i="2"/>
  <c r="D2987" i="2"/>
  <c r="F2148" i="2"/>
  <c r="H3088" i="2"/>
  <c r="A2148" i="2"/>
  <c r="H2867" i="2"/>
  <c r="H2626" i="2"/>
  <c r="A1781" i="2"/>
  <c r="B3297" i="2"/>
  <c r="D3378" i="2"/>
  <c r="F3088" i="2"/>
  <c r="H1781" i="2"/>
  <c r="B1781" i="2"/>
  <c r="B2148" i="2"/>
  <c r="G2987" i="2"/>
  <c r="F3297" i="2"/>
  <c r="B2867" i="2"/>
  <c r="D1781" i="2"/>
  <c r="D3448" i="2"/>
  <c r="G1781" i="2"/>
  <c r="A1939" i="2"/>
  <c r="I3297" i="2"/>
  <c r="D3297" i="2"/>
  <c r="A3448" i="2"/>
  <c r="B2626" i="2"/>
  <c r="D2148" i="2"/>
  <c r="F2867" i="2"/>
  <c r="H2148" i="2"/>
  <c r="A3297" i="2"/>
  <c r="I3378" i="2"/>
  <c r="A2867" i="2"/>
  <c r="A2987" i="2"/>
  <c r="H1939" i="2"/>
  <c r="F3378" i="2"/>
  <c r="I2626" i="2"/>
  <c r="I2987" i="2"/>
  <c r="D2867" i="2"/>
  <c r="G2148" i="2"/>
  <c r="B3088" i="2"/>
  <c r="I3448" i="2"/>
  <c r="H3378" i="2"/>
  <c r="C1781" i="2"/>
  <c r="I1939" i="2"/>
  <c r="H3297" i="2"/>
  <c r="C2139" i="2"/>
  <c r="F3253" i="2"/>
  <c r="F2447" i="2"/>
  <c r="C2021" i="2"/>
  <c r="D3553" i="2"/>
  <c r="I3500" i="2"/>
  <c r="I3253" i="2"/>
  <c r="C3383" i="2"/>
  <c r="H3553" i="2"/>
  <c r="C3253" i="2"/>
  <c r="I2021" i="2"/>
  <c r="G3302" i="2"/>
  <c r="G2413" i="2"/>
  <c r="D3302" i="2"/>
  <c r="D3500" i="2"/>
  <c r="G3553" i="2"/>
  <c r="G3383" i="2"/>
  <c r="D2137" i="2"/>
  <c r="C2137" i="2"/>
  <c r="F3500" i="2"/>
  <c r="B3302" i="2"/>
  <c r="F3383" i="2"/>
  <c r="A3500" i="2"/>
  <c r="D2447" i="2"/>
  <c r="H2413" i="2"/>
  <c r="D3253" i="2"/>
  <c r="I3383" i="2"/>
  <c r="G2447" i="2"/>
  <c r="I2137" i="2"/>
  <c r="H3500" i="2"/>
  <c r="F2137" i="2"/>
  <c r="A2139" i="2"/>
  <c r="A3302" i="2"/>
  <c r="B2413" i="2"/>
  <c r="G2137" i="2"/>
  <c r="G3253" i="2"/>
  <c r="B3553" i="2"/>
  <c r="F3302" i="2"/>
  <c r="H3302" i="2"/>
  <c r="F2021" i="2"/>
  <c r="H3253" i="2"/>
  <c r="I2139" i="2"/>
  <c r="G3500" i="2"/>
  <c r="A2137" i="2"/>
  <c r="H2447" i="2"/>
  <c r="F2413" i="2"/>
  <c r="D2413" i="2"/>
  <c r="I3302" i="2"/>
  <c r="C3553" i="2"/>
  <c r="D2021" i="2"/>
  <c r="H2137" i="2"/>
  <c r="C2447" i="2"/>
  <c r="A3383" i="2"/>
  <c r="A3553" i="2"/>
  <c r="F2139" i="2"/>
  <c r="C2413" i="2"/>
  <c r="H2139" i="2"/>
  <c r="B2021" i="2"/>
  <c r="F3553" i="2"/>
  <c r="G2139" i="2"/>
  <c r="I2413" i="2"/>
  <c r="I2447" i="2"/>
  <c r="B3383" i="2"/>
  <c r="H2021" i="2"/>
  <c r="B2447" i="2"/>
  <c r="B3500" i="2"/>
  <c r="B2139" i="2"/>
  <c r="B3253" i="2"/>
  <c r="D3383" i="2"/>
  <c r="A2021" i="2"/>
  <c r="G2021" i="2"/>
  <c r="I3553" i="2"/>
  <c r="C3302" i="2"/>
  <c r="A2413" i="2"/>
  <c r="B2137" i="2"/>
  <c r="A3253" i="2"/>
  <c r="C3500" i="2"/>
  <c r="D2139" i="2"/>
  <c r="H3383" i="2"/>
  <c r="A2447" i="2"/>
  <c r="G1915" i="2"/>
  <c r="I2266" i="2"/>
  <c r="C2959" i="2"/>
  <c r="F2699" i="2"/>
  <c r="C2083" i="2"/>
  <c r="I3372" i="2"/>
  <c r="H2699" i="2"/>
  <c r="H3260" i="2"/>
  <c r="I2938" i="2"/>
  <c r="D2959" i="2"/>
  <c r="D1915" i="2"/>
  <c r="I2368" i="2"/>
  <c r="C2368" i="2"/>
  <c r="G2699" i="2"/>
  <c r="D2083" i="2"/>
  <c r="I1915" i="2"/>
  <c r="F2959" i="2"/>
  <c r="A2368" i="2"/>
  <c r="F3260" i="2"/>
  <c r="F1915" i="2"/>
  <c r="F3372" i="2"/>
  <c r="A2266" i="2"/>
  <c r="I2699" i="2"/>
  <c r="C2699" i="2"/>
  <c r="A3260" i="2"/>
  <c r="C3372" i="2"/>
  <c r="C3260" i="2"/>
  <c r="F2266" i="2"/>
  <c r="G2266" i="2"/>
  <c r="A3372" i="2"/>
  <c r="D2792" i="2"/>
  <c r="H3372" i="2"/>
  <c r="G2938" i="2"/>
  <c r="F2792" i="2"/>
  <c r="A2959" i="2"/>
  <c r="C2938" i="2"/>
  <c r="H1915" i="2"/>
  <c r="B1915" i="2"/>
  <c r="B2792" i="2"/>
  <c r="F2938" i="2"/>
  <c r="H2083" i="2"/>
  <c r="A2083" i="2"/>
  <c r="H2368" i="2"/>
  <c r="H2266" i="2"/>
  <c r="A2938" i="2"/>
  <c r="F2368" i="2"/>
  <c r="G2368" i="2"/>
  <c r="A1915" i="2"/>
  <c r="B2083" i="2"/>
  <c r="F2083" i="2"/>
  <c r="G2083" i="2"/>
  <c r="B3260" i="2"/>
  <c r="H2938" i="2"/>
  <c r="G3372" i="2"/>
  <c r="B3372" i="2"/>
  <c r="H2792" i="2"/>
  <c r="G2792" i="2"/>
  <c r="D3260" i="2"/>
  <c r="A2699" i="2"/>
  <c r="B2368" i="2"/>
  <c r="D2938" i="2"/>
  <c r="C2792" i="2"/>
  <c r="I3260" i="2"/>
  <c r="B2959" i="2"/>
  <c r="H2959" i="2"/>
  <c r="B2266" i="2"/>
  <c r="B2699" i="2"/>
  <c r="G2959" i="2"/>
  <c r="B2938" i="2"/>
  <c r="I2792" i="2"/>
  <c r="D2368" i="2"/>
  <c r="A2792" i="2"/>
  <c r="G3260" i="2"/>
  <c r="D2699" i="2"/>
  <c r="D2266" i="2"/>
  <c r="C2266" i="2"/>
  <c r="I2959" i="2"/>
  <c r="C1915" i="2"/>
  <c r="D3372" i="2"/>
  <c r="I2083" i="2"/>
  <c r="D2849" i="2"/>
  <c r="H1752" i="2"/>
  <c r="H2059" i="2"/>
  <c r="H1690" i="2"/>
  <c r="A2051" i="2"/>
  <c r="G1752" i="2"/>
  <c r="G1690" i="2"/>
  <c r="B1752" i="2"/>
  <c r="H3554" i="2"/>
  <c r="A3392" i="2"/>
  <c r="A2059" i="2"/>
  <c r="G2059" i="2"/>
  <c r="A3554" i="2"/>
  <c r="G2051" i="2"/>
  <c r="G3660" i="2"/>
  <c r="D3554" i="2"/>
  <c r="I3660" i="2"/>
  <c r="D2231" i="2"/>
  <c r="B2849" i="2"/>
  <c r="D3660" i="2"/>
  <c r="F1738" i="2"/>
  <c r="B2051" i="2"/>
  <c r="A2231" i="2"/>
  <c r="H2231" i="2"/>
  <c r="I1738" i="2"/>
  <c r="F3392" i="2"/>
  <c r="D1738" i="2"/>
  <c r="G3554" i="2"/>
  <c r="G3392" i="2"/>
  <c r="H3660" i="2"/>
  <c r="C3660" i="2"/>
  <c r="F2231" i="2"/>
  <c r="F2849" i="2"/>
  <c r="I2051" i="2"/>
  <c r="C1752" i="2"/>
  <c r="I2849" i="2"/>
  <c r="H1738" i="2"/>
  <c r="C1738" i="2"/>
  <c r="A1738" i="2"/>
  <c r="F2059" i="2"/>
  <c r="I1690" i="2"/>
  <c r="H3392" i="2"/>
  <c r="F3554" i="2"/>
  <c r="C2059" i="2"/>
  <c r="D2059" i="2"/>
  <c r="I2059" i="2"/>
  <c r="G2231" i="2"/>
  <c r="A1752" i="2"/>
  <c r="I2231" i="2"/>
  <c r="A2849" i="2"/>
  <c r="C1690" i="2"/>
  <c r="F3660" i="2"/>
  <c r="C3392" i="2"/>
  <c r="H2051" i="2"/>
  <c r="H2849" i="2"/>
  <c r="B3392" i="2"/>
  <c r="D1690" i="2"/>
  <c r="G1738" i="2"/>
  <c r="I1752" i="2"/>
  <c r="F2051" i="2"/>
  <c r="D3392" i="2"/>
  <c r="G2849" i="2"/>
  <c r="B3660" i="2"/>
  <c r="I3554" i="2"/>
  <c r="A1690" i="2"/>
  <c r="B3554" i="2"/>
  <c r="C2051" i="2"/>
  <c r="F1752" i="2"/>
  <c r="B1690" i="2"/>
  <c r="B2231" i="2"/>
  <c r="A3660" i="2"/>
  <c r="D1752" i="2"/>
  <c r="C3554" i="2"/>
  <c r="C2231" i="2"/>
  <c r="B2059" i="2"/>
  <c r="C2849" i="2"/>
  <c r="D2051" i="2"/>
  <c r="B1738" i="2"/>
  <c r="F1690" i="2"/>
  <c r="I3392" i="2"/>
  <c r="H1854" i="2"/>
  <c r="F1827" i="2"/>
  <c r="A2185" i="2"/>
  <c r="G2421" i="2"/>
  <c r="A1854" i="2"/>
  <c r="G2272" i="2"/>
  <c r="G3400" i="2"/>
  <c r="H2421" i="2"/>
  <c r="H3360" i="2"/>
  <c r="A1827" i="2"/>
  <c r="F2992" i="2"/>
  <c r="I1816" i="2"/>
  <c r="F2185" i="2"/>
  <c r="I1854" i="2"/>
  <c r="B2421" i="2"/>
  <c r="D1854" i="2"/>
  <c r="I2272" i="2"/>
  <c r="B2185" i="2"/>
  <c r="I3360" i="2"/>
  <c r="C3400" i="2"/>
  <c r="H2185" i="2"/>
  <c r="C3360" i="2"/>
  <c r="D2185" i="2"/>
  <c r="B2992" i="2"/>
  <c r="B1827" i="2"/>
  <c r="D1827" i="2"/>
  <c r="H1827" i="2"/>
  <c r="F1854" i="2"/>
  <c r="F3360" i="2"/>
  <c r="G1827" i="2"/>
  <c r="C1854" i="2"/>
  <c r="C2272" i="2"/>
  <c r="D2992" i="2"/>
  <c r="C2002" i="2"/>
  <c r="I2421" i="2"/>
  <c r="G3360" i="2"/>
  <c r="A3400" i="2"/>
  <c r="G2002" i="2"/>
  <c r="H2002" i="2"/>
  <c r="I2992" i="2"/>
  <c r="A2002" i="2"/>
  <c r="A2421" i="2"/>
  <c r="F2272" i="2"/>
  <c r="B1816" i="2"/>
  <c r="I3400" i="2"/>
  <c r="C2185" i="2"/>
  <c r="H2992" i="2"/>
  <c r="C1816" i="2"/>
  <c r="B3360" i="2"/>
  <c r="F3400" i="2"/>
  <c r="H3400" i="2"/>
  <c r="G1854" i="2"/>
  <c r="I2185" i="2"/>
  <c r="H1816" i="2"/>
  <c r="F1816" i="2"/>
  <c r="A1816" i="2"/>
  <c r="B2272" i="2"/>
  <c r="D2002" i="2"/>
  <c r="D3400" i="2"/>
  <c r="F2421" i="2"/>
  <c r="A2992" i="2"/>
  <c r="C2421" i="2"/>
  <c r="F2002" i="2"/>
  <c r="G2992" i="2"/>
  <c r="B2002" i="2"/>
  <c r="C1827" i="2"/>
  <c r="H2272" i="2"/>
  <c r="D3360" i="2"/>
  <c r="D2272" i="2"/>
  <c r="D1816" i="2"/>
  <c r="D2421" i="2"/>
  <c r="I1827" i="2"/>
  <c r="B1854" i="2"/>
  <c r="B3400" i="2"/>
  <c r="A2272" i="2"/>
  <c r="G1816" i="2"/>
  <c r="A3360" i="2"/>
  <c r="G2185" i="2"/>
  <c r="I2002" i="2"/>
  <c r="C2992" i="2"/>
  <c r="I3363" i="2"/>
  <c r="F2114" i="2"/>
  <c r="H3136" i="2"/>
  <c r="H2714" i="2"/>
  <c r="I2114" i="2"/>
  <c r="H3363" i="2"/>
  <c r="G2514" i="2"/>
  <c r="H2794" i="2"/>
  <c r="C2592" i="2"/>
  <c r="D2714" i="2"/>
  <c r="F2592" i="2"/>
  <c r="A2796" i="2"/>
  <c r="H2009" i="2"/>
  <c r="G2796" i="2"/>
  <c r="F3363" i="2"/>
  <c r="A2592" i="2"/>
  <c r="I2514" i="2"/>
  <c r="B3136" i="2"/>
  <c r="I3136" i="2"/>
  <c r="C3136" i="2"/>
  <c r="D2514" i="2"/>
  <c r="G2592" i="2"/>
  <c r="D2794" i="2"/>
  <c r="F2009" i="2"/>
  <c r="D2796" i="2"/>
  <c r="G3363" i="2"/>
  <c r="D2009" i="2"/>
  <c r="B2514" i="2"/>
  <c r="B3363" i="2"/>
  <c r="A3414" i="2"/>
  <c r="G2794" i="2"/>
  <c r="I2796" i="2"/>
  <c r="I3414" i="2"/>
  <c r="C2009" i="2"/>
  <c r="H3414" i="2"/>
  <c r="F2714" i="2"/>
  <c r="D3363" i="2"/>
  <c r="B2714" i="2"/>
  <c r="D2114" i="2"/>
  <c r="D2592" i="2"/>
  <c r="H2796" i="2"/>
  <c r="A2514" i="2"/>
  <c r="C2794" i="2"/>
  <c r="D3414" i="2"/>
  <c r="F3414" i="2"/>
  <c r="F3136" i="2"/>
  <c r="F2794" i="2"/>
  <c r="B2794" i="2"/>
  <c r="A2714" i="2"/>
  <c r="C2796" i="2"/>
  <c r="D3136" i="2"/>
  <c r="G3136" i="2"/>
  <c r="A2794" i="2"/>
  <c r="G2009" i="2"/>
  <c r="B2009" i="2"/>
  <c r="G2714" i="2"/>
  <c r="B2114" i="2"/>
  <c r="A2114" i="2"/>
  <c r="A3363" i="2"/>
  <c r="H2114" i="2"/>
  <c r="G2114" i="2"/>
  <c r="F2514" i="2"/>
  <c r="I2714" i="2"/>
  <c r="B3414" i="2"/>
  <c r="B2592" i="2"/>
  <c r="B2796" i="2"/>
  <c r="G3414" i="2"/>
  <c r="H2514" i="2"/>
  <c r="I2009" i="2"/>
  <c r="F2796" i="2"/>
  <c r="I2592" i="2"/>
  <c r="A2009" i="2"/>
  <c r="I2794" i="2"/>
  <c r="C2114" i="2"/>
  <c r="H2592" i="2"/>
  <c r="C2714" i="2"/>
  <c r="A3136" i="2"/>
  <c r="C3363" i="2"/>
  <c r="C2514" i="2"/>
  <c r="C3414" i="2"/>
  <c r="B2026" i="2"/>
  <c r="I1983" i="2"/>
  <c r="I3243" i="2"/>
  <c r="A3489" i="2"/>
  <c r="I3328" i="2"/>
  <c r="A3328" i="2"/>
  <c r="C1747" i="2"/>
  <c r="H1888" i="2"/>
  <c r="C1859" i="2"/>
  <c r="I1859" i="2"/>
  <c r="B3243" i="2"/>
  <c r="C1888" i="2"/>
  <c r="B3092" i="2"/>
  <c r="H3489" i="2"/>
  <c r="G3443" i="2"/>
  <c r="D1888" i="2"/>
  <c r="F3243" i="2"/>
  <c r="C3328" i="2"/>
  <c r="B3443" i="2"/>
  <c r="C3489" i="2"/>
  <c r="H3092" i="2"/>
  <c r="G1983" i="2"/>
  <c r="H1983" i="2"/>
  <c r="H3243" i="2"/>
  <c r="B3489" i="2"/>
  <c r="A2026" i="2"/>
  <c r="B1747" i="2"/>
  <c r="A1747" i="2"/>
  <c r="F1888" i="2"/>
  <c r="D3489" i="2"/>
  <c r="F3328" i="2"/>
  <c r="G2026" i="2"/>
  <c r="G1859" i="2"/>
  <c r="G1888" i="2"/>
  <c r="H1859" i="2"/>
  <c r="G1747" i="2"/>
  <c r="B3328" i="2"/>
  <c r="H2026" i="2"/>
  <c r="B1888" i="2"/>
  <c r="D3092" i="2"/>
  <c r="G3489" i="2"/>
  <c r="C3092" i="2"/>
  <c r="C3243" i="2"/>
  <c r="D3328" i="2"/>
  <c r="A1859" i="2"/>
  <c r="D3243" i="2"/>
  <c r="G3328" i="2"/>
  <c r="A3443" i="2"/>
  <c r="D3443" i="2"/>
  <c r="I3092" i="2"/>
  <c r="C1983" i="2"/>
  <c r="D1859" i="2"/>
  <c r="G3092" i="2"/>
  <c r="F1859" i="2"/>
  <c r="A1983" i="2"/>
  <c r="D2026" i="2"/>
  <c r="H1747" i="2"/>
  <c r="C3443" i="2"/>
  <c r="D1983" i="2"/>
  <c r="F2026" i="2"/>
  <c r="I1747" i="2"/>
  <c r="C2026" i="2"/>
  <c r="G3243" i="2"/>
  <c r="F3092" i="2"/>
  <c r="F1983" i="2"/>
  <c r="H3443" i="2"/>
  <c r="I3443" i="2"/>
  <c r="I3489" i="2"/>
  <c r="I1888" i="2"/>
  <c r="F1747" i="2"/>
  <c r="F3489" i="2"/>
  <c r="B1983" i="2"/>
  <c r="B1859" i="2"/>
  <c r="A3243" i="2"/>
  <c r="A3092" i="2"/>
  <c r="A1888" i="2"/>
  <c r="F3443" i="2"/>
  <c r="H3328" i="2"/>
  <c r="D1747" i="2"/>
  <c r="I2026" i="2"/>
  <c r="F2369" i="2"/>
  <c r="I1692" i="2"/>
  <c r="C1821" i="2"/>
  <c r="A1692" i="2"/>
  <c r="H2032" i="2"/>
  <c r="G2032" i="2"/>
  <c r="H3216" i="2"/>
  <c r="C1697" i="2"/>
  <c r="I1674" i="2"/>
  <c r="I2405" i="2"/>
  <c r="D2032" i="2"/>
  <c r="F3216" i="2"/>
  <c r="C2935" i="2"/>
  <c r="C2369" i="2"/>
  <c r="D1697" i="2"/>
  <c r="B1821" i="2"/>
  <c r="C2941" i="2"/>
  <c r="G3216" i="2"/>
  <c r="C2032" i="2"/>
  <c r="I2369" i="2"/>
  <c r="I2935" i="2"/>
  <c r="D1821" i="2"/>
  <c r="D2941" i="2"/>
  <c r="G1674" i="2"/>
  <c r="I1821" i="2"/>
  <c r="C1692" i="2"/>
  <c r="H2941" i="2"/>
  <c r="H1697" i="2"/>
  <c r="D1692" i="2"/>
  <c r="B3216" i="2"/>
  <c r="A1697" i="2"/>
  <c r="B2032" i="2"/>
  <c r="H2405" i="2"/>
  <c r="D2369" i="2"/>
  <c r="H1674" i="2"/>
  <c r="A2032" i="2"/>
  <c r="D3216" i="2"/>
  <c r="F2405" i="2"/>
  <c r="G1697" i="2"/>
  <c r="A2941" i="2"/>
  <c r="A1821" i="2"/>
  <c r="B1697" i="2"/>
  <c r="F1697" i="2"/>
  <c r="H1692" i="2"/>
  <c r="G1821" i="2"/>
  <c r="A2369" i="2"/>
  <c r="F2935" i="2"/>
  <c r="H2935" i="2"/>
  <c r="A2935" i="2"/>
  <c r="A3216" i="2"/>
  <c r="B2941" i="2"/>
  <c r="B1692" i="2"/>
  <c r="G2941" i="2"/>
  <c r="I3216" i="2"/>
  <c r="G2405" i="2"/>
  <c r="F1674" i="2"/>
  <c r="D2405" i="2"/>
  <c r="G1692" i="2"/>
  <c r="D1674" i="2"/>
  <c r="B2405" i="2"/>
  <c r="B1674" i="2"/>
  <c r="B2935" i="2"/>
  <c r="H1821" i="2"/>
  <c r="F2941" i="2"/>
  <c r="F2032" i="2"/>
  <c r="C2405" i="2"/>
  <c r="C1674" i="2"/>
  <c r="H2369" i="2"/>
  <c r="D2935" i="2"/>
  <c r="G2369" i="2"/>
  <c r="F1692" i="2"/>
  <c r="A1674" i="2"/>
  <c r="F1821" i="2"/>
  <c r="A2405" i="2"/>
  <c r="C3216" i="2"/>
  <c r="I2941" i="2"/>
  <c r="I1697" i="2"/>
  <c r="I2032" i="2"/>
  <c r="G2935" i="2"/>
  <c r="B2369" i="2"/>
  <c r="C3604" i="2"/>
  <c r="G2115" i="2"/>
  <c r="A3604" i="2"/>
  <c r="H1782" i="2"/>
  <c r="C1766" i="2"/>
  <c r="G1784" i="2"/>
  <c r="F3116" i="2"/>
  <c r="D1784" i="2"/>
  <c r="I2115" i="2"/>
  <c r="G1772" i="2"/>
  <c r="B1772" i="2"/>
  <c r="D2602" i="2"/>
  <c r="C2110" i="2"/>
  <c r="C1845" i="2"/>
  <c r="I2602" i="2"/>
  <c r="G1782" i="2"/>
  <c r="D1845" i="2"/>
  <c r="C2115" i="2"/>
  <c r="D2110" i="2"/>
  <c r="H3604" i="2"/>
  <c r="B2115" i="2"/>
  <c r="G3116" i="2"/>
  <c r="D1766" i="2"/>
  <c r="F1772" i="2"/>
  <c r="B2110" i="2"/>
  <c r="G2110" i="2"/>
  <c r="B1766" i="2"/>
  <c r="C1784" i="2"/>
  <c r="F3604" i="2"/>
  <c r="A1766" i="2"/>
  <c r="B1845" i="2"/>
  <c r="H2602" i="2"/>
  <c r="B2602" i="2"/>
  <c r="I3604" i="2"/>
  <c r="D1782" i="2"/>
  <c r="B3116" i="2"/>
  <c r="A2110" i="2"/>
  <c r="A1782" i="2"/>
  <c r="C2602" i="2"/>
  <c r="I1845" i="2"/>
  <c r="I1784" i="2"/>
  <c r="A2115" i="2"/>
  <c r="C1782" i="2"/>
  <c r="F1766" i="2"/>
  <c r="A1845" i="2"/>
  <c r="B1782" i="2"/>
  <c r="A1772" i="2"/>
  <c r="B3604" i="2"/>
  <c r="D3116" i="2"/>
  <c r="H1784" i="2"/>
  <c r="A1784" i="2"/>
  <c r="I2110" i="2"/>
  <c r="F2602" i="2"/>
  <c r="A2602" i="2"/>
  <c r="G1845" i="2"/>
  <c r="G3604" i="2"/>
  <c r="H2115" i="2"/>
  <c r="H1772" i="2"/>
  <c r="C3116" i="2"/>
  <c r="I1782" i="2"/>
  <c r="I3116" i="2"/>
  <c r="G1766" i="2"/>
  <c r="H1766" i="2"/>
  <c r="D2115" i="2"/>
  <c r="C1772" i="2"/>
  <c r="H1845" i="2"/>
  <c r="I1772" i="2"/>
  <c r="B1784" i="2"/>
  <c r="H3116" i="2"/>
  <c r="H2110" i="2"/>
  <c r="I1766" i="2"/>
  <c r="D3604" i="2"/>
  <c r="F1784" i="2"/>
  <c r="F2110" i="2"/>
  <c r="A3116" i="2"/>
  <c r="F1782" i="2"/>
  <c r="F1845" i="2"/>
  <c r="D1772" i="2"/>
  <c r="F2115" i="2"/>
  <c r="G2602" i="2"/>
  <c r="G2104" i="2"/>
  <c r="G2943" i="2"/>
  <c r="H3409" i="2"/>
  <c r="F2578" i="2"/>
  <c r="A3518" i="2"/>
  <c r="B3518" i="2"/>
  <c r="I2454" i="2"/>
  <c r="F2184" i="2"/>
  <c r="A2881" i="2"/>
  <c r="I3518" i="2"/>
  <c r="C2104" i="2"/>
  <c r="F2881" i="2"/>
  <c r="G2454" i="2"/>
  <c r="B2104" i="2"/>
  <c r="I3409" i="2"/>
  <c r="G2537" i="2"/>
  <c r="B2537" i="2"/>
  <c r="G2881" i="2"/>
  <c r="C3518" i="2"/>
  <c r="I2578" i="2"/>
  <c r="C2881" i="2"/>
  <c r="B2943" i="2"/>
  <c r="G2184" i="2"/>
  <c r="B2578" i="2"/>
  <c r="B2184" i="2"/>
  <c r="I2943" i="2"/>
  <c r="C2943" i="2"/>
  <c r="G2578" i="2"/>
  <c r="C2454" i="2"/>
  <c r="D2104" i="2"/>
  <c r="H2506" i="2"/>
  <c r="F2943" i="2"/>
  <c r="H2943" i="2"/>
  <c r="A2578" i="2"/>
  <c r="F3409" i="2"/>
  <c r="D2184" i="2"/>
  <c r="D2537" i="2"/>
  <c r="A2184" i="2"/>
  <c r="D2454" i="2"/>
  <c r="I2506" i="2"/>
  <c r="I2104" i="2"/>
  <c r="G3409" i="2"/>
  <c r="D3409" i="2"/>
  <c r="A2104" i="2"/>
  <c r="C2506" i="2"/>
  <c r="D2943" i="2"/>
  <c r="F2537" i="2"/>
  <c r="H2881" i="2"/>
  <c r="D3518" i="2"/>
  <c r="B2454" i="2"/>
  <c r="C2537" i="2"/>
  <c r="I2184" i="2"/>
  <c r="A2454" i="2"/>
  <c r="A2506" i="2"/>
  <c r="A2537" i="2"/>
  <c r="B2506" i="2"/>
  <c r="F2104" i="2"/>
  <c r="G2506" i="2"/>
  <c r="B2881" i="2"/>
  <c r="D2578" i="2"/>
  <c r="C3409" i="2"/>
  <c r="H3518" i="2"/>
  <c r="F2506" i="2"/>
  <c r="H2537" i="2"/>
  <c r="H2454" i="2"/>
  <c r="G3518" i="2"/>
  <c r="D2881" i="2"/>
  <c r="H2578" i="2"/>
  <c r="H2184" i="2"/>
  <c r="A3409" i="2"/>
  <c r="H2104" i="2"/>
  <c r="A2943" i="2"/>
  <c r="F2454" i="2"/>
  <c r="I2537" i="2"/>
  <c r="C2578" i="2"/>
  <c r="B3409" i="2"/>
  <c r="I2881" i="2"/>
  <c r="D2506" i="2"/>
  <c r="F3518" i="2"/>
  <c r="C2184" i="2"/>
  <c r="D3418" i="2"/>
  <c r="B2619" i="2"/>
  <c r="F2285" i="2"/>
  <c r="H3644" i="2"/>
  <c r="D1953" i="2"/>
  <c r="C3644" i="2"/>
  <c r="B3644" i="2"/>
  <c r="B3418" i="2"/>
  <c r="H1953" i="2"/>
  <c r="C2285" i="2"/>
  <c r="H2619" i="2"/>
  <c r="D1885" i="2"/>
  <c r="A2088" i="2"/>
  <c r="I2209" i="2"/>
  <c r="G2088" i="2"/>
  <c r="C2619" i="2"/>
  <c r="F2780" i="2"/>
  <c r="C2209" i="2"/>
  <c r="H2285" i="2"/>
  <c r="H2088" i="2"/>
  <c r="C2780" i="2"/>
  <c r="H3418" i="2"/>
  <c r="B2780" i="2"/>
  <c r="A1885" i="2"/>
  <c r="D3644" i="2"/>
  <c r="G3644" i="2"/>
  <c r="B1953" i="2"/>
  <c r="D2209" i="2"/>
  <c r="D2780" i="2"/>
  <c r="G3056" i="2"/>
  <c r="G1953" i="2"/>
  <c r="H2209" i="2"/>
  <c r="I3056" i="2"/>
  <c r="A3056" i="2"/>
  <c r="G2285" i="2"/>
  <c r="C1953" i="2"/>
  <c r="D2619" i="2"/>
  <c r="A3418" i="2"/>
  <c r="G1885" i="2"/>
  <c r="B1885" i="2"/>
  <c r="A3644" i="2"/>
  <c r="G2619" i="2"/>
  <c r="I2619" i="2"/>
  <c r="F1953" i="2"/>
  <c r="D2285" i="2"/>
  <c r="I1885" i="2"/>
  <c r="D3056" i="2"/>
  <c r="I2088" i="2"/>
  <c r="H1885" i="2"/>
  <c r="C3418" i="2"/>
  <c r="A2780" i="2"/>
  <c r="C3056" i="2"/>
  <c r="F1885" i="2"/>
  <c r="G2209" i="2"/>
  <c r="F3056" i="2"/>
  <c r="F3418" i="2"/>
  <c r="F2619" i="2"/>
  <c r="F2088" i="2"/>
  <c r="C2088" i="2"/>
  <c r="G2780" i="2"/>
  <c r="I3644" i="2"/>
  <c r="I1953" i="2"/>
  <c r="B2088" i="2"/>
  <c r="B2285" i="2"/>
  <c r="B2209" i="2"/>
  <c r="B3056" i="2"/>
  <c r="I2285" i="2"/>
  <c r="I2780" i="2"/>
  <c r="A2209" i="2"/>
  <c r="I3418" i="2"/>
  <c r="H3056" i="2"/>
  <c r="F3644" i="2"/>
  <c r="C1885" i="2"/>
  <c r="A2619" i="2"/>
  <c r="H2780" i="2"/>
  <c r="G3418" i="2"/>
  <c r="A2285" i="2"/>
  <c r="D2088" i="2"/>
  <c r="A1953" i="2"/>
  <c r="F2209" i="2"/>
  <c r="H2614" i="2"/>
  <c r="H2595" i="2"/>
  <c r="A1904" i="2"/>
  <c r="F3214" i="2"/>
  <c r="F2493" i="2"/>
  <c r="C2614" i="2"/>
  <c r="A2614" i="2"/>
  <c r="G3214" i="2"/>
  <c r="I2949" i="2"/>
  <c r="B2614" i="2"/>
  <c r="B2385" i="2"/>
  <c r="F3167" i="2"/>
  <c r="F2614" i="2"/>
  <c r="A3167" i="2"/>
  <c r="I2385" i="2"/>
  <c r="F2949" i="2"/>
  <c r="G3167" i="2"/>
  <c r="G2614" i="2"/>
  <c r="D2949" i="2"/>
  <c r="H2949" i="2"/>
  <c r="B3167" i="2"/>
  <c r="I3214" i="2"/>
  <c r="C2949" i="2"/>
  <c r="C2493" i="2"/>
  <c r="D2614" i="2"/>
  <c r="C3375" i="2"/>
  <c r="A2385" i="2"/>
  <c r="G2949" i="2"/>
  <c r="H2493" i="2"/>
  <c r="G1904" i="2"/>
  <c r="B2493" i="2"/>
  <c r="H2956" i="2"/>
  <c r="I3375" i="2"/>
  <c r="C2956" i="2"/>
  <c r="F2595" i="2"/>
  <c r="D1904" i="2"/>
  <c r="B2956" i="2"/>
  <c r="H3375" i="2"/>
  <c r="A2493" i="2"/>
  <c r="F1904" i="2"/>
  <c r="A2595" i="2"/>
  <c r="G2493" i="2"/>
  <c r="B3375" i="2"/>
  <c r="I1904" i="2"/>
  <c r="B3214" i="2"/>
  <c r="H3167" i="2"/>
  <c r="I2493" i="2"/>
  <c r="F2956" i="2"/>
  <c r="D2595" i="2"/>
  <c r="B2595" i="2"/>
  <c r="D3167" i="2"/>
  <c r="D2385" i="2"/>
  <c r="A2956" i="2"/>
  <c r="A3375" i="2"/>
  <c r="B1904" i="2"/>
  <c r="G3375" i="2"/>
  <c r="D3375" i="2"/>
  <c r="C3214" i="2"/>
  <c r="G2956" i="2"/>
  <c r="D2956" i="2"/>
  <c r="G2595" i="2"/>
  <c r="B2949" i="2"/>
  <c r="H1904" i="2"/>
  <c r="H3214" i="2"/>
  <c r="C2385" i="2"/>
  <c r="D3214" i="2"/>
  <c r="H2385" i="2"/>
  <c r="G2385" i="2"/>
  <c r="I3167" i="2"/>
  <c r="C2595" i="2"/>
  <c r="I2614" i="2"/>
  <c r="I2595" i="2"/>
  <c r="F3375" i="2"/>
  <c r="F2385" i="2"/>
  <c r="C1904" i="2"/>
  <c r="A3214" i="2"/>
  <c r="C3167" i="2"/>
  <c r="A2949" i="2"/>
  <c r="D2493" i="2"/>
  <c r="I2956" i="2"/>
  <c r="F3473" i="2"/>
  <c r="B3362" i="2"/>
  <c r="I3473" i="2"/>
  <c r="B2480" i="2"/>
  <c r="C2766" i="2"/>
  <c r="D1991" i="2"/>
  <c r="D3249" i="2"/>
  <c r="H3249" i="2"/>
  <c r="B2797" i="2"/>
  <c r="B1991" i="2"/>
  <c r="C3362" i="2"/>
  <c r="H3473" i="2"/>
  <c r="H1586" i="2"/>
  <c r="F2766" i="2"/>
  <c r="A2480" i="2"/>
  <c r="C1586" i="2"/>
  <c r="B3249" i="2"/>
  <c r="D1716" i="2"/>
  <c r="C1991" i="2"/>
  <c r="F2480" i="2"/>
  <c r="G3362" i="2"/>
  <c r="B1586" i="2"/>
  <c r="D2480" i="2"/>
  <c r="A1586" i="2"/>
  <c r="I2766" i="2"/>
  <c r="H1716" i="2"/>
  <c r="A2766" i="2"/>
  <c r="A2797" i="2"/>
  <c r="C2480" i="2"/>
  <c r="C2797" i="2"/>
  <c r="D2766" i="2"/>
  <c r="G1991" i="2"/>
  <c r="B2766" i="2"/>
  <c r="I1586" i="2"/>
  <c r="G2797" i="2"/>
  <c r="F1716" i="2"/>
  <c r="H2766" i="2"/>
  <c r="G2480" i="2"/>
  <c r="H2797" i="2"/>
  <c r="B2608" i="2"/>
  <c r="G2608" i="2"/>
  <c r="A1716" i="2"/>
  <c r="H3362" i="2"/>
  <c r="F2797" i="2"/>
  <c r="F1991" i="2"/>
  <c r="C1716" i="2"/>
  <c r="H2480" i="2"/>
  <c r="D2608" i="2"/>
  <c r="I2608" i="2"/>
  <c r="I2797" i="2"/>
  <c r="A2608" i="2"/>
  <c r="H1991" i="2"/>
  <c r="A3473" i="2"/>
  <c r="F2608" i="2"/>
  <c r="C2608" i="2"/>
  <c r="A3249" i="2"/>
  <c r="G1716" i="2"/>
  <c r="C3473" i="2"/>
  <c r="A1991" i="2"/>
  <c r="G1586" i="2"/>
  <c r="I3362" i="2"/>
  <c r="G3249" i="2"/>
  <c r="F3362" i="2"/>
  <c r="G3473" i="2"/>
  <c r="D1586" i="2"/>
  <c r="A3362" i="2"/>
  <c r="C3249" i="2"/>
  <c r="D3473" i="2"/>
  <c r="B1716" i="2"/>
  <c r="I3249" i="2"/>
  <c r="F3249" i="2"/>
  <c r="D2797" i="2"/>
  <c r="B3473" i="2"/>
  <c r="I1716" i="2"/>
  <c r="G2766" i="2"/>
  <c r="I1991" i="2"/>
  <c r="D3362" i="2"/>
  <c r="H2608" i="2"/>
  <c r="F1586" i="2"/>
  <c r="I2480" i="2"/>
  <c r="F3257" i="2"/>
  <c r="I2809" i="2"/>
  <c r="F3011" i="2"/>
  <c r="F2374" i="2"/>
  <c r="G1928" i="2"/>
  <c r="I1928" i="2"/>
  <c r="H2374" i="2"/>
  <c r="A1914" i="2"/>
  <c r="H2242" i="2"/>
  <c r="F1928" i="2"/>
  <c r="I1914" i="2"/>
  <c r="A2242" i="2"/>
  <c r="I3011" i="2"/>
  <c r="D2414" i="2"/>
  <c r="A2809" i="2"/>
  <c r="A1928" i="2"/>
  <c r="C3516" i="2"/>
  <c r="F2414" i="2"/>
  <c r="B2809" i="2"/>
  <c r="B1928" i="2"/>
  <c r="B1671" i="2"/>
  <c r="C2242" i="2"/>
  <c r="D2242" i="2"/>
  <c r="A3011" i="2"/>
  <c r="B3011" i="2"/>
  <c r="C1671" i="2"/>
  <c r="I2242" i="2"/>
  <c r="A3516" i="2"/>
  <c r="C1928" i="2"/>
  <c r="C3011" i="2"/>
  <c r="B1914" i="2"/>
  <c r="D3516" i="2"/>
  <c r="F1671" i="2"/>
  <c r="G2242" i="2"/>
  <c r="D3011" i="2"/>
  <c r="I3516" i="2"/>
  <c r="G3257" i="2"/>
  <c r="G3011" i="2"/>
  <c r="I1671" i="2"/>
  <c r="C2414" i="2"/>
  <c r="D2374" i="2"/>
  <c r="H1914" i="2"/>
  <c r="H1671" i="2"/>
  <c r="A3257" i="2"/>
  <c r="G1914" i="2"/>
  <c r="B2242" i="2"/>
  <c r="B2414" i="2"/>
  <c r="F1914" i="2"/>
  <c r="H2809" i="2"/>
  <c r="C2374" i="2"/>
  <c r="D1928" i="2"/>
  <c r="D1671" i="2"/>
  <c r="A2414" i="2"/>
  <c r="B3516" i="2"/>
  <c r="H2414" i="2"/>
  <c r="I2374" i="2"/>
  <c r="G2809" i="2"/>
  <c r="F2809" i="2"/>
  <c r="A2374" i="2"/>
  <c r="D3257" i="2"/>
  <c r="H3257" i="2"/>
  <c r="C1914" i="2"/>
  <c r="F3516" i="2"/>
  <c r="C2809" i="2"/>
  <c r="H3516" i="2"/>
  <c r="G2374" i="2"/>
  <c r="G1671" i="2"/>
  <c r="I2414" i="2"/>
  <c r="B3257" i="2"/>
  <c r="I3257" i="2"/>
  <c r="H3011" i="2"/>
  <c r="D1914" i="2"/>
  <c r="H1928" i="2"/>
  <c r="G3516" i="2"/>
  <c r="C3257" i="2"/>
  <c r="A1671" i="2"/>
  <c r="B2374" i="2"/>
  <c r="G2414" i="2"/>
  <c r="F2242" i="2"/>
  <c r="D2809" i="2"/>
  <c r="B2134" i="2"/>
  <c r="H3485" i="2"/>
  <c r="I1834" i="2"/>
  <c r="G3532" i="2"/>
  <c r="D3035" i="2"/>
  <c r="B3195" i="2"/>
  <c r="F3485" i="2"/>
  <c r="D3485" i="2"/>
  <c r="I2345" i="2"/>
  <c r="F3035" i="2"/>
  <c r="B3517" i="2"/>
  <c r="G3064" i="2"/>
  <c r="G2113" i="2"/>
  <c r="D1834" i="2"/>
  <c r="A2134" i="2"/>
  <c r="F3517" i="2"/>
  <c r="I3035" i="2"/>
  <c r="B2113" i="2"/>
  <c r="C2113" i="2"/>
  <c r="I2113" i="2"/>
  <c r="I3064" i="2"/>
  <c r="C1834" i="2"/>
  <c r="D3195" i="2"/>
  <c r="D3532" i="2"/>
  <c r="C2345" i="2"/>
  <c r="H2345" i="2"/>
  <c r="G3517" i="2"/>
  <c r="H3195" i="2"/>
  <c r="I3485" i="2"/>
  <c r="F1834" i="2"/>
  <c r="B3064" i="2"/>
  <c r="G3035" i="2"/>
  <c r="G2134" i="2"/>
  <c r="A3517" i="2"/>
  <c r="H2134" i="2"/>
  <c r="B3485" i="2"/>
  <c r="F2113" i="2"/>
  <c r="C3195" i="2"/>
  <c r="B3532" i="2"/>
  <c r="H3532" i="2"/>
  <c r="G3485" i="2"/>
  <c r="D3517" i="2"/>
  <c r="G2345" i="2"/>
  <c r="A1834" i="2"/>
  <c r="H3035" i="2"/>
  <c r="A3485" i="2"/>
  <c r="B3035" i="2"/>
  <c r="I3517" i="2"/>
  <c r="H2113" i="2"/>
  <c r="F2134" i="2"/>
  <c r="F2345" i="2"/>
  <c r="A2345" i="2"/>
  <c r="A3064" i="2"/>
  <c r="G3195" i="2"/>
  <c r="A3035" i="2"/>
  <c r="C3532" i="2"/>
  <c r="I3195" i="2"/>
  <c r="F3064" i="2"/>
  <c r="H3064" i="2"/>
  <c r="B1834" i="2"/>
  <c r="C3064" i="2"/>
  <c r="A3195" i="2"/>
  <c r="A3532" i="2"/>
  <c r="H3517" i="2"/>
  <c r="D2345" i="2"/>
  <c r="C2134" i="2"/>
  <c r="I2134" i="2"/>
  <c r="I3532" i="2"/>
  <c r="D2113" i="2"/>
  <c r="G1834" i="2"/>
  <c r="C3485" i="2"/>
  <c r="C3517" i="2"/>
  <c r="B2345" i="2"/>
  <c r="C3035" i="2"/>
  <c r="D3064" i="2"/>
  <c r="F3532" i="2"/>
  <c r="A2113" i="2"/>
  <c r="D2134" i="2"/>
  <c r="F3195" i="2"/>
  <c r="H1834" i="2"/>
  <c r="I2252" i="2"/>
  <c r="H2252" i="2"/>
  <c r="A3072" i="2"/>
  <c r="A2107" i="2"/>
  <c r="F2872" i="2"/>
  <c r="D3072" i="2"/>
  <c r="G2947" i="2"/>
  <c r="G2979" i="2"/>
  <c r="I2005" i="2"/>
  <c r="H3072" i="2"/>
  <c r="F2923" i="2"/>
  <c r="I2107" i="2"/>
  <c r="G2923" i="2"/>
  <c r="C2947" i="2"/>
  <c r="A2834" i="2"/>
  <c r="D2868" i="2"/>
  <c r="B2872" i="2"/>
  <c r="H2923" i="2"/>
  <c r="I2872" i="2"/>
  <c r="I3072" i="2"/>
  <c r="A2252" i="2"/>
  <c r="B2868" i="2"/>
  <c r="A2947" i="2"/>
  <c r="D2005" i="2"/>
  <c r="C2923" i="2"/>
  <c r="F2868" i="2"/>
  <c r="C2834" i="2"/>
  <c r="H2979" i="2"/>
  <c r="A2005" i="2"/>
  <c r="H2107" i="2"/>
  <c r="B3072" i="2"/>
  <c r="F3072" i="2"/>
  <c r="D2947" i="2"/>
  <c r="F2979" i="2"/>
  <c r="G2005" i="2"/>
  <c r="C2107" i="2"/>
  <c r="A2979" i="2"/>
  <c r="C2868" i="2"/>
  <c r="H2834" i="2"/>
  <c r="D2979" i="2"/>
  <c r="C2005" i="2"/>
  <c r="B2005" i="2"/>
  <c r="H2947" i="2"/>
  <c r="C2252" i="2"/>
  <c r="B2923" i="2"/>
  <c r="I2947" i="2"/>
  <c r="D2107" i="2"/>
  <c r="F2252" i="2"/>
  <c r="I2979" i="2"/>
  <c r="A2923" i="2"/>
  <c r="F2107" i="2"/>
  <c r="G2872" i="2"/>
  <c r="H2872" i="2"/>
  <c r="H2005" i="2"/>
  <c r="I2868" i="2"/>
  <c r="D2872" i="2"/>
  <c r="B2107" i="2"/>
  <c r="A2872" i="2"/>
  <c r="I2834" i="2"/>
  <c r="F2834" i="2"/>
  <c r="B2979" i="2"/>
  <c r="C3072" i="2"/>
  <c r="D2834" i="2"/>
  <c r="B2252" i="2"/>
  <c r="G2868" i="2"/>
  <c r="G2834" i="2"/>
  <c r="G2252" i="2"/>
  <c r="H2868" i="2"/>
  <c r="I2923" i="2"/>
  <c r="F2947" i="2"/>
  <c r="B2947" i="2"/>
  <c r="B2834" i="2"/>
  <c r="C2872" i="2"/>
  <c r="F2005" i="2"/>
  <c r="D2923" i="2"/>
  <c r="C2979" i="2"/>
  <c r="A2868" i="2"/>
  <c r="D2252" i="2"/>
  <c r="G3072" i="2"/>
  <c r="G2107" i="2"/>
  <c r="I1975" i="2"/>
  <c r="H1658" i="2"/>
  <c r="D3238" i="2"/>
  <c r="B2127" i="2"/>
  <c r="A1658" i="2"/>
  <c r="F3238" i="2"/>
  <c r="F2196" i="2"/>
  <c r="C2911" i="2"/>
  <c r="A2911" i="2"/>
  <c r="C3238" i="2"/>
  <c r="H3238" i="2"/>
  <c r="H1839" i="2"/>
  <c r="H3166" i="2"/>
  <c r="A1839" i="2"/>
  <c r="C2196" i="2"/>
  <c r="A3238" i="2"/>
  <c r="G2911" i="2"/>
  <c r="G1975" i="2"/>
  <c r="G3166" i="2"/>
  <c r="F1658" i="2"/>
  <c r="C1839" i="2"/>
  <c r="G2156" i="2"/>
  <c r="I1658" i="2"/>
  <c r="C3166" i="2"/>
  <c r="C2156" i="2"/>
  <c r="I2196" i="2"/>
  <c r="D2911" i="2"/>
  <c r="I2911" i="2"/>
  <c r="B2911" i="2"/>
  <c r="I3238" i="2"/>
  <c r="G1839" i="2"/>
  <c r="C1658" i="2"/>
  <c r="A3263" i="2"/>
  <c r="C2127" i="2"/>
  <c r="D2127" i="2"/>
  <c r="F2156" i="2"/>
  <c r="I2127" i="2"/>
  <c r="F2127" i="2"/>
  <c r="F3166" i="2"/>
  <c r="D2196" i="2"/>
  <c r="B3166" i="2"/>
  <c r="I1839" i="2"/>
  <c r="B2196" i="2"/>
  <c r="F1839" i="2"/>
  <c r="A2156" i="2"/>
  <c r="I3166" i="2"/>
  <c r="G3238" i="2"/>
  <c r="F3263" i="2"/>
  <c r="B1658" i="2"/>
  <c r="G2196" i="2"/>
  <c r="B1975" i="2"/>
  <c r="A1975" i="2"/>
  <c r="B2156" i="2"/>
  <c r="C1975" i="2"/>
  <c r="D3263" i="2"/>
  <c r="D1658" i="2"/>
  <c r="D2156" i="2"/>
  <c r="H3263" i="2"/>
  <c r="A2127" i="2"/>
  <c r="H2196" i="2"/>
  <c r="H1975" i="2"/>
  <c r="G2127" i="2"/>
  <c r="I3263" i="2"/>
  <c r="D1839" i="2"/>
  <c r="G3263" i="2"/>
  <c r="F2911" i="2"/>
  <c r="B3263" i="2"/>
  <c r="I2156" i="2"/>
  <c r="F1975" i="2"/>
  <c r="A3166" i="2"/>
  <c r="B1839" i="2"/>
  <c r="H2156" i="2"/>
  <c r="D1975" i="2"/>
  <c r="A2196" i="2"/>
  <c r="H2127" i="2"/>
  <c r="C3263" i="2"/>
  <c r="B3238" i="2"/>
  <c r="G1658" i="2"/>
  <c r="H2911" i="2"/>
  <c r="D3166" i="2"/>
  <c r="C3023" i="2"/>
  <c r="I1833" i="2"/>
  <c r="H2637" i="2"/>
  <c r="D2750" i="2"/>
  <c r="D1917" i="2"/>
  <c r="A2349" i="2"/>
  <c r="A2750" i="2"/>
  <c r="D3639" i="2"/>
  <c r="I3129" i="2"/>
  <c r="I2879" i="2"/>
  <c r="G3132" i="2"/>
  <c r="G1794" i="2"/>
  <c r="A2879" i="2"/>
  <c r="I2637" i="2"/>
  <c r="I1892" i="2"/>
  <c r="F3469" i="2"/>
  <c r="I2883" i="2"/>
  <c r="G2637" i="2"/>
  <c r="G1833" i="2"/>
  <c r="A3268" i="2"/>
  <c r="F2883" i="2"/>
  <c r="D2349" i="2"/>
  <c r="D2637" i="2"/>
  <c r="G2879" i="2"/>
  <c r="F3129" i="2"/>
  <c r="D3268" i="2"/>
  <c r="F3639" i="2"/>
  <c r="H2846" i="2"/>
  <c r="D2686" i="2"/>
  <c r="I3268" i="2"/>
  <c r="B3132" i="2"/>
  <c r="H2879" i="2"/>
  <c r="D3132" i="2"/>
  <c r="F2750" i="2"/>
  <c r="B2637" i="2"/>
  <c r="B1892" i="2"/>
  <c r="B2686" i="2"/>
  <c r="F2879" i="2"/>
  <c r="F1794" i="2"/>
  <c r="G2349" i="2"/>
  <c r="C2976" i="2"/>
  <c r="H1794" i="2"/>
  <c r="H2883" i="2"/>
  <c r="G2846" i="2"/>
  <c r="A2976" i="2"/>
  <c r="I2821" i="2"/>
  <c r="F2146" i="2"/>
  <c r="C1892" i="2"/>
  <c r="A1794" i="2"/>
  <c r="G2976" i="2"/>
  <c r="C3129" i="2"/>
  <c r="C3469" i="2"/>
  <c r="B1794" i="2"/>
  <c r="C2637" i="2"/>
  <c r="H2976" i="2"/>
  <c r="A2821" i="2"/>
  <c r="C2750" i="2"/>
  <c r="I3132" i="2"/>
  <c r="B3268" i="2"/>
  <c r="D2821" i="2"/>
  <c r="B2349" i="2"/>
  <c r="A2637" i="2"/>
  <c r="C1794" i="2"/>
  <c r="D3469" i="2"/>
  <c r="B2879" i="2"/>
  <c r="A3023" i="2"/>
  <c r="G3268" i="2"/>
  <c r="I3639" i="2"/>
  <c r="H3268" i="2"/>
  <c r="D1892" i="2"/>
  <c r="A3129" i="2"/>
  <c r="H3129" i="2"/>
  <c r="D3023" i="2"/>
  <c r="G2750" i="2"/>
  <c r="F1833" i="2"/>
  <c r="I3469" i="2"/>
  <c r="G2821" i="2"/>
  <c r="G3469" i="2"/>
  <c r="A1892" i="2"/>
  <c r="I2846" i="2"/>
  <c r="B2846" i="2"/>
  <c r="I2349" i="2"/>
  <c r="C3639" i="2"/>
  <c r="F2846" i="2"/>
  <c r="F3023" i="2"/>
  <c r="I2750" i="2"/>
  <c r="C1917" i="2"/>
  <c r="G3129" i="2"/>
  <c r="G2146" i="2"/>
  <c r="B1917" i="2"/>
  <c r="F2976" i="2"/>
  <c r="H3132" i="2"/>
  <c r="B2750" i="2"/>
  <c r="I3023" i="2"/>
  <c r="D3129" i="2"/>
  <c r="D1833" i="2"/>
  <c r="H3639" i="2"/>
  <c r="D2846" i="2"/>
  <c r="B2821" i="2"/>
  <c r="B2976" i="2"/>
  <c r="F2349" i="2"/>
  <c r="G2883" i="2"/>
  <c r="D2146" i="2"/>
  <c r="G1892" i="2"/>
  <c r="H1917" i="2"/>
  <c r="D2883" i="2"/>
  <c r="C2821" i="2"/>
  <c r="H3023" i="2"/>
  <c r="H3469" i="2"/>
  <c r="C2146" i="2"/>
  <c r="G1917" i="2"/>
  <c r="I2686" i="2"/>
  <c r="C3268" i="2"/>
  <c r="A3132" i="2"/>
  <c r="I1917" i="2"/>
  <c r="G2686" i="2"/>
  <c r="C2686" i="2"/>
  <c r="D2879" i="2"/>
  <c r="F2821" i="2"/>
  <c r="F3132" i="2"/>
  <c r="A2686" i="2"/>
  <c r="B1833" i="2"/>
  <c r="A1917" i="2"/>
  <c r="A2846" i="2"/>
  <c r="C1833" i="2"/>
  <c r="I2146" i="2"/>
  <c r="B2146" i="2"/>
  <c r="D2976" i="2"/>
  <c r="H2686" i="2"/>
  <c r="A1833" i="2"/>
  <c r="B3023" i="2"/>
  <c r="C2883" i="2"/>
  <c r="I1794" i="2"/>
  <c r="F1892" i="2"/>
  <c r="B3639" i="2"/>
  <c r="A3469" i="2"/>
  <c r="B2883" i="2"/>
  <c r="A2146" i="2"/>
  <c r="C2349" i="2"/>
  <c r="G3639" i="2"/>
  <c r="C3132" i="2"/>
  <c r="C2846" i="2"/>
  <c r="H2146" i="2"/>
  <c r="H2349" i="2"/>
  <c r="H2750" i="2"/>
  <c r="H2821" i="2"/>
  <c r="H1833" i="2"/>
  <c r="C2879" i="2"/>
  <c r="D1794" i="2"/>
  <c r="A3639" i="2"/>
  <c r="F3268" i="2"/>
  <c r="I2976" i="2"/>
  <c r="A2883" i="2"/>
  <c r="G3023" i="2"/>
  <c r="F1917" i="2"/>
  <c r="F2686" i="2"/>
  <c r="H1892" i="2"/>
  <c r="F2637" i="2"/>
  <c r="B3469" i="2"/>
  <c r="B3129" i="2"/>
  <c r="B2250" i="2"/>
  <c r="H1779" i="2"/>
  <c r="B1712" i="2"/>
  <c r="I1815" i="2"/>
  <c r="A1875" i="2"/>
  <c r="D1703" i="2"/>
  <c r="B1815" i="2"/>
  <c r="C1703" i="2"/>
  <c r="C2815" i="2"/>
  <c r="F1779" i="2"/>
  <c r="G2250" i="2"/>
  <c r="F2042" i="2"/>
  <c r="C1491" i="2"/>
  <c r="C2250" i="2"/>
  <c r="H1491" i="2"/>
  <c r="F1703" i="2"/>
  <c r="F1712" i="2"/>
  <c r="I1875" i="2"/>
  <c r="B2042" i="2"/>
  <c r="C1779" i="2"/>
  <c r="G2193" i="2"/>
  <c r="A1779" i="2"/>
  <c r="G1779" i="2"/>
  <c r="F1815" i="2"/>
  <c r="C2193" i="2"/>
  <c r="D2042" i="2"/>
  <c r="I1712" i="2"/>
  <c r="H2250" i="2"/>
  <c r="C1815" i="2"/>
  <c r="H1875" i="2"/>
  <c r="G2042" i="2"/>
  <c r="H2815" i="2"/>
  <c r="I1703" i="2"/>
  <c r="B1875" i="2"/>
  <c r="F2250" i="2"/>
  <c r="H2193" i="2"/>
  <c r="B1703" i="2"/>
  <c r="A2815" i="2"/>
  <c r="F1491" i="2"/>
  <c r="G2815" i="2"/>
  <c r="G1703" i="2"/>
  <c r="C1875" i="2"/>
  <c r="I2815" i="2"/>
  <c r="H1712" i="2"/>
  <c r="F2815" i="2"/>
  <c r="B2193" i="2"/>
  <c r="G1875" i="2"/>
  <c r="I1491" i="2"/>
  <c r="D2250" i="2"/>
  <c r="C2042" i="2"/>
  <c r="C1712" i="2"/>
  <c r="I1779" i="2"/>
  <c r="I2193" i="2"/>
  <c r="F1875" i="2"/>
  <c r="B1491" i="2"/>
  <c r="D1779" i="2"/>
  <c r="D1712" i="2"/>
  <c r="I2042" i="2"/>
  <c r="H1815" i="2"/>
  <c r="I2250" i="2"/>
  <c r="A1712" i="2"/>
  <c r="G1491" i="2"/>
  <c r="A2193" i="2"/>
  <c r="A1491" i="2"/>
  <c r="H2042" i="2"/>
  <c r="A1703" i="2"/>
  <c r="D1815" i="2"/>
  <c r="F2193" i="2"/>
  <c r="G1815" i="2"/>
  <c r="B2815" i="2"/>
  <c r="G1712" i="2"/>
  <c r="A1815" i="2"/>
  <c r="D2815" i="2"/>
  <c r="A2250" i="2"/>
  <c r="A2042" i="2"/>
  <c r="D2193" i="2"/>
  <c r="D1491" i="2"/>
  <c r="B1779" i="2"/>
  <c r="H1703" i="2"/>
  <c r="D1875" i="2"/>
  <c r="D1777" i="2"/>
  <c r="F2528" i="2"/>
  <c r="H2270" i="2"/>
  <c r="C2270" i="2"/>
  <c r="H1836" i="2"/>
  <c r="F2618" i="2"/>
  <c r="I2270" i="2"/>
  <c r="G3468" i="2"/>
  <c r="D3192" i="2"/>
  <c r="F3524" i="2"/>
  <c r="C2528" i="2"/>
  <c r="I3468" i="2"/>
  <c r="H2528" i="2"/>
  <c r="C3192" i="2"/>
  <c r="B2270" i="2"/>
  <c r="A2528" i="2"/>
  <c r="H3192" i="2"/>
  <c r="D2270" i="2"/>
  <c r="B3192" i="2"/>
  <c r="C1836" i="2"/>
  <c r="D3468" i="2"/>
  <c r="F2270" i="2"/>
  <c r="C2978" i="2"/>
  <c r="A2978" i="2"/>
  <c r="G1685" i="2"/>
  <c r="H2618" i="2"/>
  <c r="B2618" i="2"/>
  <c r="G2528" i="2"/>
  <c r="C3524" i="2"/>
  <c r="H3524" i="2"/>
  <c r="G3192" i="2"/>
  <c r="C1777" i="2"/>
  <c r="H2978" i="2"/>
  <c r="B3468" i="2"/>
  <c r="A1685" i="2"/>
  <c r="A1777" i="2"/>
  <c r="B1777" i="2"/>
  <c r="A1836" i="2"/>
  <c r="H1685" i="2"/>
  <c r="C1685" i="2"/>
  <c r="D3524" i="2"/>
  <c r="D2618" i="2"/>
  <c r="A2618" i="2"/>
  <c r="A2270" i="2"/>
  <c r="F1836" i="2"/>
  <c r="F3192" i="2"/>
  <c r="I2978" i="2"/>
  <c r="G2978" i="2"/>
  <c r="D2978" i="2"/>
  <c r="C2618" i="2"/>
  <c r="D1836" i="2"/>
  <c r="I3524" i="2"/>
  <c r="H1777" i="2"/>
  <c r="I2528" i="2"/>
  <c r="F3468" i="2"/>
  <c r="G3524" i="2"/>
  <c r="F1685" i="2"/>
  <c r="B2528" i="2"/>
  <c r="I1685" i="2"/>
  <c r="B1836" i="2"/>
  <c r="G1777" i="2"/>
  <c r="A3524" i="2"/>
  <c r="I2618" i="2"/>
  <c r="D1685" i="2"/>
  <c r="I3192" i="2"/>
  <c r="I1836" i="2"/>
  <c r="H3468" i="2"/>
  <c r="I1777" i="2"/>
  <c r="C3468" i="2"/>
  <c r="B2978" i="2"/>
  <c r="G2618" i="2"/>
  <c r="F1777" i="2"/>
  <c r="G2270" i="2"/>
  <c r="G1836" i="2"/>
  <c r="D2528" i="2"/>
  <c r="A3468" i="2"/>
  <c r="A3192" i="2"/>
  <c r="F2978" i="2"/>
  <c r="B3524" i="2"/>
  <c r="B1685" i="2"/>
  <c r="H2412" i="2"/>
  <c r="C2085" i="2"/>
  <c r="D1870" i="2"/>
  <c r="H2085" i="2"/>
  <c r="B2894" i="2"/>
  <c r="H2719" i="2"/>
  <c r="B1870" i="2"/>
  <c r="G1761" i="2"/>
  <c r="F2800" i="2"/>
  <c r="G2085" i="2"/>
  <c r="H2800" i="2"/>
  <c r="H3030" i="2"/>
  <c r="I2894" i="2"/>
  <c r="F1718" i="2"/>
  <c r="I2085" i="2"/>
  <c r="F2719" i="2"/>
  <c r="C1870" i="2"/>
  <c r="D3030" i="2"/>
  <c r="A1718" i="2"/>
  <c r="D1945" i="2"/>
  <c r="B1718" i="2"/>
  <c r="C1945" i="2"/>
  <c r="D1718" i="2"/>
  <c r="D2894" i="2"/>
  <c r="F2085" i="2"/>
  <c r="C2800" i="2"/>
  <c r="F1761" i="2"/>
  <c r="B1761" i="2"/>
  <c r="A1761" i="2"/>
  <c r="H1870" i="2"/>
  <c r="C2719" i="2"/>
  <c r="I1761" i="2"/>
  <c r="C3030" i="2"/>
  <c r="A2894" i="2"/>
  <c r="F2894" i="2"/>
  <c r="F2412" i="2"/>
  <c r="B2800" i="2"/>
  <c r="H1718" i="2"/>
  <c r="C2894" i="2"/>
  <c r="I1870" i="2"/>
  <c r="B2719" i="2"/>
  <c r="H1761" i="2"/>
  <c r="C2412" i="2"/>
  <c r="D2719" i="2"/>
  <c r="B2412" i="2"/>
  <c r="D2800" i="2"/>
  <c r="G1870" i="2"/>
  <c r="A1945" i="2"/>
  <c r="A1870" i="2"/>
  <c r="G2719" i="2"/>
  <c r="G2894" i="2"/>
  <c r="G1718" i="2"/>
  <c r="D1761" i="2"/>
  <c r="C1718" i="2"/>
  <c r="A2412" i="2"/>
  <c r="I2412" i="2"/>
  <c r="D2412" i="2"/>
  <c r="G2800" i="2"/>
  <c r="F1945" i="2"/>
  <c r="H1945" i="2"/>
  <c r="G1945" i="2"/>
  <c r="B3030" i="2"/>
  <c r="A3030" i="2"/>
  <c r="D2085" i="2"/>
  <c r="F3030" i="2"/>
  <c r="A2085" i="2"/>
  <c r="G3030" i="2"/>
  <c r="I1945" i="2"/>
  <c r="A2800" i="2"/>
  <c r="A2719" i="2"/>
  <c r="I2719" i="2"/>
  <c r="I2800" i="2"/>
  <c r="I1718" i="2"/>
  <c r="B2085" i="2"/>
  <c r="B1945" i="2"/>
  <c r="I3030" i="2"/>
  <c r="C1761" i="2"/>
  <c r="F1870" i="2"/>
  <c r="G2412" i="2"/>
  <c r="H2894" i="2"/>
  <c r="F3079" i="2"/>
  <c r="F2367" i="2"/>
  <c r="H2367" i="2"/>
  <c r="I2099" i="2"/>
  <c r="C2422" i="2"/>
  <c r="D2691" i="2"/>
  <c r="B2691" i="2"/>
  <c r="G2099" i="2"/>
  <c r="B2246" i="2"/>
  <c r="F2099" i="2"/>
  <c r="B2422" i="2"/>
  <c r="G2367" i="2"/>
  <c r="C3079" i="2"/>
  <c r="F2422" i="2"/>
  <c r="D2422" i="2"/>
  <c r="G2691" i="2"/>
  <c r="H2099" i="2"/>
  <c r="D2787" i="2"/>
  <c r="F3426" i="2"/>
  <c r="I2691" i="2"/>
  <c r="H3008" i="2"/>
  <c r="H3426" i="2"/>
  <c r="F2787" i="2"/>
  <c r="I3426" i="2"/>
  <c r="I3551" i="2"/>
  <c r="F2691" i="2"/>
  <c r="A2787" i="2"/>
  <c r="H2422" i="2"/>
  <c r="C3008" i="2"/>
  <c r="A3008" i="2"/>
  <c r="C3551" i="2"/>
  <c r="H3551" i="2"/>
  <c r="A2099" i="2"/>
  <c r="I2246" i="2"/>
  <c r="G2246" i="2"/>
  <c r="B3426" i="2"/>
  <c r="D2246" i="2"/>
  <c r="C2367" i="2"/>
  <c r="H2787" i="2"/>
  <c r="I3008" i="2"/>
  <c r="C2099" i="2"/>
  <c r="F3008" i="2"/>
  <c r="F3551" i="2"/>
  <c r="B2787" i="2"/>
  <c r="G3426" i="2"/>
  <c r="I3079" i="2"/>
  <c r="H2691" i="2"/>
  <c r="H3079" i="2"/>
  <c r="G2422" i="2"/>
  <c r="I2367" i="2"/>
  <c r="B2367" i="2"/>
  <c r="A2691" i="2"/>
  <c r="G3551" i="2"/>
  <c r="C3426" i="2"/>
  <c r="D3008" i="2"/>
  <c r="A2246" i="2"/>
  <c r="G3079" i="2"/>
  <c r="C2246" i="2"/>
  <c r="D3426" i="2"/>
  <c r="B2099" i="2"/>
  <c r="C2787" i="2"/>
  <c r="G2787" i="2"/>
  <c r="A3079" i="2"/>
  <c r="B3551" i="2"/>
  <c r="I2422" i="2"/>
  <c r="A2367" i="2"/>
  <c r="F2246" i="2"/>
  <c r="B3079" i="2"/>
  <c r="D3551" i="2"/>
  <c r="B3008" i="2"/>
  <c r="H2246" i="2"/>
  <c r="C2691" i="2"/>
  <c r="D2099" i="2"/>
  <c r="I2787" i="2"/>
  <c r="D3079" i="2"/>
  <c r="A3426" i="2"/>
  <c r="A3551" i="2"/>
  <c r="A2422" i="2"/>
  <c r="D2367" i="2"/>
  <c r="G3008" i="2"/>
  <c r="D2546" i="2"/>
  <c r="C1832" i="2"/>
  <c r="B2645" i="2"/>
  <c r="C2490" i="2"/>
  <c r="B1832" i="2"/>
  <c r="F2490" i="2"/>
  <c r="A2205" i="2"/>
  <c r="F2205" i="2"/>
  <c r="B2205" i="2"/>
  <c r="B3312" i="2"/>
  <c r="B2546" i="2"/>
  <c r="G2694" i="2"/>
  <c r="D2490" i="2"/>
  <c r="I2632" i="2"/>
  <c r="H2694" i="2"/>
  <c r="H3122" i="2"/>
  <c r="D2694" i="2"/>
  <c r="I1832" i="2"/>
  <c r="G2645" i="2"/>
  <c r="D1832" i="2"/>
  <c r="I3312" i="2"/>
  <c r="G3193" i="2"/>
  <c r="H2205" i="2"/>
  <c r="B3193" i="2"/>
  <c r="D3312" i="2"/>
  <c r="A2694" i="2"/>
  <c r="D3122" i="2"/>
  <c r="I2546" i="2"/>
  <c r="D2205" i="2"/>
  <c r="A2632" i="2"/>
  <c r="D2645" i="2"/>
  <c r="F3122" i="2"/>
  <c r="C2694" i="2"/>
  <c r="I3122" i="2"/>
  <c r="B2490" i="2"/>
  <c r="F2546" i="2"/>
  <c r="G1832" i="2"/>
  <c r="A3312" i="2"/>
  <c r="A3193" i="2"/>
  <c r="F3193" i="2"/>
  <c r="C3312" i="2"/>
  <c r="D2632" i="2"/>
  <c r="I3193" i="2"/>
  <c r="H2490" i="2"/>
  <c r="A2645" i="2"/>
  <c r="D3193" i="2"/>
  <c r="I2694" i="2"/>
  <c r="I2490" i="2"/>
  <c r="G3122" i="2"/>
  <c r="H3312" i="2"/>
  <c r="C2645" i="2"/>
  <c r="H1832" i="2"/>
  <c r="I2205" i="2"/>
  <c r="F2632" i="2"/>
  <c r="A2546" i="2"/>
  <c r="C2546" i="2"/>
  <c r="H2632" i="2"/>
  <c r="C2205" i="2"/>
  <c r="A2490" i="2"/>
  <c r="G2546" i="2"/>
  <c r="B3122" i="2"/>
  <c r="G3312" i="2"/>
  <c r="I2645" i="2"/>
  <c r="G2632" i="2"/>
  <c r="B2694" i="2"/>
  <c r="F1832" i="2"/>
  <c r="B2632" i="2"/>
  <c r="F2645" i="2"/>
  <c r="A3122" i="2"/>
  <c r="H3193" i="2"/>
  <c r="F3312" i="2"/>
  <c r="F2694" i="2"/>
  <c r="G2490" i="2"/>
  <c r="C3193" i="2"/>
  <c r="A1832" i="2"/>
  <c r="C3122" i="2"/>
  <c r="H2645" i="2"/>
  <c r="G2205" i="2"/>
  <c r="C2632" i="2"/>
  <c r="H2546" i="2"/>
  <c r="C2803" i="2"/>
  <c r="F2404" i="2"/>
  <c r="H2989" i="2"/>
  <c r="H2534" i="2"/>
  <c r="H3200" i="2"/>
  <c r="C3402" i="2"/>
  <c r="F2534" i="2"/>
  <c r="B1670" i="2"/>
  <c r="B3402" i="2"/>
  <c r="G2198" i="2"/>
  <c r="C1670" i="2"/>
  <c r="F2357" i="2"/>
  <c r="G2357" i="2"/>
  <c r="A2534" i="2"/>
  <c r="B2198" i="2"/>
  <c r="A2989" i="2"/>
  <c r="D2198" i="2"/>
  <c r="D2989" i="2"/>
  <c r="F3402" i="2"/>
  <c r="I2198" i="2"/>
  <c r="D2534" i="2"/>
  <c r="B2803" i="2"/>
  <c r="C3200" i="2"/>
  <c r="D3200" i="2"/>
  <c r="A2198" i="2"/>
  <c r="I2357" i="2"/>
  <c r="F2860" i="2"/>
  <c r="I2803" i="2"/>
  <c r="G2803" i="2"/>
  <c r="G1670" i="2"/>
  <c r="H2357" i="2"/>
  <c r="I2860" i="2"/>
  <c r="A1670" i="2"/>
  <c r="A2860" i="2"/>
  <c r="G2404" i="2"/>
  <c r="A3402" i="2"/>
  <c r="A2404" i="2"/>
  <c r="C2989" i="2"/>
  <c r="I1670" i="2"/>
  <c r="H2404" i="2"/>
  <c r="B2860" i="2"/>
  <c r="B2404" i="2"/>
  <c r="G2534" i="2"/>
  <c r="I3200" i="2"/>
  <c r="C2534" i="2"/>
  <c r="G3200" i="2"/>
  <c r="I3402" i="2"/>
  <c r="D1670" i="2"/>
  <c r="B2989" i="2"/>
  <c r="A3200" i="2"/>
  <c r="A2357" i="2"/>
  <c r="F3200" i="2"/>
  <c r="D2860" i="2"/>
  <c r="I2534" i="2"/>
  <c r="H2860" i="2"/>
  <c r="H2198" i="2"/>
  <c r="A2803" i="2"/>
  <c r="D2803" i="2"/>
  <c r="B2357" i="2"/>
  <c r="C2357" i="2"/>
  <c r="C2860" i="2"/>
  <c r="I2404" i="2"/>
  <c r="F2989" i="2"/>
  <c r="H1670" i="2"/>
  <c r="F2803" i="2"/>
  <c r="I2989" i="2"/>
  <c r="H3402" i="2"/>
  <c r="C2404" i="2"/>
  <c r="G3402" i="2"/>
  <c r="B2534" i="2"/>
  <c r="C2198" i="2"/>
  <c r="B3200" i="2"/>
  <c r="G2989" i="2"/>
  <c r="D2404" i="2"/>
  <c r="D3402" i="2"/>
  <c r="F1670" i="2"/>
  <c r="D2357" i="2"/>
  <c r="G2860" i="2"/>
  <c r="H2803" i="2"/>
  <c r="F2198" i="2"/>
  <c r="B3526" i="2"/>
  <c r="F2299" i="2"/>
  <c r="H2545" i="2"/>
  <c r="I2327" i="2"/>
  <c r="G2622" i="2"/>
  <c r="F2236" i="2"/>
  <c r="H3223" i="2"/>
  <c r="A2545" i="2"/>
  <c r="A2120" i="2"/>
  <c r="I2236" i="2"/>
  <c r="I2214" i="2"/>
  <c r="G2327" i="2"/>
  <c r="D2545" i="2"/>
  <c r="B2214" i="2"/>
  <c r="F2814" i="2"/>
  <c r="C2814" i="2"/>
  <c r="G2814" i="2"/>
  <c r="B2622" i="2"/>
  <c r="I3223" i="2"/>
  <c r="D2120" i="2"/>
  <c r="B2120" i="2"/>
  <c r="D3526" i="2"/>
  <c r="H3526" i="2"/>
  <c r="D3223" i="2"/>
  <c r="B2327" i="2"/>
  <c r="B2236" i="2"/>
  <c r="B2545" i="2"/>
  <c r="A2236" i="2"/>
  <c r="F3223" i="2"/>
  <c r="F2214" i="2"/>
  <c r="B3223" i="2"/>
  <c r="D2214" i="2"/>
  <c r="C2236" i="2"/>
  <c r="D2327" i="2"/>
  <c r="G3526" i="2"/>
  <c r="D2236" i="2"/>
  <c r="H2814" i="2"/>
  <c r="D2814" i="2"/>
  <c r="H2622" i="2"/>
  <c r="D2299" i="2"/>
  <c r="B2814" i="2"/>
  <c r="C2327" i="2"/>
  <c r="A2214" i="2"/>
  <c r="C3223" i="2"/>
  <c r="G2545" i="2"/>
  <c r="I2814" i="2"/>
  <c r="A3526" i="2"/>
  <c r="D2622" i="2"/>
  <c r="A2299" i="2"/>
  <c r="A2622" i="2"/>
  <c r="I3526" i="2"/>
  <c r="H2327" i="2"/>
  <c r="F2120" i="2"/>
  <c r="G2214" i="2"/>
  <c r="F3526" i="2"/>
  <c r="G2120" i="2"/>
  <c r="H2120" i="2"/>
  <c r="H2214" i="2"/>
  <c r="F2622" i="2"/>
  <c r="C2545" i="2"/>
  <c r="B2299" i="2"/>
  <c r="C2120" i="2"/>
  <c r="A3223" i="2"/>
  <c r="C2299" i="2"/>
  <c r="I2622" i="2"/>
  <c r="F2545" i="2"/>
  <c r="H2299" i="2"/>
  <c r="I2299" i="2"/>
  <c r="G2236" i="2"/>
  <c r="F2327" i="2"/>
  <c r="C2214" i="2"/>
  <c r="A2814" i="2"/>
  <c r="I2120" i="2"/>
  <c r="C2622" i="2"/>
  <c r="G2299" i="2"/>
  <c r="H2236" i="2"/>
  <c r="A2327" i="2"/>
  <c r="G3223" i="2"/>
  <c r="I2545" i="2"/>
  <c r="C3526" i="2"/>
  <c r="C3241" i="2"/>
  <c r="D2213" i="2"/>
  <c r="A3241" i="2"/>
  <c r="C2918" i="2"/>
  <c r="A2210" i="2"/>
  <c r="G2338" i="2"/>
  <c r="B1912" i="2"/>
  <c r="B2338" i="2"/>
  <c r="F1927" i="2"/>
  <c r="B2918" i="2"/>
  <c r="I3241" i="2"/>
  <c r="A2338" i="2"/>
  <c r="G1912" i="2"/>
  <c r="I1912" i="2"/>
  <c r="H1912" i="2"/>
  <c r="B2873" i="2"/>
  <c r="D1927" i="2"/>
  <c r="A1927" i="2"/>
  <c r="H2873" i="2"/>
  <c r="I2210" i="2"/>
  <c r="G1927" i="2"/>
  <c r="G3241" i="2"/>
  <c r="D2210" i="2"/>
  <c r="D3330" i="2"/>
  <c r="H2338" i="2"/>
  <c r="F2338" i="2"/>
  <c r="I2338" i="2"/>
  <c r="C3330" i="2"/>
  <c r="A2873" i="2"/>
  <c r="C2381" i="2"/>
  <c r="I2381" i="2"/>
  <c r="F2381" i="2"/>
  <c r="B2210" i="2"/>
  <c r="I2213" i="2"/>
  <c r="D2873" i="2"/>
  <c r="C1912" i="2"/>
  <c r="H2918" i="2"/>
  <c r="D1912" i="2"/>
  <c r="F1912" i="2"/>
  <c r="D2338" i="2"/>
  <c r="G2873" i="2"/>
  <c r="B3330" i="2"/>
  <c r="F2873" i="2"/>
  <c r="A3330" i="2"/>
  <c r="B1927" i="2"/>
  <c r="D3241" i="2"/>
  <c r="B3241" i="2"/>
  <c r="I3330" i="2"/>
  <c r="C2213" i="2"/>
  <c r="I1927" i="2"/>
  <c r="G3330" i="2"/>
  <c r="B2213" i="2"/>
  <c r="F2213" i="2"/>
  <c r="C1927" i="2"/>
  <c r="G2381" i="2"/>
  <c r="A2918" i="2"/>
  <c r="B2381" i="2"/>
  <c r="I2918" i="2"/>
  <c r="A2213" i="2"/>
  <c r="A2381" i="2"/>
  <c r="I2873" i="2"/>
  <c r="G2918" i="2"/>
  <c r="D2918" i="2"/>
  <c r="D2381" i="2"/>
  <c r="F2210" i="2"/>
  <c r="G2210" i="2"/>
  <c r="G2213" i="2"/>
  <c r="H3241" i="2"/>
  <c r="H2210" i="2"/>
  <c r="F3330" i="2"/>
  <c r="C2873" i="2"/>
  <c r="H3330" i="2"/>
  <c r="F3241" i="2"/>
  <c r="F2918" i="2"/>
  <c r="C2210" i="2"/>
  <c r="H1927" i="2"/>
  <c r="C2338" i="2"/>
  <c r="H2213" i="2"/>
  <c r="A1912" i="2"/>
  <c r="H2381" i="2"/>
  <c r="D1750" i="2"/>
  <c r="C3484" i="2"/>
  <c r="F1889" i="2"/>
  <c r="F3484" i="2"/>
  <c r="H2442" i="2"/>
  <c r="G2295" i="2"/>
  <c r="D2295" i="2"/>
  <c r="A2442" i="2"/>
  <c r="B3484" i="2"/>
  <c r="F1659" i="2"/>
  <c r="F1911" i="2"/>
  <c r="D2442" i="2"/>
  <c r="I2442" i="2"/>
  <c r="I1750" i="2"/>
  <c r="A2389" i="2"/>
  <c r="F2389" i="2"/>
  <c r="B3502" i="2"/>
  <c r="D3502" i="2"/>
  <c r="A1750" i="2"/>
  <c r="I3502" i="2"/>
  <c r="F2295" i="2"/>
  <c r="I3484" i="2"/>
  <c r="B2442" i="2"/>
  <c r="C1659" i="2"/>
  <c r="H1750" i="2"/>
  <c r="C2295" i="2"/>
  <c r="A1911" i="2"/>
  <c r="C2389" i="2"/>
  <c r="I1659" i="2"/>
  <c r="B1659" i="2"/>
  <c r="H1911" i="2"/>
  <c r="G2389" i="2"/>
  <c r="H3502" i="2"/>
  <c r="B2389" i="2"/>
  <c r="H2753" i="2"/>
  <c r="A2753" i="2"/>
  <c r="D1659" i="2"/>
  <c r="G2753" i="2"/>
  <c r="A2295" i="2"/>
  <c r="B1889" i="2"/>
  <c r="H3484" i="2"/>
  <c r="I2295" i="2"/>
  <c r="H2389" i="2"/>
  <c r="F3502" i="2"/>
  <c r="H1659" i="2"/>
  <c r="D1889" i="2"/>
  <c r="C3502" i="2"/>
  <c r="I2389" i="2"/>
  <c r="F2442" i="2"/>
  <c r="G1911" i="2"/>
  <c r="D2753" i="2"/>
  <c r="I2753" i="2"/>
  <c r="D1911" i="2"/>
  <c r="G3484" i="2"/>
  <c r="A3502" i="2"/>
  <c r="B1750" i="2"/>
  <c r="C1911" i="2"/>
  <c r="I1911" i="2"/>
  <c r="G1889" i="2"/>
  <c r="F1750" i="2"/>
  <c r="B2295" i="2"/>
  <c r="A1889" i="2"/>
  <c r="C2442" i="2"/>
  <c r="I1889" i="2"/>
  <c r="C2753" i="2"/>
  <c r="A1659" i="2"/>
  <c r="A3484" i="2"/>
  <c r="C1889" i="2"/>
  <c r="F2753" i="2"/>
  <c r="H2295" i="2"/>
  <c r="C1750" i="2"/>
  <c r="G1659" i="2"/>
  <c r="B1911" i="2"/>
  <c r="D2389" i="2"/>
  <c r="H1889" i="2"/>
  <c r="B2753" i="2"/>
  <c r="D3484" i="2"/>
  <c r="G1750" i="2"/>
  <c r="G3502" i="2"/>
  <c r="G2442" i="2"/>
  <c r="B3647" i="2"/>
  <c r="A3597" i="2"/>
  <c r="F3597" i="2"/>
  <c r="B3579" i="2"/>
  <c r="G3647" i="2"/>
  <c r="D3655" i="2"/>
  <c r="D1590" i="2"/>
  <c r="A3579" i="2"/>
  <c r="H3647" i="2"/>
  <c r="C1556" i="2"/>
  <c r="F1611" i="2"/>
  <c r="A3655" i="2"/>
  <c r="H1611" i="2"/>
  <c r="A3722" i="2"/>
  <c r="F3579" i="2"/>
  <c r="G3597" i="2"/>
  <c r="A1444" i="2"/>
  <c r="B1556" i="2"/>
  <c r="D3647" i="2"/>
  <c r="H1590" i="2"/>
  <c r="A3705" i="2"/>
  <c r="D3597" i="2"/>
  <c r="D1611" i="2"/>
  <c r="A1611" i="2"/>
  <c r="F3722" i="2"/>
  <c r="A3647" i="2"/>
  <c r="A1590" i="2"/>
  <c r="C3597" i="2"/>
  <c r="C3647" i="2"/>
  <c r="B1611" i="2"/>
  <c r="D1556" i="2"/>
  <c r="F3705" i="2"/>
  <c r="F1556" i="2"/>
  <c r="D3579" i="2"/>
  <c r="G3722" i="2"/>
  <c r="A1556" i="2"/>
  <c r="F1444" i="2"/>
  <c r="F3655" i="2"/>
  <c r="B3705" i="2"/>
  <c r="H1444" i="2"/>
  <c r="D3705" i="2"/>
  <c r="C3722" i="2"/>
  <c r="F1590" i="2"/>
  <c r="H1556" i="2"/>
  <c r="H3722" i="2"/>
  <c r="G3705" i="2"/>
  <c r="H3597" i="2"/>
  <c r="D1444" i="2"/>
  <c r="B3655" i="2"/>
  <c r="C1611" i="2"/>
  <c r="B1590" i="2"/>
  <c r="H3705" i="2"/>
  <c r="C3579" i="2"/>
  <c r="H3579" i="2"/>
  <c r="D3722" i="2"/>
  <c r="F3647" i="2"/>
  <c r="G1444" i="2"/>
  <c r="B3597" i="2"/>
  <c r="G3579" i="2"/>
  <c r="G3655" i="2"/>
  <c r="C1590" i="2"/>
  <c r="B1444" i="2"/>
  <c r="C1444" i="2"/>
  <c r="G1556" i="2"/>
  <c r="C3655" i="2"/>
  <c r="G1590" i="2"/>
  <c r="H3655" i="2"/>
  <c r="G1611" i="2"/>
  <c r="C3705" i="2"/>
  <c r="B3722" i="2"/>
  <c r="F2678" i="2"/>
  <c r="B3444" i="2"/>
  <c r="H3377" i="2"/>
  <c r="H2372" i="2"/>
  <c r="C3444" i="2"/>
  <c r="G2678" i="2"/>
  <c r="H2678" i="2"/>
  <c r="B3466" i="2"/>
  <c r="A2202" i="2"/>
  <c r="A3430" i="2"/>
  <c r="I2372" i="2"/>
  <c r="C2170" i="2"/>
  <c r="B3430" i="2"/>
  <c r="F3444" i="2"/>
  <c r="F3430" i="2"/>
  <c r="C2474" i="2"/>
  <c r="D2372" i="2"/>
  <c r="B2678" i="2"/>
  <c r="D3444" i="2"/>
  <c r="B2474" i="2"/>
  <c r="I3377" i="2"/>
  <c r="C2372" i="2"/>
  <c r="G3377" i="2"/>
  <c r="A2474" i="2"/>
  <c r="F3466" i="2"/>
  <c r="I2202" i="2"/>
  <c r="C2202" i="2"/>
  <c r="A3444" i="2"/>
  <c r="I3466" i="2"/>
  <c r="D2202" i="2"/>
  <c r="H3466" i="2"/>
  <c r="G3430" i="2"/>
  <c r="I2170" i="2"/>
  <c r="A2170" i="2"/>
  <c r="B2078" i="2"/>
  <c r="D2078" i="2"/>
  <c r="D2678" i="2"/>
  <c r="C3430" i="2"/>
  <c r="H2474" i="2"/>
  <c r="F2474" i="2"/>
  <c r="F2202" i="2"/>
  <c r="G2078" i="2"/>
  <c r="C2078" i="2"/>
  <c r="I3430" i="2"/>
  <c r="D3466" i="2"/>
  <c r="I3444" i="2"/>
  <c r="C2678" i="2"/>
  <c r="H2202" i="2"/>
  <c r="D2170" i="2"/>
  <c r="G3466" i="2"/>
  <c r="A2678" i="2"/>
  <c r="I2078" i="2"/>
  <c r="B2372" i="2"/>
  <c r="B3377" i="2"/>
  <c r="A2372" i="2"/>
  <c r="D2474" i="2"/>
  <c r="B2170" i="2"/>
  <c r="F2078" i="2"/>
  <c r="F3377" i="2"/>
  <c r="H2170" i="2"/>
  <c r="D3377" i="2"/>
  <c r="A3377" i="2"/>
  <c r="C3466" i="2"/>
  <c r="B2202" i="2"/>
  <c r="G3444" i="2"/>
  <c r="I2474" i="2"/>
  <c r="F2170" i="2"/>
  <c r="H3430" i="2"/>
  <c r="G2372" i="2"/>
  <c r="H2078" i="2"/>
  <c r="H3444" i="2"/>
  <c r="F2372" i="2"/>
  <c r="A3466" i="2"/>
  <c r="G2170" i="2"/>
  <c r="G2474" i="2"/>
  <c r="C3377" i="2"/>
  <c r="A2078" i="2"/>
  <c r="G2202" i="2"/>
  <c r="I2678" i="2"/>
  <c r="D3430" i="2"/>
  <c r="B3674" i="2"/>
  <c r="A1644" i="2"/>
  <c r="I1594" i="2"/>
  <c r="F1644" i="2"/>
  <c r="D1644" i="2"/>
  <c r="A3719" i="2"/>
  <c r="F3674" i="2"/>
  <c r="H3699" i="2"/>
  <c r="F3699" i="2"/>
  <c r="G1608" i="2"/>
  <c r="H3674" i="2"/>
  <c r="B3719" i="2"/>
  <c r="G3719" i="2"/>
  <c r="A1573" i="2"/>
  <c r="D1579" i="2"/>
  <c r="H1573" i="2"/>
  <c r="A1609" i="2"/>
  <c r="G1573" i="2"/>
  <c r="D1594" i="2"/>
  <c r="D3699" i="2"/>
  <c r="B1609" i="2"/>
  <c r="I3719" i="2"/>
  <c r="H1644" i="2"/>
  <c r="I3699" i="2"/>
  <c r="F1649" i="2"/>
  <c r="F1579" i="2"/>
  <c r="D1609" i="2"/>
  <c r="I1609" i="2"/>
  <c r="B1573" i="2"/>
  <c r="A1579" i="2"/>
  <c r="G3674" i="2"/>
  <c r="I1573" i="2"/>
  <c r="B3699" i="2"/>
  <c r="F3719" i="2"/>
  <c r="G1649" i="2"/>
  <c r="B1594" i="2"/>
  <c r="D1573" i="2"/>
  <c r="B1644" i="2"/>
  <c r="D1649" i="2"/>
  <c r="B1649" i="2"/>
  <c r="D3719" i="2"/>
  <c r="H1594" i="2"/>
  <c r="H1608" i="2"/>
  <c r="G1609" i="2"/>
  <c r="D1608" i="2"/>
  <c r="I1644" i="2"/>
  <c r="B1608" i="2"/>
  <c r="H1649" i="2"/>
  <c r="G1594" i="2"/>
  <c r="B1579" i="2"/>
  <c r="F1573" i="2"/>
  <c r="A1608" i="2"/>
  <c r="A3674" i="2"/>
  <c r="G3699" i="2"/>
  <c r="A1649" i="2"/>
  <c r="G1579" i="2"/>
  <c r="H3719" i="2"/>
  <c r="A1594" i="2"/>
  <c r="F1609" i="2"/>
  <c r="F1594" i="2"/>
  <c r="I1608" i="2"/>
  <c r="H1579" i="2"/>
  <c r="F1608" i="2"/>
  <c r="G1644" i="2"/>
  <c r="D3674" i="2"/>
  <c r="H1609" i="2"/>
  <c r="I3674" i="2"/>
  <c r="I1649" i="2"/>
  <c r="I1579" i="2"/>
  <c r="A3699" i="2"/>
  <c r="B3623" i="2"/>
  <c r="I3713" i="2"/>
  <c r="D3725" i="2"/>
  <c r="C1567" i="2"/>
  <c r="A3623" i="2"/>
  <c r="C1584" i="2"/>
  <c r="H3725" i="2"/>
  <c r="D3800" i="2"/>
  <c r="I3623" i="2"/>
  <c r="D1629" i="2"/>
  <c r="H3623" i="2"/>
  <c r="H3760" i="2"/>
  <c r="A1629" i="2"/>
  <c r="G1629" i="2"/>
  <c r="I3760" i="2"/>
  <c r="I3725" i="2"/>
  <c r="G3725" i="2"/>
  <c r="B3760" i="2"/>
  <c r="G3623" i="2"/>
  <c r="C1629" i="2"/>
  <c r="D1584" i="2"/>
  <c r="I1584" i="2"/>
  <c r="A3760" i="2"/>
  <c r="I3688" i="2"/>
  <c r="B1629" i="2"/>
  <c r="I3800" i="2"/>
  <c r="G3760" i="2"/>
  <c r="H3800" i="2"/>
  <c r="I1567" i="2"/>
  <c r="H1614" i="2"/>
  <c r="A1614" i="2"/>
  <c r="C3713" i="2"/>
  <c r="D1614" i="2"/>
  <c r="B3725" i="2"/>
  <c r="B1567" i="2"/>
  <c r="G1614" i="2"/>
  <c r="G1567" i="2"/>
  <c r="D1567" i="2"/>
  <c r="C3725" i="2"/>
  <c r="H1584" i="2"/>
  <c r="H3688" i="2"/>
  <c r="A3800" i="2"/>
  <c r="B1614" i="2"/>
  <c r="G1584" i="2"/>
  <c r="A3725" i="2"/>
  <c r="B3800" i="2"/>
  <c r="C3623" i="2"/>
  <c r="A1567" i="2"/>
  <c r="H3713" i="2"/>
  <c r="D3760" i="2"/>
  <c r="B3713" i="2"/>
  <c r="G3800" i="2"/>
  <c r="I1629" i="2"/>
  <c r="C3800" i="2"/>
  <c r="D3713" i="2"/>
  <c r="H1567" i="2"/>
  <c r="G3688" i="2"/>
  <c r="C3688" i="2"/>
  <c r="C1614" i="2"/>
  <c r="H1629" i="2"/>
  <c r="B1584" i="2"/>
  <c r="B3688" i="2"/>
  <c r="C3760" i="2"/>
  <c r="D3623" i="2"/>
  <c r="D3688" i="2"/>
  <c r="G3713" i="2"/>
  <c r="I1614" i="2"/>
  <c r="A3688" i="2"/>
  <c r="A1584" i="2"/>
  <c r="A3713" i="2"/>
  <c r="B3663" i="2"/>
  <c r="C3578" i="2"/>
  <c r="D3583" i="2"/>
  <c r="G3583" i="2"/>
  <c r="C3583" i="2"/>
  <c r="D3578" i="2"/>
  <c r="B1613" i="2"/>
  <c r="D1592" i="2"/>
  <c r="B1592" i="2"/>
  <c r="C1599" i="2"/>
  <c r="D1599" i="2"/>
  <c r="B1634" i="2"/>
  <c r="C1542" i="2"/>
  <c r="D1542" i="2"/>
  <c r="I3583" i="2"/>
  <c r="B1542" i="2"/>
  <c r="H3663" i="2"/>
  <c r="H1634" i="2"/>
  <c r="B3578" i="2"/>
  <c r="B3583" i="2"/>
  <c r="D3663" i="2"/>
  <c r="G1599" i="2"/>
  <c r="H1613" i="2"/>
  <c r="I1632" i="2"/>
  <c r="H3578" i="2"/>
  <c r="A1613" i="2"/>
  <c r="G1542" i="2"/>
  <c r="G1632" i="2"/>
  <c r="I1592" i="2"/>
  <c r="B1599" i="2"/>
  <c r="D1632" i="2"/>
  <c r="C1632" i="2"/>
  <c r="I1599" i="2"/>
  <c r="A1563" i="2"/>
  <c r="C1563" i="2"/>
  <c r="A1599" i="2"/>
  <c r="I1634" i="2"/>
  <c r="G3663" i="2"/>
  <c r="G3578" i="2"/>
  <c r="H1542" i="2"/>
  <c r="G1563" i="2"/>
  <c r="A1634" i="2"/>
  <c r="I1613" i="2"/>
  <c r="A3663" i="2"/>
  <c r="C1592" i="2"/>
  <c r="D1613" i="2"/>
  <c r="G1634" i="2"/>
  <c r="D1634" i="2"/>
  <c r="B1563" i="2"/>
  <c r="I1563" i="2"/>
  <c r="G1592" i="2"/>
  <c r="I3663" i="2"/>
  <c r="A1592" i="2"/>
  <c r="C3663" i="2"/>
  <c r="H3583" i="2"/>
  <c r="H1563" i="2"/>
  <c r="B1632" i="2"/>
  <c r="G1613" i="2"/>
  <c r="C1634" i="2"/>
  <c r="H1599" i="2"/>
  <c r="D1563" i="2"/>
  <c r="C1613" i="2"/>
  <c r="A3578" i="2"/>
  <c r="H1592" i="2"/>
  <c r="H1632" i="2"/>
  <c r="I1542" i="2"/>
  <c r="A1632" i="2"/>
  <c r="A3583" i="2"/>
  <c r="I3578" i="2"/>
  <c r="A1542" i="2"/>
  <c r="B3633" i="2"/>
  <c r="H1534" i="2"/>
  <c r="C3633" i="2"/>
  <c r="H3573" i="2"/>
  <c r="B1637" i="2"/>
  <c r="G3775" i="2"/>
  <c r="A3628" i="2"/>
  <c r="I3618" i="2"/>
  <c r="I1637" i="2"/>
  <c r="I3775" i="2"/>
  <c r="D3633" i="2"/>
  <c r="D3568" i="2"/>
  <c r="H3633" i="2"/>
  <c r="H3775" i="2"/>
  <c r="G3573" i="2"/>
  <c r="B3573" i="2"/>
  <c r="G1593" i="2"/>
  <c r="A3618" i="2"/>
  <c r="B1593" i="2"/>
  <c r="A3775" i="2"/>
  <c r="H1593" i="2"/>
  <c r="I1593" i="2"/>
  <c r="A1534" i="2"/>
  <c r="G1534" i="2"/>
  <c r="G3588" i="2"/>
  <c r="A3568" i="2"/>
  <c r="C3588" i="2"/>
  <c r="A1637" i="2"/>
  <c r="C3775" i="2"/>
  <c r="H3628" i="2"/>
  <c r="H3568" i="2"/>
  <c r="D1593" i="2"/>
  <c r="B3618" i="2"/>
  <c r="I3573" i="2"/>
  <c r="B3628" i="2"/>
  <c r="B1534" i="2"/>
  <c r="C1534" i="2"/>
  <c r="C3628" i="2"/>
  <c r="D3628" i="2"/>
  <c r="H1637" i="2"/>
  <c r="A3588" i="2"/>
  <c r="C3568" i="2"/>
  <c r="G3618" i="2"/>
  <c r="G3633" i="2"/>
  <c r="D3573" i="2"/>
  <c r="I3588" i="2"/>
  <c r="A1593" i="2"/>
  <c r="D3618" i="2"/>
  <c r="I3633" i="2"/>
  <c r="B3568" i="2"/>
  <c r="H3618" i="2"/>
  <c r="C3573" i="2"/>
  <c r="D3588" i="2"/>
  <c r="G3628" i="2"/>
  <c r="G3568" i="2"/>
  <c r="H3588" i="2"/>
  <c r="B3775" i="2"/>
  <c r="I1534" i="2"/>
  <c r="C1637" i="2"/>
  <c r="G1637" i="2"/>
  <c r="B3588" i="2"/>
  <c r="C3618" i="2"/>
  <c r="I3568" i="2"/>
  <c r="C1593" i="2"/>
  <c r="D1534" i="2"/>
  <c r="A3573" i="2"/>
  <c r="D1637" i="2"/>
  <c r="A3633" i="2"/>
  <c r="I3628" i="2"/>
  <c r="D3775" i="2"/>
  <c r="D3600" i="2"/>
  <c r="G3600" i="2"/>
  <c r="B3780" i="2"/>
  <c r="B3745" i="2"/>
  <c r="A3780" i="2"/>
  <c r="C3780" i="2"/>
  <c r="C3745" i="2"/>
  <c r="D1561" i="2"/>
  <c r="D3780" i="2"/>
  <c r="D3745" i="2"/>
  <c r="A3745" i="2"/>
  <c r="H3745" i="2"/>
  <c r="H1561" i="2"/>
  <c r="G3780" i="2"/>
  <c r="G3745" i="2"/>
  <c r="A3600" i="2"/>
  <c r="H3600" i="2"/>
  <c r="A1561" i="2"/>
  <c r="C1561" i="2"/>
  <c r="C3600" i="2"/>
  <c r="H3780" i="2"/>
  <c r="B1561" i="2"/>
  <c r="G1561" i="2"/>
  <c r="B3600" i="2"/>
  <c r="B1370" i="2"/>
  <c r="B1320" i="2"/>
  <c r="A3714" i="2"/>
  <c r="B1420" i="2"/>
  <c r="A3664" i="2"/>
  <c r="B3664" i="2"/>
  <c r="F3689" i="2"/>
  <c r="F1320" i="2"/>
  <c r="F1420" i="2"/>
  <c r="A3689" i="2"/>
  <c r="F1370" i="2"/>
  <c r="A1420" i="2"/>
  <c r="F3664" i="2"/>
  <c r="B3689" i="2"/>
  <c r="A1320" i="2"/>
  <c r="F3714" i="2"/>
  <c r="B3714" i="2"/>
  <c r="A1370" i="2"/>
  <c r="B1328" i="2"/>
  <c r="B1378" i="2"/>
  <c r="A1349" i="2"/>
  <c r="B1399" i="2"/>
  <c r="B3785" i="2"/>
  <c r="B1349" i="2"/>
  <c r="A3785" i="2"/>
  <c r="A1328" i="2"/>
  <c r="B3824" i="2"/>
  <c r="A3824" i="2"/>
  <c r="B1467" i="2"/>
  <c r="A1467" i="2"/>
  <c r="A1399" i="2"/>
  <c r="A1378" i="2"/>
  <c r="A1267" i="2"/>
  <c r="B1237" i="2"/>
  <c r="C1277" i="2"/>
  <c r="A1247" i="2"/>
  <c r="C1187" i="2"/>
  <c r="A1182" i="2"/>
  <c r="B1232" i="2"/>
  <c r="A1212" i="2"/>
  <c r="C1197" i="2"/>
  <c r="B1267" i="2"/>
  <c r="B1247" i="2"/>
  <c r="C1232" i="2"/>
  <c r="A1227" i="2"/>
  <c r="B1227" i="2"/>
  <c r="A1197" i="2"/>
  <c r="C1212" i="2"/>
  <c r="B1187" i="2"/>
  <c r="C1182" i="2"/>
  <c r="A1232" i="2"/>
  <c r="C1247" i="2"/>
  <c r="B1197" i="2"/>
  <c r="B1182" i="2"/>
  <c r="C1227" i="2"/>
  <c r="C1237" i="2"/>
  <c r="C1267" i="2"/>
  <c r="B1277" i="2"/>
  <c r="A1277" i="2"/>
  <c r="A1187" i="2"/>
  <c r="A1237" i="2"/>
  <c r="B1212" i="2"/>
  <c r="C1412" i="2"/>
  <c r="C3637" i="2"/>
  <c r="C1391" i="2"/>
  <c r="C1152" i="2"/>
  <c r="A1412" i="2"/>
  <c r="A1292" i="2"/>
  <c r="C1262" i="2"/>
  <c r="B1217" i="2"/>
  <c r="B1162" i="2"/>
  <c r="B1262" i="2"/>
  <c r="C1217" i="2"/>
  <c r="B1391" i="2"/>
  <c r="B1252" i="2"/>
  <c r="A3637" i="2"/>
  <c r="A3653" i="2"/>
  <c r="C1162" i="2"/>
  <c r="C1292" i="2"/>
  <c r="A1152" i="2"/>
  <c r="A1252" i="2"/>
  <c r="A1391" i="2"/>
  <c r="B3637" i="2"/>
  <c r="B1152" i="2"/>
  <c r="C1252" i="2"/>
  <c r="A1217" i="2"/>
  <c r="A1162" i="2"/>
  <c r="C3653" i="2"/>
  <c r="B1292" i="2"/>
  <c r="B3653" i="2"/>
  <c r="A1262" i="2"/>
  <c r="B1412" i="2"/>
  <c r="C1222" i="2"/>
  <c r="A1222" i="2"/>
  <c r="B1272" i="2"/>
  <c r="B1341" i="2"/>
  <c r="A1272" i="2"/>
  <c r="A1362" i="2"/>
  <c r="C1287" i="2"/>
  <c r="B1257" i="2"/>
  <c r="A1282" i="2"/>
  <c r="C1167" i="2"/>
  <c r="A1341" i="2"/>
  <c r="A1192" i="2"/>
  <c r="B1192" i="2"/>
  <c r="B1282" i="2"/>
  <c r="C1172" i="2"/>
  <c r="A1287" i="2"/>
  <c r="C1362" i="2"/>
  <c r="B1222" i="2"/>
  <c r="A1167" i="2"/>
  <c r="B1172" i="2"/>
  <c r="C1282" i="2"/>
  <c r="C1257" i="2"/>
  <c r="C1192" i="2"/>
  <c r="A1257" i="2"/>
  <c r="A1172" i="2"/>
  <c r="C1341" i="2"/>
  <c r="B1362" i="2"/>
  <c r="C1272" i="2"/>
  <c r="B1287" i="2"/>
  <c r="B1167" i="2"/>
  <c r="B1439" i="2"/>
  <c r="F3834" i="2"/>
  <c r="F3855" i="2"/>
  <c r="B1489" i="2"/>
  <c r="B1464" i="2"/>
  <c r="C3834" i="2"/>
  <c r="B1449" i="2"/>
  <c r="C3776" i="2"/>
  <c r="C3855" i="2"/>
  <c r="C1484" i="2"/>
  <c r="B3801" i="2"/>
  <c r="C1489" i="2"/>
  <c r="C3801" i="2"/>
  <c r="C1439" i="2"/>
  <c r="B3855" i="2"/>
  <c r="B3834" i="2"/>
  <c r="F1469" i="2"/>
  <c r="C1464" i="2"/>
  <c r="F1484" i="2"/>
  <c r="F3776" i="2"/>
  <c r="F1464" i="2"/>
  <c r="B1469" i="2"/>
  <c r="F1439" i="2"/>
  <c r="F1489" i="2"/>
  <c r="C1449" i="2"/>
  <c r="B3776" i="2"/>
  <c r="C1469" i="2"/>
  <c r="B1484" i="2"/>
  <c r="F3801" i="2"/>
  <c r="F1449" i="2"/>
  <c r="G3658" i="2"/>
  <c r="G3683" i="2"/>
  <c r="B3658" i="2"/>
  <c r="D3708" i="2"/>
  <c r="B3708" i="2"/>
  <c r="G3708" i="2"/>
  <c r="A3683" i="2"/>
  <c r="C3708" i="2"/>
  <c r="I3658" i="2"/>
  <c r="I3683" i="2"/>
  <c r="A3658" i="2"/>
  <c r="I3708" i="2"/>
  <c r="C3658" i="2"/>
  <c r="C3683" i="2"/>
  <c r="B3683" i="2"/>
  <c r="D3658" i="2"/>
  <c r="A3708" i="2"/>
  <c r="D3683" i="2"/>
  <c r="B3711" i="2"/>
  <c r="D3661" i="2"/>
  <c r="B3661" i="2"/>
  <c r="G3686" i="2"/>
  <c r="G3768" i="2"/>
  <c r="C3661" i="2"/>
  <c r="C3768" i="2"/>
  <c r="D3738" i="2"/>
  <c r="B3768" i="2"/>
  <c r="D3686" i="2"/>
  <c r="D3768" i="2"/>
  <c r="G3661" i="2"/>
  <c r="B3738" i="2"/>
  <c r="G3711" i="2"/>
  <c r="C3738" i="2"/>
  <c r="C3711" i="2"/>
  <c r="G3738" i="2"/>
  <c r="D3711" i="2"/>
  <c r="C3686" i="2"/>
  <c r="B3686" i="2"/>
  <c r="B1157" i="2"/>
  <c r="A1202" i="2"/>
  <c r="A1147" i="2"/>
  <c r="A1242" i="2"/>
  <c r="C1242" i="2"/>
  <c r="C1202" i="2"/>
  <c r="A1207" i="2"/>
  <c r="C1207" i="2"/>
  <c r="B1147" i="2"/>
  <c r="B1207" i="2"/>
  <c r="B1177" i="2"/>
  <c r="B1242" i="2"/>
  <c r="A1177" i="2"/>
  <c r="C1157" i="2"/>
  <c r="A3815" i="2"/>
  <c r="C1147" i="2"/>
  <c r="B1202" i="2"/>
  <c r="C1177" i="2"/>
  <c r="A1157" i="2"/>
  <c r="C3815" i="2"/>
  <c r="B3815" i="2"/>
  <c r="B4034" i="2"/>
  <c r="B1429" i="2"/>
  <c r="B3681" i="2"/>
  <c r="B4011" i="2"/>
  <c r="B4039" i="2"/>
  <c r="B3706" i="2"/>
  <c r="B3806" i="2"/>
  <c r="B3757" i="2"/>
  <c r="B3656" i="2"/>
  <c r="B3750" i="2"/>
  <c r="A1368" i="2"/>
  <c r="A3765" i="2"/>
  <c r="A1363" i="2"/>
  <c r="A1357" i="2"/>
  <c r="A1318" i="2"/>
  <c r="A1413" i="2"/>
  <c r="A1477" i="2"/>
  <c r="A1497" i="2"/>
  <c r="A1492" i="2"/>
  <c r="A1452" i="2"/>
  <c r="A3809" i="2"/>
  <c r="G3809" i="2"/>
  <c r="A3814" i="2"/>
  <c r="B3819" i="2"/>
  <c r="G3784" i="2"/>
  <c r="B3814" i="2"/>
  <c r="B3784" i="2"/>
  <c r="B3732" i="2"/>
  <c r="G3779" i="2"/>
  <c r="B3809" i="2"/>
  <c r="B3804" i="2"/>
  <c r="B3779" i="2"/>
  <c r="A3779" i="2"/>
  <c r="A3804" i="2"/>
  <c r="A3784" i="2"/>
  <c r="G3814" i="2"/>
  <c r="G3819" i="2"/>
  <c r="A3819" i="2"/>
  <c r="G3804" i="2"/>
  <c r="G3732" i="2"/>
  <c r="A3732" i="2"/>
  <c r="C1082" i="2"/>
  <c r="B1092" i="2"/>
  <c r="B3753" i="2"/>
  <c r="C1092" i="2"/>
  <c r="B1122" i="2"/>
  <c r="B1082" i="2"/>
  <c r="C1112" i="2"/>
  <c r="B1112" i="2"/>
  <c r="C3753" i="2"/>
  <c r="C1122" i="2"/>
  <c r="B1142" i="2"/>
  <c r="C1132" i="2"/>
  <c r="B1117" i="2"/>
  <c r="C1127" i="2"/>
  <c r="B1107" i="2"/>
  <c r="B1137" i="2"/>
  <c r="B1127" i="2"/>
  <c r="C1097" i="2"/>
  <c r="B1087" i="2"/>
  <c r="B1102" i="2"/>
  <c r="C1102" i="2"/>
  <c r="B3793" i="2"/>
  <c r="C1117" i="2"/>
  <c r="C1107" i="2"/>
  <c r="B1132" i="2"/>
  <c r="C1137" i="2"/>
  <c r="C1142" i="2"/>
  <c r="C3793" i="2"/>
  <c r="C1087" i="2"/>
  <c r="B1097" i="2"/>
  <c r="A3670" i="2"/>
  <c r="A1403" i="2"/>
  <c r="A1418" i="2"/>
  <c r="A4038" i="2"/>
  <c r="A1353" i="2"/>
  <c r="A1323" i="2"/>
  <c r="A1373" i="2"/>
  <c r="A3695" i="2"/>
  <c r="A3820" i="2"/>
  <c r="A3789" i="2"/>
  <c r="A1442" i="2"/>
  <c r="A3866" i="2"/>
  <c r="A1457" i="2"/>
  <c r="A1358" i="2"/>
  <c r="A3739" i="2"/>
  <c r="A4017" i="2"/>
  <c r="A1336" i="2"/>
  <c r="A3845" i="2"/>
  <c r="A1386" i="2"/>
  <c r="A1472" i="2"/>
  <c r="D1540" i="2"/>
  <c r="H1540" i="2"/>
  <c r="B3810" i="2"/>
  <c r="A1540" i="2"/>
  <c r="D3810" i="2"/>
  <c r="C3810" i="2"/>
  <c r="H3810" i="2"/>
  <c r="B1540" i="2"/>
  <c r="A3810" i="2"/>
  <c r="C1540" i="2"/>
  <c r="B3649" i="2"/>
  <c r="I3649" i="2"/>
  <c r="H3649" i="2"/>
  <c r="G3649" i="2"/>
  <c r="A3649" i="2"/>
  <c r="D3649" i="2"/>
  <c r="F3649" i="2"/>
  <c r="A3678" i="2"/>
  <c r="A3871" i="2"/>
  <c r="C3850" i="2"/>
  <c r="C3692" i="2"/>
  <c r="C3667" i="2"/>
  <c r="C3703" i="2"/>
  <c r="A3703" i="2"/>
  <c r="C3829" i="2"/>
  <c r="A3692" i="2"/>
  <c r="C3871" i="2"/>
  <c r="C3678" i="2"/>
  <c r="A3667" i="2"/>
  <c r="A3829" i="2"/>
  <c r="A3850" i="2"/>
  <c r="C3680" i="2"/>
  <c r="A3680" i="2"/>
  <c r="H3680" i="2"/>
  <c r="F3680" i="2"/>
  <c r="B3680" i="2"/>
  <c r="G3680" i="2"/>
  <c r="D3680" i="2"/>
  <c r="H3735" i="2"/>
  <c r="A3735" i="2"/>
  <c r="C3735" i="2"/>
  <c r="B3735" i="2"/>
  <c r="A3729" i="2"/>
  <c r="A3853" i="2"/>
  <c r="F3729" i="2"/>
  <c r="F4009" i="2"/>
  <c r="A4009" i="2"/>
  <c r="F3853" i="2"/>
  <c r="A3839" i="2"/>
  <c r="D3839" i="2"/>
  <c r="A3860" i="2"/>
  <c r="B3860" i="2"/>
  <c r="F3839" i="2"/>
  <c r="D3860" i="2"/>
  <c r="H3860" i="2"/>
  <c r="F3860" i="2"/>
  <c r="B3839" i="2"/>
  <c r="H3839" i="2"/>
  <c r="F3772" i="2"/>
  <c r="B3797" i="2"/>
  <c r="F3797" i="2"/>
  <c r="G3797" i="2"/>
  <c r="B3772" i="2"/>
  <c r="G3772" i="2"/>
  <c r="G1557" i="2"/>
  <c r="D1557" i="2"/>
  <c r="I1557" i="2"/>
  <c r="A1557" i="2"/>
  <c r="B1557" i="2"/>
  <c r="C1557" i="2"/>
  <c r="H1557" i="2"/>
  <c r="H3742" i="2"/>
  <c r="B3742" i="2"/>
  <c r="D3749" i="2"/>
  <c r="B3882" i="2"/>
  <c r="B3717" i="2"/>
  <c r="A3749" i="2"/>
  <c r="B3749" i="2"/>
  <c r="D3717" i="2"/>
  <c r="A3882" i="2"/>
  <c r="D3882" i="2"/>
  <c r="A3717" i="2"/>
  <c r="A1408" i="2"/>
  <c r="A1407" i="2"/>
  <c r="G3771" i="2"/>
  <c r="C3771" i="2"/>
  <c r="I3887" i="2"/>
  <c r="F3887" i="2"/>
  <c r="F3771" i="2"/>
  <c r="I3756" i="2"/>
  <c r="B3887" i="2"/>
  <c r="I3771" i="2"/>
  <c r="G3887" i="2"/>
  <c r="F3756" i="2"/>
  <c r="B3771" i="2"/>
  <c r="C3756" i="2"/>
  <c r="C3887" i="2"/>
  <c r="G3756" i="2"/>
  <c r="B3756" i="2"/>
  <c r="B1494" i="2"/>
  <c r="C1494" i="2"/>
  <c r="F1494" i="2"/>
  <c r="B3996" i="2"/>
  <c r="B3876" i="2"/>
  <c r="A3876" i="2"/>
  <c r="F3876" i="2"/>
  <c r="I3876" i="2"/>
  <c r="G3876" i="2"/>
  <c r="C3893" i="2"/>
  <c r="F3893" i="2"/>
  <c r="A3893" i="2"/>
  <c r="F3814" i="2"/>
  <c r="H3814" i="2"/>
  <c r="F3779" i="2"/>
  <c r="F3732" i="2"/>
  <c r="H3779" i="2"/>
  <c r="D3809" i="2"/>
  <c r="D3814" i="2"/>
  <c r="F3819" i="2"/>
  <c r="H3809" i="2"/>
  <c r="C3779" i="2"/>
  <c r="I3784" i="2"/>
  <c r="F3784" i="2"/>
  <c r="C3804" i="2"/>
  <c r="C3819" i="2"/>
  <c r="I3804" i="2"/>
  <c r="C3732" i="2"/>
  <c r="C3784" i="2"/>
  <c r="I3819" i="2"/>
  <c r="H3819" i="2"/>
  <c r="D3819" i="2"/>
  <c r="I3732" i="2"/>
  <c r="I3779" i="2"/>
  <c r="D3732" i="2"/>
  <c r="D3779" i="2"/>
  <c r="D3784" i="2"/>
  <c r="C3814" i="2"/>
  <c r="C3809" i="2"/>
  <c r="I3814" i="2"/>
  <c r="I3809" i="2"/>
  <c r="D3804" i="2"/>
  <c r="H3804" i="2"/>
  <c r="F3804" i="2"/>
  <c r="H3732" i="2"/>
  <c r="F3809" i="2"/>
  <c r="H3784" i="2"/>
  <c r="A3766" i="2"/>
  <c r="G3673" i="2"/>
  <c r="F3698" i="2"/>
  <c r="G3698" i="2"/>
  <c r="D3733" i="2"/>
  <c r="B3733" i="2"/>
  <c r="F3766" i="2"/>
  <c r="A3673" i="2"/>
  <c r="C3698" i="2"/>
  <c r="A3698" i="2"/>
  <c r="G3766" i="2"/>
  <c r="G3907" i="2"/>
  <c r="D3673" i="2"/>
  <c r="D3698" i="2"/>
  <c r="H3766" i="2"/>
  <c r="F3733" i="2"/>
  <c r="D3766" i="2"/>
  <c r="C3907" i="2"/>
  <c r="F3673" i="2"/>
  <c r="C3766" i="2"/>
  <c r="G3733" i="2"/>
  <c r="F3907" i="2"/>
  <c r="A3907" i="2"/>
  <c r="B3673" i="2"/>
  <c r="H3907" i="2"/>
  <c r="B3698" i="2"/>
  <c r="C3673" i="2"/>
  <c r="B3907" i="2"/>
  <c r="C3733" i="2"/>
  <c r="H3733" i="2"/>
  <c r="H3673" i="2"/>
  <c r="A3733" i="2"/>
  <c r="D3907" i="2"/>
  <c r="B3766" i="2"/>
  <c r="H3698" i="2"/>
  <c r="H3716" i="2"/>
  <c r="A3731" i="2"/>
  <c r="A3696" i="2"/>
  <c r="A3691" i="2"/>
  <c r="H3691" i="2"/>
  <c r="A3671" i="2"/>
  <c r="H3666" i="2"/>
  <c r="A3741" i="2"/>
  <c r="H3696" i="2"/>
  <c r="A3666" i="2"/>
  <c r="H3741" i="2"/>
  <c r="A3716" i="2"/>
  <c r="H3731" i="2"/>
  <c r="H3671" i="2"/>
  <c r="C3772" i="2"/>
  <c r="I3772" i="2"/>
  <c r="A3797" i="2"/>
  <c r="I3797" i="2"/>
  <c r="A3772" i="2"/>
  <c r="H3772" i="2"/>
  <c r="D3772" i="2"/>
  <c r="D3797" i="2"/>
  <c r="C3797" i="2"/>
  <c r="H3797" i="2"/>
  <c r="A3855" i="2"/>
  <c r="D3776" i="2"/>
  <c r="D3834" i="2"/>
  <c r="H3834" i="2"/>
  <c r="I3801" i="2"/>
  <c r="G3801" i="2"/>
  <c r="I3834" i="2"/>
  <c r="H3776" i="2"/>
  <c r="D3801" i="2"/>
  <c r="I3855" i="2"/>
  <c r="A3801" i="2"/>
  <c r="G3776" i="2"/>
  <c r="A3834" i="2"/>
  <c r="H3801" i="2"/>
  <c r="D3855" i="2"/>
  <c r="G3855" i="2"/>
  <c r="I3776" i="2"/>
  <c r="G3834" i="2"/>
  <c r="H3855" i="2"/>
  <c r="A3776" i="2"/>
  <c r="G3637" i="2"/>
  <c r="D3815" i="2"/>
  <c r="D3653" i="2"/>
  <c r="I3815" i="2"/>
  <c r="G3815" i="2"/>
  <c r="F3815" i="2"/>
  <c r="F3653" i="2"/>
  <c r="G3653" i="2"/>
  <c r="I3637" i="2"/>
  <c r="F3637" i="2"/>
  <c r="H3653" i="2"/>
  <c r="H3637" i="2"/>
  <c r="D3637" i="2"/>
  <c r="I3653" i="2"/>
  <c r="H3815" i="2"/>
  <c r="C3770" i="2"/>
  <c r="C3747" i="2"/>
  <c r="G3712" i="2"/>
  <c r="D3712" i="2"/>
  <c r="A3712" i="2"/>
  <c r="D3747" i="2"/>
  <c r="F3687" i="2"/>
  <c r="B3687" i="2"/>
  <c r="G3730" i="2"/>
  <c r="B3817" i="2"/>
  <c r="F3730" i="2"/>
  <c r="D3817" i="2"/>
  <c r="C3712" i="2"/>
  <c r="C3730" i="2"/>
  <c r="D3730" i="2"/>
  <c r="A3770" i="2"/>
  <c r="B3770" i="2"/>
  <c r="D3770" i="2"/>
  <c r="G3770" i="2"/>
  <c r="A3730" i="2"/>
  <c r="A3687" i="2"/>
  <c r="B3747" i="2"/>
  <c r="F3747" i="2"/>
  <c r="C3687" i="2"/>
  <c r="G3747" i="2"/>
  <c r="D3687" i="2"/>
  <c r="F3817" i="2"/>
  <c r="B3712" i="2"/>
  <c r="A3747" i="2"/>
  <c r="F3712" i="2"/>
  <c r="B3730" i="2"/>
  <c r="C3817" i="2"/>
  <c r="F3770" i="2"/>
  <c r="G3687" i="2"/>
  <c r="A3817" i="2"/>
  <c r="G3817" i="2"/>
  <c r="H3721" i="2"/>
  <c r="C3751" i="2"/>
  <c r="A3721" i="2"/>
  <c r="D3721" i="2"/>
  <c r="B3721" i="2"/>
  <c r="B3751" i="2"/>
  <c r="C3724" i="2"/>
  <c r="C3721" i="2"/>
  <c r="D3751" i="2"/>
  <c r="B3724" i="2"/>
  <c r="A3724" i="2"/>
  <c r="A3751" i="2"/>
  <c r="H3751" i="2"/>
  <c r="H3724" i="2"/>
  <c r="D3724" i="2"/>
  <c r="I3996" i="2"/>
  <c r="D3904" i="2"/>
  <c r="A3796" i="2"/>
  <c r="I3796" i="2"/>
  <c r="D3996" i="2"/>
  <c r="A3996" i="2"/>
  <c r="D3953" i="2"/>
  <c r="I3904" i="2"/>
  <c r="D3796" i="2"/>
  <c r="A3904" i="2"/>
  <c r="I3953" i="2"/>
  <c r="A3953" i="2"/>
  <c r="H3796" i="2"/>
  <c r="H3996" i="2"/>
  <c r="H3953" i="2"/>
  <c r="H3904" i="2"/>
  <c r="C3624" i="2"/>
  <c r="G3624" i="2"/>
  <c r="D3624" i="2"/>
  <c r="H3624" i="2"/>
  <c r="I3697" i="2"/>
  <c r="I3672" i="2"/>
  <c r="G3697" i="2"/>
  <c r="G3672" i="2"/>
  <c r="A3771" i="2"/>
  <c r="A3887" i="2"/>
  <c r="D3771" i="2"/>
  <c r="H3887" i="2"/>
  <c r="D3887" i="2"/>
  <c r="H3771" i="2"/>
  <c r="D3756" i="2"/>
  <c r="A3756" i="2"/>
  <c r="H3756" i="2"/>
  <c r="I3735" i="2"/>
  <c r="F3735" i="2"/>
  <c r="G3735" i="2"/>
  <c r="D3735" i="2"/>
  <c r="H4041" i="2"/>
  <c r="G4041" i="2"/>
  <c r="B4041" i="2"/>
  <c r="C3832" i="2"/>
  <c r="B3832" i="2"/>
  <c r="G3832" i="2"/>
  <c r="H3832" i="2"/>
  <c r="D3832" i="2"/>
  <c r="I3980" i="2"/>
  <c r="D3980" i="2"/>
  <c r="C3980" i="2"/>
  <c r="B3980" i="2"/>
  <c r="H3980" i="2"/>
  <c r="F3882" i="2"/>
  <c r="F3749" i="2"/>
  <c r="G3882" i="2"/>
  <c r="I3717" i="2"/>
  <c r="F3717" i="2"/>
  <c r="G3717" i="2"/>
  <c r="G3749" i="2"/>
  <c r="I3882" i="2"/>
  <c r="H3749" i="2"/>
  <c r="C3749" i="2"/>
  <c r="I3749" i="2"/>
  <c r="H3717" i="2"/>
  <c r="C3882" i="2"/>
  <c r="C3717" i="2"/>
  <c r="H3882" i="2"/>
  <c r="A3759" i="2"/>
  <c r="F3759" i="2"/>
  <c r="H3759" i="2"/>
  <c r="I3759" i="2"/>
  <c r="C3759" i="2"/>
  <c r="D3627" i="2"/>
  <c r="G3627" i="2"/>
  <c r="A3627" i="2"/>
  <c r="C3627" i="2"/>
  <c r="C3785" i="2"/>
  <c r="D3824" i="2"/>
  <c r="D3785" i="2"/>
  <c r="G3824" i="2"/>
  <c r="F3785" i="2"/>
  <c r="H3824" i="2"/>
  <c r="I3824" i="2"/>
  <c r="C3824" i="2"/>
  <c r="F3824" i="2"/>
  <c r="H3785" i="2"/>
  <c r="I3785" i="2"/>
  <c r="G3785" i="2"/>
  <c r="F3590" i="2"/>
  <c r="D3590" i="2"/>
  <c r="A3590" i="2"/>
  <c r="I3742" i="2"/>
  <c r="G3742" i="2"/>
  <c r="D3742" i="2"/>
  <c r="F3742" i="2"/>
  <c r="A3742" i="2"/>
  <c r="C3742" i="2"/>
  <c r="I3919" i="2"/>
  <c r="C3895" i="2"/>
  <c r="A3919" i="2"/>
  <c r="F3919" i="2"/>
  <c r="B3919" i="2"/>
  <c r="D3919" i="2"/>
  <c r="H3919" i="2"/>
  <c r="C3919" i="2"/>
  <c r="D3895" i="2"/>
  <c r="A3895" i="2"/>
  <c r="F3895" i="2"/>
  <c r="B3895" i="2"/>
  <c r="I3895" i="2"/>
  <c r="H3895" i="2"/>
  <c r="A3668" i="2"/>
  <c r="A3593" i="2"/>
  <c r="B3693" i="2"/>
  <c r="B3593" i="2"/>
  <c r="B3668" i="2"/>
  <c r="F3593" i="2"/>
  <c r="F3668" i="2"/>
  <c r="F3693" i="2"/>
  <c r="F3929" i="2"/>
  <c r="B3929" i="2"/>
  <c r="A3693" i="2"/>
  <c r="A3929" i="2"/>
  <c r="H4031" i="2"/>
  <c r="B4031" i="2"/>
  <c r="A4031" i="2"/>
  <c r="D4031" i="2"/>
  <c r="D3927" i="2"/>
  <c r="F3927" i="2"/>
  <c r="I3927" i="2"/>
  <c r="A3927" i="2"/>
  <c r="G3927" i="2"/>
  <c r="F3850" i="2"/>
  <c r="D3829" i="2"/>
  <c r="I3871" i="2"/>
  <c r="H3692" i="2"/>
  <c r="H3678" i="2"/>
  <c r="D3850" i="2"/>
  <c r="I3703" i="2"/>
  <c r="B3692" i="2"/>
  <c r="I3678" i="2"/>
  <c r="B3667" i="2"/>
  <c r="G3850" i="2"/>
  <c r="G3829" i="2"/>
  <c r="H3829" i="2"/>
  <c r="H3667" i="2"/>
  <c r="I3692" i="2"/>
  <c r="D3678" i="2"/>
  <c r="B3703" i="2"/>
  <c r="F3678" i="2"/>
  <c r="F3667" i="2"/>
  <c r="D3703" i="2"/>
  <c r="B3871" i="2"/>
  <c r="B3850" i="2"/>
  <c r="B3678" i="2"/>
  <c r="G3667" i="2"/>
  <c r="H3850" i="2"/>
  <c r="H3871" i="2"/>
  <c r="D3692" i="2"/>
  <c r="I3829" i="2"/>
  <c r="D3871" i="2"/>
  <c r="G3692" i="2"/>
  <c r="H3703" i="2"/>
  <c r="G3678" i="2"/>
  <c r="F3871" i="2"/>
  <c r="D3667" i="2"/>
  <c r="I3667" i="2"/>
  <c r="G3703" i="2"/>
  <c r="B3829" i="2"/>
  <c r="F3703" i="2"/>
  <c r="I3850" i="2"/>
  <c r="F3692" i="2"/>
  <c r="G3871" i="2"/>
  <c r="F3829" i="2"/>
  <c r="C3870" i="2"/>
  <c r="H3870" i="2"/>
  <c r="D3849" i="2"/>
  <c r="C3849" i="2"/>
  <c r="B3849" i="2"/>
  <c r="B3870" i="2"/>
  <c r="H3849" i="2"/>
  <c r="D3870" i="2"/>
  <c r="C3806" i="2"/>
  <c r="G3706" i="2"/>
  <c r="A3706" i="2"/>
  <c r="I3706" i="2"/>
  <c r="D3883" i="2"/>
  <c r="I3757" i="2"/>
  <c r="A3883" i="2"/>
  <c r="F3656" i="2"/>
  <c r="F3873" i="2"/>
  <c r="C3681" i="2"/>
  <c r="G3750" i="2"/>
  <c r="C3750" i="2"/>
  <c r="D3912" i="2"/>
  <c r="H3912" i="2"/>
  <c r="H3883" i="2"/>
  <c r="I3912" i="2"/>
  <c r="H3706" i="2"/>
  <c r="F3912" i="2"/>
  <c r="C3912" i="2"/>
  <c r="D3757" i="2"/>
  <c r="G3757" i="2"/>
  <c r="D3806" i="2"/>
  <c r="F3750" i="2"/>
  <c r="A3656" i="2"/>
  <c r="H3681" i="2"/>
  <c r="D3917" i="2"/>
  <c r="F3917" i="2"/>
  <c r="D3750" i="2"/>
  <c r="H3656" i="2"/>
  <c r="F3706" i="2"/>
  <c r="A3806" i="2"/>
  <c r="D3706" i="2"/>
  <c r="A3681" i="2"/>
  <c r="I3681" i="2"/>
  <c r="C3656" i="2"/>
  <c r="F3883" i="2"/>
  <c r="G3806" i="2"/>
  <c r="H3757" i="2"/>
  <c r="A3750" i="2"/>
  <c r="C3883" i="2"/>
  <c r="G3681" i="2"/>
  <c r="A3757" i="2"/>
  <c r="I3656" i="2"/>
  <c r="H3806" i="2"/>
  <c r="D3681" i="2"/>
  <c r="A3917" i="2"/>
  <c r="H3873" i="2"/>
  <c r="G3656" i="2"/>
  <c r="A3912" i="2"/>
  <c r="C3873" i="2"/>
  <c r="D3873" i="2"/>
  <c r="H3917" i="2"/>
  <c r="G3917" i="2"/>
  <c r="I3750" i="2"/>
  <c r="I3883" i="2"/>
  <c r="F3806" i="2"/>
  <c r="A3873" i="2"/>
  <c r="F3681" i="2"/>
  <c r="G3912" i="2"/>
  <c r="D3656" i="2"/>
  <c r="I3806" i="2"/>
  <c r="C3706" i="2"/>
  <c r="H3750" i="2"/>
  <c r="G3883" i="2"/>
  <c r="F3757" i="2"/>
  <c r="C3757" i="2"/>
  <c r="G3873" i="2"/>
  <c r="C3917" i="2"/>
  <c r="I3873" i="2"/>
  <c r="I3917" i="2"/>
  <c r="C3869" i="2"/>
  <c r="A3869" i="2"/>
  <c r="B3869" i="2"/>
  <c r="G3869" i="2"/>
  <c r="F3869" i="2"/>
  <c r="F3956" i="2"/>
  <c r="A3956" i="2"/>
  <c r="D3956" i="2"/>
  <c r="G3956" i="2"/>
  <c r="B3777" i="2"/>
  <c r="F3894" i="2"/>
  <c r="B3894" i="2"/>
  <c r="F3777" i="2"/>
  <c r="B3790" i="2"/>
  <c r="B3807" i="2"/>
  <c r="G3799" i="2"/>
  <c r="F3781" i="2"/>
  <c r="D3926" i="2"/>
  <c r="C3769" i="2"/>
  <c r="C3790" i="2"/>
  <c r="D3781" i="2"/>
  <c r="I3777" i="2"/>
  <c r="I3769" i="2"/>
  <c r="I3799" i="2"/>
  <c r="H3777" i="2"/>
  <c r="H3803" i="2"/>
  <c r="D3807" i="2"/>
  <c r="G3794" i="2"/>
  <c r="F3926" i="2"/>
  <c r="H3790" i="2"/>
  <c r="B3769" i="2"/>
  <c r="H3926" i="2"/>
  <c r="D3794" i="2"/>
  <c r="F3807" i="2"/>
  <c r="C3926" i="2"/>
  <c r="D3803" i="2"/>
  <c r="D3790" i="2"/>
  <c r="A3777" i="2"/>
  <c r="A3803" i="2"/>
  <c r="H3799" i="2"/>
  <c r="I3794" i="2"/>
  <c r="A3769" i="2"/>
  <c r="D3777" i="2"/>
  <c r="I3894" i="2"/>
  <c r="C3894" i="2"/>
  <c r="C3803" i="2"/>
  <c r="H3894" i="2"/>
  <c r="D3769" i="2"/>
  <c r="G3769" i="2"/>
  <c r="C3781" i="2"/>
  <c r="G3894" i="2"/>
  <c r="I3807" i="2"/>
  <c r="B3803" i="2"/>
  <c r="I3781" i="2"/>
  <c r="H3807" i="2"/>
  <c r="C3794" i="2"/>
  <c r="A3799" i="2"/>
  <c r="I3926" i="2"/>
  <c r="B3781" i="2"/>
  <c r="H3769" i="2"/>
  <c r="H3781" i="2"/>
  <c r="A3894" i="2"/>
  <c r="F3790" i="2"/>
  <c r="C3807" i="2"/>
  <c r="A3794" i="2"/>
  <c r="I3803" i="2"/>
  <c r="H3794" i="2"/>
  <c r="A3807" i="2"/>
  <c r="A3926" i="2"/>
  <c r="F3803" i="2"/>
  <c r="D3894" i="2"/>
  <c r="G3926" i="2"/>
  <c r="I3790" i="2"/>
  <c r="A3781" i="2"/>
  <c r="C3799" i="2"/>
  <c r="C3777" i="2"/>
  <c r="F3769" i="2"/>
  <c r="G3777" i="2"/>
  <c r="G3790" i="2"/>
  <c r="G3781" i="2"/>
  <c r="B3794" i="2"/>
  <c r="D3799" i="2"/>
  <c r="B3926" i="2"/>
  <c r="G3803" i="2"/>
  <c r="G3807" i="2"/>
  <c r="F3794" i="2"/>
  <c r="F3799" i="2"/>
  <c r="A3790" i="2"/>
  <c r="B3799" i="2"/>
  <c r="B3915" i="2"/>
  <c r="I3915" i="2"/>
  <c r="A3915" i="2"/>
  <c r="D3864" i="2"/>
  <c r="C3864" i="2"/>
  <c r="A3864" i="2"/>
  <c r="I3864" i="2"/>
  <c r="A3885" i="2"/>
  <c r="D3885" i="2"/>
  <c r="B3885" i="2"/>
  <c r="D3914" i="2"/>
  <c r="A3914" i="2"/>
  <c r="F3885" i="2"/>
  <c r="B3914" i="2"/>
  <c r="H3914" i="2"/>
  <c r="H3885" i="2"/>
  <c r="F3914" i="2"/>
  <c r="B3988" i="2"/>
  <c r="G3988" i="2"/>
  <c r="A3988" i="2"/>
  <c r="H3739" i="2"/>
  <c r="B3739" i="2"/>
  <c r="F3670" i="2"/>
  <c r="C3820" i="2"/>
  <c r="B3765" i="2"/>
  <c r="F3845" i="2"/>
  <c r="H3765" i="2"/>
  <c r="G3765" i="2"/>
  <c r="I3789" i="2"/>
  <c r="C3695" i="2"/>
  <c r="G3866" i="2"/>
  <c r="I3670" i="2"/>
  <c r="F3739" i="2"/>
  <c r="I3866" i="2"/>
  <c r="G3670" i="2"/>
  <c r="D3695" i="2"/>
  <c r="I3695" i="2"/>
  <c r="H3789" i="2"/>
  <c r="H3695" i="2"/>
  <c r="F3765" i="2"/>
  <c r="F3820" i="2"/>
  <c r="F3789" i="2"/>
  <c r="G3845" i="2"/>
  <c r="B3820" i="2"/>
  <c r="B3789" i="2"/>
  <c r="I3765" i="2"/>
  <c r="I3845" i="2"/>
  <c r="H3866" i="2"/>
  <c r="D3789" i="2"/>
  <c r="B3845" i="2"/>
  <c r="C3866" i="2"/>
  <c r="D3866" i="2"/>
  <c r="G3695" i="2"/>
  <c r="D3739" i="2"/>
  <c r="G3789" i="2"/>
  <c r="C3845" i="2"/>
  <c r="C3789" i="2"/>
  <c r="H3670" i="2"/>
  <c r="H3820" i="2"/>
  <c r="C3739" i="2"/>
  <c r="C3765" i="2"/>
  <c r="D3845" i="2"/>
  <c r="G3820" i="2"/>
  <c r="C3670" i="2"/>
  <c r="B3866" i="2"/>
  <c r="B3670" i="2"/>
  <c r="I3739" i="2"/>
  <c r="I3820" i="2"/>
  <c r="F3695" i="2"/>
  <c r="B3695" i="2"/>
  <c r="D3820" i="2"/>
  <c r="F3866" i="2"/>
  <c r="G3739" i="2"/>
  <c r="H3845" i="2"/>
  <c r="D3670" i="2"/>
  <c r="D3765" i="2"/>
  <c r="H3859" i="2"/>
  <c r="G3859" i="2"/>
  <c r="B3859" i="2"/>
  <c r="A3859" i="2"/>
  <c r="I3859" i="2"/>
  <c r="A3821" i="2"/>
  <c r="A3831" i="2"/>
  <c r="F3856" i="2"/>
  <c r="D3841" i="2"/>
  <c r="G3867" i="2"/>
  <c r="A3841" i="2"/>
  <c r="G3856" i="2"/>
  <c r="H3821" i="2"/>
  <c r="G3831" i="2"/>
  <c r="G3931" i="2"/>
  <c r="B3736" i="2"/>
  <c r="F3831" i="2"/>
  <c r="C3684" i="2"/>
  <c r="C3831" i="2"/>
  <c r="B3825" i="2"/>
  <c r="B3867" i="2"/>
  <c r="H3684" i="2"/>
  <c r="H3856" i="2"/>
  <c r="B3931" i="2"/>
  <c r="F3931" i="2"/>
  <c r="I3856" i="2"/>
  <c r="B3811" i="2"/>
  <c r="D3831" i="2"/>
  <c r="C3931" i="2"/>
  <c r="I3825" i="2"/>
  <c r="C3867" i="2"/>
  <c r="C3736" i="2"/>
  <c r="A3931" i="2"/>
  <c r="B3856" i="2"/>
  <c r="D3867" i="2"/>
  <c r="I3811" i="2"/>
  <c r="I3684" i="2"/>
  <c r="H3811" i="2"/>
  <c r="H3825" i="2"/>
  <c r="I3831" i="2"/>
  <c r="A3825" i="2"/>
  <c r="I3841" i="2"/>
  <c r="C3821" i="2"/>
  <c r="A3867" i="2"/>
  <c r="A3684" i="2"/>
  <c r="B3841" i="2"/>
  <c r="I3821" i="2"/>
  <c r="D3821" i="2"/>
  <c r="D3811" i="2"/>
  <c r="F3825" i="2"/>
  <c r="D3736" i="2"/>
  <c r="C3811" i="2"/>
  <c r="I3931" i="2"/>
  <c r="A3811" i="2"/>
  <c r="A3736" i="2"/>
  <c r="F3736" i="2"/>
  <c r="C3841" i="2"/>
  <c r="C3825" i="2"/>
  <c r="I3736" i="2"/>
  <c r="I3867" i="2"/>
  <c r="G3684" i="2"/>
  <c r="G3841" i="2"/>
  <c r="B3821" i="2"/>
  <c r="G3811" i="2"/>
  <c r="G3736" i="2"/>
  <c r="B3831" i="2"/>
  <c r="D3931" i="2"/>
  <c r="H3841" i="2"/>
  <c r="B3684" i="2"/>
  <c r="G3821" i="2"/>
  <c r="F3684" i="2"/>
  <c r="D3825" i="2"/>
  <c r="F3811" i="2"/>
  <c r="H3867" i="2"/>
  <c r="D3684" i="2"/>
  <c r="H3736" i="2"/>
  <c r="H3831" i="2"/>
  <c r="C3856" i="2"/>
  <c r="A3856" i="2"/>
  <c r="H3931" i="2"/>
  <c r="G3825" i="2"/>
  <c r="F3867" i="2"/>
  <c r="F3821" i="2"/>
  <c r="D3856" i="2"/>
  <c r="F3841" i="2"/>
  <c r="G3621" i="2"/>
  <c r="A3621" i="2"/>
  <c r="H3621" i="2"/>
  <c r="B3603" i="2"/>
  <c r="F3603" i="2"/>
  <c r="H3603" i="2"/>
  <c r="G3603" i="2"/>
  <c r="C3651" i="2"/>
  <c r="H3651" i="2"/>
  <c r="A3651" i="2"/>
  <c r="B3651" i="2"/>
  <c r="F3651" i="2"/>
  <c r="B3726" i="2"/>
  <c r="G3726" i="2"/>
  <c r="I3726" i="2"/>
  <c r="C3726" i="2"/>
  <c r="H3726" i="2"/>
  <c r="F3726" i="2"/>
  <c r="A3726" i="2"/>
  <c r="G3582" i="2"/>
  <c r="F3805" i="2"/>
  <c r="F3582" i="2"/>
  <c r="G3805" i="2"/>
  <c r="G3860" i="2"/>
  <c r="I3839" i="2"/>
  <c r="C3860" i="2"/>
  <c r="I3860" i="2"/>
  <c r="G3839" i="2"/>
  <c r="C3839" i="2"/>
  <c r="B3999" i="2"/>
  <c r="F3999" i="2"/>
  <c r="A3999" i="2"/>
  <c r="H3999" i="2"/>
  <c r="G3836" i="2"/>
  <c r="C3754" i="2"/>
  <c r="A3782" i="2"/>
  <c r="D3782" i="2"/>
  <c r="B3754" i="2"/>
  <c r="C3709" i="2"/>
  <c r="G3857" i="2"/>
  <c r="B3857" i="2"/>
  <c r="D3836" i="2"/>
  <c r="H3782" i="2"/>
  <c r="A3836" i="2"/>
  <c r="F3836" i="2"/>
  <c r="A3812" i="2"/>
  <c r="G3782" i="2"/>
  <c r="I3709" i="2"/>
  <c r="F3743" i="2"/>
  <c r="I3743" i="2"/>
  <c r="F3852" i="2"/>
  <c r="D3743" i="2"/>
  <c r="F3857" i="2"/>
  <c r="A3709" i="2"/>
  <c r="I3836" i="2"/>
  <c r="B3852" i="2"/>
  <c r="B3758" i="2"/>
  <c r="C3758" i="2"/>
  <c r="H3754" i="2"/>
  <c r="G3899" i="2"/>
  <c r="G3709" i="2"/>
  <c r="B3709" i="2"/>
  <c r="I3852" i="2"/>
  <c r="I3857" i="2"/>
  <c r="F3709" i="2"/>
  <c r="H3852" i="2"/>
  <c r="A3899" i="2"/>
  <c r="D3812" i="2"/>
  <c r="B3836" i="2"/>
  <c r="G3812" i="2"/>
  <c r="F3899" i="2"/>
  <c r="A3758" i="2"/>
  <c r="C3852" i="2"/>
  <c r="I3782" i="2"/>
  <c r="B3743" i="2"/>
  <c r="G3743" i="2"/>
  <c r="H3836" i="2"/>
  <c r="F3754" i="2"/>
  <c r="B3899" i="2"/>
  <c r="H3812" i="2"/>
  <c r="C3899" i="2"/>
  <c r="F3782" i="2"/>
  <c r="C3743" i="2"/>
  <c r="A3743" i="2"/>
  <c r="B3812" i="2"/>
  <c r="D3857" i="2"/>
  <c r="I3899" i="2"/>
  <c r="A3857" i="2"/>
  <c r="D3709" i="2"/>
  <c r="D3758" i="2"/>
  <c r="D3754" i="2"/>
  <c r="C3782" i="2"/>
  <c r="D3852" i="2"/>
  <c r="A3852" i="2"/>
  <c r="G3754" i="2"/>
  <c r="G3758" i="2"/>
  <c r="C3812" i="2"/>
  <c r="F3812" i="2"/>
  <c r="H3758" i="2"/>
  <c r="I3758" i="2"/>
  <c r="C3857" i="2"/>
  <c r="C3836" i="2"/>
  <c r="D3899" i="2"/>
  <c r="G3852" i="2"/>
  <c r="I3812" i="2"/>
  <c r="H3709" i="2"/>
  <c r="H3899" i="2"/>
  <c r="A3754" i="2"/>
  <c r="F3758" i="2"/>
  <c r="I3754" i="2"/>
  <c r="H3743" i="2"/>
  <c r="H3857" i="2"/>
  <c r="B3782" i="2"/>
  <c r="I3872" i="2"/>
  <c r="A3846" i="2"/>
  <c r="H3846" i="2"/>
  <c r="A3835" i="2"/>
  <c r="H3884" i="2"/>
  <c r="F3911" i="2"/>
  <c r="G3798" i="2"/>
  <c r="F3840" i="2"/>
  <c r="C3889" i="2"/>
  <c r="H3872" i="2"/>
  <c r="D3884" i="2"/>
  <c r="H3798" i="2"/>
  <c r="I3846" i="2"/>
  <c r="G3840" i="2"/>
  <c r="I3835" i="2"/>
  <c r="F3846" i="2"/>
  <c r="B3761" i="2"/>
  <c r="H3911" i="2"/>
  <c r="C3798" i="2"/>
  <c r="I3798" i="2"/>
  <c r="C3911" i="2"/>
  <c r="D3889" i="2"/>
  <c r="C3830" i="2"/>
  <c r="B3911" i="2"/>
  <c r="G3911" i="2"/>
  <c r="C3846" i="2"/>
  <c r="H3835" i="2"/>
  <c r="G3835" i="2"/>
  <c r="C3884" i="2"/>
  <c r="B3830" i="2"/>
  <c r="C3835" i="2"/>
  <c r="G3889" i="2"/>
  <c r="F3872" i="2"/>
  <c r="I3761" i="2"/>
  <c r="I3830" i="2"/>
  <c r="D3872" i="2"/>
  <c r="H3830" i="2"/>
  <c r="F3889" i="2"/>
  <c r="I3911" i="2"/>
  <c r="A3889" i="2"/>
  <c r="A3884" i="2"/>
  <c r="I3889" i="2"/>
  <c r="A3872" i="2"/>
  <c r="F3884" i="2"/>
  <c r="F3761" i="2"/>
  <c r="F3830" i="2"/>
  <c r="D3835" i="2"/>
  <c r="B3798" i="2"/>
  <c r="B3889" i="2"/>
  <c r="C3840" i="2"/>
  <c r="G3761" i="2"/>
  <c r="D3840" i="2"/>
  <c r="D3761" i="2"/>
  <c r="A3911" i="2"/>
  <c r="C3872" i="2"/>
  <c r="D3846" i="2"/>
  <c r="B3840" i="2"/>
  <c r="C3761" i="2"/>
  <c r="G3830" i="2"/>
  <c r="B3835" i="2"/>
  <c r="I3840" i="2"/>
  <c r="B3884" i="2"/>
  <c r="D3798" i="2"/>
  <c r="B3872" i="2"/>
  <c r="I3884" i="2"/>
  <c r="H3761" i="2"/>
  <c r="A3830" i="2"/>
  <c r="B3846" i="2"/>
  <c r="H3840" i="2"/>
  <c r="F3798" i="2"/>
  <c r="G3884" i="2"/>
  <c r="D3911" i="2"/>
  <c r="A3761" i="2"/>
  <c r="D3830" i="2"/>
  <c r="F3835" i="2"/>
  <c r="H3889" i="2"/>
  <c r="G3872" i="2"/>
  <c r="G3846" i="2"/>
  <c r="A3798" i="2"/>
  <c r="A3840" i="2"/>
  <c r="A3611" i="2"/>
  <c r="F3611" i="2"/>
  <c r="B3611" i="2"/>
  <c r="G3611" i="2"/>
  <c r="F3638" i="2"/>
  <c r="B3638" i="2"/>
  <c r="C3861" i="2"/>
  <c r="H3901" i="2"/>
  <c r="A3802" i="2"/>
  <c r="B3861" i="2"/>
  <c r="C3816" i="2"/>
  <c r="C3851" i="2"/>
  <c r="D3861" i="2"/>
  <c r="H3786" i="2"/>
  <c r="G3861" i="2"/>
  <c r="B3786" i="2"/>
  <c r="B3773" i="2"/>
  <c r="B3851" i="2"/>
  <c r="F3786" i="2"/>
  <c r="B3762" i="2"/>
  <c r="D3816" i="2"/>
  <c r="F3762" i="2"/>
  <c r="A3816" i="2"/>
  <c r="D3773" i="2"/>
  <c r="G3773" i="2"/>
  <c r="G3802" i="2"/>
  <c r="H3762" i="2"/>
  <c r="A3901" i="2"/>
  <c r="C3786" i="2"/>
  <c r="F3773" i="2"/>
  <c r="B3906" i="2"/>
  <c r="F3802" i="2"/>
  <c r="C3901" i="2"/>
  <c r="C3906" i="2"/>
  <c r="D3877" i="2"/>
  <c r="C3877" i="2"/>
  <c r="H3802" i="2"/>
  <c r="G3851" i="2"/>
  <c r="G3901" i="2"/>
  <c r="C3802" i="2"/>
  <c r="A3877" i="2"/>
  <c r="H3906" i="2"/>
  <c r="F3816" i="2"/>
  <c r="D3802" i="2"/>
  <c r="A3762" i="2"/>
  <c r="G3762" i="2"/>
  <c r="F3901" i="2"/>
  <c r="B3816" i="2"/>
  <c r="B3877" i="2"/>
  <c r="D3851" i="2"/>
  <c r="H3861" i="2"/>
  <c r="A3906" i="2"/>
  <c r="D3786" i="2"/>
  <c r="I3877" i="2"/>
  <c r="F3877" i="2"/>
  <c r="G3816" i="2"/>
  <c r="G3786" i="2"/>
  <c r="B3901" i="2"/>
  <c r="F3861" i="2"/>
  <c r="H3851" i="2"/>
  <c r="F3851" i="2"/>
  <c r="F3906" i="2"/>
  <c r="D3901" i="2"/>
  <c r="C3773" i="2"/>
  <c r="D3906" i="2"/>
  <c r="I3802" i="2"/>
  <c r="G3877" i="2"/>
  <c r="H3816" i="2"/>
  <c r="A3773" i="2"/>
  <c r="I3861" i="2"/>
  <c r="I3906" i="2"/>
  <c r="I3773" i="2"/>
  <c r="C3762" i="2"/>
  <c r="H3773" i="2"/>
  <c r="A3786" i="2"/>
  <c r="D3762" i="2"/>
  <c r="A3851" i="2"/>
  <c r="I3816" i="2"/>
  <c r="I3901" i="2"/>
  <c r="I3851" i="2"/>
  <c r="A3861" i="2"/>
  <c r="H3877" i="2"/>
  <c r="I3786" i="2"/>
  <c r="G3906" i="2"/>
  <c r="I3762" i="2"/>
  <c r="B3802" i="2"/>
  <c r="G3958" i="2"/>
  <c r="C3958" i="2"/>
  <c r="A3958" i="2"/>
  <c r="C3892" i="2"/>
  <c r="F3892" i="2"/>
  <c r="C3943" i="2"/>
  <c r="D4025" i="2"/>
  <c r="I3892" i="2"/>
  <c r="C3833" i="2"/>
  <c r="D3833" i="2"/>
  <c r="F4025" i="2"/>
  <c r="I4025" i="2"/>
  <c r="I3943" i="2"/>
  <c r="F3833" i="2"/>
  <c r="D3892" i="2"/>
  <c r="F3943" i="2"/>
  <c r="C4025" i="2"/>
  <c r="I3833" i="2"/>
  <c r="D3943" i="2"/>
  <c r="I3983" i="2"/>
  <c r="I4005" i="2"/>
  <c r="D3616" i="2"/>
  <c r="H3908" i="2"/>
  <c r="F3616" i="2"/>
  <c r="D4005" i="2"/>
  <c r="D3983" i="2"/>
  <c r="A3616" i="2"/>
  <c r="I3908" i="2"/>
  <c r="H3983" i="2"/>
  <c r="A4005" i="2"/>
  <c r="I3616" i="2"/>
  <c r="A3983" i="2"/>
  <c r="F3983" i="2"/>
  <c r="F4005" i="2"/>
  <c r="F3908" i="2"/>
  <c r="D3908" i="2"/>
  <c r="H3616" i="2"/>
  <c r="A3908" i="2"/>
  <c r="H4005" i="2"/>
  <c r="I3847" i="2"/>
  <c r="G3879" i="2"/>
  <c r="C3879" i="2"/>
  <c r="I3879" i="2"/>
  <c r="G3847" i="2"/>
  <c r="B3879" i="2"/>
  <c r="C3778" i="2"/>
  <c r="D3659" i="2"/>
  <c r="F3659" i="2"/>
  <c r="A3847" i="2"/>
  <c r="B3826" i="2"/>
  <c r="I3659" i="2"/>
  <c r="D3826" i="2"/>
  <c r="B3868" i="2"/>
  <c r="C3868" i="2"/>
  <c r="F3778" i="2"/>
  <c r="G3868" i="2"/>
  <c r="A3778" i="2"/>
  <c r="F3847" i="2"/>
  <c r="F3826" i="2"/>
  <c r="G3659" i="2"/>
  <c r="G3826" i="2"/>
  <c r="C3826" i="2"/>
  <c r="C3847" i="2"/>
  <c r="I3868" i="2"/>
  <c r="A3826" i="2"/>
  <c r="B3659" i="2"/>
  <c r="A3879" i="2"/>
  <c r="D3847" i="2"/>
  <c r="A3659" i="2"/>
  <c r="D3778" i="2"/>
  <c r="A3868" i="2"/>
  <c r="D3868" i="2"/>
  <c r="F3868" i="2"/>
  <c r="I3826" i="2"/>
  <c r="B3778" i="2"/>
  <c r="D3879" i="2"/>
  <c r="I3778" i="2"/>
  <c r="G3778" i="2"/>
  <c r="B3847" i="2"/>
  <c r="C3659" i="2"/>
  <c r="F3879" i="2"/>
  <c r="I3930" i="2"/>
  <c r="F3930" i="2"/>
  <c r="B3930" i="2"/>
  <c r="I3966" i="2"/>
  <c r="F3966" i="2"/>
  <c r="B3966" i="2"/>
  <c r="G3903" i="2"/>
  <c r="G3650" i="2"/>
  <c r="H3642" i="2"/>
  <c r="I3903" i="2"/>
  <c r="G3642" i="2"/>
  <c r="I3642" i="2"/>
  <c r="H4001" i="2"/>
  <c r="G4001" i="2"/>
  <c r="H3650" i="2"/>
  <c r="I3650" i="2"/>
  <c r="I4001" i="2"/>
  <c r="H3903" i="2"/>
  <c r="F3578" i="2"/>
  <c r="F3628" i="2"/>
  <c r="F3583" i="2"/>
  <c r="F3618" i="2"/>
  <c r="F3688" i="2"/>
  <c r="F3568" i="2"/>
  <c r="F3588" i="2"/>
  <c r="F3993" i="2"/>
  <c r="F3573" i="2"/>
  <c r="F4083" i="2"/>
  <c r="D3954" i="2"/>
  <c r="A3922" i="2"/>
  <c r="F4048" i="2"/>
  <c r="F3922" i="2"/>
  <c r="I3954" i="2"/>
  <c r="I4048" i="2"/>
  <c r="F3954" i="2"/>
  <c r="A4048" i="2"/>
  <c r="A3954" i="2"/>
  <c r="I3922" i="2"/>
  <c r="D4048" i="2"/>
  <c r="D3922" i="2"/>
  <c r="I4045" i="2"/>
  <c r="H3700" i="2"/>
  <c r="D4045" i="2"/>
  <c r="I4011" i="2"/>
  <c r="I3700" i="2"/>
  <c r="D3675" i="2"/>
  <c r="I3893" i="2"/>
  <c r="D3700" i="2"/>
  <c r="H3675" i="2"/>
  <c r="G3700" i="2"/>
  <c r="H4011" i="2"/>
  <c r="D4011" i="2"/>
  <c r="G3893" i="2"/>
  <c r="G3675" i="2"/>
  <c r="H4045" i="2"/>
  <c r="I3675" i="2"/>
  <c r="H3893" i="2"/>
  <c r="G4011" i="2"/>
  <c r="G4045" i="2"/>
  <c r="D3893" i="2"/>
  <c r="F3608" i="2"/>
  <c r="I3608" i="2"/>
  <c r="F4058" i="2"/>
  <c r="F4038" i="2"/>
  <c r="I4038" i="2"/>
  <c r="I4058" i="2"/>
  <c r="D4058" i="2"/>
  <c r="D3608" i="2"/>
  <c r="D4038" i="2"/>
  <c r="I3597" i="2"/>
  <c r="I4050" i="2"/>
  <c r="I3680" i="2"/>
  <c r="I3705" i="2"/>
  <c r="I3722" i="2"/>
  <c r="I4134" i="2"/>
  <c r="I4068" i="2"/>
  <c r="I3647" i="2"/>
  <c r="I3655" i="2"/>
  <c r="I3579" i="2"/>
  <c r="I3745" i="2"/>
  <c r="F3780" i="2"/>
  <c r="I3600" i="2"/>
  <c r="I3780" i="2"/>
  <c r="F3745" i="2"/>
  <c r="F4065" i="2"/>
  <c r="F3600" i="2"/>
  <c r="I4065" i="2"/>
  <c r="I3920" i="2"/>
  <c r="F3920" i="2"/>
  <c r="C3920" i="2"/>
  <c r="A3920" i="2"/>
  <c r="B3920" i="2"/>
  <c r="F3854" i="2"/>
  <c r="G3985" i="2"/>
  <c r="D3854" i="2"/>
  <c r="F3985" i="2"/>
  <c r="D3985" i="2"/>
  <c r="G3854" i="2"/>
  <c r="H3863" i="2"/>
  <c r="D3863" i="2"/>
  <c r="I3842" i="2"/>
  <c r="A3842" i="2"/>
  <c r="H3842" i="2"/>
  <c r="B3896" i="2"/>
  <c r="I3863" i="2"/>
  <c r="D3842" i="2"/>
  <c r="C3842" i="2"/>
  <c r="A3896" i="2"/>
  <c r="B3863" i="2"/>
  <c r="H3896" i="2"/>
  <c r="B3842" i="2"/>
  <c r="D3896" i="2"/>
  <c r="G3896" i="2"/>
  <c r="C3863" i="2"/>
  <c r="I3896" i="2"/>
  <c r="A3863" i="2"/>
  <c r="C3896" i="2"/>
  <c r="G3863" i="2"/>
  <c r="G3842" i="2"/>
  <c r="I4055" i="2"/>
  <c r="H3941" i="2"/>
  <c r="H3689" i="2"/>
  <c r="G3689" i="2"/>
  <c r="H3664" i="2"/>
  <c r="D3941" i="2"/>
  <c r="H4055" i="2"/>
  <c r="D3664" i="2"/>
  <c r="I3970" i="2"/>
  <c r="G3664" i="2"/>
  <c r="I3941" i="2"/>
  <c r="I3714" i="2"/>
  <c r="C3689" i="2"/>
  <c r="G3970" i="2"/>
  <c r="D3689" i="2"/>
  <c r="H3970" i="2"/>
  <c r="C4055" i="2"/>
  <c r="I3689" i="2"/>
  <c r="H3714" i="2"/>
  <c r="D4055" i="2"/>
  <c r="G4055" i="2"/>
  <c r="D3714" i="2"/>
  <c r="G3941" i="2"/>
  <c r="C3664" i="2"/>
  <c r="C3714" i="2"/>
  <c r="D3970" i="2"/>
  <c r="C3941" i="2"/>
  <c r="I3664" i="2"/>
  <c r="G3714" i="2"/>
  <c r="C3970" i="2"/>
  <c r="F4002" i="2"/>
  <c r="F3810" i="2"/>
  <c r="I3810" i="2"/>
  <c r="G3810" i="2"/>
  <c r="G4002" i="2"/>
  <c r="I4002" i="2"/>
  <c r="F3760" i="2"/>
  <c r="F4298" i="2"/>
  <c r="F3775" i="2"/>
  <c r="F3633" i="2"/>
  <c r="F4145" i="2"/>
  <c r="F3663" i="2"/>
  <c r="F3725" i="2"/>
  <c r="F4013" i="2"/>
  <c r="F3800" i="2"/>
  <c r="F3713" i="2"/>
  <c r="H3897" i="2"/>
  <c r="H3843" i="2"/>
  <c r="I3897" i="2"/>
  <c r="B3897" i="2"/>
  <c r="B3843" i="2"/>
  <c r="C3897" i="2"/>
  <c r="C3843" i="2"/>
  <c r="I3843" i="2"/>
  <c r="I3729" i="2"/>
  <c r="C3729" i="2"/>
  <c r="B3729" i="2"/>
  <c r="H3853" i="2"/>
  <c r="B3853" i="2"/>
  <c r="H3729" i="2"/>
  <c r="C3853" i="2"/>
  <c r="D3729" i="2"/>
  <c r="D3853" i="2"/>
  <c r="G3853" i="2"/>
  <c r="I3853" i="2"/>
  <c r="G3729" i="2"/>
  <c r="I4061" i="2"/>
  <c r="I3556" i="2"/>
  <c r="I3587" i="2"/>
  <c r="H4103" i="2"/>
  <c r="H3566" i="2"/>
  <c r="I3982" i="2"/>
  <c r="H3587" i="2"/>
  <c r="H4061" i="2"/>
  <c r="I3634" i="2"/>
  <c r="H3634" i="2"/>
  <c r="H3561" i="2"/>
  <c r="I4103" i="2"/>
  <c r="H3982" i="2"/>
  <c r="I3566" i="2"/>
  <c r="H3556" i="2"/>
  <c r="I3561" i="2"/>
  <c r="H4210" i="2"/>
  <c r="G3574" i="2"/>
  <c r="G4051" i="2"/>
  <c r="G4252" i="2"/>
  <c r="H3961" i="2"/>
  <c r="H3948" i="2"/>
  <c r="H4007" i="2"/>
  <c r="H4279" i="2"/>
  <c r="H4252" i="2"/>
  <c r="G4210" i="2"/>
  <c r="H3574" i="2"/>
  <c r="G3961" i="2"/>
  <c r="G4007" i="2"/>
  <c r="G4279" i="2"/>
  <c r="H4051" i="2"/>
  <c r="G3948" i="2"/>
  <c r="I4028" i="2"/>
  <c r="B4028" i="2"/>
  <c r="C4028" i="2"/>
  <c r="D4028" i="2"/>
  <c r="G4091" i="2"/>
  <c r="H3991" i="2"/>
  <c r="C4091" i="2"/>
  <c r="I4091" i="2"/>
  <c r="I3991" i="2"/>
  <c r="H3940" i="2"/>
  <c r="I3940" i="2"/>
  <c r="H4091" i="2"/>
  <c r="C3940" i="2"/>
  <c r="H4017" i="2"/>
  <c r="C4017" i="2"/>
  <c r="G4017" i="2"/>
  <c r="G3940" i="2"/>
  <c r="C3991" i="2"/>
  <c r="I4017" i="2"/>
  <c r="G3991" i="2"/>
  <c r="D3951" i="2"/>
  <c r="C3876" i="2"/>
  <c r="H3951" i="2"/>
  <c r="H3876" i="2"/>
  <c r="D3876" i="2"/>
  <c r="C3951" i="2"/>
  <c r="I4102" i="2"/>
  <c r="B3886" i="2"/>
  <c r="I3791" i="2"/>
  <c r="A3791" i="2"/>
  <c r="D3886" i="2"/>
  <c r="I3886" i="2"/>
  <c r="B3791" i="2"/>
  <c r="H3886" i="2"/>
  <c r="A3886" i="2"/>
  <c r="D3791" i="2"/>
  <c r="H3791" i="2"/>
  <c r="F3623" i="2"/>
  <c r="G3838" i="2"/>
  <c r="A3838" i="2"/>
  <c r="I3838" i="2"/>
  <c r="F3838" i="2"/>
  <c r="H3838" i="2"/>
  <c r="A3828" i="2"/>
  <c r="G3828" i="2"/>
  <c r="B3828" i="2"/>
  <c r="C3828" i="2"/>
  <c r="I3828" i="2"/>
  <c r="A3862" i="2"/>
  <c r="G3862" i="2"/>
  <c r="H3774" i="2"/>
  <c r="I3862" i="2"/>
  <c r="D3774" i="2"/>
  <c r="I3774" i="2"/>
  <c r="B3862" i="2"/>
  <c r="C3774" i="2"/>
  <c r="F3774" i="2"/>
  <c r="D3862" i="2"/>
  <c r="G3774" i="2"/>
  <c r="F3862" i="2"/>
  <c r="B3774" i="2"/>
  <c r="H3862" i="2"/>
  <c r="A3774" i="2"/>
  <c r="C3862" i="2"/>
  <c r="G3888" i="2"/>
  <c r="H3878" i="2"/>
  <c r="D3888" i="2"/>
  <c r="C3888" i="2"/>
  <c r="I3878" i="2"/>
  <c r="A3878" i="2"/>
  <c r="F3888" i="2"/>
  <c r="G3878" i="2"/>
  <c r="A3888" i="2"/>
  <c r="F3878" i="2"/>
  <c r="D3878" i="2"/>
  <c r="I3888" i="2"/>
  <c r="H3888" i="2"/>
  <c r="C3878" i="2"/>
  <c r="I3711" i="2"/>
  <c r="A3928" i="2"/>
  <c r="A4076" i="2"/>
  <c r="I4052" i="2"/>
  <c r="F3768" i="2"/>
  <c r="H3909" i="2"/>
  <c r="I4076" i="2"/>
  <c r="F3909" i="2"/>
  <c r="H3768" i="2"/>
  <c r="F4076" i="2"/>
  <c r="A3875" i="2"/>
  <c r="H3738" i="2"/>
  <c r="I3768" i="2"/>
  <c r="H3686" i="2"/>
  <c r="A3768" i="2"/>
  <c r="I3686" i="2"/>
  <c r="F4052" i="2"/>
  <c r="A3738" i="2"/>
  <c r="I3928" i="2"/>
  <c r="F3875" i="2"/>
  <c r="A3711" i="2"/>
  <c r="H3928" i="2"/>
  <c r="H3711" i="2"/>
  <c r="F3711" i="2"/>
  <c r="F3928" i="2"/>
  <c r="F3738" i="2"/>
  <c r="H4076" i="2"/>
  <c r="I3909" i="2"/>
  <c r="A3909" i="2"/>
  <c r="I3661" i="2"/>
  <c r="F3686" i="2"/>
  <c r="A3661" i="2"/>
  <c r="A4052" i="2"/>
  <c r="F3661" i="2"/>
  <c r="H3661" i="2"/>
  <c r="I3738" i="2"/>
  <c r="H4052" i="2"/>
  <c r="I3875" i="2"/>
  <c r="H3875" i="2"/>
  <c r="A3686" i="2"/>
  <c r="H4159" i="2"/>
  <c r="H4047" i="2"/>
  <c r="H4379" i="2"/>
  <c r="H3605" i="2"/>
  <c r="H4157" i="2"/>
  <c r="H4037" i="2"/>
  <c r="H4072" i="2"/>
  <c r="B3986" i="2"/>
  <c r="D3965" i="2"/>
  <c r="G3746" i="2"/>
  <c r="B3720" i="2"/>
  <c r="G3965" i="2"/>
  <c r="F3986" i="2"/>
  <c r="D3723" i="2"/>
  <c r="A3965" i="2"/>
  <c r="G3720" i="2"/>
  <c r="B3723" i="2"/>
  <c r="F3746" i="2"/>
  <c r="D3746" i="2"/>
  <c r="I3746" i="2"/>
  <c r="D3720" i="2"/>
  <c r="G3723" i="2"/>
  <c r="I3965" i="2"/>
  <c r="A3720" i="2"/>
  <c r="H3720" i="2"/>
  <c r="F3965" i="2"/>
  <c r="H3746" i="2"/>
  <c r="F3723" i="2"/>
  <c r="B3746" i="2"/>
  <c r="H3965" i="2"/>
  <c r="D3986" i="2"/>
  <c r="B3965" i="2"/>
  <c r="A3723" i="2"/>
  <c r="G3986" i="2"/>
  <c r="I3723" i="2"/>
  <c r="H3723" i="2"/>
  <c r="F3720" i="2"/>
  <c r="A3986" i="2"/>
  <c r="A3746" i="2"/>
  <c r="I3986" i="2"/>
  <c r="H3986" i="2"/>
  <c r="I3720" i="2"/>
  <c r="H3933" i="2"/>
  <c r="I3932" i="2"/>
  <c r="G3933" i="2"/>
  <c r="F3793" i="2"/>
  <c r="D3913" i="2"/>
  <c r="A3753" i="2"/>
  <c r="D4026" i="2"/>
  <c r="D3918" i="2"/>
  <c r="F4026" i="2"/>
  <c r="D3793" i="2"/>
  <c r="A3932" i="2"/>
  <c r="G3918" i="2"/>
  <c r="F3918" i="2"/>
  <c r="A3793" i="2"/>
  <c r="I3933" i="2"/>
  <c r="F3753" i="2"/>
  <c r="D3932" i="2"/>
  <c r="I3793" i="2"/>
  <c r="I3753" i="2"/>
  <c r="A3918" i="2"/>
  <c r="D3753" i="2"/>
  <c r="H3793" i="2"/>
  <c r="H3918" i="2"/>
  <c r="H4026" i="2"/>
  <c r="I3918" i="2"/>
  <c r="I3913" i="2"/>
  <c r="F3933" i="2"/>
  <c r="A3913" i="2"/>
  <c r="G3793" i="2"/>
  <c r="I4026" i="2"/>
  <c r="H3932" i="2"/>
  <c r="G3932" i="2"/>
  <c r="A3933" i="2"/>
  <c r="D3933" i="2"/>
  <c r="G4026" i="2"/>
  <c r="G3913" i="2"/>
  <c r="A4026" i="2"/>
  <c r="F3932" i="2"/>
  <c r="H3753" i="2"/>
  <c r="H3913" i="2"/>
  <c r="F3913" i="2"/>
  <c r="G3753" i="2"/>
  <c r="C3938" i="2"/>
  <c r="C4035" i="2"/>
  <c r="H3595" i="2"/>
  <c r="H4035" i="2"/>
  <c r="G4035" i="2"/>
  <c r="G3938" i="2"/>
  <c r="C3595" i="2"/>
  <c r="H3938" i="2"/>
  <c r="G3595" i="2"/>
  <c r="H3944" i="2"/>
  <c r="C3944" i="2"/>
  <c r="I3902" i="2"/>
  <c r="F3902" i="2"/>
  <c r="A3944" i="2"/>
  <c r="F3944" i="2"/>
  <c r="C3902" i="2"/>
  <c r="A3902" i="2"/>
  <c r="I3944" i="2"/>
  <c r="D3944" i="2"/>
  <c r="H3902" i="2"/>
  <c r="D3902" i="2"/>
  <c r="F3921" i="2"/>
  <c r="C3921" i="2"/>
  <c r="C3935" i="2"/>
  <c r="A3921" i="2"/>
  <c r="D3921" i="2"/>
  <c r="D3935" i="2"/>
  <c r="F3935" i="2"/>
  <c r="A3935" i="2"/>
  <c r="F3969" i="2"/>
  <c r="B3969" i="2"/>
  <c r="I3949" i="2"/>
  <c r="B3949" i="2"/>
  <c r="F3949" i="2"/>
  <c r="H3969" i="2"/>
  <c r="H3949" i="2"/>
  <c r="I3969" i="2"/>
  <c r="C3891" i="2"/>
  <c r="H3891" i="2"/>
  <c r="A3891" i="2"/>
  <c r="D3891" i="2"/>
  <c r="G3891" i="2"/>
  <c r="B3891" i="2"/>
  <c r="I3881" i="2"/>
  <c r="C3881" i="2"/>
  <c r="D3881" i="2"/>
  <c r="B3881" i="2"/>
  <c r="F3881" i="2"/>
  <c r="A3701" i="2"/>
  <c r="B3640" i="2"/>
  <c r="B3968" i="2"/>
  <c r="C3968" i="2"/>
  <c r="H3701" i="2"/>
  <c r="C3640" i="2"/>
  <c r="A3890" i="2"/>
  <c r="C3648" i="2"/>
  <c r="B3648" i="2"/>
  <c r="D3640" i="2"/>
  <c r="H3648" i="2"/>
  <c r="D4000" i="2"/>
  <c r="B4000" i="2"/>
  <c r="C3701" i="2"/>
  <c r="C3890" i="2"/>
  <c r="H3676" i="2"/>
  <c r="A3648" i="2"/>
  <c r="H4000" i="2"/>
  <c r="A3676" i="2"/>
  <c r="D3890" i="2"/>
  <c r="F3648" i="2"/>
  <c r="A4000" i="2"/>
  <c r="B3676" i="2"/>
  <c r="F4000" i="2"/>
  <c r="F3968" i="2"/>
  <c r="B3701" i="2"/>
  <c r="F3640" i="2"/>
  <c r="H3640" i="2"/>
  <c r="C3676" i="2"/>
  <c r="H3968" i="2"/>
  <c r="A3968" i="2"/>
  <c r="D3676" i="2"/>
  <c r="D3701" i="2"/>
  <c r="F3890" i="2"/>
  <c r="B3890" i="2"/>
  <c r="C4000" i="2"/>
  <c r="D3648" i="2"/>
  <c r="H3890" i="2"/>
  <c r="F3701" i="2"/>
  <c r="D3968" i="2"/>
  <c r="A3640" i="2"/>
  <c r="F3676" i="2"/>
  <c r="F4116" i="2"/>
  <c r="H4116" i="2"/>
  <c r="F4010" i="2"/>
  <c r="H4010" i="2"/>
  <c r="G4116" i="2"/>
  <c r="G4010" i="2"/>
  <c r="G4111" i="2"/>
  <c r="G4120" i="2"/>
  <c r="G4016" i="2"/>
  <c r="G4201" i="2"/>
  <c r="G3990" i="2"/>
  <c r="G4079" i="2"/>
  <c r="G4151" i="2"/>
  <c r="G4107" i="2"/>
  <c r="G4267" i="2"/>
  <c r="G3977" i="2"/>
  <c r="H3962" i="2"/>
  <c r="D3962" i="2"/>
  <c r="I3962" i="2"/>
  <c r="C3734" i="2"/>
  <c r="H4170" i="2"/>
  <c r="H3734" i="2"/>
  <c r="C4170" i="2"/>
  <c r="F3923" i="2"/>
  <c r="G3923" i="2"/>
  <c r="H3629" i="2"/>
  <c r="F4080" i="2"/>
  <c r="I3629" i="2"/>
  <c r="G4080" i="2"/>
  <c r="H3923" i="2"/>
  <c r="F3629" i="2"/>
  <c r="H4080" i="2"/>
  <c r="I4080" i="2"/>
  <c r="I3923" i="2"/>
  <c r="G3629" i="2"/>
  <c r="F3744" i="2"/>
  <c r="I3744" i="2"/>
  <c r="C3744" i="2"/>
  <c r="H4032" i="2"/>
  <c r="H3744" i="2"/>
  <c r="I4032" i="2"/>
  <c r="F3764" i="2"/>
  <c r="C4032" i="2"/>
  <c r="F4032" i="2"/>
  <c r="C3764" i="2"/>
  <c r="I3764" i="2"/>
  <c r="H3764" i="2"/>
  <c r="H4014" i="2"/>
  <c r="F4014" i="2"/>
  <c r="C4014" i="2"/>
  <c r="B4014" i="2"/>
  <c r="A3858" i="2"/>
  <c r="F3837" i="2"/>
  <c r="G3874" i="2"/>
  <c r="D3858" i="2"/>
  <c r="I3858" i="2"/>
  <c r="B3858" i="2"/>
  <c r="D3874" i="2"/>
  <c r="I3837" i="2"/>
  <c r="G3858" i="2"/>
  <c r="D4023" i="2"/>
  <c r="I4023" i="2"/>
  <c r="B3874" i="2"/>
  <c r="A4023" i="2"/>
  <c r="D3837" i="2"/>
  <c r="F4023" i="2"/>
  <c r="B3837" i="2"/>
  <c r="B4023" i="2"/>
  <c r="F3874" i="2"/>
  <c r="A3837" i="2"/>
  <c r="G4023" i="2"/>
  <c r="F3858" i="2"/>
  <c r="A3874" i="2"/>
  <c r="G3837" i="2"/>
  <c r="I3874" i="2"/>
  <c r="I4135" i="2"/>
  <c r="H3613" i="2"/>
  <c r="F4135" i="2"/>
  <c r="F3613" i="2"/>
  <c r="H4135" i="2"/>
  <c r="H4062" i="2"/>
  <c r="I3613" i="2"/>
  <c r="I4062" i="2"/>
  <c r="F4062" i="2"/>
  <c r="C3669" i="2"/>
  <c r="C3910" i="2"/>
  <c r="C3694" i="2"/>
  <c r="I3669" i="2"/>
  <c r="C4184" i="2"/>
  <c r="I4158" i="2"/>
  <c r="C4158" i="2"/>
  <c r="I3910" i="2"/>
  <c r="I3694" i="2"/>
  <c r="I4184" i="2"/>
  <c r="H4141" i="2"/>
  <c r="F4141" i="2"/>
  <c r="F3658" i="2"/>
  <c r="F4004" i="2"/>
  <c r="H3708" i="2"/>
  <c r="F3683" i="2"/>
  <c r="F3708" i="2"/>
  <c r="H3658" i="2"/>
  <c r="H4004" i="2"/>
  <c r="H3683" i="2"/>
  <c r="C4099" i="2"/>
  <c r="H4099" i="2"/>
  <c r="I4099" i="2"/>
  <c r="G4008" i="2"/>
  <c r="D4008" i="2"/>
  <c r="I4008" i="2"/>
  <c r="C4008" i="2"/>
  <c r="I3978" i="2"/>
  <c r="G3978" i="2"/>
  <c r="G4020" i="2"/>
  <c r="I4020" i="2"/>
  <c r="B4020" i="2"/>
  <c r="F4020" i="2"/>
  <c r="F3978" i="2"/>
  <c r="B3978" i="2"/>
  <c r="C3978" i="2"/>
  <c r="H3978" i="2"/>
  <c r="C4020" i="2"/>
  <c r="H4020" i="2"/>
  <c r="C3987" i="2"/>
  <c r="C4280" i="2"/>
  <c r="C4382" i="2"/>
  <c r="C3649" i="2"/>
  <c r="C4087" i="2"/>
  <c r="C3674" i="2"/>
  <c r="C3699" i="2"/>
  <c r="C3719" i="2"/>
  <c r="C4185" i="2"/>
  <c r="D3569" i="2"/>
  <c r="F4069" i="2"/>
  <c r="D4069" i="2"/>
  <c r="F3569" i="2"/>
  <c r="F3645" i="2"/>
  <c r="F3997" i="2"/>
  <c r="H3645" i="2"/>
  <c r="D3952" i="2"/>
  <c r="F3952" i="2"/>
  <c r="G3952" i="2"/>
  <c r="H3997" i="2"/>
  <c r="C3952" i="2"/>
  <c r="C3645" i="2"/>
  <c r="D3645" i="2"/>
  <c r="H3952" i="2"/>
  <c r="D3997" i="2"/>
  <c r="C3997" i="2"/>
  <c r="G3997" i="2"/>
  <c r="G3645" i="2"/>
  <c r="A4095" i="2"/>
  <c r="F4095" i="2"/>
  <c r="G4095" i="2"/>
  <c r="I4112" i="2"/>
  <c r="D4112" i="2"/>
  <c r="C4112" i="2"/>
  <c r="D3936" i="2"/>
  <c r="C3936" i="2"/>
  <c r="C3808" i="2"/>
  <c r="D3808" i="2"/>
  <c r="F3925" i="2"/>
  <c r="C3924" i="2"/>
  <c r="I3905" i="2"/>
  <c r="I3900" i="2"/>
  <c r="D3905" i="2"/>
  <c r="F3936" i="2"/>
  <c r="B3989" i="2"/>
  <c r="D3989" i="2"/>
  <c r="I3989" i="2"/>
  <c r="I3924" i="2"/>
  <c r="C3900" i="2"/>
  <c r="A3936" i="2"/>
  <c r="C3989" i="2"/>
  <c r="A3924" i="2"/>
  <c r="B3900" i="2"/>
  <c r="B3808" i="2"/>
  <c r="I3936" i="2"/>
  <c r="F3900" i="2"/>
  <c r="D3900" i="2"/>
  <c r="B3905" i="2"/>
  <c r="A3900" i="2"/>
  <c r="F3905" i="2"/>
  <c r="A3905" i="2"/>
  <c r="B3924" i="2"/>
  <c r="B3936" i="2"/>
  <c r="A3808" i="2"/>
  <c r="F3989" i="2"/>
  <c r="I3808" i="2"/>
  <c r="F3808" i="2"/>
  <c r="A3989" i="2"/>
  <c r="B3925" i="2"/>
  <c r="D3924" i="2"/>
  <c r="D3925" i="2"/>
  <c r="A3925" i="2"/>
  <c r="F3924" i="2"/>
  <c r="C3925" i="2"/>
  <c r="C3905" i="2"/>
  <c r="I3925" i="2"/>
  <c r="C3963" i="2"/>
  <c r="A3635" i="2"/>
  <c r="F3755" i="2"/>
  <c r="B3755" i="2"/>
  <c r="A3755" i="2"/>
  <c r="B3635" i="2"/>
  <c r="C3984" i="2"/>
  <c r="A3984" i="2"/>
  <c r="F3963" i="2"/>
  <c r="C3755" i="2"/>
  <c r="B3984" i="2"/>
  <c r="C3635" i="2"/>
  <c r="F3635" i="2"/>
  <c r="B3963" i="2"/>
  <c r="A3963" i="2"/>
  <c r="F3984" i="2"/>
  <c r="C3630" i="2"/>
  <c r="C4012" i="2"/>
  <c r="C3995" i="2"/>
  <c r="C3979" i="2"/>
  <c r="A3979" i="2"/>
  <c r="A3630" i="2"/>
  <c r="A4012" i="2"/>
  <c r="C3959" i="2"/>
  <c r="A3959" i="2"/>
  <c r="A3995" i="2"/>
  <c r="G3957" i="2"/>
  <c r="A3957" i="2"/>
  <c r="H3957" i="2"/>
  <c r="F3957" i="2"/>
  <c r="C3957" i="2"/>
  <c r="I3957" i="2"/>
  <c r="H4165" i="2"/>
  <c r="B4165" i="2"/>
  <c r="B4164" i="2"/>
  <c r="H4164" i="2"/>
  <c r="G3592" i="2"/>
  <c r="G4152" i="2"/>
  <c r="G4192" i="2"/>
  <c r="C4192" i="2"/>
  <c r="C4152" i="2"/>
  <c r="B3950" i="2"/>
  <c r="A3950" i="2"/>
  <c r="H3950" i="2"/>
  <c r="G4146" i="2"/>
  <c r="G4177" i="2"/>
  <c r="A4177" i="2"/>
  <c r="A4146" i="2"/>
  <c r="F3981" i="2"/>
  <c r="I3981" i="2"/>
  <c r="D3632" i="2"/>
  <c r="B3981" i="2"/>
  <c r="B3960" i="2"/>
  <c r="C3632" i="2"/>
  <c r="G3632" i="2"/>
  <c r="C3981" i="2"/>
  <c r="F3632" i="2"/>
  <c r="I3960" i="2"/>
  <c r="D3960" i="2"/>
  <c r="B3632" i="2"/>
  <c r="I3632" i="2"/>
  <c r="F3960" i="2"/>
  <c r="D3981" i="2"/>
  <c r="G3960" i="2"/>
  <c r="G3981" i="2"/>
  <c r="C3960" i="2"/>
  <c r="C3752" i="2"/>
  <c r="D3752" i="2"/>
  <c r="A4039" i="2"/>
  <c r="A3654" i="2"/>
  <c r="D3654" i="2"/>
  <c r="C3606" i="2"/>
  <c r="D4039" i="2"/>
  <c r="C4070" i="2"/>
  <c r="C4039" i="2"/>
  <c r="C3792" i="2"/>
  <c r="A3767" i="2"/>
  <c r="D4070" i="2"/>
  <c r="A3752" i="2"/>
  <c r="D3976" i="2"/>
  <c r="D3792" i="2"/>
  <c r="C3976" i="2"/>
  <c r="D3767" i="2"/>
  <c r="A3606" i="2"/>
  <c r="A3976" i="2"/>
  <c r="C3654" i="2"/>
  <c r="A4070" i="2"/>
  <c r="A3792" i="2"/>
  <c r="D3606" i="2"/>
  <c r="C3767" i="2"/>
  <c r="A3994" i="2"/>
  <c r="D3848" i="2"/>
  <c r="B3994" i="2"/>
  <c r="I3994" i="2"/>
  <c r="A3848" i="2"/>
  <c r="B3848" i="2"/>
  <c r="D3994" i="2"/>
  <c r="I3848" i="2"/>
  <c r="F3848" i="2"/>
  <c r="F3994" i="2"/>
  <c r="A4056" i="2"/>
  <c r="A3682" i="2"/>
  <c r="B4387" i="2"/>
  <c r="B4046" i="2"/>
  <c r="A4387" i="2"/>
  <c r="B3601" i="2"/>
  <c r="B4018" i="2"/>
  <c r="A3601" i="2"/>
  <c r="A4018" i="2"/>
  <c r="A3572" i="2"/>
  <c r="A4063" i="2"/>
  <c r="B4036" i="2"/>
  <c r="B3622" i="2"/>
  <c r="A4036" i="2"/>
  <c r="B3572" i="2"/>
  <c r="B4056" i="2"/>
  <c r="B4063" i="2"/>
  <c r="A4046" i="2"/>
  <c r="A3622" i="2"/>
  <c r="B3682" i="2"/>
  <c r="F4300" i="2"/>
  <c r="C4300" i="2"/>
  <c r="B4229" i="2"/>
  <c r="C4229" i="2"/>
  <c r="F4229" i="2"/>
  <c r="B4300" i="2"/>
  <c r="C3973" i="2"/>
  <c r="A3973" i="2"/>
  <c r="D3973" i="2"/>
  <c r="G3973" i="2"/>
  <c r="F3973" i="2"/>
  <c r="D4117" i="2"/>
  <c r="D3564" i="2"/>
  <c r="C4117" i="2"/>
  <c r="C3564" i="2"/>
  <c r="C4092" i="2"/>
  <c r="D4034" i="2"/>
  <c r="C3577" i="2"/>
  <c r="D3737" i="2"/>
  <c r="C4034" i="2"/>
  <c r="D4092" i="2"/>
  <c r="D3559" i="2"/>
  <c r="D3577" i="2"/>
  <c r="C3559" i="2"/>
  <c r="C3737" i="2"/>
  <c r="B4054" i="2"/>
  <c r="B3657" i="2"/>
  <c r="B4257" i="2"/>
  <c r="B4253" i="2"/>
  <c r="B4178" i="2"/>
  <c r="B4194" i="2"/>
  <c r="D4066" i="2"/>
  <c r="D3643" i="2"/>
  <c r="A3643" i="2"/>
  <c r="B3880" i="2"/>
  <c r="B4066" i="2"/>
  <c r="B3619" i="2"/>
  <c r="A3619" i="2"/>
  <c r="D3880" i="2"/>
  <c r="F3643" i="2"/>
  <c r="F3827" i="2"/>
  <c r="B3827" i="2"/>
  <c r="D3619" i="2"/>
  <c r="A3880" i="2"/>
  <c r="F3619" i="2"/>
  <c r="D3827" i="2"/>
  <c r="A3827" i="2"/>
  <c r="F4066" i="2"/>
  <c r="A4066" i="2"/>
  <c r="B3643" i="2"/>
  <c r="F3880" i="2"/>
  <c r="A3763" i="2"/>
  <c r="F3788" i="2"/>
  <c r="F3763" i="2"/>
  <c r="F3783" i="2"/>
  <c r="A4104" i="2"/>
  <c r="I4104" i="2"/>
  <c r="F3898" i="2"/>
  <c r="A3748" i="2"/>
  <c r="A3898" i="2"/>
  <c r="F4042" i="2"/>
  <c r="F4104" i="2"/>
  <c r="I3788" i="2"/>
  <c r="I3748" i="2"/>
  <c r="I3898" i="2"/>
  <c r="F3748" i="2"/>
  <c r="A3783" i="2"/>
  <c r="A3788" i="2"/>
  <c r="I3763" i="2"/>
  <c r="A4042" i="2"/>
  <c r="I4042" i="2"/>
  <c r="I3783" i="2"/>
  <c r="G3916" i="2"/>
  <c r="B3916" i="2"/>
  <c r="G4006" i="2"/>
  <c r="A3916" i="2"/>
  <c r="D4006" i="2"/>
  <c r="A4006" i="2"/>
  <c r="D3916" i="2"/>
  <c r="B4006" i="2"/>
  <c r="C3727" i="2"/>
  <c r="A3718" i="2"/>
  <c r="D3795" i="2"/>
  <c r="D3740" i="2"/>
  <c r="B4130" i="2"/>
  <c r="A3727" i="2"/>
  <c r="A3740" i="2"/>
  <c r="D3934" i="2"/>
  <c r="F3718" i="2"/>
  <c r="A3795" i="2"/>
  <c r="C3715" i="2"/>
  <c r="C3718" i="2"/>
  <c r="B3727" i="2"/>
  <c r="A4130" i="2"/>
  <c r="B3718" i="2"/>
  <c r="F3795" i="2"/>
  <c r="C3795" i="2"/>
  <c r="F3715" i="2"/>
  <c r="D3715" i="2"/>
  <c r="D4130" i="2"/>
  <c r="A3715" i="2"/>
  <c r="F3740" i="2"/>
  <c r="B3740" i="2"/>
  <c r="B3795" i="2"/>
  <c r="C3934" i="2"/>
  <c r="C4130" i="2"/>
  <c r="C3740" i="2"/>
  <c r="F3934" i="2"/>
  <c r="F4130" i="2"/>
  <c r="D3718" i="2"/>
  <c r="D3727" i="2"/>
  <c r="A3934" i="2"/>
  <c r="F3727" i="2"/>
  <c r="B3715" i="2"/>
  <c r="B3934" i="2"/>
  <c r="A4013" i="2"/>
  <c r="H4013" i="2"/>
  <c r="B4013" i="2"/>
  <c r="B4016" i="2"/>
  <c r="I4016" i="2"/>
  <c r="B3985" i="2"/>
  <c r="I4013" i="2"/>
  <c r="C4016" i="2"/>
  <c r="H4016" i="2"/>
  <c r="A3985" i="2"/>
  <c r="A4016" i="2"/>
  <c r="I3985" i="2"/>
  <c r="C3985" i="2"/>
  <c r="C4013" i="2"/>
  <c r="H3985" i="2"/>
  <c r="C3585" i="2"/>
  <c r="B4113" i="2"/>
  <c r="C3614" i="2"/>
  <c r="C4009" i="2"/>
  <c r="B3614" i="2"/>
  <c r="B3585" i="2"/>
  <c r="C4113" i="2"/>
  <c r="B4009" i="2"/>
  <c r="H4029" i="2"/>
  <c r="F4029" i="2"/>
  <c r="C4088" i="2"/>
  <c r="A4029" i="2"/>
  <c r="F4088" i="2"/>
  <c r="A4088" i="2"/>
  <c r="D4029" i="2"/>
  <c r="D4088" i="2"/>
  <c r="C4029" i="2"/>
  <c r="H4088" i="2"/>
  <c r="A4100" i="2"/>
  <c r="C4100" i="2"/>
  <c r="B4100" i="2"/>
  <c r="A4015" i="2"/>
  <c r="B4015" i="2"/>
  <c r="C4015" i="2"/>
  <c r="B3646" i="2"/>
  <c r="A3707" i="2"/>
  <c r="A3646" i="2"/>
  <c r="B3707" i="2"/>
  <c r="F3972" i="2"/>
  <c r="D3972" i="2"/>
  <c r="D4019" i="2"/>
  <c r="C3598" i="2"/>
  <c r="F4202" i="2"/>
  <c r="D3598" i="2"/>
  <c r="C4202" i="2"/>
  <c r="C4019" i="2"/>
  <c r="F3598" i="2"/>
  <c r="D4202" i="2"/>
  <c r="C3972" i="2"/>
  <c r="F4019" i="2"/>
  <c r="C4096" i="2"/>
  <c r="C4022" i="2"/>
  <c r="G4096" i="2"/>
  <c r="G4022" i="2"/>
  <c r="F4140" i="2"/>
  <c r="C4140" i="2"/>
  <c r="F4022" i="2"/>
  <c r="F4096" i="2"/>
  <c r="G4140" i="2"/>
  <c r="C3992" i="2"/>
  <c r="F3992" i="2"/>
  <c r="A3992" i="2"/>
  <c r="A4200" i="2"/>
  <c r="A3625" i="2"/>
  <c r="A3609" i="2"/>
  <c r="A4033" i="2"/>
  <c r="A3631" i="2"/>
  <c r="A4136" i="2"/>
  <c r="A3591" i="2"/>
  <c r="A3641" i="2"/>
  <c r="A3576" i="2"/>
  <c r="A3581" i="2"/>
  <c r="B4059" i="2"/>
  <c r="B4049" i="2"/>
  <c r="C3822" i="2"/>
  <c r="C4049" i="2"/>
  <c r="D4268" i="2"/>
  <c r="A3679" i="2"/>
  <c r="C4059" i="2"/>
  <c r="D3690" i="2"/>
  <c r="A4059" i="2"/>
  <c r="B3665" i="2"/>
  <c r="D3704" i="2"/>
  <c r="B3704" i="2"/>
  <c r="A3665" i="2"/>
  <c r="D3787" i="2"/>
  <c r="C3704" i="2"/>
  <c r="D3822" i="2"/>
  <c r="A3822" i="2"/>
  <c r="B4268" i="2"/>
  <c r="B3690" i="2"/>
  <c r="A4268" i="2"/>
  <c r="B3787" i="2"/>
  <c r="A4049" i="2"/>
  <c r="D3679" i="2"/>
  <c r="C3679" i="2"/>
  <c r="D4049" i="2"/>
  <c r="C3665" i="2"/>
  <c r="A3704" i="2"/>
  <c r="B3822" i="2"/>
  <c r="D3665" i="2"/>
  <c r="D4059" i="2"/>
  <c r="A3787" i="2"/>
  <c r="A3690" i="2"/>
  <c r="C3787" i="2"/>
  <c r="B3679" i="2"/>
  <c r="C3690" i="2"/>
  <c r="C4268" i="2"/>
  <c r="A4021" i="2"/>
  <c r="A4256" i="2"/>
  <c r="A3586" i="2"/>
  <c r="A4053" i="2"/>
  <c r="A4081" i="2"/>
  <c r="C4084" i="2"/>
  <c r="D4084" i="2"/>
  <c r="H4084" i="2"/>
  <c r="A4084" i="2"/>
  <c r="G4084" i="2"/>
  <c r="C4172" i="2"/>
  <c r="F4179" i="2"/>
  <c r="C4153" i="2"/>
  <c r="C4179" i="2"/>
  <c r="F4172" i="2"/>
  <c r="F4153" i="2"/>
  <c r="F4077" i="2"/>
  <c r="A4077" i="2"/>
  <c r="A3728" i="2"/>
  <c r="F3728" i="2"/>
  <c r="A4024" i="2"/>
  <c r="A4043" i="2"/>
  <c r="A4030" i="2"/>
  <c r="A4166" i="2"/>
  <c r="A3580" i="2"/>
  <c r="A4160" i="2"/>
  <c r="A3596" i="2"/>
  <c r="A3974" i="2"/>
  <c r="A3571" i="2"/>
  <c r="A3636" i="2"/>
  <c r="C4003" i="2"/>
  <c r="A4003" i="2"/>
  <c r="B3955" i="2"/>
  <c r="B4003" i="2"/>
  <c r="D4242" i="2"/>
  <c r="C4242" i="2"/>
  <c r="D3662" i="2"/>
  <c r="C3955" i="2"/>
  <c r="A3955" i="2"/>
  <c r="B3662" i="2"/>
  <c r="D4003" i="2"/>
  <c r="A3662" i="2"/>
  <c r="G4242" i="2"/>
  <c r="C3662" i="2"/>
  <c r="G3955" i="2"/>
  <c r="G3662" i="2"/>
  <c r="D3955" i="2"/>
  <c r="B4242" i="2"/>
  <c r="G4003" i="2"/>
  <c r="A4242" i="2"/>
  <c r="D4306" i="2"/>
  <c r="D4191" i="2"/>
  <c r="D4388" i="2"/>
  <c r="D4193" i="2"/>
  <c r="D4171" i="2"/>
  <c r="D3964" i="2"/>
  <c r="C4121" i="2"/>
  <c r="G4121" i="2"/>
  <c r="F4121" i="2"/>
  <c r="H4121" i="2"/>
  <c r="H3947" i="2"/>
  <c r="C3967" i="2"/>
  <c r="C3947" i="2"/>
  <c r="A3947" i="2"/>
  <c r="H3967" i="2"/>
  <c r="G3947" i="2"/>
  <c r="G3967" i="2"/>
  <c r="A3967" i="2"/>
  <c r="I3946" i="2"/>
  <c r="B3823" i="2"/>
  <c r="B3818" i="2"/>
  <c r="F3823" i="2"/>
  <c r="B3946" i="2"/>
  <c r="A3865" i="2"/>
  <c r="I3813" i="2"/>
  <c r="A3975" i="2"/>
  <c r="I3844" i="2"/>
  <c r="A3946" i="2"/>
  <c r="B3975" i="2"/>
  <c r="I3823" i="2"/>
  <c r="B3865" i="2"/>
  <c r="A3823" i="2"/>
  <c r="F3975" i="2"/>
  <c r="A3945" i="2"/>
  <c r="F3818" i="2"/>
  <c r="I3865" i="2"/>
  <c r="A3813" i="2"/>
  <c r="A3844" i="2"/>
  <c r="B3844" i="2"/>
  <c r="A3818" i="2"/>
  <c r="I3975" i="2"/>
  <c r="I3818" i="2"/>
  <c r="I3945" i="2"/>
  <c r="F3844" i="2"/>
  <c r="F3946" i="2"/>
  <c r="B3945" i="2"/>
  <c r="F3865" i="2"/>
  <c r="B3813" i="2"/>
  <c r="F3945" i="2"/>
  <c r="F3813" i="2"/>
  <c r="H4186" i="2"/>
  <c r="D4186" i="2"/>
  <c r="H4284" i="2"/>
  <c r="D4284" i="2"/>
  <c r="A4108" i="2"/>
  <c r="D4108" i="2"/>
  <c r="I4108" i="2"/>
  <c r="C4108" i="2"/>
  <c r="G4220" i="2"/>
  <c r="B4108" i="2"/>
  <c r="C4220" i="2"/>
  <c r="I4220" i="2"/>
  <c r="A4220" i="2"/>
  <c r="H4220" i="2"/>
  <c r="B4211" i="2"/>
  <c r="B3971" i="2"/>
  <c r="D4211" i="2"/>
  <c r="A4211" i="2"/>
  <c r="A3971" i="2"/>
  <c r="D3971" i="2"/>
  <c r="D4147" i="2"/>
  <c r="G4147" i="2"/>
  <c r="G3925" i="2"/>
  <c r="G3930" i="2"/>
  <c r="H3915" i="2"/>
  <c r="G3910" i="2"/>
  <c r="G3924" i="2"/>
  <c r="H3924" i="2"/>
  <c r="G3929" i="2"/>
  <c r="H3930" i="2"/>
  <c r="G3920" i="2"/>
  <c r="G3989" i="2"/>
  <c r="H3905" i="2"/>
  <c r="G3900" i="2"/>
  <c r="G3905" i="2"/>
  <c r="H3929" i="2"/>
  <c r="G3915" i="2"/>
  <c r="H3920" i="2"/>
  <c r="H3910" i="2"/>
  <c r="H3925" i="2"/>
  <c r="H3900" i="2"/>
  <c r="H3989" i="2"/>
  <c r="I4125" i="2"/>
  <c r="F4125" i="2"/>
  <c r="G4125" i="2"/>
  <c r="A4125" i="2"/>
  <c r="B4125" i="2"/>
  <c r="B3888" i="2"/>
  <c r="B3883" i="2"/>
  <c r="B3917" i="2"/>
  <c r="B3912" i="2"/>
  <c r="B3873" i="2"/>
  <c r="B3878" i="2"/>
  <c r="B3898" i="2"/>
  <c r="B3893" i="2"/>
  <c r="D4232" i="2"/>
  <c r="D4044" i="2"/>
  <c r="B4044" i="2"/>
  <c r="B4232" i="2"/>
  <c r="I3968" i="2"/>
  <c r="G4000" i="2"/>
  <c r="I4000" i="2"/>
  <c r="G3968" i="2"/>
  <c r="A3937" i="2"/>
  <c r="I3998" i="2"/>
  <c r="A3998" i="2"/>
  <c r="A3626" i="2"/>
  <c r="I3626" i="2"/>
  <c r="I3937" i="2"/>
  <c r="C3923" i="2"/>
  <c r="B3918" i="2"/>
  <c r="B3932" i="2"/>
  <c r="C4026" i="2"/>
  <c r="C3932" i="2"/>
  <c r="B4026" i="2"/>
  <c r="B3933" i="2"/>
  <c r="B3903" i="2"/>
  <c r="C3903" i="2"/>
  <c r="B3927" i="2"/>
  <c r="B3913" i="2"/>
  <c r="C3908" i="2"/>
  <c r="C3922" i="2"/>
  <c r="B3908" i="2"/>
  <c r="C3933" i="2"/>
  <c r="B3922" i="2"/>
  <c r="C3913" i="2"/>
  <c r="C3918" i="2"/>
  <c r="B3923" i="2"/>
  <c r="C3927" i="2"/>
  <c r="D4015" i="2"/>
  <c r="G4100" i="2"/>
  <c r="F4100" i="2"/>
  <c r="H4100" i="2"/>
  <c r="F4015" i="2"/>
  <c r="I4015" i="2"/>
  <c r="H4015" i="2"/>
  <c r="G4015" i="2"/>
  <c r="I4100" i="2"/>
  <c r="D4100" i="2"/>
  <c r="H3939" i="2"/>
  <c r="D3939" i="2"/>
  <c r="C3939" i="2"/>
  <c r="A3939" i="2"/>
  <c r="B3939" i="2"/>
  <c r="I3939" i="2"/>
  <c r="G4073" i="2"/>
  <c r="D4328" i="2"/>
  <c r="B4328" i="2"/>
  <c r="B4073" i="2"/>
  <c r="F4073" i="2"/>
  <c r="C4328" i="2"/>
  <c r="G4328" i="2"/>
  <c r="C4073" i="2"/>
  <c r="F4328" i="2"/>
  <c r="D4073" i="2"/>
  <c r="C4125" i="2"/>
  <c r="H3946" i="2"/>
  <c r="H3975" i="2"/>
  <c r="D3946" i="2"/>
  <c r="C3946" i="2"/>
  <c r="D3975" i="2"/>
  <c r="C3975" i="2"/>
  <c r="D4125" i="2"/>
  <c r="H4125" i="2"/>
  <c r="H4048" i="2"/>
  <c r="H4038" i="2"/>
  <c r="C4048" i="2"/>
  <c r="B3954" i="2"/>
  <c r="G4048" i="2"/>
  <c r="H3954" i="2"/>
  <c r="C3954" i="2"/>
  <c r="B4048" i="2"/>
  <c r="G4038" i="2"/>
  <c r="G3954" i="2"/>
  <c r="B4038" i="2"/>
  <c r="C4038" i="2"/>
  <c r="F3971" i="2"/>
  <c r="C3971" i="2"/>
  <c r="I3950" i="2"/>
  <c r="F3950" i="2"/>
  <c r="G3971" i="2"/>
  <c r="C3950" i="2"/>
  <c r="I3971" i="2"/>
  <c r="G3950" i="2"/>
  <c r="C3945" i="2"/>
  <c r="D3945" i="2"/>
  <c r="G3945" i="2"/>
  <c r="H3945" i="2"/>
  <c r="G4066" i="2"/>
  <c r="I3958" i="2"/>
  <c r="D3958" i="2"/>
  <c r="H3958" i="2"/>
  <c r="B3958" i="2"/>
  <c r="I4066" i="2"/>
  <c r="H4066" i="2"/>
  <c r="F3958" i="2"/>
  <c r="C4066" i="2"/>
  <c r="H3981" i="2"/>
  <c r="A3981" i="2"/>
  <c r="A3960" i="2"/>
  <c r="H3960" i="2"/>
  <c r="G3963" i="2"/>
  <c r="H3963" i="2"/>
  <c r="D3963" i="2"/>
  <c r="H3966" i="2"/>
  <c r="D3966" i="2"/>
  <c r="G3966" i="2"/>
  <c r="A3966" i="2"/>
  <c r="C3966" i="2"/>
  <c r="A3942" i="2"/>
  <c r="I3942" i="2"/>
  <c r="F3942" i="2"/>
  <c r="C3942" i="2"/>
  <c r="D3942" i="2"/>
  <c r="H3934" i="2"/>
  <c r="I3934" i="2"/>
  <c r="I4130" i="2"/>
  <c r="H4130" i="2"/>
  <c r="G4130" i="2"/>
  <c r="G3934" i="2"/>
  <c r="C3956" i="2"/>
  <c r="I3956" i="2"/>
  <c r="B3956" i="2"/>
  <c r="H3956" i="2"/>
  <c r="G3953" i="2"/>
  <c r="B3953" i="2"/>
  <c r="C3953" i="2"/>
  <c r="F3953" i="2"/>
  <c r="H4025" i="2"/>
  <c r="B4025" i="2"/>
  <c r="F4242" i="2"/>
  <c r="I4003" i="2"/>
  <c r="F3955" i="2"/>
  <c r="H3976" i="2"/>
  <c r="F3976" i="2"/>
  <c r="H3972" i="2"/>
  <c r="A3943" i="2"/>
  <c r="I3955" i="2"/>
  <c r="I3976" i="2"/>
  <c r="H4242" i="2"/>
  <c r="B3972" i="2"/>
  <c r="F4003" i="2"/>
  <c r="G3943" i="2"/>
  <c r="H3955" i="2"/>
  <c r="H4003" i="2"/>
  <c r="H3943" i="2"/>
  <c r="I4242" i="2"/>
  <c r="A3972" i="2"/>
  <c r="G3972" i="2"/>
  <c r="G4025" i="2"/>
  <c r="A4025" i="2"/>
  <c r="B3943" i="2"/>
  <c r="B3935" i="2"/>
  <c r="H3935" i="2"/>
  <c r="I3935" i="2"/>
  <c r="G3880" i="2"/>
  <c r="G3939" i="2"/>
  <c r="G3895" i="2"/>
  <c r="G3909" i="2"/>
  <c r="G3919" i="2"/>
  <c r="G3875" i="2"/>
  <c r="G3885" i="2"/>
  <c r="G3914" i="2"/>
  <c r="G3890" i="2"/>
  <c r="C3965" i="2"/>
  <c r="C3986" i="2"/>
  <c r="C3948" i="2"/>
  <c r="I3948" i="2"/>
  <c r="D3948" i="2"/>
  <c r="A3948" i="2"/>
  <c r="B3974" i="2"/>
  <c r="D3974" i="2"/>
  <c r="C3998" i="2"/>
  <c r="G3974" i="2"/>
  <c r="H3998" i="2"/>
  <c r="C3974" i="2"/>
  <c r="F3974" i="2"/>
  <c r="D3998" i="2"/>
  <c r="G3998" i="2"/>
  <c r="F3998" i="2"/>
  <c r="H3974" i="2"/>
  <c r="B3998" i="2"/>
  <c r="D3978" i="2"/>
  <c r="D4020" i="2"/>
  <c r="A3978" i="2"/>
  <c r="A4020" i="2"/>
  <c r="C3983" i="2"/>
  <c r="B4005" i="2"/>
  <c r="B3983" i="2"/>
  <c r="C4005" i="2"/>
  <c r="G3983" i="2"/>
  <c r="G4005" i="2"/>
  <c r="G3951" i="2"/>
  <c r="G3980" i="2"/>
  <c r="A3951" i="2"/>
  <c r="F3980" i="2"/>
  <c r="F3951" i="2"/>
  <c r="A3980" i="2"/>
  <c r="B3995" i="2"/>
  <c r="I3995" i="2"/>
  <c r="G3995" i="2"/>
  <c r="B3979" i="2"/>
  <c r="I4012" i="2"/>
  <c r="D3995" i="2"/>
  <c r="D3979" i="2"/>
  <c r="G4012" i="2"/>
  <c r="G3979" i="2"/>
  <c r="B4012" i="2"/>
  <c r="F3979" i="2"/>
  <c r="H3995" i="2"/>
  <c r="F3995" i="2"/>
  <c r="F4012" i="2"/>
  <c r="H3979" i="2"/>
  <c r="H4012" i="2"/>
  <c r="D4012" i="2"/>
  <c r="I3979" i="2"/>
  <c r="F4008" i="2"/>
  <c r="H4008" i="2"/>
  <c r="A4008" i="2"/>
  <c r="B4008" i="2"/>
  <c r="I3988" i="2"/>
  <c r="D3988" i="2"/>
  <c r="F3988" i="2"/>
  <c r="F4028" i="2"/>
  <c r="A4028" i="2"/>
  <c r="H4028" i="2"/>
  <c r="G4028" i="2"/>
  <c r="D3938" i="2"/>
  <c r="F3938" i="2"/>
  <c r="C4031" i="2"/>
  <c r="F3996" i="2"/>
  <c r="C3996" i="2"/>
  <c r="G4031" i="2"/>
  <c r="G3996" i="2"/>
  <c r="F4031" i="2"/>
  <c r="C4050" i="2"/>
  <c r="C4040" i="2"/>
  <c r="B4102" i="2"/>
  <c r="H4040" i="2"/>
  <c r="D4050" i="2"/>
  <c r="C4102" i="2"/>
  <c r="B4134" i="2"/>
  <c r="F4040" i="2"/>
  <c r="H4068" i="2"/>
  <c r="A4040" i="2"/>
  <c r="A4102" i="2"/>
  <c r="D4068" i="2"/>
  <c r="G4102" i="2"/>
  <c r="H4102" i="2"/>
  <c r="F4050" i="2"/>
  <c r="G4068" i="2"/>
  <c r="C4068" i="2"/>
  <c r="D4102" i="2"/>
  <c r="D4040" i="2"/>
  <c r="F4068" i="2"/>
  <c r="B4050" i="2"/>
  <c r="D4134" i="2"/>
  <c r="B4068" i="2"/>
  <c r="H4050" i="2"/>
  <c r="C4134" i="2"/>
  <c r="H4134" i="2"/>
  <c r="G4040" i="2"/>
  <c r="A4134" i="2"/>
  <c r="B4040" i="2"/>
  <c r="G4050" i="2"/>
  <c r="A4050" i="2"/>
  <c r="G4134" i="2"/>
  <c r="A4068" i="2"/>
  <c r="F4102" i="2"/>
  <c r="F4134" i="2"/>
  <c r="F4006" i="2"/>
  <c r="C4006" i="2"/>
  <c r="I4006" i="2"/>
  <c r="H4006" i="2"/>
  <c r="C4058" i="2"/>
  <c r="G4058" i="2"/>
  <c r="A4058" i="2"/>
  <c r="H4058" i="2"/>
  <c r="B4058" i="2"/>
  <c r="C4023" i="2"/>
  <c r="H4023" i="2"/>
  <c r="F4041" i="2"/>
  <c r="I4041" i="2"/>
  <c r="C4041" i="2"/>
  <c r="D4041" i="2"/>
  <c r="A4041" i="2"/>
  <c r="F4011" i="2"/>
  <c r="C4011" i="2"/>
  <c r="F3937" i="2"/>
  <c r="B3937" i="2"/>
  <c r="H3937" i="2"/>
  <c r="D3937" i="2"/>
  <c r="A4011" i="2"/>
  <c r="I4084" i="2"/>
  <c r="B4084" i="2"/>
  <c r="F4084" i="2"/>
  <c r="B3928" i="2"/>
  <c r="C3928" i="2"/>
  <c r="A4202" i="2"/>
  <c r="B4202" i="2"/>
  <c r="G3993" i="2"/>
  <c r="I3964" i="2"/>
  <c r="A3964" i="2"/>
  <c r="H4202" i="2"/>
  <c r="G4019" i="2"/>
  <c r="B4019" i="2"/>
  <c r="I4019" i="2"/>
  <c r="B3993" i="2"/>
  <c r="H4019" i="2"/>
  <c r="I4202" i="2"/>
  <c r="A4019" i="2"/>
  <c r="B3964" i="2"/>
  <c r="G4202" i="2"/>
  <c r="H3993" i="2"/>
  <c r="A3993" i="2"/>
  <c r="H3964" i="2"/>
  <c r="G3964" i="2"/>
  <c r="I3993" i="2"/>
  <c r="H3984" i="2"/>
  <c r="D4009" i="2"/>
  <c r="G3984" i="2"/>
  <c r="G4009" i="2"/>
  <c r="H4009" i="2"/>
  <c r="I4009" i="2"/>
  <c r="I3984" i="2"/>
  <c r="D3984" i="2"/>
  <c r="F4120" i="2"/>
  <c r="H4151" i="2"/>
  <c r="D4267" i="2"/>
  <c r="A4107" i="2"/>
  <c r="C4107" i="2"/>
  <c r="A4120" i="2"/>
  <c r="C4111" i="2"/>
  <c r="B4079" i="2"/>
  <c r="A4201" i="2"/>
  <c r="B4151" i="2"/>
  <c r="B4120" i="2"/>
  <c r="I4120" i="2"/>
  <c r="D4201" i="2"/>
  <c r="D4120" i="2"/>
  <c r="C4151" i="2"/>
  <c r="I4151" i="2"/>
  <c r="A4111" i="2"/>
  <c r="I4111" i="2"/>
  <c r="H4079" i="2"/>
  <c r="F4201" i="2"/>
  <c r="C4120" i="2"/>
  <c r="I4079" i="2"/>
  <c r="A4079" i="2"/>
  <c r="C4201" i="2"/>
  <c r="C4267" i="2"/>
  <c r="D4151" i="2"/>
  <c r="F4151" i="2"/>
  <c r="H4201" i="2"/>
  <c r="F4111" i="2"/>
  <c r="H4267" i="2"/>
  <c r="D4107" i="2"/>
  <c r="B4111" i="2"/>
  <c r="D4111" i="2"/>
  <c r="I4201" i="2"/>
  <c r="H4111" i="2"/>
  <c r="I4267" i="2"/>
  <c r="H4107" i="2"/>
  <c r="B4201" i="2"/>
  <c r="A4267" i="2"/>
  <c r="F4267" i="2"/>
  <c r="B4267" i="2"/>
  <c r="C4079" i="2"/>
  <c r="A4151" i="2"/>
  <c r="H4179" i="2"/>
  <c r="D4079" i="2"/>
  <c r="B4107" i="2"/>
  <c r="A4179" i="2"/>
  <c r="F4107" i="2"/>
  <c r="I4172" i="2"/>
  <c r="F4079" i="2"/>
  <c r="G4153" i="2"/>
  <c r="H4120" i="2"/>
  <c r="I4107" i="2"/>
  <c r="I4153" i="2"/>
  <c r="B4179" i="2"/>
  <c r="D4179" i="2"/>
  <c r="D4153" i="2"/>
  <c r="D4172" i="2"/>
  <c r="I4179" i="2"/>
  <c r="A4153" i="2"/>
  <c r="B4153" i="2"/>
  <c r="H4172" i="2"/>
  <c r="G4179" i="2"/>
  <c r="G4172" i="2"/>
  <c r="A4172" i="2"/>
  <c r="H4153" i="2"/>
  <c r="B4172" i="2"/>
  <c r="D3959" i="2"/>
  <c r="B3942" i="2"/>
  <c r="H3942" i="2"/>
  <c r="G3959" i="2"/>
  <c r="G3942" i="2"/>
  <c r="F3959" i="2"/>
  <c r="I4170" i="2"/>
  <c r="F4170" i="2"/>
  <c r="G4170" i="2"/>
  <c r="A4170" i="2"/>
  <c r="B4170" i="2"/>
  <c r="D4170" i="2"/>
  <c r="B3970" i="2"/>
  <c r="A3941" i="2"/>
  <c r="A4045" i="2"/>
  <c r="B3941" i="2"/>
  <c r="F3991" i="2"/>
  <c r="F3941" i="2"/>
  <c r="F4045" i="2"/>
  <c r="F4035" i="2"/>
  <c r="F3970" i="2"/>
  <c r="B4055" i="2"/>
  <c r="A4035" i="2"/>
  <c r="A3991" i="2"/>
  <c r="B3991" i="2"/>
  <c r="A4055" i="2"/>
  <c r="A3970" i="2"/>
  <c r="B4035" i="2"/>
  <c r="F4055" i="2"/>
  <c r="B4045" i="2"/>
  <c r="A4022" i="2"/>
  <c r="I4022" i="2"/>
  <c r="D4096" i="2"/>
  <c r="D4022" i="2"/>
  <c r="B4096" i="2"/>
  <c r="I4096" i="2"/>
  <c r="H4096" i="2"/>
  <c r="B4022" i="2"/>
  <c r="A4096" i="2"/>
  <c r="A4140" i="2"/>
  <c r="H4022" i="2"/>
  <c r="I4140" i="2"/>
  <c r="H4140" i="2"/>
  <c r="B4140" i="2"/>
  <c r="D4140" i="2"/>
  <c r="G3992" i="2"/>
  <c r="H3992" i="2"/>
  <c r="D3992" i="2"/>
  <c r="I3992" i="2"/>
  <c r="B3992" i="2"/>
  <c r="I3973" i="2"/>
  <c r="B3947" i="2"/>
  <c r="I3947" i="2"/>
  <c r="B3973" i="2"/>
  <c r="D3949" i="2"/>
  <c r="G3949" i="2"/>
  <c r="A3949" i="2"/>
  <c r="B3962" i="2"/>
  <c r="C3962" i="2"/>
  <c r="A3962" i="2"/>
  <c r="G3962" i="2"/>
  <c r="B3944" i="2"/>
  <c r="G3944" i="2"/>
  <c r="D3967" i="2"/>
  <c r="F3967" i="2"/>
  <c r="B3967" i="2"/>
  <c r="I3967" i="2"/>
  <c r="A4002" i="2"/>
  <c r="H4002" i="2"/>
  <c r="D4002" i="2"/>
  <c r="C4002" i="2"/>
  <c r="B4002" i="2"/>
  <c r="F4185" i="2"/>
  <c r="I4280" i="2"/>
  <c r="F4280" i="2"/>
  <c r="F4382" i="2"/>
  <c r="I4087" i="2"/>
  <c r="B4185" i="2"/>
  <c r="B3987" i="2"/>
  <c r="D4185" i="2"/>
  <c r="F4087" i="2"/>
  <c r="G4087" i="2"/>
  <c r="B4087" i="2"/>
  <c r="A4087" i="2"/>
  <c r="G4185" i="2"/>
  <c r="F3987" i="2"/>
  <c r="H4382" i="2"/>
  <c r="G3987" i="2"/>
  <c r="D3987" i="2"/>
  <c r="A4280" i="2"/>
  <c r="H4280" i="2"/>
  <c r="D4087" i="2"/>
  <c r="A4382" i="2"/>
  <c r="D4280" i="2"/>
  <c r="H4185" i="2"/>
  <c r="I3987" i="2"/>
  <c r="H3987" i="2"/>
  <c r="I4185" i="2"/>
  <c r="H4087" i="2"/>
  <c r="D4382" i="2"/>
  <c r="B4382" i="2"/>
  <c r="G4382" i="2"/>
  <c r="A4185" i="2"/>
  <c r="B4280" i="2"/>
  <c r="I4382" i="2"/>
  <c r="A3987" i="2"/>
  <c r="G4280" i="2"/>
  <c r="A3990" i="2"/>
  <c r="B3990" i="2"/>
  <c r="C3969" i="2"/>
  <c r="D3969" i="2"/>
  <c r="C4007" i="2"/>
  <c r="F4007" i="2"/>
  <c r="A3969" i="2"/>
  <c r="C3990" i="2"/>
  <c r="A4001" i="2"/>
  <c r="D3990" i="2"/>
  <c r="B4001" i="2"/>
  <c r="D4007" i="2"/>
  <c r="A4007" i="2"/>
  <c r="C4001" i="2"/>
  <c r="G3969" i="2"/>
  <c r="D4001" i="2"/>
  <c r="B4007" i="2"/>
  <c r="F4001" i="2"/>
  <c r="F3990" i="2"/>
  <c r="A3997" i="2"/>
  <c r="I3952" i="2"/>
  <c r="A3952" i="2"/>
  <c r="B3997" i="2"/>
  <c r="I3997" i="2"/>
  <c r="B3952" i="2"/>
  <c r="D3999" i="2"/>
  <c r="I3999" i="2"/>
  <c r="G3999" i="2"/>
  <c r="C3999" i="2"/>
  <c r="B4095" i="2"/>
  <c r="H4095" i="2"/>
  <c r="C4095" i="2"/>
  <c r="D4095" i="2"/>
  <c r="I4095" i="2"/>
  <c r="B4069" i="2"/>
  <c r="C4069" i="2"/>
  <c r="A4069" i="2"/>
  <c r="H4069" i="2"/>
  <c r="G4069" i="2"/>
  <c r="I4069" i="2"/>
  <c r="D3957" i="2"/>
  <c r="B3957" i="2"/>
  <c r="H4034" i="2"/>
  <c r="A4034" i="2"/>
  <c r="G4034" i="2"/>
  <c r="I4034" i="2"/>
  <c r="F4034" i="2"/>
  <c r="B4076" i="2"/>
  <c r="D4042" i="2"/>
  <c r="G4052" i="2"/>
  <c r="B4042" i="2"/>
  <c r="D4052" i="2"/>
  <c r="C4052" i="2"/>
  <c r="D4076" i="2"/>
  <c r="C4042" i="2"/>
  <c r="C4076" i="2"/>
  <c r="G4042" i="2"/>
  <c r="B4052" i="2"/>
  <c r="G4076" i="2"/>
  <c r="D4065" i="2"/>
  <c r="B4065" i="2"/>
  <c r="H4065" i="2"/>
  <c r="A4065" i="2"/>
  <c r="G4065" i="2"/>
  <c r="C4065" i="2"/>
  <c r="C3994" i="2"/>
  <c r="G3994" i="2"/>
  <c r="F4044" i="2"/>
  <c r="G4044" i="2"/>
  <c r="F4232" i="2"/>
  <c r="I4232" i="2"/>
  <c r="A4232" i="2"/>
  <c r="G4232" i="2"/>
  <c r="A4044" i="2"/>
  <c r="H4044" i="2"/>
  <c r="C4232" i="2"/>
  <c r="C4044" i="2"/>
  <c r="H4232" i="2"/>
  <c r="I4044" i="2"/>
  <c r="I4070" i="2"/>
  <c r="G4070" i="2"/>
  <c r="F4070" i="2"/>
  <c r="B4070" i="2"/>
  <c r="H4070" i="2"/>
  <c r="H4177" i="2"/>
  <c r="C4177" i="2"/>
  <c r="F4177" i="2"/>
  <c r="C4146" i="2"/>
  <c r="B4146" i="2"/>
  <c r="D4177" i="2"/>
  <c r="F4146" i="2"/>
  <c r="I4146" i="2"/>
  <c r="B4177" i="2"/>
  <c r="I4177" i="2"/>
  <c r="D4146" i="2"/>
  <c r="H4146" i="2"/>
  <c r="D4080" i="2"/>
  <c r="C4080" i="2"/>
  <c r="B4080" i="2"/>
  <c r="A4080" i="2"/>
  <c r="B4032" i="2"/>
  <c r="A4032" i="2"/>
  <c r="D4032" i="2"/>
  <c r="G4032" i="2"/>
  <c r="C4135" i="2"/>
  <c r="C4062" i="2"/>
  <c r="G4062" i="2"/>
  <c r="A4135" i="2"/>
  <c r="B4062" i="2"/>
  <c r="D4062" i="2"/>
  <c r="A4062" i="2"/>
  <c r="B4135" i="2"/>
  <c r="D4135" i="2"/>
  <c r="G4135" i="2"/>
  <c r="G4113" i="2"/>
  <c r="F4113" i="2"/>
  <c r="I4113" i="2"/>
  <c r="H4113" i="2"/>
  <c r="A4113" i="2"/>
  <c r="D4113" i="2"/>
  <c r="D4014" i="2"/>
  <c r="A4014" i="2"/>
  <c r="I4014" i="2"/>
  <c r="G4014" i="2"/>
  <c r="A4091" i="2"/>
  <c r="A3961" i="2"/>
  <c r="D3940" i="2"/>
  <c r="F4091" i="2"/>
  <c r="F3940" i="2"/>
  <c r="B4091" i="2"/>
  <c r="B3961" i="2"/>
  <c r="A3940" i="2"/>
  <c r="D4091" i="2"/>
  <c r="B3940" i="2"/>
  <c r="F3961" i="2"/>
  <c r="D3961" i="2"/>
  <c r="B4077" i="2"/>
  <c r="I4077" i="2"/>
  <c r="H4077" i="2"/>
  <c r="D4077" i="2"/>
  <c r="G4077" i="2"/>
  <c r="C4077" i="2"/>
  <c r="D3977" i="2"/>
  <c r="I3977" i="2"/>
  <c r="A4116" i="2"/>
  <c r="A4010" i="2"/>
  <c r="I4116" i="2"/>
  <c r="A3977" i="2"/>
  <c r="C4116" i="2"/>
  <c r="B3977" i="2"/>
  <c r="C3977" i="2"/>
  <c r="B4116" i="2"/>
  <c r="D4116" i="2"/>
  <c r="C4010" i="2"/>
  <c r="D4010" i="2"/>
  <c r="B4010" i="2"/>
  <c r="I4010" i="2"/>
  <c r="A4158" i="2"/>
  <c r="F4184" i="2"/>
  <c r="B4184" i="2"/>
  <c r="D4158" i="2"/>
  <c r="A4184" i="2"/>
  <c r="G4184" i="2"/>
  <c r="F4158" i="2"/>
  <c r="H4184" i="2"/>
  <c r="G4158" i="2"/>
  <c r="D4184" i="2"/>
  <c r="H4158" i="2"/>
  <c r="B4158" i="2"/>
  <c r="I4117" i="2"/>
  <c r="A4092" i="2"/>
  <c r="A4117" i="2"/>
  <c r="I4092" i="2"/>
  <c r="G4092" i="2"/>
  <c r="F4092" i="2"/>
  <c r="B4117" i="2"/>
  <c r="F4117" i="2"/>
  <c r="B4092" i="2"/>
  <c r="G4117" i="2"/>
  <c r="H4117" i="2"/>
  <c r="H4092" i="2"/>
  <c r="D4103" i="2"/>
  <c r="A4103" i="2"/>
  <c r="C4061" i="2"/>
  <c r="G4061" i="2"/>
  <c r="F4061" i="2"/>
  <c r="C4103" i="2"/>
  <c r="D4061" i="2"/>
  <c r="G4103" i="2"/>
  <c r="B4061" i="2"/>
  <c r="F3982" i="2"/>
  <c r="D3982" i="2"/>
  <c r="B4103" i="2"/>
  <c r="B3982" i="2"/>
  <c r="A3982" i="2"/>
  <c r="C3982" i="2"/>
  <c r="A4061" i="2"/>
  <c r="G3982" i="2"/>
  <c r="F4103" i="2"/>
  <c r="H4108" i="2"/>
  <c r="F4108" i="2"/>
  <c r="G4108" i="2"/>
  <c r="B4088" i="2"/>
  <c r="I4029" i="2"/>
  <c r="I4088" i="2"/>
  <c r="B4029" i="2"/>
  <c r="G4029" i="2"/>
  <c r="G4088" i="2"/>
  <c r="C4053" i="2"/>
  <c r="H4081" i="2"/>
  <c r="G4021" i="2"/>
  <c r="I4200" i="2"/>
  <c r="C4160" i="2"/>
  <c r="C4256" i="2"/>
  <c r="G4256" i="2"/>
  <c r="D4166" i="2"/>
  <c r="I4081" i="2"/>
  <c r="B4160" i="2"/>
  <c r="H4021" i="2"/>
  <c r="I4166" i="2"/>
  <c r="G4024" i="2"/>
  <c r="F4043" i="2"/>
  <c r="H4166" i="2"/>
  <c r="C4024" i="2"/>
  <c r="B4136" i="2"/>
  <c r="B4021" i="2"/>
  <c r="D4053" i="2"/>
  <c r="D4024" i="2"/>
  <c r="H4024" i="2"/>
  <c r="G4166" i="2"/>
  <c r="D4021" i="2"/>
  <c r="F4256" i="2"/>
  <c r="F4053" i="2"/>
  <c r="I4021" i="2"/>
  <c r="D4043" i="2"/>
  <c r="C4081" i="2"/>
  <c r="H4136" i="2"/>
  <c r="I4160" i="2"/>
  <c r="F4136" i="2"/>
  <c r="D4081" i="2"/>
  <c r="B4053" i="2"/>
  <c r="F4024" i="2"/>
  <c r="B4043" i="2"/>
  <c r="D4256" i="2"/>
  <c r="F4081" i="2"/>
  <c r="D4200" i="2"/>
  <c r="G4081" i="2"/>
  <c r="B4256" i="2"/>
  <c r="G4160" i="2"/>
  <c r="H4160" i="2"/>
  <c r="G4136" i="2"/>
  <c r="H4043" i="2"/>
  <c r="H4053" i="2"/>
  <c r="C4043" i="2"/>
  <c r="B4024" i="2"/>
  <c r="I4136" i="2"/>
  <c r="I4256" i="2"/>
  <c r="G4200" i="2"/>
  <c r="B4200" i="2"/>
  <c r="D4160" i="2"/>
  <c r="C4021" i="2"/>
  <c r="C4136" i="2"/>
  <c r="D4136" i="2"/>
  <c r="B4081" i="2"/>
  <c r="I4024" i="2"/>
  <c r="H4256" i="2"/>
  <c r="F4166" i="2"/>
  <c r="F4021" i="2"/>
  <c r="C4166" i="2"/>
  <c r="I4053" i="2"/>
  <c r="F4200" i="2"/>
  <c r="F4160" i="2"/>
  <c r="I4043" i="2"/>
  <c r="G4043" i="2"/>
  <c r="H4200" i="2"/>
  <c r="B4166" i="2"/>
  <c r="C4200" i="2"/>
  <c r="G4053" i="2"/>
  <c r="A4004" i="2"/>
  <c r="D4004" i="2"/>
  <c r="G4141" i="2"/>
  <c r="I4141" i="2"/>
  <c r="B4141" i="2"/>
  <c r="G4004" i="2"/>
  <c r="C4141" i="2"/>
  <c r="A4141" i="2"/>
  <c r="B4004" i="2"/>
  <c r="C4004" i="2"/>
  <c r="I4004" i="2"/>
  <c r="D4141" i="2"/>
  <c r="D4165" i="2"/>
  <c r="C4164" i="2"/>
  <c r="G4164" i="2"/>
  <c r="F4164" i="2"/>
  <c r="D4164" i="2"/>
  <c r="C4165" i="2"/>
  <c r="G4165" i="2"/>
  <c r="I4164" i="2"/>
  <c r="A4164" i="2"/>
  <c r="A4165" i="2"/>
  <c r="I4165" i="2"/>
  <c r="F4165" i="2"/>
  <c r="A4112" i="2"/>
  <c r="F4112" i="2"/>
  <c r="H4112" i="2"/>
  <c r="G4112" i="2"/>
  <c r="B4112" i="2"/>
  <c r="G4641" i="2"/>
  <c r="D4937" i="2"/>
  <c r="C4667" i="2"/>
  <c r="A4641" i="2"/>
  <c r="B4937" i="2"/>
  <c r="F4937" i="2"/>
  <c r="D4673" i="2"/>
  <c r="C4238" i="2"/>
  <c r="C4424" i="2"/>
  <c r="H4673" i="2"/>
  <c r="I4673" i="2"/>
  <c r="B4673" i="2"/>
  <c r="I4174" i="2"/>
  <c r="F4329" i="2"/>
  <c r="B4667" i="2"/>
  <c r="C4597" i="2"/>
  <c r="A4597" i="2"/>
  <c r="F4673" i="2"/>
  <c r="F4597" i="2"/>
  <c r="G4238" i="2"/>
  <c r="F4424" i="2"/>
  <c r="C4641" i="2"/>
  <c r="A4667" i="2"/>
  <c r="A4329" i="2"/>
  <c r="A4673" i="2"/>
  <c r="G4667" i="2"/>
  <c r="C4467" i="2"/>
  <c r="B4641" i="2"/>
  <c r="A4937" i="2"/>
  <c r="B4238" i="2"/>
  <c r="D4667" i="2"/>
  <c r="I4667" i="2"/>
  <c r="G4937" i="2"/>
  <c r="D4329" i="2"/>
  <c r="D4424" i="2"/>
  <c r="H4467" i="2"/>
  <c r="H4641" i="2"/>
  <c r="I4238" i="2"/>
  <c r="I4937" i="2"/>
  <c r="D4238" i="2"/>
  <c r="G4174" i="2"/>
  <c r="C4329" i="2"/>
  <c r="I4467" i="2"/>
  <c r="C4174" i="2"/>
  <c r="H4937" i="2"/>
  <c r="H4329" i="2"/>
  <c r="I4329" i="2"/>
  <c r="A4174" i="2"/>
  <c r="D4641" i="2"/>
  <c r="H4174" i="2"/>
  <c r="I4424" i="2"/>
  <c r="G4329" i="2"/>
  <c r="D4597" i="2"/>
  <c r="B4467" i="2"/>
  <c r="D4174" i="2"/>
  <c r="B4174" i="2"/>
  <c r="D4467" i="2"/>
  <c r="G4673" i="2"/>
  <c r="A4424" i="2"/>
  <c r="A4238" i="2"/>
  <c r="G4424" i="2"/>
  <c r="H4667" i="2"/>
  <c r="C4147" i="2"/>
  <c r="G4467" i="2"/>
  <c r="H4147" i="2"/>
  <c r="A4147" i="2"/>
  <c r="I4597" i="2"/>
  <c r="B4147" i="2"/>
  <c r="I4147" i="2"/>
  <c r="I4641" i="2"/>
  <c r="H4597" i="2"/>
  <c r="F4147" i="2"/>
  <c r="B4597" i="2"/>
  <c r="A4467" i="2"/>
  <c r="F4238" i="2"/>
  <c r="B4424" i="2"/>
  <c r="H4238" i="2"/>
  <c r="C4937" i="2"/>
  <c r="F4174" i="2"/>
  <c r="F4467" i="2"/>
  <c r="F4641" i="2"/>
  <c r="B4329" i="2"/>
  <c r="F4667" i="2"/>
  <c r="C4673" i="2"/>
  <c r="H4424" i="2"/>
  <c r="G4597" i="2"/>
  <c r="D4121" i="2"/>
  <c r="I4121" i="2"/>
  <c r="A4121" i="2"/>
  <c r="B4121" i="2"/>
  <c r="F4186" i="2"/>
  <c r="C4284" i="2"/>
  <c r="I4284" i="2"/>
  <c r="C4186" i="2"/>
  <c r="G4284" i="2"/>
  <c r="B4186" i="2"/>
  <c r="I4186" i="2"/>
  <c r="B4284" i="2"/>
  <c r="G4186" i="2"/>
  <c r="A4186" i="2"/>
  <c r="A4284" i="2"/>
  <c r="F4284" i="2"/>
  <c r="B4104" i="2"/>
  <c r="D4104" i="2"/>
  <c r="H4104" i="2"/>
  <c r="G4104" i="2"/>
  <c r="C4104" i="2"/>
  <c r="B4152" i="2"/>
  <c r="I4192" i="2"/>
  <c r="H4152" i="2"/>
  <c r="I4152" i="2"/>
  <c r="D4192" i="2"/>
  <c r="F4152" i="2"/>
  <c r="A4152" i="2"/>
  <c r="A4192" i="2"/>
  <c r="D4152" i="2"/>
  <c r="F4192" i="2"/>
  <c r="H4192" i="2"/>
  <c r="B4192" i="2"/>
  <c r="I4639" i="2"/>
  <c r="G4361" i="2"/>
  <c r="B4445" i="2"/>
  <c r="D4578" i="2"/>
  <c r="F4809" i="2"/>
  <c r="C4659" i="2"/>
  <c r="G4725" i="2"/>
  <c r="F4578" i="2"/>
  <c r="A4928" i="2"/>
  <c r="F4639" i="2"/>
  <c r="I4361" i="2"/>
  <c r="C4578" i="2"/>
  <c r="G4928" i="2"/>
  <c r="I4809" i="2"/>
  <c r="D4659" i="2"/>
  <c r="C4639" i="2"/>
  <c r="G4445" i="2"/>
  <c r="A4725" i="2"/>
  <c r="C4725" i="2"/>
  <c r="H4628" i="2"/>
  <c r="I4445" i="2"/>
  <c r="A4809" i="2"/>
  <c r="C4459" i="2"/>
  <c r="A4445" i="2"/>
  <c r="A4659" i="2"/>
  <c r="D4725" i="2"/>
  <c r="I4578" i="2"/>
  <c r="A4628" i="2"/>
  <c r="F4459" i="2"/>
  <c r="A4578" i="2"/>
  <c r="B4659" i="2"/>
  <c r="I4628" i="2"/>
  <c r="G4628" i="2"/>
  <c r="D4928" i="2"/>
  <c r="F4928" i="2"/>
  <c r="A4459" i="2"/>
  <c r="D4809" i="2"/>
  <c r="G4809" i="2"/>
  <c r="H4659" i="2"/>
  <c r="H4578" i="2"/>
  <c r="H4639" i="2"/>
  <c r="H4928" i="2"/>
  <c r="C4809" i="2"/>
  <c r="G4639" i="2"/>
  <c r="B4725" i="2"/>
  <c r="B4928" i="2"/>
  <c r="D4361" i="2"/>
  <c r="B4361" i="2"/>
  <c r="H4361" i="2"/>
  <c r="H4725" i="2"/>
  <c r="D4445" i="2"/>
  <c r="G4459" i="2"/>
  <c r="C4928" i="2"/>
  <c r="C4445" i="2"/>
  <c r="H4809" i="2"/>
  <c r="D4628" i="2"/>
  <c r="G4659" i="2"/>
  <c r="C4628" i="2"/>
  <c r="I4459" i="2"/>
  <c r="A4639" i="2"/>
  <c r="B4628" i="2"/>
  <c r="H4459" i="2"/>
  <c r="F4361" i="2"/>
  <c r="G4578" i="2"/>
  <c r="F4725" i="2"/>
  <c r="F4659" i="2"/>
  <c r="B4459" i="2"/>
  <c r="B4639" i="2"/>
  <c r="A4361" i="2"/>
  <c r="H4445" i="2"/>
  <c r="D4459" i="2"/>
  <c r="F4445" i="2"/>
  <c r="I4659" i="2"/>
  <c r="I4928" i="2"/>
  <c r="I4725" i="2"/>
  <c r="B4809" i="2"/>
  <c r="B4578" i="2"/>
  <c r="D4639" i="2"/>
  <c r="F4628" i="2"/>
  <c r="C4361" i="2"/>
  <c r="H4039" i="2"/>
  <c r="I4039" i="2"/>
  <c r="F4039" i="2"/>
  <c r="H4059" i="2"/>
  <c r="H4268" i="2"/>
  <c r="F4059" i="2"/>
  <c r="G4039" i="2"/>
  <c r="G4049" i="2"/>
  <c r="F4049" i="2"/>
  <c r="F4268" i="2"/>
  <c r="I4268" i="2"/>
  <c r="H4049" i="2"/>
  <c r="G4059" i="2"/>
  <c r="I4059" i="2"/>
  <c r="G4268" i="2"/>
  <c r="I4049" i="2"/>
  <c r="D4279" i="2"/>
  <c r="A4279" i="2"/>
  <c r="C4051" i="2"/>
  <c r="B4051" i="2"/>
  <c r="F4252" i="2"/>
  <c r="C4210" i="2"/>
  <c r="A4051" i="2"/>
  <c r="I4279" i="2"/>
  <c r="F4210" i="2"/>
  <c r="I4210" i="2"/>
  <c r="F4279" i="2"/>
  <c r="A4210" i="2"/>
  <c r="I4051" i="2"/>
  <c r="C4252" i="2"/>
  <c r="I4252" i="2"/>
  <c r="C4279" i="2"/>
  <c r="B4252" i="2"/>
  <c r="F4051" i="2"/>
  <c r="A4252" i="2"/>
  <c r="B4279" i="2"/>
  <c r="D4210" i="2"/>
  <c r="B4210" i="2"/>
  <c r="D4051" i="2"/>
  <c r="D4252" i="2"/>
  <c r="F4099" i="2"/>
  <c r="D4099" i="2"/>
  <c r="G4099" i="2"/>
  <c r="B4099" i="2"/>
  <c r="A4099" i="2"/>
  <c r="F4733" i="2"/>
  <c r="B4807" i="2"/>
  <c r="F4441" i="2"/>
  <c r="B4489" i="2"/>
  <c r="D4489" i="2"/>
  <c r="F4837" i="2"/>
  <c r="C4807" i="2"/>
  <c r="G4975" i="2"/>
  <c r="I4956" i="2"/>
  <c r="I4169" i="2"/>
  <c r="C4441" i="2"/>
  <c r="I4975" i="2"/>
  <c r="D4985" i="2"/>
  <c r="F4472" i="2"/>
  <c r="G4733" i="2"/>
  <c r="B4975" i="2"/>
  <c r="I4807" i="2"/>
  <c r="H4169" i="2"/>
  <c r="A4489" i="2"/>
  <c r="C4985" i="2"/>
  <c r="A4975" i="2"/>
  <c r="F4169" i="2"/>
  <c r="I4441" i="2"/>
  <c r="G4956" i="2"/>
  <c r="A4169" i="2"/>
  <c r="B4169" i="2"/>
  <c r="D4441" i="2"/>
  <c r="D4733" i="2"/>
  <c r="F4975" i="2"/>
  <c r="F4956" i="2"/>
  <c r="D4956" i="2"/>
  <c r="F4985" i="2"/>
  <c r="C4472" i="2"/>
  <c r="H4733" i="2"/>
  <c r="B4441" i="2"/>
  <c r="B4985" i="2"/>
  <c r="C4733" i="2"/>
  <c r="G4472" i="2"/>
  <c r="C4956" i="2"/>
  <c r="D4807" i="2"/>
  <c r="G4837" i="2"/>
  <c r="A4472" i="2"/>
  <c r="C4169" i="2"/>
  <c r="I4489" i="2"/>
  <c r="A4956" i="2"/>
  <c r="B4837" i="2"/>
  <c r="A4837" i="2"/>
  <c r="D4837" i="2"/>
  <c r="I4472" i="2"/>
  <c r="C4489" i="2"/>
  <c r="B4472" i="2"/>
  <c r="B4733" i="2"/>
  <c r="G4489" i="2"/>
  <c r="G4985" i="2"/>
  <c r="H4985" i="2"/>
  <c r="H4441" i="2"/>
  <c r="A4807" i="2"/>
  <c r="H4956" i="2"/>
  <c r="I4837" i="2"/>
  <c r="G4169" i="2"/>
  <c r="H4975" i="2"/>
  <c r="A4733" i="2"/>
  <c r="F4807" i="2"/>
  <c r="H4807" i="2"/>
  <c r="H4472" i="2"/>
  <c r="F4489" i="2"/>
  <c r="G4441" i="2"/>
  <c r="A4985" i="2"/>
  <c r="C4837" i="2"/>
  <c r="D4975" i="2"/>
  <c r="A4441" i="2"/>
  <c r="B4956" i="2"/>
  <c r="G4807" i="2"/>
  <c r="D4472" i="2"/>
  <c r="C4975" i="2"/>
  <c r="H4837" i="2"/>
  <c r="I4733" i="2"/>
  <c r="I4985" i="2"/>
  <c r="H4489" i="2"/>
  <c r="D4169" i="2"/>
  <c r="G4388" i="2"/>
  <c r="F4193" i="2"/>
  <c r="B4191" i="2"/>
  <c r="F4191" i="2"/>
  <c r="F4388" i="2"/>
  <c r="A4388" i="2"/>
  <c r="B4171" i="2"/>
  <c r="A4306" i="2"/>
  <c r="C4306" i="2"/>
  <c r="B4193" i="2"/>
  <c r="G4171" i="2"/>
  <c r="I4388" i="2"/>
  <c r="G4191" i="2"/>
  <c r="I4191" i="2"/>
  <c r="F4306" i="2"/>
  <c r="I4193" i="2"/>
  <c r="B4306" i="2"/>
  <c r="G4193" i="2"/>
  <c r="G4306" i="2"/>
  <c r="I4306" i="2"/>
  <c r="F4171" i="2"/>
  <c r="A4193" i="2"/>
  <c r="H4388" i="2"/>
  <c r="A4171" i="2"/>
  <c r="H4191" i="2"/>
  <c r="C4171" i="2"/>
  <c r="C4388" i="2"/>
  <c r="I4171" i="2"/>
  <c r="H4171" i="2"/>
  <c r="C4191" i="2"/>
  <c r="C4193" i="2"/>
  <c r="B4388" i="2"/>
  <c r="A4191" i="2"/>
  <c r="H4306" i="2"/>
  <c r="H4193" i="2"/>
  <c r="G4018" i="2"/>
  <c r="F4056" i="2"/>
  <c r="D4063" i="2"/>
  <c r="H4387" i="2"/>
  <c r="D4046" i="2"/>
  <c r="H4036" i="2"/>
  <c r="I4018" i="2"/>
  <c r="C4036" i="2"/>
  <c r="I4036" i="2"/>
  <c r="C4046" i="2"/>
  <c r="C4063" i="2"/>
  <c r="H4056" i="2"/>
  <c r="F4036" i="2"/>
  <c r="C4387" i="2"/>
  <c r="G4046" i="2"/>
  <c r="F4063" i="2"/>
  <c r="I4387" i="2"/>
  <c r="D4036" i="2"/>
  <c r="H4063" i="2"/>
  <c r="C4018" i="2"/>
  <c r="I4063" i="2"/>
  <c r="I4046" i="2"/>
  <c r="G4056" i="2"/>
  <c r="G4063" i="2"/>
  <c r="G4036" i="2"/>
  <c r="D4018" i="2"/>
  <c r="G4387" i="2"/>
  <c r="H4046" i="2"/>
  <c r="F4046" i="2"/>
  <c r="H4018" i="2"/>
  <c r="C4056" i="2"/>
  <c r="D4387" i="2"/>
  <c r="F4018" i="2"/>
  <c r="F4387" i="2"/>
  <c r="D4056" i="2"/>
  <c r="I4056" i="2"/>
  <c r="A4847" i="2"/>
  <c r="A4772" i="2"/>
  <c r="H4301" i="2"/>
  <c r="H4990" i="2"/>
  <c r="F4990" i="2"/>
  <c r="G4929" i="2"/>
  <c r="D4772" i="2"/>
  <c r="B4772" i="2"/>
  <c r="F4847" i="2"/>
  <c r="G4027" i="2"/>
  <c r="C4772" i="2"/>
  <c r="G4990" i="2"/>
  <c r="I4929" i="2"/>
  <c r="G4804" i="2"/>
  <c r="C4485" i="2"/>
  <c r="I4207" i="2"/>
  <c r="A4485" i="2"/>
  <c r="F4301" i="2"/>
  <c r="I4990" i="2"/>
  <c r="G4862" i="2"/>
  <c r="I4301" i="2"/>
  <c r="F4027" i="2"/>
  <c r="D4207" i="2"/>
  <c r="B4862" i="2"/>
  <c r="F4772" i="2"/>
  <c r="H4027" i="2"/>
  <c r="D4990" i="2"/>
  <c r="D4847" i="2"/>
  <c r="H4862" i="2"/>
  <c r="D4027" i="2"/>
  <c r="D4301" i="2"/>
  <c r="G4847" i="2"/>
  <c r="D4862" i="2"/>
  <c r="A4804" i="2"/>
  <c r="F4804" i="2"/>
  <c r="C4301" i="2"/>
  <c r="I4862" i="2"/>
  <c r="G4207" i="2"/>
  <c r="A4990" i="2"/>
  <c r="I4804" i="2"/>
  <c r="F4207" i="2"/>
  <c r="G4485" i="2"/>
  <c r="A4301" i="2"/>
  <c r="D4485" i="2"/>
  <c r="H4207" i="2"/>
  <c r="H4847" i="2"/>
  <c r="F4929" i="2"/>
  <c r="D4929" i="2"/>
  <c r="B4027" i="2"/>
  <c r="C4027" i="2"/>
  <c r="I4847" i="2"/>
  <c r="F4485" i="2"/>
  <c r="C4990" i="2"/>
  <c r="G4772" i="2"/>
  <c r="F4862" i="2"/>
  <c r="I4772" i="2"/>
  <c r="B4207" i="2"/>
  <c r="B4929" i="2"/>
  <c r="B4804" i="2"/>
  <c r="C4862" i="2"/>
  <c r="A4207" i="2"/>
  <c r="H4929" i="2"/>
  <c r="H4485" i="2"/>
  <c r="G4301" i="2"/>
  <c r="A4027" i="2"/>
  <c r="I4485" i="2"/>
  <c r="H4804" i="2"/>
  <c r="C4804" i="2"/>
  <c r="C4929" i="2"/>
  <c r="B4301" i="2"/>
  <c r="D4804" i="2"/>
  <c r="C4847" i="2"/>
  <c r="I4027" i="2"/>
  <c r="B4847" i="2"/>
  <c r="A4862" i="2"/>
  <c r="H4772" i="2"/>
  <c r="A4929" i="2"/>
  <c r="B4485" i="2"/>
  <c r="C4207" i="2"/>
  <c r="B4990" i="2"/>
  <c r="F4856" i="2"/>
  <c r="I4235" i="2"/>
  <c r="A4743" i="2"/>
  <c r="H4743" i="2"/>
  <c r="B4481" i="2"/>
  <c r="B4856" i="2"/>
  <c r="D4265" i="2"/>
  <c r="F4773" i="2"/>
  <c r="C4265" i="2"/>
  <c r="H4265" i="2"/>
  <c r="G4743" i="2"/>
  <c r="H4856" i="2"/>
  <c r="F4462" i="2"/>
  <c r="F4142" i="2"/>
  <c r="B4819" i="2"/>
  <c r="A4773" i="2"/>
  <c r="H4235" i="2"/>
  <c r="A4142" i="2"/>
  <c r="G4265" i="2"/>
  <c r="B4265" i="2"/>
  <c r="C4481" i="2"/>
  <c r="C4142" i="2"/>
  <c r="F4265" i="2"/>
  <c r="A4856" i="2"/>
  <c r="I4481" i="2"/>
  <c r="H4819" i="2"/>
  <c r="B4773" i="2"/>
  <c r="B4142" i="2"/>
  <c r="I4142" i="2"/>
  <c r="C4743" i="2"/>
  <c r="F4235" i="2"/>
  <c r="G4142" i="2"/>
  <c r="F4564" i="2"/>
  <c r="D4481" i="2"/>
  <c r="A4265" i="2"/>
  <c r="B4743" i="2"/>
  <c r="C4856" i="2"/>
  <c r="I4743" i="2"/>
  <c r="C4819" i="2"/>
  <c r="G4856" i="2"/>
  <c r="H4462" i="2"/>
  <c r="B4564" i="2"/>
  <c r="D4856" i="2"/>
  <c r="A4564" i="2"/>
  <c r="I4773" i="2"/>
  <c r="A4462" i="2"/>
  <c r="G4564" i="2"/>
  <c r="F4481" i="2"/>
  <c r="C4235" i="2"/>
  <c r="G4773" i="2"/>
  <c r="C4564" i="2"/>
  <c r="G4235" i="2"/>
  <c r="I4564" i="2"/>
  <c r="C4773" i="2"/>
  <c r="A4819" i="2"/>
  <c r="B4235" i="2"/>
  <c r="G4819" i="2"/>
  <c r="D4564" i="2"/>
  <c r="I4462" i="2"/>
  <c r="D4462" i="2"/>
  <c r="D4819" i="2"/>
  <c r="G4462" i="2"/>
  <c r="F4819" i="2"/>
  <c r="D4743" i="2"/>
  <c r="D4235" i="2"/>
  <c r="H4773" i="2"/>
  <c r="B4462" i="2"/>
  <c r="A4481" i="2"/>
  <c r="H4481" i="2"/>
  <c r="F4743" i="2"/>
  <c r="C4462" i="2"/>
  <c r="D4142" i="2"/>
  <c r="G4481" i="2"/>
  <c r="H4142" i="2"/>
  <c r="I4265" i="2"/>
  <c r="I4856" i="2"/>
  <c r="D4773" i="2"/>
  <c r="I4819" i="2"/>
  <c r="H4564" i="2"/>
  <c r="A4235" i="2"/>
  <c r="B4622" i="2"/>
  <c r="H4814" i="2"/>
  <c r="I4407" i="2"/>
  <c r="G4554" i="2"/>
  <c r="F4381" i="2"/>
  <c r="H4500" i="2"/>
  <c r="D4690" i="2"/>
  <c r="D4636" i="2"/>
  <c r="B4814" i="2"/>
  <c r="A4690" i="2"/>
  <c r="G4500" i="2"/>
  <c r="C4614" i="2"/>
  <c r="A4614" i="2"/>
  <c r="F4814" i="2"/>
  <c r="D4622" i="2"/>
  <c r="F4614" i="2"/>
  <c r="H4381" i="2"/>
  <c r="H4614" i="2"/>
  <c r="H4636" i="2"/>
  <c r="I4622" i="2"/>
  <c r="A4407" i="2"/>
  <c r="I4381" i="2"/>
  <c r="F4789" i="2"/>
  <c r="H4622" i="2"/>
  <c r="D4381" i="2"/>
  <c r="H4690" i="2"/>
  <c r="I4690" i="2"/>
  <c r="H4407" i="2"/>
  <c r="B4381" i="2"/>
  <c r="B4407" i="2"/>
  <c r="I4814" i="2"/>
  <c r="C4636" i="2"/>
  <c r="I4614" i="2"/>
  <c r="F4407" i="2"/>
  <c r="G4814" i="2"/>
  <c r="A4381" i="2"/>
  <c r="G4622" i="2"/>
  <c r="A4500" i="2"/>
  <c r="B4789" i="2"/>
  <c r="A4789" i="2"/>
  <c r="B4554" i="2"/>
  <c r="G4407" i="2"/>
  <c r="A4814" i="2"/>
  <c r="F4500" i="2"/>
  <c r="D4789" i="2"/>
  <c r="G4614" i="2"/>
  <c r="F4622" i="2"/>
  <c r="F4636" i="2"/>
  <c r="I4554" i="2"/>
  <c r="F4554" i="2"/>
  <c r="G4789" i="2"/>
  <c r="G4636" i="2"/>
  <c r="A4622" i="2"/>
  <c r="I4789" i="2"/>
  <c r="C4690" i="2"/>
  <c r="A4554" i="2"/>
  <c r="C4407" i="2"/>
  <c r="C4500" i="2"/>
  <c r="B4636" i="2"/>
  <c r="D4614" i="2"/>
  <c r="H4554" i="2"/>
  <c r="I4500" i="2"/>
  <c r="I4636" i="2"/>
  <c r="D4554" i="2"/>
  <c r="D4814" i="2"/>
  <c r="B4690" i="2"/>
  <c r="C4381" i="2"/>
  <c r="D4500" i="2"/>
  <c r="D4407" i="2"/>
  <c r="B4614" i="2"/>
  <c r="G4690" i="2"/>
  <c r="C4622" i="2"/>
  <c r="C4814" i="2"/>
  <c r="C4789" i="2"/>
  <c r="G4381" i="2"/>
  <c r="C4554" i="2"/>
  <c r="B4500" i="2"/>
  <c r="A4636" i="2"/>
  <c r="H4789" i="2"/>
  <c r="F4690" i="2"/>
  <c r="G4257" i="2"/>
  <c r="C4194" i="2"/>
  <c r="I4194" i="2"/>
  <c r="D4054" i="2"/>
  <c r="C4253" i="2"/>
  <c r="A4054" i="2"/>
  <c r="H4178" i="2"/>
  <c r="G4054" i="2"/>
  <c r="A4194" i="2"/>
  <c r="D4257" i="2"/>
  <c r="D4194" i="2"/>
  <c r="C4257" i="2"/>
  <c r="F4178" i="2"/>
  <c r="C4178" i="2"/>
  <c r="H4194" i="2"/>
  <c r="F4194" i="2"/>
  <c r="I4257" i="2"/>
  <c r="C4054" i="2"/>
  <c r="A4257" i="2"/>
  <c r="H4257" i="2"/>
  <c r="H4054" i="2"/>
  <c r="I4054" i="2"/>
  <c r="F4257" i="2"/>
  <c r="G4253" i="2"/>
  <c r="A4178" i="2"/>
  <c r="D4178" i="2"/>
  <c r="D4253" i="2"/>
  <c r="I4178" i="2"/>
  <c r="F4253" i="2"/>
  <c r="I4253" i="2"/>
  <c r="F4054" i="2"/>
  <c r="G4178" i="2"/>
  <c r="H4253" i="2"/>
  <c r="A4253" i="2"/>
  <c r="G4194" i="2"/>
  <c r="G4233" i="2"/>
  <c r="D4844" i="2"/>
  <c r="D4374" i="2"/>
  <c r="I4405" i="2"/>
  <c r="C4156" i="2"/>
  <c r="F4233" i="2"/>
  <c r="A4156" i="2"/>
  <c r="C4389" i="2"/>
  <c r="I4138" i="2"/>
  <c r="I4759" i="2"/>
  <c r="H4616" i="2"/>
  <c r="B4343" i="2"/>
  <c r="A4624" i="2"/>
  <c r="H4623" i="2"/>
  <c r="A4759" i="2"/>
  <c r="A4976" i="2"/>
  <c r="I4343" i="2"/>
  <c r="B4891" i="2"/>
  <c r="I4389" i="2"/>
  <c r="G4976" i="2"/>
  <c r="B4624" i="2"/>
  <c r="G4343" i="2"/>
  <c r="F4272" i="2"/>
  <c r="H4272" i="2"/>
  <c r="C4623" i="2"/>
  <c r="G4448" i="2"/>
  <c r="C4770" i="2"/>
  <c r="A4405" i="2"/>
  <c r="F4448" i="2"/>
  <c r="D4623" i="2"/>
  <c r="F4623" i="2"/>
  <c r="F4389" i="2"/>
  <c r="F4138" i="2"/>
  <c r="B4759" i="2"/>
  <c r="B4138" i="2"/>
  <c r="A4616" i="2"/>
  <c r="B4653" i="2"/>
  <c r="F4616" i="2"/>
  <c r="F4405" i="2"/>
  <c r="D4272" i="2"/>
  <c r="C4891" i="2"/>
  <c r="I4751" i="2"/>
  <c r="B4405" i="2"/>
  <c r="I4891" i="2"/>
  <c r="C4272" i="2"/>
  <c r="F4770" i="2"/>
  <c r="I4233" i="2"/>
  <c r="C4138" i="2"/>
  <c r="B4156" i="2"/>
  <c r="D4849" i="2"/>
  <c r="A4623" i="2"/>
  <c r="C4343" i="2"/>
  <c r="B4849" i="2"/>
  <c r="I4616" i="2"/>
  <c r="H4624" i="2"/>
  <c r="D4653" i="2"/>
  <c r="A4891" i="2"/>
  <c r="B4770" i="2"/>
  <c r="I4849" i="2"/>
  <c r="A4389" i="2"/>
  <c r="A4138" i="2"/>
  <c r="G4653" i="2"/>
  <c r="I4448" i="2"/>
  <c r="C4844" i="2"/>
  <c r="I4272" i="2"/>
  <c r="A4448" i="2"/>
  <c r="G4770" i="2"/>
  <c r="C4233" i="2"/>
  <c r="B4616" i="2"/>
  <c r="A4343" i="2"/>
  <c r="G4751" i="2"/>
  <c r="F4343" i="2"/>
  <c r="H4156" i="2"/>
  <c r="B4751" i="2"/>
  <c r="G4156" i="2"/>
  <c r="I4770" i="2"/>
  <c r="B4623" i="2"/>
  <c r="H4389" i="2"/>
  <c r="H4374" i="2"/>
  <c r="F4156" i="2"/>
  <c r="G4138" i="2"/>
  <c r="F4849" i="2"/>
  <c r="I4976" i="2"/>
  <c r="H4891" i="2"/>
  <c r="D4138" i="2"/>
  <c r="A4653" i="2"/>
  <c r="G4389" i="2"/>
  <c r="F4374" i="2"/>
  <c r="A4751" i="2"/>
  <c r="G4623" i="2"/>
  <c r="H4751" i="2"/>
  <c r="F4653" i="2"/>
  <c r="A4272" i="2"/>
  <c r="D4405" i="2"/>
  <c r="H4844" i="2"/>
  <c r="C4849" i="2"/>
  <c r="I4374" i="2"/>
  <c r="A4374" i="2"/>
  <c r="H4405" i="2"/>
  <c r="D4891" i="2"/>
  <c r="D4751" i="2"/>
  <c r="G4624" i="2"/>
  <c r="B4844" i="2"/>
  <c r="A4844" i="2"/>
  <c r="G4272" i="2"/>
  <c r="F4751" i="2"/>
  <c r="C4624" i="2"/>
  <c r="G4849" i="2"/>
  <c r="I4653" i="2"/>
  <c r="H4653" i="2"/>
  <c r="F4976" i="2"/>
  <c r="C4616" i="2"/>
  <c r="B4374" i="2"/>
  <c r="H4759" i="2"/>
  <c r="D4976" i="2"/>
  <c r="G4616" i="2"/>
  <c r="H4770" i="2"/>
  <c r="F4759" i="2"/>
  <c r="C4759" i="2"/>
  <c r="D4233" i="2"/>
  <c r="D4770" i="2"/>
  <c r="D4156" i="2"/>
  <c r="G4759" i="2"/>
  <c r="D4389" i="2"/>
  <c r="D4448" i="2"/>
  <c r="A4233" i="2"/>
  <c r="H4233" i="2"/>
  <c r="D4616" i="2"/>
  <c r="D4624" i="2"/>
  <c r="H4343" i="2"/>
  <c r="H4138" i="2"/>
  <c r="B4272" i="2"/>
  <c r="A4770" i="2"/>
  <c r="C4653" i="2"/>
  <c r="D4343" i="2"/>
  <c r="F4844" i="2"/>
  <c r="B4389" i="2"/>
  <c r="C4751" i="2"/>
  <c r="I4156" i="2"/>
  <c r="I4623" i="2"/>
  <c r="C4374" i="2"/>
  <c r="C4976" i="2"/>
  <c r="G4844" i="2"/>
  <c r="G4405" i="2"/>
  <c r="C4448" i="2"/>
  <c r="G4891" i="2"/>
  <c r="A4849" i="2"/>
  <c r="H4976" i="2"/>
  <c r="B4233" i="2"/>
  <c r="D4759" i="2"/>
  <c r="H4448" i="2"/>
  <c r="C4405" i="2"/>
  <c r="H4849" i="2"/>
  <c r="F4624" i="2"/>
  <c r="B4448" i="2"/>
  <c r="I4844" i="2"/>
  <c r="B4976" i="2"/>
  <c r="G4374" i="2"/>
  <c r="F4891" i="2"/>
  <c r="I4624" i="2"/>
  <c r="D4618" i="2"/>
  <c r="H4916" i="2"/>
  <c r="D4375" i="2"/>
  <c r="C4916" i="2"/>
  <c r="B4460" i="2"/>
  <c r="B4934" i="2"/>
  <c r="C4933" i="2"/>
  <c r="D4933" i="2"/>
  <c r="F4934" i="2"/>
  <c r="I4934" i="2"/>
  <c r="I4375" i="2"/>
  <c r="I4506" i="2"/>
  <c r="A4916" i="2"/>
  <c r="A4934" i="2"/>
  <c r="G4342" i="2"/>
  <c r="H4933" i="2"/>
  <c r="F4893" i="2"/>
  <c r="F4375" i="2"/>
  <c r="B4375" i="2"/>
  <c r="I4618" i="2"/>
  <c r="I4893" i="2"/>
  <c r="G4916" i="2"/>
  <c r="G4506" i="2"/>
  <c r="C4618" i="2"/>
  <c r="D4342" i="2"/>
  <c r="G4460" i="2"/>
  <c r="B4916" i="2"/>
  <c r="A4893" i="2"/>
  <c r="C4342" i="2"/>
  <c r="G4893" i="2"/>
  <c r="H4506" i="2"/>
  <c r="G4812" i="2"/>
  <c r="B4342" i="2"/>
  <c r="D4893" i="2"/>
  <c r="F4506" i="2"/>
  <c r="A4618" i="2"/>
  <c r="C4506" i="2"/>
  <c r="G4933" i="2"/>
  <c r="F4460" i="2"/>
  <c r="A4506" i="2"/>
  <c r="C4375" i="2"/>
  <c r="I4933" i="2"/>
  <c r="C4893" i="2"/>
  <c r="C4460" i="2"/>
  <c r="D4460" i="2"/>
  <c r="I4812" i="2"/>
  <c r="D4934" i="2"/>
  <c r="I4342" i="2"/>
  <c r="A4933" i="2"/>
  <c r="F4342" i="2"/>
  <c r="A4375" i="2"/>
  <c r="D4812" i="2"/>
  <c r="A4460" i="2"/>
  <c r="F4933" i="2"/>
  <c r="H4893" i="2"/>
  <c r="B4618" i="2"/>
  <c r="A4812" i="2"/>
  <c r="F4812" i="2"/>
  <c r="C4812" i="2"/>
  <c r="G4375" i="2"/>
  <c r="D4506" i="2"/>
  <c r="F4618" i="2"/>
  <c r="G4618" i="2"/>
  <c r="I4460" i="2"/>
  <c r="D4916" i="2"/>
  <c r="A4342" i="2"/>
  <c r="H4812" i="2"/>
  <c r="I4916" i="2"/>
  <c r="C4934" i="2"/>
  <c r="H4934" i="2"/>
  <c r="H4460" i="2"/>
  <c r="B4893" i="2"/>
  <c r="B4933" i="2"/>
  <c r="B4506" i="2"/>
  <c r="H4375" i="2"/>
  <c r="G4934" i="2"/>
  <c r="H4342" i="2"/>
  <c r="B4812" i="2"/>
  <c r="H4618" i="2"/>
  <c r="F4916" i="2"/>
  <c r="B4017" i="2"/>
  <c r="D4017" i="2"/>
  <c r="F4220" i="2"/>
  <c r="D4220" i="2"/>
  <c r="F4017" i="2"/>
  <c r="B4220" i="2"/>
  <c r="B4089" i="2"/>
  <c r="I4334" i="2"/>
  <c r="B4366" i="2"/>
  <c r="G4521" i="2"/>
  <c r="C4748" i="2"/>
  <c r="B4757" i="2"/>
  <c r="I4757" i="2"/>
  <c r="F4780" i="2"/>
  <c r="D4089" i="2"/>
  <c r="C4590" i="2"/>
  <c r="I4607" i="2"/>
  <c r="D4521" i="2"/>
  <c r="F4521" i="2"/>
  <c r="D4334" i="2"/>
  <c r="D4780" i="2"/>
  <c r="F4366" i="2"/>
  <c r="F4748" i="2"/>
  <c r="G4780" i="2"/>
  <c r="I4590" i="2"/>
  <c r="B4521" i="2"/>
  <c r="A4089" i="2"/>
  <c r="H4757" i="2"/>
  <c r="A4748" i="2"/>
  <c r="G4607" i="2"/>
  <c r="H4590" i="2"/>
  <c r="H4748" i="2"/>
  <c r="F4607" i="2"/>
  <c r="G4334" i="2"/>
  <c r="G4748" i="2"/>
  <c r="H4676" i="2"/>
  <c r="I4521" i="2"/>
  <c r="D4607" i="2"/>
  <c r="H4334" i="2"/>
  <c r="B4607" i="2"/>
  <c r="C4757" i="2"/>
  <c r="B4748" i="2"/>
  <c r="B4334" i="2"/>
  <c r="H4780" i="2"/>
  <c r="A4607" i="2"/>
  <c r="C4089" i="2"/>
  <c r="B4780" i="2"/>
  <c r="H4521" i="2"/>
  <c r="G4366" i="2"/>
  <c r="I4780" i="2"/>
  <c r="I4676" i="2"/>
  <c r="H4366" i="2"/>
  <c r="G4676" i="2"/>
  <c r="B4676" i="2"/>
  <c r="C4676" i="2"/>
  <c r="A4521" i="2"/>
  <c r="I4748" i="2"/>
  <c r="F4334" i="2"/>
  <c r="D4676" i="2"/>
  <c r="G4590" i="2"/>
  <c r="C4366" i="2"/>
  <c r="F4757" i="2"/>
  <c r="A4676" i="2"/>
  <c r="H4089" i="2"/>
  <c r="F4089" i="2"/>
  <c r="H4607" i="2"/>
  <c r="D4366" i="2"/>
  <c r="I4089" i="2"/>
  <c r="B4590" i="2"/>
  <c r="A4590" i="2"/>
  <c r="G4757" i="2"/>
  <c r="I4366" i="2"/>
  <c r="A4366" i="2"/>
  <c r="A4334" i="2"/>
  <c r="C4607" i="2"/>
  <c r="D4757" i="2"/>
  <c r="G4089" i="2"/>
  <c r="D4590" i="2"/>
  <c r="F4590" i="2"/>
  <c r="F4676" i="2"/>
  <c r="A4780" i="2"/>
  <c r="C4780" i="2"/>
  <c r="C4334" i="2"/>
  <c r="D4748" i="2"/>
  <c r="C4521" i="2"/>
  <c r="A4757" i="2"/>
  <c r="G4229" i="2"/>
  <c r="A4300" i="2"/>
  <c r="D4229" i="2"/>
  <c r="H4300" i="2"/>
  <c r="H4229" i="2"/>
  <c r="G4300" i="2"/>
  <c r="D4300" i="2"/>
  <c r="I4300" i="2"/>
  <c r="I4229" i="2"/>
  <c r="A4229" i="2"/>
  <c r="G4450" i="2"/>
  <c r="A4699" i="2"/>
  <c r="C4137" i="2"/>
  <c r="G4446" i="2"/>
  <c r="D4953" i="2"/>
  <c r="B4699" i="2"/>
  <c r="G4699" i="2"/>
  <c r="I4450" i="2"/>
  <c r="B4964" i="2"/>
  <c r="I4446" i="2"/>
  <c r="A4137" i="2"/>
  <c r="A4608" i="2"/>
  <c r="A4999" i="2"/>
  <c r="D4450" i="2"/>
  <c r="H4953" i="2"/>
  <c r="A4529" i="2"/>
  <c r="B4446" i="2"/>
  <c r="C4999" i="2"/>
  <c r="B4953" i="2"/>
  <c r="D4561" i="2"/>
  <c r="H4561" i="2"/>
  <c r="F4529" i="2"/>
  <c r="D4608" i="2"/>
  <c r="C4450" i="2"/>
  <c r="H4999" i="2"/>
  <c r="D4699" i="2"/>
  <c r="F4608" i="2"/>
  <c r="I4608" i="2"/>
  <c r="F4446" i="2"/>
  <c r="I4999" i="2"/>
  <c r="H4699" i="2"/>
  <c r="D4137" i="2"/>
  <c r="C4608" i="2"/>
  <c r="C4561" i="2"/>
  <c r="C4953" i="2"/>
  <c r="H4964" i="2"/>
  <c r="H4446" i="2"/>
  <c r="I4137" i="2"/>
  <c r="F4450" i="2"/>
  <c r="F4953" i="2"/>
  <c r="G4137" i="2"/>
  <c r="I4561" i="2"/>
  <c r="B4529" i="2"/>
  <c r="G4608" i="2"/>
  <c r="A4450" i="2"/>
  <c r="C4964" i="2"/>
  <c r="F4561" i="2"/>
  <c r="G4529" i="2"/>
  <c r="D4529" i="2"/>
  <c r="I4699" i="2"/>
  <c r="F4999" i="2"/>
  <c r="A4561" i="2"/>
  <c r="I4953" i="2"/>
  <c r="C4529" i="2"/>
  <c r="A4446" i="2"/>
  <c r="B4137" i="2"/>
  <c r="H4529" i="2"/>
  <c r="H4608" i="2"/>
  <c r="H4450" i="2"/>
  <c r="A4964" i="2"/>
  <c r="G4964" i="2"/>
  <c r="C4446" i="2"/>
  <c r="B4561" i="2"/>
  <c r="A4953" i="2"/>
  <c r="G4999" i="2"/>
  <c r="D4964" i="2"/>
  <c r="D4999" i="2"/>
  <c r="I4964" i="2"/>
  <c r="F4137" i="2"/>
  <c r="I4529" i="2"/>
  <c r="C4699" i="2"/>
  <c r="F4964" i="2"/>
  <c r="G4561" i="2"/>
  <c r="B4450" i="2"/>
  <c r="B4999" i="2"/>
  <c r="D4446" i="2"/>
  <c r="H4137" i="2"/>
  <c r="B4608" i="2"/>
  <c r="G4953" i="2"/>
  <c r="F4699" i="2"/>
  <c r="G4709" i="2"/>
  <c r="I4884" i="2"/>
  <c r="H4613" i="2"/>
  <c r="C4884" i="2"/>
  <c r="H4709" i="2"/>
  <c r="G4613" i="2"/>
  <c r="A4325" i="2"/>
  <c r="D4340" i="2"/>
  <c r="F4613" i="2"/>
  <c r="G4774" i="2"/>
  <c r="D4884" i="2"/>
  <c r="F4774" i="2"/>
  <c r="F4325" i="2"/>
  <c r="H4351" i="2"/>
  <c r="F4884" i="2"/>
  <c r="C4613" i="2"/>
  <c r="H4884" i="2"/>
  <c r="A4884" i="2"/>
  <c r="G4938" i="2"/>
  <c r="C4774" i="2"/>
  <c r="F4351" i="2"/>
  <c r="B4938" i="2"/>
  <c r="D4613" i="2"/>
  <c r="B4884" i="2"/>
  <c r="I4774" i="2"/>
  <c r="B4351" i="2"/>
  <c r="C4325" i="2"/>
  <c r="D4325" i="2"/>
  <c r="A4351" i="2"/>
  <c r="G4351" i="2"/>
  <c r="F4340" i="2"/>
  <c r="I4340" i="2"/>
  <c r="A4938" i="2"/>
  <c r="I4325" i="2"/>
  <c r="C4938" i="2"/>
  <c r="C4709" i="2"/>
  <c r="D4709" i="2"/>
  <c r="I4938" i="2"/>
  <c r="C4351" i="2"/>
  <c r="B4613" i="2"/>
  <c r="I4709" i="2"/>
  <c r="D4774" i="2"/>
  <c r="H4340" i="2"/>
  <c r="H4938" i="2"/>
  <c r="G4884" i="2"/>
  <c r="D4938" i="2"/>
  <c r="A4709" i="2"/>
  <c r="A4613" i="2"/>
  <c r="D4351" i="2"/>
  <c r="A4340" i="2"/>
  <c r="I4613" i="2"/>
  <c r="B4325" i="2"/>
  <c r="H4325" i="2"/>
  <c r="C4340" i="2"/>
  <c r="F4938" i="2"/>
  <c r="H4774" i="2"/>
  <c r="B4709" i="2"/>
  <c r="F4709" i="2"/>
  <c r="B4340" i="2"/>
  <c r="G4325" i="2"/>
  <c r="G4340" i="2"/>
  <c r="A4774" i="2"/>
  <c r="I4351" i="2"/>
  <c r="B4774" i="2"/>
  <c r="G4776" i="2"/>
  <c r="B4263" i="2"/>
  <c r="C4391" i="2"/>
  <c r="F4562" i="2"/>
  <c r="C4118" i="2"/>
  <c r="F4391" i="2"/>
  <c r="H4391" i="2"/>
  <c r="C4776" i="2"/>
  <c r="I4567" i="2"/>
  <c r="D4263" i="2"/>
  <c r="I4429" i="2"/>
  <c r="G4429" i="2"/>
  <c r="B4567" i="2"/>
  <c r="G4823" i="2"/>
  <c r="D4429" i="2"/>
  <c r="C4823" i="2"/>
  <c r="G4118" i="2"/>
  <c r="C4429" i="2"/>
  <c r="I4562" i="2"/>
  <c r="H4992" i="2"/>
  <c r="D4118" i="2"/>
  <c r="H4263" i="2"/>
  <c r="F4263" i="2"/>
  <c r="A4992" i="2"/>
  <c r="H4429" i="2"/>
  <c r="B4823" i="2"/>
  <c r="H4562" i="2"/>
  <c r="F4567" i="2"/>
  <c r="H4649" i="2"/>
  <c r="H4776" i="2"/>
  <c r="I4992" i="2"/>
  <c r="G4391" i="2"/>
  <c r="B4649" i="2"/>
  <c r="A4649" i="2"/>
  <c r="B4776" i="2"/>
  <c r="D4567" i="2"/>
  <c r="F4649" i="2"/>
  <c r="I4391" i="2"/>
  <c r="G4992" i="2"/>
  <c r="C4992" i="2"/>
  <c r="D4992" i="2"/>
  <c r="B4429" i="2"/>
  <c r="B4391" i="2"/>
  <c r="C4649" i="2"/>
  <c r="I4118" i="2"/>
  <c r="A4118" i="2"/>
  <c r="D4562" i="2"/>
  <c r="I4649" i="2"/>
  <c r="A4776" i="2"/>
  <c r="B4118" i="2"/>
  <c r="I4823" i="2"/>
  <c r="H4118" i="2"/>
  <c r="D4776" i="2"/>
  <c r="G4263" i="2"/>
  <c r="D4649" i="2"/>
  <c r="B4562" i="2"/>
  <c r="H4567" i="2"/>
  <c r="A4562" i="2"/>
  <c r="B4992" i="2"/>
  <c r="A4567" i="2"/>
  <c r="G4562" i="2"/>
  <c r="C4263" i="2"/>
  <c r="D4823" i="2"/>
  <c r="F4776" i="2"/>
  <c r="D4391" i="2"/>
  <c r="A4263" i="2"/>
  <c r="I4776" i="2"/>
  <c r="C4567" i="2"/>
  <c r="F4429" i="2"/>
  <c r="H4823" i="2"/>
  <c r="F4992" i="2"/>
  <c r="F4823" i="2"/>
  <c r="A4823" i="2"/>
  <c r="G4567" i="2"/>
  <c r="C4562" i="2"/>
  <c r="I4263" i="2"/>
  <c r="G4649" i="2"/>
  <c r="A4429" i="2"/>
  <c r="F4118" i="2"/>
  <c r="A4391" i="2"/>
  <c r="C4826" i="2"/>
  <c r="A4768" i="2"/>
  <c r="I4926" i="2"/>
  <c r="D4454" i="2"/>
  <c r="A4826" i="2"/>
  <c r="G4633" i="2"/>
  <c r="F4979" i="2"/>
  <c r="D4497" i="2"/>
  <c r="H4826" i="2"/>
  <c r="D4519" i="2"/>
  <c r="C4219" i="2"/>
  <c r="F4219" i="2"/>
  <c r="H4768" i="2"/>
  <c r="H4075" i="2"/>
  <c r="D4926" i="2"/>
  <c r="B4768" i="2"/>
  <c r="F4826" i="2"/>
  <c r="C4926" i="2"/>
  <c r="G4926" i="2"/>
  <c r="F4454" i="2"/>
  <c r="B4519" i="2"/>
  <c r="F4633" i="2"/>
  <c r="D4826" i="2"/>
  <c r="C4519" i="2"/>
  <c r="G4219" i="2"/>
  <c r="D4075" i="2"/>
  <c r="G4075" i="2"/>
  <c r="G4979" i="2"/>
  <c r="I4979" i="2"/>
  <c r="I4768" i="2"/>
  <c r="H4519" i="2"/>
  <c r="A4519" i="2"/>
  <c r="C4633" i="2"/>
  <c r="G4826" i="2"/>
  <c r="C4497" i="2"/>
  <c r="A4926" i="2"/>
  <c r="B4075" i="2"/>
  <c r="F4768" i="2"/>
  <c r="D4768" i="2"/>
  <c r="C4979" i="2"/>
  <c r="A4979" i="2"/>
  <c r="B4826" i="2"/>
  <c r="D4979" i="2"/>
  <c r="I4497" i="2"/>
  <c r="H4497" i="2"/>
  <c r="I4519" i="2"/>
  <c r="H4219" i="2"/>
  <c r="I4075" i="2"/>
  <c r="A4633" i="2"/>
  <c r="G4519" i="2"/>
  <c r="B4633" i="2"/>
  <c r="C4454" i="2"/>
  <c r="B4979" i="2"/>
  <c r="B4926" i="2"/>
  <c r="C4768" i="2"/>
  <c r="F4497" i="2"/>
  <c r="B4497" i="2"/>
  <c r="D4633" i="2"/>
  <c r="B4454" i="2"/>
  <c r="I4219" i="2"/>
  <c r="F4926" i="2"/>
  <c r="A4075" i="2"/>
  <c r="G4454" i="2"/>
  <c r="C4075" i="2"/>
  <c r="D4219" i="2"/>
  <c r="I4454" i="2"/>
  <c r="H4454" i="2"/>
  <c r="I4633" i="2"/>
  <c r="A4497" i="2"/>
  <c r="B4219" i="2"/>
  <c r="G4768" i="2"/>
  <c r="H4979" i="2"/>
  <c r="A4219" i="2"/>
  <c r="F4075" i="2"/>
  <c r="A4454" i="2"/>
  <c r="H4633" i="2"/>
  <c r="G4497" i="2"/>
  <c r="I4826" i="2"/>
  <c r="H4926" i="2"/>
  <c r="F4519" i="2"/>
  <c r="D4889" i="2"/>
  <c r="B4779" i="2"/>
  <c r="H4779" i="2"/>
  <c r="C4779" i="2"/>
  <c r="G4796" i="2"/>
  <c r="D4216" i="2"/>
  <c r="D4248" i="2"/>
  <c r="A4745" i="2"/>
  <c r="B4344" i="2"/>
  <c r="B4760" i="2"/>
  <c r="D4344" i="2"/>
  <c r="A4889" i="2"/>
  <c r="I4796" i="2"/>
  <c r="F4745" i="2"/>
  <c r="I4889" i="2"/>
  <c r="H4216" i="2"/>
  <c r="C4889" i="2"/>
  <c r="F4779" i="2"/>
  <c r="F4731" i="2"/>
  <c r="H4745" i="2"/>
  <c r="F4216" i="2"/>
  <c r="F4796" i="2"/>
  <c r="G4344" i="2"/>
  <c r="D4745" i="2"/>
  <c r="G4760" i="2"/>
  <c r="I4760" i="2"/>
  <c r="B4731" i="2"/>
  <c r="G4745" i="2"/>
  <c r="G4248" i="2"/>
  <c r="H4796" i="2"/>
  <c r="C4248" i="2"/>
  <c r="C4796" i="2"/>
  <c r="F4643" i="2"/>
  <c r="H4760" i="2"/>
  <c r="B4796" i="2"/>
  <c r="D4779" i="2"/>
  <c r="H4248" i="2"/>
  <c r="F4889" i="2"/>
  <c r="G4779" i="2"/>
  <c r="H4731" i="2"/>
  <c r="I4731" i="2"/>
  <c r="G4216" i="2"/>
  <c r="I4779" i="2"/>
  <c r="D4731" i="2"/>
  <c r="G4731" i="2"/>
  <c r="F4248" i="2"/>
  <c r="I4248" i="2"/>
  <c r="B4216" i="2"/>
  <c r="C4643" i="2"/>
  <c r="I4216" i="2"/>
  <c r="C4344" i="2"/>
  <c r="A4344" i="2"/>
  <c r="G4889" i="2"/>
  <c r="H4344" i="2"/>
  <c r="H4889" i="2"/>
  <c r="B4643" i="2"/>
  <c r="D4643" i="2"/>
  <c r="B4248" i="2"/>
  <c r="C4216" i="2"/>
  <c r="B4745" i="2"/>
  <c r="C4760" i="2"/>
  <c r="H4643" i="2"/>
  <c r="F4760" i="2"/>
  <c r="F4344" i="2"/>
  <c r="A4760" i="2"/>
  <c r="C4731" i="2"/>
  <c r="I4745" i="2"/>
  <c r="A4796" i="2"/>
  <c r="I4643" i="2"/>
  <c r="A4643" i="2"/>
  <c r="C4745" i="2"/>
  <c r="I4344" i="2"/>
  <c r="A4731" i="2"/>
  <c r="D4760" i="2"/>
  <c r="G4643" i="2"/>
  <c r="A4779" i="2"/>
  <c r="D4796" i="2"/>
  <c r="A4248" i="2"/>
  <c r="B4889" i="2"/>
  <c r="A4216" i="2"/>
  <c r="F4980" i="2"/>
  <c r="A4479" i="2"/>
  <c r="I4599" i="2"/>
  <c r="C4399" i="2"/>
  <c r="D4980" i="2"/>
  <c r="G4538" i="2"/>
  <c r="D4082" i="2"/>
  <c r="I4815" i="2"/>
  <c r="F4082" i="2"/>
  <c r="F4538" i="2"/>
  <c r="B4479" i="2"/>
  <c r="G4479" i="2"/>
  <c r="C4479" i="2"/>
  <c r="D4599" i="2"/>
  <c r="A4986" i="2"/>
  <c r="B4980" i="2"/>
  <c r="A4538" i="2"/>
  <c r="F4986" i="2"/>
  <c r="B4599" i="2"/>
  <c r="F4835" i="2"/>
  <c r="I4835" i="2"/>
  <c r="G4599" i="2"/>
  <c r="I4399" i="2"/>
  <c r="D4538" i="2"/>
  <c r="I4082" i="2"/>
  <c r="C4082" i="2"/>
  <c r="D4835" i="2"/>
  <c r="B4082" i="2"/>
  <c r="C4815" i="2"/>
  <c r="F4399" i="2"/>
  <c r="B4835" i="2"/>
  <c r="A4599" i="2"/>
  <c r="C4538" i="2"/>
  <c r="A4082" i="2"/>
  <c r="B4791" i="2"/>
  <c r="B4986" i="2"/>
  <c r="D4479" i="2"/>
  <c r="B4399" i="2"/>
  <c r="G4980" i="2"/>
  <c r="G4986" i="2"/>
  <c r="H4538" i="2"/>
  <c r="F4791" i="2"/>
  <c r="H4815" i="2"/>
  <c r="H4479" i="2"/>
  <c r="C4835" i="2"/>
  <c r="I4791" i="2"/>
  <c r="G4082" i="2"/>
  <c r="H4835" i="2"/>
  <c r="I4980" i="2"/>
  <c r="A4791" i="2"/>
  <c r="A4399" i="2"/>
  <c r="F4815" i="2"/>
  <c r="I4538" i="2"/>
  <c r="C4599" i="2"/>
  <c r="G4399" i="2"/>
  <c r="H4986" i="2"/>
  <c r="H4791" i="2"/>
  <c r="C4980" i="2"/>
  <c r="C4791" i="2"/>
  <c r="H4980" i="2"/>
  <c r="F4479" i="2"/>
  <c r="H4599" i="2"/>
  <c r="G4791" i="2"/>
  <c r="D4815" i="2"/>
  <c r="I4986" i="2"/>
  <c r="H4399" i="2"/>
  <c r="G4835" i="2"/>
  <c r="C4986" i="2"/>
  <c r="G4815" i="2"/>
  <c r="A4815" i="2"/>
  <c r="A4980" i="2"/>
  <c r="H4082" i="2"/>
  <c r="F4599" i="2"/>
  <c r="D4399" i="2"/>
  <c r="B4815" i="2"/>
  <c r="D4791" i="2"/>
  <c r="B4538" i="2"/>
  <c r="I4479" i="2"/>
  <c r="D4986" i="2"/>
  <c r="A4835" i="2"/>
  <c r="G4977" i="2"/>
  <c r="D4461" i="2"/>
  <c r="H4576" i="2"/>
  <c r="B4978" i="2"/>
  <c r="B4634" i="2"/>
  <c r="I4634" i="2"/>
  <c r="G4461" i="2"/>
  <c r="B4293" i="2"/>
  <c r="H4461" i="2"/>
  <c r="C4461" i="2"/>
  <c r="B4576" i="2"/>
  <c r="I4978" i="2"/>
  <c r="I4461" i="2"/>
  <c r="I4390" i="2"/>
  <c r="G4591" i="2"/>
  <c r="A4977" i="2"/>
  <c r="I4123" i="2"/>
  <c r="H4123" i="2"/>
  <c r="H4591" i="2"/>
  <c r="I4591" i="2"/>
  <c r="C4293" i="2"/>
  <c r="A4390" i="2"/>
  <c r="H4977" i="2"/>
  <c r="A4591" i="2"/>
  <c r="B4123" i="2"/>
  <c r="C4634" i="2"/>
  <c r="B4390" i="2"/>
  <c r="F4978" i="2"/>
  <c r="G4836" i="2"/>
  <c r="G4576" i="2"/>
  <c r="F4293" i="2"/>
  <c r="A4293" i="2"/>
  <c r="I4836" i="2"/>
  <c r="A4978" i="2"/>
  <c r="C4977" i="2"/>
  <c r="G4634" i="2"/>
  <c r="D4576" i="2"/>
  <c r="F4123" i="2"/>
  <c r="A4123" i="2"/>
  <c r="H4978" i="2"/>
  <c r="F4591" i="2"/>
  <c r="G4978" i="2"/>
  <c r="C4591" i="2"/>
  <c r="F4576" i="2"/>
  <c r="D4293" i="2"/>
  <c r="I4293" i="2"/>
  <c r="F4461" i="2"/>
  <c r="C4576" i="2"/>
  <c r="F4977" i="2"/>
  <c r="D4634" i="2"/>
  <c r="D4977" i="2"/>
  <c r="H4836" i="2"/>
  <c r="D4978" i="2"/>
  <c r="C4123" i="2"/>
  <c r="C4836" i="2"/>
  <c r="B4977" i="2"/>
  <c r="F4634" i="2"/>
  <c r="C4390" i="2"/>
  <c r="G4390" i="2"/>
  <c r="D4123" i="2"/>
  <c r="H4634" i="2"/>
  <c r="B4836" i="2"/>
  <c r="D4390" i="2"/>
  <c r="B4461" i="2"/>
  <c r="G4293" i="2"/>
  <c r="F4390" i="2"/>
  <c r="I4576" i="2"/>
  <c r="F4836" i="2"/>
  <c r="B4591" i="2"/>
  <c r="A4836" i="2"/>
  <c r="H4293" i="2"/>
  <c r="C4978" i="2"/>
  <c r="D4836" i="2"/>
  <c r="A4576" i="2"/>
  <c r="A4461" i="2"/>
  <c r="G4123" i="2"/>
  <c r="H4390" i="2"/>
  <c r="I4977" i="2"/>
  <c r="A4634" i="2"/>
  <c r="D4591" i="2"/>
  <c r="D4905" i="2"/>
  <c r="H4357" i="2"/>
  <c r="B4549" i="2"/>
  <c r="I4295" i="2"/>
  <c r="H4872" i="2"/>
  <c r="A4246" i="2"/>
  <c r="A4763" i="2"/>
  <c r="G4295" i="2"/>
  <c r="B4872" i="2"/>
  <c r="H4278" i="2"/>
  <c r="C4278" i="2"/>
  <c r="A4357" i="2"/>
  <c r="A4872" i="2"/>
  <c r="B4758" i="2"/>
  <c r="I4905" i="2"/>
  <c r="A4724" i="2"/>
  <c r="C4357" i="2"/>
  <c r="B4295" i="2"/>
  <c r="F4758" i="2"/>
  <c r="H4549" i="2"/>
  <c r="H4295" i="2"/>
  <c r="G4246" i="2"/>
  <c r="A4758" i="2"/>
  <c r="D4872" i="2"/>
  <c r="H4905" i="2"/>
  <c r="I4278" i="2"/>
  <c r="D4724" i="2"/>
  <c r="B4763" i="2"/>
  <c r="D4278" i="2"/>
  <c r="H4758" i="2"/>
  <c r="G4278" i="2"/>
  <c r="F4246" i="2"/>
  <c r="G4549" i="2"/>
  <c r="H4246" i="2"/>
  <c r="B4246" i="2"/>
  <c r="B4357" i="2"/>
  <c r="F4872" i="2"/>
  <c r="A4905" i="2"/>
  <c r="C4549" i="2"/>
  <c r="I4246" i="2"/>
  <c r="H4763" i="2"/>
  <c r="I4724" i="2"/>
  <c r="A4295" i="2"/>
  <c r="C4295" i="2"/>
  <c r="I4758" i="2"/>
  <c r="G4357" i="2"/>
  <c r="D4758" i="2"/>
  <c r="H4724" i="2"/>
  <c r="G4724" i="2"/>
  <c r="F4905" i="2"/>
  <c r="D4357" i="2"/>
  <c r="G4758" i="2"/>
  <c r="I4872" i="2"/>
  <c r="D4246" i="2"/>
  <c r="B4724" i="2"/>
  <c r="B4905" i="2"/>
  <c r="F4724" i="2"/>
  <c r="F4763" i="2"/>
  <c r="I4549" i="2"/>
  <c r="D4295" i="2"/>
  <c r="G4905" i="2"/>
  <c r="B4278" i="2"/>
  <c r="G4763" i="2"/>
  <c r="I4763" i="2"/>
  <c r="F4278" i="2"/>
  <c r="I4357" i="2"/>
  <c r="A4549" i="2"/>
  <c r="D4763" i="2"/>
  <c r="C4872" i="2"/>
  <c r="F4549" i="2"/>
  <c r="F4357" i="2"/>
  <c r="C4763" i="2"/>
  <c r="A4278" i="2"/>
  <c r="C4758" i="2"/>
  <c r="C4905" i="2"/>
  <c r="F4295" i="2"/>
  <c r="C4246" i="2"/>
  <c r="D4549" i="2"/>
  <c r="G4872" i="2"/>
  <c r="C4724" i="2"/>
  <c r="A4626" i="2"/>
  <c r="I4383" i="2"/>
  <c r="G4383" i="2"/>
  <c r="D4742" i="2"/>
  <c r="C4850" i="2"/>
  <c r="D4383" i="2"/>
  <c r="A4098" i="2"/>
  <c r="H4931" i="2"/>
  <c r="D4098" i="2"/>
  <c r="F4740" i="2"/>
  <c r="D4332" i="2"/>
  <c r="G4098" i="2"/>
  <c r="C4742" i="2"/>
  <c r="I4332" i="2"/>
  <c r="A4383" i="2"/>
  <c r="C4332" i="2"/>
  <c r="H4740" i="2"/>
  <c r="H4951" i="2"/>
  <c r="G4742" i="2"/>
  <c r="D4931" i="2"/>
  <c r="D4850" i="2"/>
  <c r="H4626" i="2"/>
  <c r="B4742" i="2"/>
  <c r="G4332" i="2"/>
  <c r="I4931" i="2"/>
  <c r="A5000" i="2"/>
  <c r="G4850" i="2"/>
  <c r="H4383" i="2"/>
  <c r="I4626" i="2"/>
  <c r="G4626" i="2"/>
  <c r="G5000" i="2"/>
  <c r="A4740" i="2"/>
  <c r="C4740" i="2"/>
  <c r="B4098" i="2"/>
  <c r="A4951" i="2"/>
  <c r="B4931" i="2"/>
  <c r="I5000" i="2"/>
  <c r="H4742" i="2"/>
  <c r="C4951" i="2"/>
  <c r="A4332" i="2"/>
  <c r="H4332" i="2"/>
  <c r="A4931" i="2"/>
  <c r="F4332" i="2"/>
  <c r="G4931" i="2"/>
  <c r="B5000" i="2"/>
  <c r="B4850" i="2"/>
  <c r="H4098" i="2"/>
  <c r="D4626" i="2"/>
  <c r="F4742" i="2"/>
  <c r="B4626" i="2"/>
  <c r="A4742" i="2"/>
  <c r="F4626" i="2"/>
  <c r="I4098" i="2"/>
  <c r="D4951" i="2"/>
  <c r="G4740" i="2"/>
  <c r="C4931" i="2"/>
  <c r="B4740" i="2"/>
  <c r="H5000" i="2"/>
  <c r="B4383" i="2"/>
  <c r="I4850" i="2"/>
  <c r="D5000" i="2"/>
  <c r="A4850" i="2"/>
  <c r="F4951" i="2"/>
  <c r="B4951" i="2"/>
  <c r="C4383" i="2"/>
  <c r="C5000" i="2"/>
  <c r="F4098" i="2"/>
  <c r="H4850" i="2"/>
  <c r="D4740" i="2"/>
  <c r="B4332" i="2"/>
  <c r="F4931" i="2"/>
  <c r="G4951" i="2"/>
  <c r="F5000" i="2"/>
  <c r="I4740" i="2"/>
  <c r="I4742" i="2"/>
  <c r="C4626" i="2"/>
  <c r="F4383" i="2"/>
  <c r="F4850" i="2"/>
  <c r="C4098" i="2"/>
  <c r="I4951" i="2"/>
  <c r="B4556" i="2"/>
  <c r="D4236" i="2"/>
  <c r="F4236" i="2"/>
  <c r="C4897" i="2"/>
  <c r="D4556" i="2"/>
  <c r="I4416" i="2"/>
  <c r="D4416" i="2"/>
  <c r="B4897" i="2"/>
  <c r="G4110" i="2"/>
  <c r="G4347" i="2"/>
  <c r="A4416" i="2"/>
  <c r="D4997" i="2"/>
  <c r="H4416" i="2"/>
  <c r="I4110" i="2"/>
  <c r="C4347" i="2"/>
  <c r="C4627" i="2"/>
  <c r="H4556" i="2"/>
  <c r="D4627" i="2"/>
  <c r="H4110" i="2"/>
  <c r="C4997" i="2"/>
  <c r="H4236" i="2"/>
  <c r="F4337" i="2"/>
  <c r="C4236" i="2"/>
  <c r="G4997" i="2"/>
  <c r="A4337" i="2"/>
  <c r="G4897" i="2"/>
  <c r="H4337" i="2"/>
  <c r="B4793" i="2"/>
  <c r="A4793" i="2"/>
  <c r="B4627" i="2"/>
  <c r="B4347" i="2"/>
  <c r="H4897" i="2"/>
  <c r="D4337" i="2"/>
  <c r="G4236" i="2"/>
  <c r="G4416" i="2"/>
  <c r="G4627" i="2"/>
  <c r="D4793" i="2"/>
  <c r="I4793" i="2"/>
  <c r="H4347" i="2"/>
  <c r="A4897" i="2"/>
  <c r="F4110" i="2"/>
  <c r="A4236" i="2"/>
  <c r="F4556" i="2"/>
  <c r="F4347" i="2"/>
  <c r="G4793" i="2"/>
  <c r="C4337" i="2"/>
  <c r="G4337" i="2"/>
  <c r="D4110" i="2"/>
  <c r="C4416" i="2"/>
  <c r="C4793" i="2"/>
  <c r="I4236" i="2"/>
  <c r="A4627" i="2"/>
  <c r="I4347" i="2"/>
  <c r="F4997" i="2"/>
  <c r="F4627" i="2"/>
  <c r="F4897" i="2"/>
  <c r="I4897" i="2"/>
  <c r="F4793" i="2"/>
  <c r="A4997" i="2"/>
  <c r="B4337" i="2"/>
  <c r="G4556" i="2"/>
  <c r="A4347" i="2"/>
  <c r="C4556" i="2"/>
  <c r="B4416" i="2"/>
  <c r="C4110" i="2"/>
  <c r="A4110" i="2"/>
  <c r="I4556" i="2"/>
  <c r="I4997" i="2"/>
  <c r="H4627" i="2"/>
  <c r="B4997" i="2"/>
  <c r="H4997" i="2"/>
  <c r="D4897" i="2"/>
  <c r="I4337" i="2"/>
  <c r="I4627" i="2"/>
  <c r="B4110" i="2"/>
  <c r="F4416" i="2"/>
  <c r="B4236" i="2"/>
  <c r="A4556" i="2"/>
  <c r="H4793" i="2"/>
  <c r="D4347" i="2"/>
  <c r="F4901" i="2"/>
  <c r="G4228" i="2"/>
  <c r="A4954" i="2"/>
  <c r="H4949" i="2"/>
  <c r="F4962" i="2"/>
  <c r="D4954" i="2"/>
  <c r="F4620" i="2"/>
  <c r="I4876" i="2"/>
  <c r="G4901" i="2"/>
  <c r="F4949" i="2"/>
  <c r="I4962" i="2"/>
  <c r="C4954" i="2"/>
  <c r="F4228" i="2"/>
  <c r="F4223" i="2"/>
  <c r="B4962" i="2"/>
  <c r="I4718" i="2"/>
  <c r="C4876" i="2"/>
  <c r="D4962" i="2"/>
  <c r="H4901" i="2"/>
  <c r="F4876" i="2"/>
  <c r="H4223" i="2"/>
  <c r="I4620" i="2"/>
  <c r="D4840" i="2"/>
  <c r="H4954" i="2"/>
  <c r="G4223" i="2"/>
  <c r="I4223" i="2"/>
  <c r="B4876" i="2"/>
  <c r="A4718" i="2"/>
  <c r="G4840" i="2"/>
  <c r="F4840" i="2"/>
  <c r="B4949" i="2"/>
  <c r="A4223" i="2"/>
  <c r="G4620" i="2"/>
  <c r="G4954" i="2"/>
  <c r="C4840" i="2"/>
  <c r="C4949" i="2"/>
  <c r="H4876" i="2"/>
  <c r="B4718" i="2"/>
  <c r="H4840" i="2"/>
  <c r="I4954" i="2"/>
  <c r="C4223" i="2"/>
  <c r="C4620" i="2"/>
  <c r="D4949" i="2"/>
  <c r="A4840" i="2"/>
  <c r="A4228" i="2"/>
  <c r="D4876" i="2"/>
  <c r="B4228" i="2"/>
  <c r="H4718" i="2"/>
  <c r="G4876" i="2"/>
  <c r="F4718" i="2"/>
  <c r="C4962" i="2"/>
  <c r="D4228" i="2"/>
  <c r="D4223" i="2"/>
  <c r="D4901" i="2"/>
  <c r="H4620" i="2"/>
  <c r="A4949" i="2"/>
  <c r="G4718" i="2"/>
  <c r="B4954" i="2"/>
  <c r="B4901" i="2"/>
  <c r="D4718" i="2"/>
  <c r="B4620" i="2"/>
  <c r="I4901" i="2"/>
  <c r="C4901" i="2"/>
  <c r="A4620" i="2"/>
  <c r="H4228" i="2"/>
  <c r="G4949" i="2"/>
  <c r="H4962" i="2"/>
  <c r="A4962" i="2"/>
  <c r="I4840" i="2"/>
  <c r="I4228" i="2"/>
  <c r="D4620" i="2"/>
  <c r="I4949" i="2"/>
  <c r="A4901" i="2"/>
  <c r="A4876" i="2"/>
  <c r="C4718" i="2"/>
  <c r="G4962" i="2"/>
  <c r="F4954" i="2"/>
  <c r="B4223" i="2"/>
  <c r="C4228" i="2"/>
  <c r="B4840" i="2"/>
  <c r="H4083" i="2"/>
  <c r="D4145" i="2"/>
  <c r="I4298" i="2"/>
  <c r="G4083" i="2"/>
  <c r="C4083" i="2"/>
  <c r="A4145" i="2"/>
  <c r="D4083" i="2"/>
  <c r="G4298" i="2"/>
  <c r="B4145" i="2"/>
  <c r="B4083" i="2"/>
  <c r="H4145" i="2"/>
  <c r="D4298" i="2"/>
  <c r="H4298" i="2"/>
  <c r="I4083" i="2"/>
  <c r="I4145" i="2"/>
  <c r="A4083" i="2"/>
  <c r="B4298" i="2"/>
  <c r="A4298" i="2"/>
  <c r="C4298" i="2"/>
  <c r="G4145" i="2"/>
  <c r="C4145" i="2"/>
  <c r="D4033" i="2"/>
  <c r="G4030" i="2"/>
  <c r="I4030" i="2"/>
  <c r="I4033" i="2"/>
  <c r="C4033" i="2"/>
  <c r="H4033" i="2"/>
  <c r="F4033" i="2"/>
  <c r="B4033" i="2"/>
  <c r="C4030" i="2"/>
  <c r="G4033" i="2"/>
  <c r="F4030" i="2"/>
  <c r="D4030" i="2"/>
  <c r="B4030" i="2"/>
  <c r="H4030" i="2"/>
  <c r="D4182" i="2"/>
  <c r="A4902" i="2"/>
  <c r="D4802" i="2"/>
  <c r="C4802" i="2"/>
  <c r="F4495" i="2"/>
  <c r="H4714" i="2"/>
  <c r="H4744" i="2"/>
  <c r="C4714" i="2"/>
  <c r="C4148" i="2"/>
  <c r="A4418" i="2"/>
  <c r="D4418" i="2"/>
  <c r="C4505" i="2"/>
  <c r="C4495" i="2"/>
  <c r="I4495" i="2"/>
  <c r="B4495" i="2"/>
  <c r="I4505" i="2"/>
  <c r="F4418" i="2"/>
  <c r="D4902" i="2"/>
  <c r="G4495" i="2"/>
  <c r="G4182" i="2"/>
  <c r="G4802" i="2"/>
  <c r="F4505" i="2"/>
  <c r="A4744" i="2"/>
  <c r="B4860" i="2"/>
  <c r="C4860" i="2"/>
  <c r="I4418" i="2"/>
  <c r="I4182" i="2"/>
  <c r="F4744" i="2"/>
  <c r="D4714" i="2"/>
  <c r="C4902" i="2"/>
  <c r="F4714" i="2"/>
  <c r="D4505" i="2"/>
  <c r="G4860" i="2"/>
  <c r="I4148" i="2"/>
  <c r="A4860" i="2"/>
  <c r="F4182" i="2"/>
  <c r="C4744" i="2"/>
  <c r="G4148" i="2"/>
  <c r="G4505" i="2"/>
  <c r="A4505" i="2"/>
  <c r="A4182" i="2"/>
  <c r="C4182" i="2"/>
  <c r="B4182" i="2"/>
  <c r="D4860" i="2"/>
  <c r="F4148" i="2"/>
  <c r="B4902" i="2"/>
  <c r="I4802" i="2"/>
  <c r="H4802" i="2"/>
  <c r="I4714" i="2"/>
  <c r="H4860" i="2"/>
  <c r="I4860" i="2"/>
  <c r="B4418" i="2"/>
  <c r="A4714" i="2"/>
  <c r="A4148" i="2"/>
  <c r="C4418" i="2"/>
  <c r="I4744" i="2"/>
  <c r="G4744" i="2"/>
  <c r="D4495" i="2"/>
  <c r="H4148" i="2"/>
  <c r="H4505" i="2"/>
  <c r="H4418" i="2"/>
  <c r="I4902" i="2"/>
  <c r="B4802" i="2"/>
  <c r="G4714" i="2"/>
  <c r="H4902" i="2"/>
  <c r="D4148" i="2"/>
  <c r="F4902" i="2"/>
  <c r="A4802" i="2"/>
  <c r="B4744" i="2"/>
  <c r="H4495" i="2"/>
  <c r="D4744" i="2"/>
  <c r="B4148" i="2"/>
  <c r="H4182" i="2"/>
  <c r="G4902" i="2"/>
  <c r="F4802" i="2"/>
  <c r="B4714" i="2"/>
  <c r="G4418" i="2"/>
  <c r="B4505" i="2"/>
  <c r="A4495" i="2"/>
  <c r="F4860" i="2"/>
  <c r="G4157" i="2"/>
  <c r="F4159" i="2"/>
  <c r="D4159" i="2"/>
  <c r="F4037" i="2"/>
  <c r="G4379" i="2"/>
  <c r="F4379" i="2"/>
  <c r="I4379" i="2"/>
  <c r="D4047" i="2"/>
  <c r="B4159" i="2"/>
  <c r="C4379" i="2"/>
  <c r="D4379" i="2"/>
  <c r="F4072" i="2"/>
  <c r="G4159" i="2"/>
  <c r="A4157" i="2"/>
  <c r="B4047" i="2"/>
  <c r="I4072" i="2"/>
  <c r="A4047" i="2"/>
  <c r="G4072" i="2"/>
  <c r="I4157" i="2"/>
  <c r="D4072" i="2"/>
  <c r="B4037" i="2"/>
  <c r="I4047" i="2"/>
  <c r="G4047" i="2"/>
  <c r="B4072" i="2"/>
  <c r="A4037" i="2"/>
  <c r="F4047" i="2"/>
  <c r="A4379" i="2"/>
  <c r="A4159" i="2"/>
  <c r="B4157" i="2"/>
  <c r="G4037" i="2"/>
  <c r="C4157" i="2"/>
  <c r="D4157" i="2"/>
  <c r="F4157" i="2"/>
  <c r="D4037" i="2"/>
  <c r="C4159" i="2"/>
  <c r="C4037" i="2"/>
  <c r="C4047" i="2"/>
  <c r="B4379" i="2"/>
  <c r="I4037" i="2"/>
  <c r="A4072" i="2"/>
  <c r="C4072" i="2"/>
  <c r="I4159" i="2"/>
  <c r="G4211" i="2"/>
  <c r="I4211" i="2"/>
  <c r="H4211" i="2"/>
  <c r="C4211" i="2"/>
  <c r="F4211" i="2"/>
  <c r="A4073" i="2"/>
  <c r="I4073" i="2"/>
  <c r="I4328" i="2"/>
  <c r="A4328" i="2"/>
  <c r="H4328" i="2"/>
  <c r="H4073" i="2"/>
  <c r="A4671" i="2"/>
  <c r="C4128" i="2"/>
  <c r="C4671" i="2"/>
  <c r="A4128" i="2"/>
  <c r="F4685" i="2"/>
  <c r="G4365" i="2"/>
  <c r="H4615" i="2"/>
  <c r="F4857" i="2"/>
  <c r="D4365" i="2"/>
  <c r="G4671" i="2"/>
  <c r="A4085" i="2"/>
  <c r="B4443" i="2"/>
  <c r="I4695" i="2"/>
  <c r="H4857" i="2"/>
  <c r="D4128" i="2"/>
  <c r="F4695" i="2"/>
  <c r="D4857" i="2"/>
  <c r="D4671" i="2"/>
  <c r="C4857" i="2"/>
  <c r="F4312" i="2"/>
  <c r="H4085" i="2"/>
  <c r="D4615" i="2"/>
  <c r="G4128" i="2"/>
  <c r="G4695" i="2"/>
  <c r="I4671" i="2"/>
  <c r="B4857" i="2"/>
  <c r="B4312" i="2"/>
  <c r="G4857" i="2"/>
  <c r="A4685" i="2"/>
  <c r="F4085" i="2"/>
  <c r="A4312" i="2"/>
  <c r="C4615" i="2"/>
  <c r="I4615" i="2"/>
  <c r="I4365" i="2"/>
  <c r="F4365" i="2"/>
  <c r="H4443" i="2"/>
  <c r="H4128" i="2"/>
  <c r="H4695" i="2"/>
  <c r="C4312" i="2"/>
  <c r="F4128" i="2"/>
  <c r="G4312" i="2"/>
  <c r="A4857" i="2"/>
  <c r="H4312" i="2"/>
  <c r="I4443" i="2"/>
  <c r="G4443" i="2"/>
  <c r="H4365" i="2"/>
  <c r="C4685" i="2"/>
  <c r="B4671" i="2"/>
  <c r="D4695" i="2"/>
  <c r="G4685" i="2"/>
  <c r="B4085" i="2"/>
  <c r="I4085" i="2"/>
  <c r="C4443" i="2"/>
  <c r="B4365" i="2"/>
  <c r="D4685" i="2"/>
  <c r="I4128" i="2"/>
  <c r="B4615" i="2"/>
  <c r="A4695" i="2"/>
  <c r="H4685" i="2"/>
  <c r="D4443" i="2"/>
  <c r="A4443" i="2"/>
  <c r="A4365" i="2"/>
  <c r="G4085" i="2"/>
  <c r="D4312" i="2"/>
  <c r="I4685" i="2"/>
  <c r="F4615" i="2"/>
  <c r="C4085" i="2"/>
  <c r="H4671" i="2"/>
  <c r="A4615" i="2"/>
  <c r="F4443" i="2"/>
  <c r="B4695" i="2"/>
  <c r="C4365" i="2"/>
  <c r="I4312" i="2"/>
  <c r="I4857" i="2"/>
  <c r="F4671" i="2"/>
  <c r="G4615" i="2"/>
  <c r="C4695" i="2"/>
  <c r="D4085" i="2"/>
  <c r="B4685" i="2"/>
  <c r="B4128" i="2"/>
  <c r="C4380" i="2"/>
  <c r="C4686" i="2"/>
  <c r="A4851" i="2"/>
  <c r="F4352" i="2"/>
  <c r="I4380" i="2"/>
  <c r="F4915" i="2"/>
  <c r="C4373" i="2"/>
  <c r="B4542" i="2"/>
  <c r="A4799" i="2"/>
  <c r="I4808" i="2"/>
  <c r="D4808" i="2"/>
  <c r="A4352" i="2"/>
  <c r="A4380" i="2"/>
  <c r="F4686" i="2"/>
  <c r="B4352" i="2"/>
  <c r="I4915" i="2"/>
  <c r="C4542" i="2"/>
  <c r="G4380" i="2"/>
  <c r="A4887" i="2"/>
  <c r="A4915" i="2"/>
  <c r="C4352" i="2"/>
  <c r="I4352" i="2"/>
  <c r="A4686" i="2"/>
  <c r="D4352" i="2"/>
  <c r="B4808" i="2"/>
  <c r="F4542" i="2"/>
  <c r="D4887" i="2"/>
  <c r="D4915" i="2"/>
  <c r="B4851" i="2"/>
  <c r="C4851" i="2"/>
  <c r="H4380" i="2"/>
  <c r="B4887" i="2"/>
  <c r="C4799" i="2"/>
  <c r="H4799" i="2"/>
  <c r="F4887" i="2"/>
  <c r="H4373" i="2"/>
  <c r="D4686" i="2"/>
  <c r="G4352" i="2"/>
  <c r="G4915" i="2"/>
  <c r="F4851" i="2"/>
  <c r="C4915" i="2"/>
  <c r="B4686" i="2"/>
  <c r="A4373" i="2"/>
  <c r="F4373" i="2"/>
  <c r="I4799" i="2"/>
  <c r="G4887" i="2"/>
  <c r="I4373" i="2"/>
  <c r="G4851" i="2"/>
  <c r="D4380" i="2"/>
  <c r="B4915" i="2"/>
  <c r="B4799" i="2"/>
  <c r="G4686" i="2"/>
  <c r="H4808" i="2"/>
  <c r="G4799" i="2"/>
  <c r="H4686" i="2"/>
  <c r="D4542" i="2"/>
  <c r="G4373" i="2"/>
  <c r="F4380" i="2"/>
  <c r="H4542" i="2"/>
  <c r="I4887" i="2"/>
  <c r="D4799" i="2"/>
  <c r="H4851" i="2"/>
  <c r="B4373" i="2"/>
  <c r="G4542" i="2"/>
  <c r="H4887" i="2"/>
  <c r="A4542" i="2"/>
  <c r="I4851" i="2"/>
  <c r="A4808" i="2"/>
  <c r="G4808" i="2"/>
  <c r="F4808" i="2"/>
  <c r="H4352" i="2"/>
  <c r="H4915" i="2"/>
  <c r="C4887" i="2"/>
  <c r="D4373" i="2"/>
  <c r="F4799" i="2"/>
  <c r="I4542" i="2"/>
  <c r="C4808" i="2"/>
  <c r="B4380" i="2"/>
  <c r="D4851" i="2"/>
  <c r="I4686" i="2"/>
  <c r="G4771" i="2"/>
  <c r="F4286" i="2"/>
  <c r="H4994" i="2"/>
  <c r="A4994" i="2"/>
  <c r="D4829" i="2"/>
  <c r="I4994" i="2"/>
  <c r="B4410" i="2"/>
  <c r="B4303" i="2"/>
  <c r="G4665" i="2"/>
  <c r="G4303" i="2"/>
  <c r="A4308" i="2"/>
  <c r="F4771" i="2"/>
  <c r="C4829" i="2"/>
  <c r="C4453" i="2"/>
  <c r="I4410" i="2"/>
  <c r="B4308" i="2"/>
  <c r="A4453" i="2"/>
  <c r="G4829" i="2"/>
  <c r="F4994" i="2"/>
  <c r="F4308" i="2"/>
  <c r="B4771" i="2"/>
  <c r="G4410" i="2"/>
  <c r="F4829" i="2"/>
  <c r="H4453" i="2"/>
  <c r="C4303" i="2"/>
  <c r="H4665" i="2"/>
  <c r="C4794" i="2"/>
  <c r="F4453" i="2"/>
  <c r="A4771" i="2"/>
  <c r="F4794" i="2"/>
  <c r="I4453" i="2"/>
  <c r="F4410" i="2"/>
  <c r="A4303" i="2"/>
  <c r="D4286" i="2"/>
  <c r="D4303" i="2"/>
  <c r="F4665" i="2"/>
  <c r="D4308" i="2"/>
  <c r="H4829" i="2"/>
  <c r="A4410" i="2"/>
  <c r="G4994" i="2"/>
  <c r="B4286" i="2"/>
  <c r="D4410" i="2"/>
  <c r="H4771" i="2"/>
  <c r="B4794" i="2"/>
  <c r="B4829" i="2"/>
  <c r="H4308" i="2"/>
  <c r="D4665" i="2"/>
  <c r="B4453" i="2"/>
  <c r="D4453" i="2"/>
  <c r="I4665" i="2"/>
  <c r="H4794" i="2"/>
  <c r="G4286" i="2"/>
  <c r="A4829" i="2"/>
  <c r="H4303" i="2"/>
  <c r="A4286" i="2"/>
  <c r="I4308" i="2"/>
  <c r="C4994" i="2"/>
  <c r="A4665" i="2"/>
  <c r="I4771" i="2"/>
  <c r="G4794" i="2"/>
  <c r="D4771" i="2"/>
  <c r="D4794" i="2"/>
  <c r="C4308" i="2"/>
  <c r="D4994" i="2"/>
  <c r="I4303" i="2"/>
  <c r="A4794" i="2"/>
  <c r="C4286" i="2"/>
  <c r="H4410" i="2"/>
  <c r="B4665" i="2"/>
  <c r="I4286" i="2"/>
  <c r="C4771" i="2"/>
  <c r="I4794" i="2"/>
  <c r="B4994" i="2"/>
  <c r="C4665" i="2"/>
  <c r="G4453" i="2"/>
  <c r="H4286" i="2"/>
  <c r="G4308" i="2"/>
  <c r="I4829" i="2"/>
  <c r="F4303" i="2"/>
  <c r="C4410" i="2"/>
  <c r="H4580" i="2"/>
  <c r="F4655" i="2"/>
  <c r="I4805" i="2"/>
  <c r="I4681" i="2"/>
  <c r="I4730" i="2"/>
  <c r="I4739" i="2"/>
  <c r="H4853" i="2"/>
  <c r="I4853" i="2"/>
  <c r="B4853" i="2"/>
  <c r="I4869" i="2"/>
  <c r="C4869" i="2"/>
  <c r="I4447" i="2"/>
  <c r="H4739" i="2"/>
  <c r="D4739" i="2"/>
  <c r="D4805" i="2"/>
  <c r="G4580" i="2"/>
  <c r="A4209" i="2"/>
  <c r="I4655" i="2"/>
  <c r="F4739" i="2"/>
  <c r="B4209" i="2"/>
  <c r="A4655" i="2"/>
  <c r="B4580" i="2"/>
  <c r="H4730" i="2"/>
  <c r="F4209" i="2"/>
  <c r="D4681" i="2"/>
  <c r="G4655" i="2"/>
  <c r="D4730" i="2"/>
  <c r="B4869" i="2"/>
  <c r="C4447" i="2"/>
  <c r="C4730" i="2"/>
  <c r="D4447" i="2"/>
  <c r="B4739" i="2"/>
  <c r="H4209" i="2"/>
  <c r="G4447" i="2"/>
  <c r="G4730" i="2"/>
  <c r="C4655" i="2"/>
  <c r="B4447" i="2"/>
  <c r="H4447" i="2"/>
  <c r="I4209" i="2"/>
  <c r="A4580" i="2"/>
  <c r="A4805" i="2"/>
  <c r="C4580" i="2"/>
  <c r="G4739" i="2"/>
  <c r="A4730" i="2"/>
  <c r="D4853" i="2"/>
  <c r="G4805" i="2"/>
  <c r="H4655" i="2"/>
  <c r="F4580" i="2"/>
  <c r="D4580" i="2"/>
  <c r="F4730" i="2"/>
  <c r="F4447" i="2"/>
  <c r="A4869" i="2"/>
  <c r="F4681" i="2"/>
  <c r="G4853" i="2"/>
  <c r="C4209" i="2"/>
  <c r="D4655" i="2"/>
  <c r="D4869" i="2"/>
  <c r="C4681" i="2"/>
  <c r="C4805" i="2"/>
  <c r="F4869" i="2"/>
  <c r="F4853" i="2"/>
  <c r="D4209" i="2"/>
  <c r="B4681" i="2"/>
  <c r="F4805" i="2"/>
  <c r="H4869" i="2"/>
  <c r="A4853" i="2"/>
  <c r="G4681" i="2"/>
  <c r="A4739" i="2"/>
  <c r="H4681" i="2"/>
  <c r="I4580" i="2"/>
  <c r="A4447" i="2"/>
  <c r="H4805" i="2"/>
  <c r="G4209" i="2"/>
  <c r="C4739" i="2"/>
  <c r="B4730" i="2"/>
  <c r="G4869" i="2"/>
  <c r="B4805" i="2"/>
  <c r="A4681" i="2"/>
  <c r="C4853" i="2"/>
  <c r="B4655" i="2"/>
  <c r="G4222" i="2"/>
  <c r="I4741" i="2"/>
  <c r="A4924" i="2"/>
  <c r="C4741" i="2"/>
  <c r="D4509" i="2"/>
  <c r="H4064" i="2"/>
  <c r="F4509" i="2"/>
  <c r="H4601" i="2"/>
  <c r="B4749" i="2"/>
  <c r="G4924" i="2"/>
  <c r="H4924" i="2"/>
  <c r="I4074" i="2"/>
  <c r="G4074" i="2"/>
  <c r="A4074" i="2"/>
  <c r="B4333" i="2"/>
  <c r="C4064" i="2"/>
  <c r="C4348" i="2"/>
  <c r="H4509" i="2"/>
  <c r="B4348" i="2"/>
  <c r="G4348" i="2"/>
  <c r="H4333" i="2"/>
  <c r="I4348" i="2"/>
  <c r="H4074" i="2"/>
  <c r="A4222" i="2"/>
  <c r="C4074" i="2"/>
  <c r="B4601" i="2"/>
  <c r="A4749" i="2"/>
  <c r="D4741" i="2"/>
  <c r="F4348" i="2"/>
  <c r="F4741" i="2"/>
  <c r="D4924" i="2"/>
  <c r="C4333" i="2"/>
  <c r="C4509" i="2"/>
  <c r="F4064" i="2"/>
  <c r="C4924" i="2"/>
  <c r="I4749" i="2"/>
  <c r="I4064" i="2"/>
  <c r="D4222" i="2"/>
  <c r="I4333" i="2"/>
  <c r="C4601" i="2"/>
  <c r="B4741" i="2"/>
  <c r="D4074" i="2"/>
  <c r="C4222" i="2"/>
  <c r="I4601" i="2"/>
  <c r="F4333" i="2"/>
  <c r="D4749" i="2"/>
  <c r="A4741" i="2"/>
  <c r="A4064" i="2"/>
  <c r="I4509" i="2"/>
  <c r="H4749" i="2"/>
  <c r="H4741" i="2"/>
  <c r="F4601" i="2"/>
  <c r="C4749" i="2"/>
  <c r="B4924" i="2"/>
  <c r="G4333" i="2"/>
  <c r="B4074" i="2"/>
  <c r="A4333" i="2"/>
  <c r="A4509" i="2"/>
  <c r="B4509" i="2"/>
  <c r="G4064" i="2"/>
  <c r="A4348" i="2"/>
  <c r="D4064" i="2"/>
  <c r="F4222" i="2"/>
  <c r="G4749" i="2"/>
  <c r="D4601" i="2"/>
  <c r="D4348" i="2"/>
  <c r="G4601" i="2"/>
  <c r="B4222" i="2"/>
  <c r="I4924" i="2"/>
  <c r="I4222" i="2"/>
  <c r="H4222" i="2"/>
  <c r="G4509" i="2"/>
  <c r="D4333" i="2"/>
  <c r="F4074" i="2"/>
  <c r="A4601" i="2"/>
  <c r="G4741" i="2"/>
  <c r="F4749" i="2"/>
  <c r="F4924" i="2"/>
  <c r="H4348" i="2"/>
  <c r="B4064" i="2"/>
  <c r="B4547" i="2"/>
  <c r="I4666" i="2"/>
  <c r="I4547" i="2"/>
  <c r="D4617" i="2"/>
  <c r="A4617" i="2"/>
  <c r="B4255" i="2"/>
  <c r="H4310" i="2"/>
  <c r="H4330" i="2"/>
  <c r="G4839" i="2"/>
  <c r="A4406" i="2"/>
  <c r="F4795" i="2"/>
  <c r="A4547" i="2"/>
  <c r="D4255" i="2"/>
  <c r="F4310" i="2"/>
  <c r="G4547" i="2"/>
  <c r="F4547" i="2"/>
  <c r="H4547" i="2"/>
  <c r="H4795" i="2"/>
  <c r="H4839" i="2"/>
  <c r="A4795" i="2"/>
  <c r="A4132" i="2"/>
  <c r="B4617" i="2"/>
  <c r="G4255" i="2"/>
  <c r="D4406" i="2"/>
  <c r="G4795" i="2"/>
  <c r="A4255" i="2"/>
  <c r="G4330" i="2"/>
  <c r="F4406" i="2"/>
  <c r="H4255" i="2"/>
  <c r="I4617" i="2"/>
  <c r="A4310" i="2"/>
  <c r="B4795" i="2"/>
  <c r="A4330" i="2"/>
  <c r="G4406" i="2"/>
  <c r="D4547" i="2"/>
  <c r="F4330" i="2"/>
  <c r="C4617" i="2"/>
  <c r="I4132" i="2"/>
  <c r="H4617" i="2"/>
  <c r="C4666" i="2"/>
  <c r="D4310" i="2"/>
  <c r="D4330" i="2"/>
  <c r="B4310" i="2"/>
  <c r="I4310" i="2"/>
  <c r="G4666" i="2"/>
  <c r="D4666" i="2"/>
  <c r="I4795" i="2"/>
  <c r="C4839" i="2"/>
  <c r="B4839" i="2"/>
  <c r="I4406" i="2"/>
  <c r="D4132" i="2"/>
  <c r="F4617" i="2"/>
  <c r="F4666" i="2"/>
  <c r="F4132" i="2"/>
  <c r="C4255" i="2"/>
  <c r="I4330" i="2"/>
  <c r="I4255" i="2"/>
  <c r="D4839" i="2"/>
  <c r="B4406" i="2"/>
  <c r="C4795" i="2"/>
  <c r="C4310" i="2"/>
  <c r="G4132" i="2"/>
  <c r="H4406" i="2"/>
  <c r="B4132" i="2"/>
  <c r="H4666" i="2"/>
  <c r="C4330" i="2"/>
  <c r="H4132" i="2"/>
  <c r="B4666" i="2"/>
  <c r="I4839" i="2"/>
  <c r="F4839" i="2"/>
  <c r="B4330" i="2"/>
  <c r="A4839" i="2"/>
  <c r="G4617" i="2"/>
  <c r="C4406" i="2"/>
  <c r="A4666" i="2"/>
  <c r="F4255" i="2"/>
  <c r="D4795" i="2"/>
  <c r="C4132" i="2"/>
  <c r="G4310" i="2"/>
  <c r="C4547" i="2"/>
  <c r="A4313" i="2"/>
  <c r="F4196" i="2"/>
  <c r="F4400" i="2"/>
  <c r="I4313" i="2"/>
  <c r="I4865" i="2"/>
  <c r="F4544" i="2"/>
  <c r="I4196" i="2"/>
  <c r="B4865" i="2"/>
  <c r="D4400" i="2"/>
  <c r="A4400" i="2"/>
  <c r="F4477" i="2"/>
  <c r="A4544" i="2"/>
  <c r="D4477" i="2"/>
  <c r="F4275" i="2"/>
  <c r="H4292" i="2"/>
  <c r="C4400" i="2"/>
  <c r="G4313" i="2"/>
  <c r="G4292" i="2"/>
  <c r="B4544" i="2"/>
  <c r="H4544" i="2"/>
  <c r="C4907" i="2"/>
  <c r="G4865" i="2"/>
  <c r="A4196" i="2"/>
  <c r="H4196" i="2"/>
  <c r="D4196" i="2"/>
  <c r="F4907" i="2"/>
  <c r="H4907" i="2"/>
  <c r="B4292" i="2"/>
  <c r="D4292" i="2"/>
  <c r="B4400" i="2"/>
  <c r="H4275" i="2"/>
  <c r="B4275" i="2"/>
  <c r="I4477" i="2"/>
  <c r="D4822" i="2"/>
  <c r="G4544" i="2"/>
  <c r="G4275" i="2"/>
  <c r="H4313" i="2"/>
  <c r="D4865" i="2"/>
  <c r="C4292" i="2"/>
  <c r="G4196" i="2"/>
  <c r="C4196" i="2"/>
  <c r="G4822" i="2"/>
  <c r="D4544" i="2"/>
  <c r="H4400" i="2"/>
  <c r="G4907" i="2"/>
  <c r="I4292" i="2"/>
  <c r="I4544" i="2"/>
  <c r="A4822" i="2"/>
  <c r="F4822" i="2"/>
  <c r="C4865" i="2"/>
  <c r="D4275" i="2"/>
  <c r="H4477" i="2"/>
  <c r="A4275" i="2"/>
  <c r="F4292" i="2"/>
  <c r="A4477" i="2"/>
  <c r="F4313" i="2"/>
  <c r="C4313" i="2"/>
  <c r="B4313" i="2"/>
  <c r="A4865" i="2"/>
  <c r="G4400" i="2"/>
  <c r="D4907" i="2"/>
  <c r="I4822" i="2"/>
  <c r="B4477" i="2"/>
  <c r="B4822" i="2"/>
  <c r="H4822" i="2"/>
  <c r="F4865" i="2"/>
  <c r="I4275" i="2"/>
  <c r="G4477" i="2"/>
  <c r="I4907" i="2"/>
  <c r="B4907" i="2"/>
  <c r="A4292" i="2"/>
  <c r="B4196" i="2"/>
  <c r="D4313" i="2"/>
  <c r="I4400" i="2"/>
  <c r="C4822" i="2"/>
  <c r="C4477" i="2"/>
  <c r="H4865" i="2"/>
  <c r="C4275" i="2"/>
  <c r="C4544" i="2"/>
  <c r="A4907" i="2"/>
  <c r="F4646" i="2"/>
  <c r="D4646" i="2"/>
  <c r="G4998" i="2"/>
  <c r="F4401" i="2"/>
  <c r="H4086" i="2"/>
  <c r="I4250" i="2"/>
  <c r="D4531" i="2"/>
  <c r="A4998" i="2"/>
  <c r="I4552" i="2"/>
  <c r="G4531" i="2"/>
  <c r="A4401" i="2"/>
  <c r="C4898" i="2"/>
  <c r="D4746" i="2"/>
  <c r="D4401" i="2"/>
  <c r="B4898" i="2"/>
  <c r="A4086" i="2"/>
  <c r="D4250" i="2"/>
  <c r="A4646" i="2"/>
  <c r="C4552" i="2"/>
  <c r="D4998" i="2"/>
  <c r="F4531" i="2"/>
  <c r="F4630" i="2"/>
  <c r="A4898" i="2"/>
  <c r="F4998" i="2"/>
  <c r="H4630" i="2"/>
  <c r="B4250" i="2"/>
  <c r="H4746" i="2"/>
  <c r="F4746" i="2"/>
  <c r="B4646" i="2"/>
  <c r="I4646" i="2"/>
  <c r="B4086" i="2"/>
  <c r="D4898" i="2"/>
  <c r="C4630" i="2"/>
  <c r="B4552" i="2"/>
  <c r="I4746" i="2"/>
  <c r="G4630" i="2"/>
  <c r="H4646" i="2"/>
  <c r="G4401" i="2"/>
  <c r="G4086" i="2"/>
  <c r="A4552" i="2"/>
  <c r="G4646" i="2"/>
  <c r="A4531" i="2"/>
  <c r="D4552" i="2"/>
  <c r="H4998" i="2"/>
  <c r="H4250" i="2"/>
  <c r="I4086" i="2"/>
  <c r="I4630" i="2"/>
  <c r="F4898" i="2"/>
  <c r="G4250" i="2"/>
  <c r="C4401" i="2"/>
  <c r="G4898" i="2"/>
  <c r="D4086" i="2"/>
  <c r="H4552" i="2"/>
  <c r="B4401" i="2"/>
  <c r="C4531" i="2"/>
  <c r="D4630" i="2"/>
  <c r="B4998" i="2"/>
  <c r="A4250" i="2"/>
  <c r="H4401" i="2"/>
  <c r="H4531" i="2"/>
  <c r="B4746" i="2"/>
  <c r="C4998" i="2"/>
  <c r="F4086" i="2"/>
  <c r="C4250" i="2"/>
  <c r="G4552" i="2"/>
  <c r="C4746" i="2"/>
  <c r="B4531" i="2"/>
  <c r="A4746" i="2"/>
  <c r="A4630" i="2"/>
  <c r="I4898" i="2"/>
  <c r="H4898" i="2"/>
  <c r="G4746" i="2"/>
  <c r="I4401" i="2"/>
  <c r="C4086" i="2"/>
  <c r="I4998" i="2"/>
  <c r="I4531" i="2"/>
  <c r="F4552" i="2"/>
  <c r="F4250" i="2"/>
  <c r="B4630" i="2"/>
  <c r="C4646" i="2"/>
  <c r="H4670" i="2"/>
  <c r="C4480" i="2"/>
  <c r="D4923" i="2"/>
  <c r="B4167" i="2"/>
  <c r="B4670" i="2"/>
  <c r="G4492" i="2"/>
  <c r="F4661" i="2"/>
  <c r="B4565" i="2"/>
  <c r="I4923" i="2"/>
  <c r="F4480" i="2"/>
  <c r="G4661" i="2"/>
  <c r="D4167" i="2"/>
  <c r="H4535" i="2"/>
  <c r="I4705" i="2"/>
  <c r="B4728" i="2"/>
  <c r="D4480" i="2"/>
  <c r="I4480" i="2"/>
  <c r="A4565" i="2"/>
  <c r="C4661" i="2"/>
  <c r="I4492" i="2"/>
  <c r="F4167" i="2"/>
  <c r="H4728" i="2"/>
  <c r="A4670" i="2"/>
  <c r="A4535" i="2"/>
  <c r="F4705" i="2"/>
  <c r="D4492" i="2"/>
  <c r="G4705" i="2"/>
  <c r="H4492" i="2"/>
  <c r="C4705" i="2"/>
  <c r="H4167" i="2"/>
  <c r="B4492" i="2"/>
  <c r="G4923" i="2"/>
  <c r="G4535" i="2"/>
  <c r="B4923" i="2"/>
  <c r="F4728" i="2"/>
  <c r="D4661" i="2"/>
  <c r="G4728" i="2"/>
  <c r="G4480" i="2"/>
  <c r="D4565" i="2"/>
  <c r="H4661" i="2"/>
  <c r="B4705" i="2"/>
  <c r="H4480" i="2"/>
  <c r="C4923" i="2"/>
  <c r="I4670" i="2"/>
  <c r="G4565" i="2"/>
  <c r="H4565" i="2"/>
  <c r="H4923" i="2"/>
  <c r="A4492" i="2"/>
  <c r="D4728" i="2"/>
  <c r="G4167" i="2"/>
  <c r="I4661" i="2"/>
  <c r="C4565" i="2"/>
  <c r="C4167" i="2"/>
  <c r="F4492" i="2"/>
  <c r="C4728" i="2"/>
  <c r="C4670" i="2"/>
  <c r="B4535" i="2"/>
  <c r="B4661" i="2"/>
  <c r="F4565" i="2"/>
  <c r="F4670" i="2"/>
  <c r="A4705" i="2"/>
  <c r="H4705" i="2"/>
  <c r="I4535" i="2"/>
  <c r="F4535" i="2"/>
  <c r="B4480" i="2"/>
  <c r="G4670" i="2"/>
  <c r="I4728" i="2"/>
  <c r="D4535" i="2"/>
  <c r="A4167" i="2"/>
  <c r="A4661" i="2"/>
  <c r="A4728" i="2"/>
  <c r="D4670" i="2"/>
  <c r="D4705" i="2"/>
  <c r="I4167" i="2"/>
  <c r="C4492" i="2"/>
  <c r="I4565" i="2"/>
  <c r="A4923" i="2"/>
  <c r="A4480" i="2"/>
  <c r="C4535" i="2"/>
  <c r="F4923" i="2"/>
  <c r="C4559" i="2"/>
  <c r="H4274" i="2"/>
  <c r="B4778" i="2"/>
  <c r="I4559" i="2"/>
  <c r="B4274" i="2"/>
  <c r="C4778" i="2"/>
  <c r="I4317" i="2"/>
  <c r="G4662" i="2"/>
  <c r="F4560" i="2"/>
  <c r="G4845" i="2"/>
  <c r="C4560" i="2"/>
  <c r="A4778" i="2"/>
  <c r="D4397" i="2"/>
  <c r="C4397" i="2"/>
  <c r="I4650" i="2"/>
  <c r="D4650" i="2"/>
  <c r="D4600" i="2"/>
  <c r="H4317" i="2"/>
  <c r="G4600" i="2"/>
  <c r="G4560" i="2"/>
  <c r="A4397" i="2"/>
  <c r="H4600" i="2"/>
  <c r="H4845" i="2"/>
  <c r="H4559" i="2"/>
  <c r="G4397" i="2"/>
  <c r="G4274" i="2"/>
  <c r="H4650" i="2"/>
  <c r="A4662" i="2"/>
  <c r="C4845" i="2"/>
  <c r="F4778" i="2"/>
  <c r="H4560" i="2"/>
  <c r="I4560" i="2"/>
  <c r="F4600" i="2"/>
  <c r="D4317" i="2"/>
  <c r="C4600" i="2"/>
  <c r="I4845" i="2"/>
  <c r="G4317" i="2"/>
  <c r="H4662" i="2"/>
  <c r="B4560" i="2"/>
  <c r="D4559" i="2"/>
  <c r="A4650" i="2"/>
  <c r="F4559" i="2"/>
  <c r="G4559" i="2"/>
  <c r="A4317" i="2"/>
  <c r="G4778" i="2"/>
  <c r="I4397" i="2"/>
  <c r="A4559" i="2"/>
  <c r="H4397" i="2"/>
  <c r="F4317" i="2"/>
  <c r="A4274" i="2"/>
  <c r="B4650" i="2"/>
  <c r="D4274" i="2"/>
  <c r="F4845" i="2"/>
  <c r="I4274" i="2"/>
  <c r="B4662" i="2"/>
  <c r="B4600" i="2"/>
  <c r="H4778" i="2"/>
  <c r="C4662" i="2"/>
  <c r="F4397" i="2"/>
  <c r="F4650" i="2"/>
  <c r="D4560" i="2"/>
  <c r="D4845" i="2"/>
  <c r="I4600" i="2"/>
  <c r="F4274" i="2"/>
  <c r="D4662" i="2"/>
  <c r="B4317" i="2"/>
  <c r="I4778" i="2"/>
  <c r="C4650" i="2"/>
  <c r="B4845" i="2"/>
  <c r="F4662" i="2"/>
  <c r="A4845" i="2"/>
  <c r="C4274" i="2"/>
  <c r="B4559" i="2"/>
  <c r="I4662" i="2"/>
  <c r="D4778" i="2"/>
  <c r="A4560" i="2"/>
  <c r="C4317" i="2"/>
  <c r="A4600" i="2"/>
  <c r="G4650" i="2"/>
  <c r="B4397" i="2"/>
  <c r="I4319" i="2"/>
  <c r="A4319" i="2"/>
  <c r="H4843" i="2"/>
  <c r="F4490" i="2"/>
  <c r="I4316" i="2"/>
  <c r="G4566" i="2"/>
  <c r="C4566" i="2"/>
  <c r="C4316" i="2"/>
  <c r="D4879" i="2"/>
  <c r="D4566" i="2"/>
  <c r="G4654" i="2"/>
  <c r="H4947" i="2"/>
  <c r="D4947" i="2"/>
  <c r="F4843" i="2"/>
  <c r="G4527" i="2"/>
  <c r="I4490" i="2"/>
  <c r="C4319" i="2"/>
  <c r="G4909" i="2"/>
  <c r="B4566" i="2"/>
  <c r="I4879" i="2"/>
  <c r="B4490" i="2"/>
  <c r="B4654" i="2"/>
  <c r="C4879" i="2"/>
  <c r="A4843" i="2"/>
  <c r="G4319" i="2"/>
  <c r="A4654" i="2"/>
  <c r="G4490" i="2"/>
  <c r="F4527" i="2"/>
  <c r="D4843" i="2"/>
  <c r="D4490" i="2"/>
  <c r="B4319" i="2"/>
  <c r="A4909" i="2"/>
  <c r="C4947" i="2"/>
  <c r="D4316" i="2"/>
  <c r="F4316" i="2"/>
  <c r="C4654" i="2"/>
  <c r="H4909" i="2"/>
  <c r="F4947" i="2"/>
  <c r="B4909" i="2"/>
  <c r="A4879" i="2"/>
  <c r="F4879" i="2"/>
  <c r="H4527" i="2"/>
  <c r="I4947" i="2"/>
  <c r="A4566" i="2"/>
  <c r="C4843" i="2"/>
  <c r="D4319" i="2"/>
  <c r="H4566" i="2"/>
  <c r="I4909" i="2"/>
  <c r="I4566" i="2"/>
  <c r="H4316" i="2"/>
  <c r="H4319" i="2"/>
  <c r="C4909" i="2"/>
  <c r="C4527" i="2"/>
  <c r="I4527" i="2"/>
  <c r="I4843" i="2"/>
  <c r="G4316" i="2"/>
  <c r="D4527" i="2"/>
  <c r="B4947" i="2"/>
  <c r="C4490" i="2"/>
  <c r="B4316" i="2"/>
  <c r="D4909" i="2"/>
  <c r="F4654" i="2"/>
  <c r="A4527" i="2"/>
  <c r="A4947" i="2"/>
  <c r="B4879" i="2"/>
  <c r="H4490" i="2"/>
  <c r="D4654" i="2"/>
  <c r="G4843" i="2"/>
  <c r="H4879" i="2"/>
  <c r="A4316" i="2"/>
  <c r="A4490" i="2"/>
  <c r="B4843" i="2"/>
  <c r="F4909" i="2"/>
  <c r="B4527" i="2"/>
  <c r="H4654" i="2"/>
  <c r="F4566" i="2"/>
  <c r="I4654" i="2"/>
  <c r="G4947" i="2"/>
  <c r="G4879" i="2"/>
  <c r="F4319" i="2"/>
  <c r="C4315" i="2"/>
  <c r="C4309" i="2"/>
  <c r="D4315" i="2"/>
  <c r="I4523" i="2"/>
  <c r="I4315" i="2"/>
  <c r="F4523" i="2"/>
  <c r="A4309" i="2"/>
  <c r="H4315" i="2"/>
  <c r="D4800" i="2"/>
  <c r="B4523" i="2"/>
  <c r="G4523" i="2"/>
  <c r="B4688" i="2"/>
  <c r="H4821" i="2"/>
  <c r="C4569" i="2"/>
  <c r="D4863" i="2"/>
  <c r="F4715" i="2"/>
  <c r="B4863" i="2"/>
  <c r="B4800" i="2"/>
  <c r="D4688" i="2"/>
  <c r="G4821" i="2"/>
  <c r="B4315" i="2"/>
  <c r="C4688" i="2"/>
  <c r="A4315" i="2"/>
  <c r="G4315" i="2"/>
  <c r="B4821" i="2"/>
  <c r="A4863" i="2"/>
  <c r="D4821" i="2"/>
  <c r="A4715" i="2"/>
  <c r="F4569" i="2"/>
  <c r="G4863" i="2"/>
  <c r="F4688" i="2"/>
  <c r="F4398" i="2"/>
  <c r="I4398" i="2"/>
  <c r="A4800" i="2"/>
  <c r="H4309" i="2"/>
  <c r="I4688" i="2"/>
  <c r="H4863" i="2"/>
  <c r="A4523" i="2"/>
  <c r="I4309" i="2"/>
  <c r="H4800" i="2"/>
  <c r="B4569" i="2"/>
  <c r="F4309" i="2"/>
  <c r="H4398" i="2"/>
  <c r="G4569" i="2"/>
  <c r="H4715" i="2"/>
  <c r="D4309" i="2"/>
  <c r="A4569" i="2"/>
  <c r="A4398" i="2"/>
  <c r="I4800" i="2"/>
  <c r="G4715" i="2"/>
  <c r="D4569" i="2"/>
  <c r="I4715" i="2"/>
  <c r="G4800" i="2"/>
  <c r="I4863" i="2"/>
  <c r="F4821" i="2"/>
  <c r="G4688" i="2"/>
  <c r="B4715" i="2"/>
  <c r="B4398" i="2"/>
  <c r="G4398" i="2"/>
  <c r="C4715" i="2"/>
  <c r="B4309" i="2"/>
  <c r="D4398" i="2"/>
  <c r="C4863" i="2"/>
  <c r="I4821" i="2"/>
  <c r="C4523" i="2"/>
  <c r="H4523" i="2"/>
  <c r="I4569" i="2"/>
  <c r="A4688" i="2"/>
  <c r="C4800" i="2"/>
  <c r="A4821" i="2"/>
  <c r="F4315" i="2"/>
  <c r="H4688" i="2"/>
  <c r="F4800" i="2"/>
  <c r="D4715" i="2"/>
  <c r="C4398" i="2"/>
  <c r="G4309" i="2"/>
  <c r="C4821" i="2"/>
  <c r="H4569" i="2"/>
  <c r="F4863" i="2"/>
  <c r="D4523" i="2"/>
  <c r="H4530" i="2"/>
  <c r="B4541" i="2"/>
  <c r="A4432" i="2"/>
  <c r="I4483" i="2"/>
  <c r="G4530" i="2"/>
  <c r="G4522" i="2"/>
  <c r="H4522" i="2"/>
  <c r="I4522" i="2"/>
  <c r="A4943" i="2"/>
  <c r="I4927" i="2"/>
  <c r="D4522" i="2"/>
  <c r="C4522" i="2"/>
  <c r="D4647" i="2"/>
  <c r="I4432" i="2"/>
  <c r="F4943" i="2"/>
  <c r="C4483" i="2"/>
  <c r="A4522" i="2"/>
  <c r="D4855" i="2"/>
  <c r="C4647" i="2"/>
  <c r="B4530" i="2"/>
  <c r="I4143" i="2"/>
  <c r="G4143" i="2"/>
  <c r="I4530" i="2"/>
  <c r="F4855" i="2"/>
  <c r="D4943" i="2"/>
  <c r="B4943" i="2"/>
  <c r="D4432" i="2"/>
  <c r="H4927" i="2"/>
  <c r="D4541" i="2"/>
  <c r="H4483" i="2"/>
  <c r="F4927" i="2"/>
  <c r="A4483" i="2"/>
  <c r="B4432" i="2"/>
  <c r="F4483" i="2"/>
  <c r="F4647" i="2"/>
  <c r="H4541" i="2"/>
  <c r="F4143" i="2"/>
  <c r="C4530" i="2"/>
  <c r="G4647" i="2"/>
  <c r="G4432" i="2"/>
  <c r="H4432" i="2"/>
  <c r="H4143" i="2"/>
  <c r="C4143" i="2"/>
  <c r="H4855" i="2"/>
  <c r="A4541" i="2"/>
  <c r="F4432" i="2"/>
  <c r="I4943" i="2"/>
  <c r="C4927" i="2"/>
  <c r="B4855" i="2"/>
  <c r="I4647" i="2"/>
  <c r="F4522" i="2"/>
  <c r="G4927" i="2"/>
  <c r="D4927" i="2"/>
  <c r="F4530" i="2"/>
  <c r="C4943" i="2"/>
  <c r="C4855" i="2"/>
  <c r="A4647" i="2"/>
  <c r="A4927" i="2"/>
  <c r="A4530" i="2"/>
  <c r="F4541" i="2"/>
  <c r="I4541" i="2"/>
  <c r="C4541" i="2"/>
  <c r="D4483" i="2"/>
  <c r="A4855" i="2"/>
  <c r="A4143" i="2"/>
  <c r="I4855" i="2"/>
  <c r="G4483" i="2"/>
  <c r="G4943" i="2"/>
  <c r="D4143" i="2"/>
  <c r="B4647" i="2"/>
  <c r="B4927" i="2"/>
  <c r="H4943" i="2"/>
  <c r="B4143" i="2"/>
  <c r="G4541" i="2"/>
  <c r="H4647" i="2"/>
  <c r="C4432" i="2"/>
  <c r="G4855" i="2"/>
  <c r="B4522" i="2"/>
  <c r="D4530" i="2"/>
  <c r="B4483" i="2"/>
  <c r="A4983" i="2"/>
  <c r="F4423" i="2"/>
  <c r="B4660" i="2"/>
  <c r="A4350" i="2"/>
  <c r="B4423" i="2"/>
  <c r="A4762" i="2"/>
  <c r="H4762" i="2"/>
  <c r="G4423" i="2"/>
  <c r="H4737" i="2"/>
  <c r="F4338" i="2"/>
  <c r="H4395" i="2"/>
  <c r="B4841" i="2"/>
  <c r="C4737" i="2"/>
  <c r="B4573" i="2"/>
  <c r="A4841" i="2"/>
  <c r="C4350" i="2"/>
  <c r="F4660" i="2"/>
  <c r="H4660" i="2"/>
  <c r="C4338" i="2"/>
  <c r="B4338" i="2"/>
  <c r="B4983" i="2"/>
  <c r="D4350" i="2"/>
  <c r="F4762" i="2"/>
  <c r="I4660" i="2"/>
  <c r="I4762" i="2"/>
  <c r="G4573" i="2"/>
  <c r="C4841" i="2"/>
  <c r="C4395" i="2"/>
  <c r="D4841" i="2"/>
  <c r="I4338" i="2"/>
  <c r="H4423" i="2"/>
  <c r="I4350" i="2"/>
  <c r="A4423" i="2"/>
  <c r="G4841" i="2"/>
  <c r="I4395" i="2"/>
  <c r="A4395" i="2"/>
  <c r="B4762" i="2"/>
  <c r="F4841" i="2"/>
  <c r="A4573" i="2"/>
  <c r="C4983" i="2"/>
  <c r="G4762" i="2"/>
  <c r="C4660" i="2"/>
  <c r="F4350" i="2"/>
  <c r="G4737" i="2"/>
  <c r="H4841" i="2"/>
  <c r="C4573" i="2"/>
  <c r="F4983" i="2"/>
  <c r="C4762" i="2"/>
  <c r="D4660" i="2"/>
  <c r="I4423" i="2"/>
  <c r="G4350" i="2"/>
  <c r="B4737" i="2"/>
  <c r="A4737" i="2"/>
  <c r="D4338" i="2"/>
  <c r="D4737" i="2"/>
  <c r="D4423" i="2"/>
  <c r="A4338" i="2"/>
  <c r="H4350" i="2"/>
  <c r="G4395" i="2"/>
  <c r="H4983" i="2"/>
  <c r="F4737" i="2"/>
  <c r="I4573" i="2"/>
  <c r="D4983" i="2"/>
  <c r="H4338" i="2"/>
  <c r="A4660" i="2"/>
  <c r="F4573" i="2"/>
  <c r="B4395" i="2"/>
  <c r="I4983" i="2"/>
  <c r="F4395" i="2"/>
  <c r="D4573" i="2"/>
  <c r="D4762" i="2"/>
  <c r="I4737" i="2"/>
  <c r="B4350" i="2"/>
  <c r="G4338" i="2"/>
  <c r="G4983" i="2"/>
  <c r="H4573" i="2"/>
  <c r="D4395" i="2"/>
  <c r="I4841" i="2"/>
  <c r="C4423" i="2"/>
  <c r="G4660" i="2"/>
  <c r="B4842" i="2"/>
  <c r="C4341" i="2"/>
  <c r="D4341" i="2"/>
  <c r="F4834" i="2"/>
  <c r="I4341" i="2"/>
  <c r="I4679" i="2"/>
  <c r="C4885" i="2"/>
  <c r="H4131" i="2"/>
  <c r="C4834" i="2"/>
  <c r="G4327" i="2"/>
  <c r="F4679" i="2"/>
  <c r="A4131" i="2"/>
  <c r="G4679" i="2"/>
  <c r="G4131" i="2"/>
  <c r="F4574" i="2"/>
  <c r="H4632" i="2"/>
  <c r="I4632" i="2"/>
  <c r="I4327" i="2"/>
  <c r="F4327" i="2"/>
  <c r="F4271" i="2"/>
  <c r="I4842" i="2"/>
  <c r="H4271" i="2"/>
  <c r="C4574" i="2"/>
  <c r="H4327" i="2"/>
  <c r="B4574" i="2"/>
  <c r="A4885" i="2"/>
  <c r="A4574" i="2"/>
  <c r="A4271" i="2"/>
  <c r="D4842" i="2"/>
  <c r="B4679" i="2"/>
  <c r="B4341" i="2"/>
  <c r="C4632" i="2"/>
  <c r="G4885" i="2"/>
  <c r="B4131" i="2"/>
  <c r="A4834" i="2"/>
  <c r="H4574" i="2"/>
  <c r="A4327" i="2"/>
  <c r="H4842" i="2"/>
  <c r="H4679" i="2"/>
  <c r="H4834" i="2"/>
  <c r="B4885" i="2"/>
  <c r="F4632" i="2"/>
  <c r="G4271" i="2"/>
  <c r="F4341" i="2"/>
  <c r="I4271" i="2"/>
  <c r="G4632" i="2"/>
  <c r="C4131" i="2"/>
  <c r="B4834" i="2"/>
  <c r="H4885" i="2"/>
  <c r="G4842" i="2"/>
  <c r="D4834" i="2"/>
  <c r="B4327" i="2"/>
  <c r="D4885" i="2"/>
  <c r="A4632" i="2"/>
  <c r="A4679" i="2"/>
  <c r="D4131" i="2"/>
  <c r="D4574" i="2"/>
  <c r="B4632" i="2"/>
  <c r="G4341" i="2"/>
  <c r="C4842" i="2"/>
  <c r="A4842" i="2"/>
  <c r="F4131" i="2"/>
  <c r="A4341" i="2"/>
  <c r="I4834" i="2"/>
  <c r="D4679" i="2"/>
  <c r="D4271" i="2"/>
  <c r="D4327" i="2"/>
  <c r="F4885" i="2"/>
  <c r="F4842" i="2"/>
  <c r="B4271" i="2"/>
  <c r="I4885" i="2"/>
  <c r="C4271" i="2"/>
  <c r="G4834" i="2"/>
  <c r="I4574" i="2"/>
  <c r="I4131" i="2"/>
  <c r="C4679" i="2"/>
  <c r="C4327" i="2"/>
  <c r="G4574" i="2"/>
  <c r="H4341" i="2"/>
  <c r="D4632" i="2"/>
  <c r="H4787" i="2"/>
  <c r="F4326" i="2"/>
  <c r="B4515" i="2"/>
  <c r="I4710" i="2"/>
  <c r="D4858" i="2"/>
  <c r="A4440" i="2"/>
  <c r="I4787" i="2"/>
  <c r="H4234" i="2"/>
  <c r="G4736" i="2"/>
  <c r="B4326" i="2"/>
  <c r="F4234" i="2"/>
  <c r="B4858" i="2"/>
  <c r="G4677" i="2"/>
  <c r="B4234" i="2"/>
  <c r="A4858" i="2"/>
  <c r="B4440" i="2"/>
  <c r="A4787" i="2"/>
  <c r="D4906" i="2"/>
  <c r="C4787" i="2"/>
  <c r="A4234" i="2"/>
  <c r="I4515" i="2"/>
  <c r="F4787" i="2"/>
  <c r="I4677" i="2"/>
  <c r="F4906" i="2"/>
  <c r="A4677" i="2"/>
  <c r="H4858" i="2"/>
  <c r="B4710" i="2"/>
  <c r="A4736" i="2"/>
  <c r="H4906" i="2"/>
  <c r="G4326" i="2"/>
  <c r="G4440" i="2"/>
  <c r="H4736" i="2"/>
  <c r="B4906" i="2"/>
  <c r="C4326" i="2"/>
  <c r="G4906" i="2"/>
  <c r="F4677" i="2"/>
  <c r="C4515" i="2"/>
  <c r="G4787" i="2"/>
  <c r="H4710" i="2"/>
  <c r="I4326" i="2"/>
  <c r="D4440" i="2"/>
  <c r="D4677" i="2"/>
  <c r="H4440" i="2"/>
  <c r="G4858" i="2"/>
  <c r="G4234" i="2"/>
  <c r="B4736" i="2"/>
  <c r="I4234" i="2"/>
  <c r="A4906" i="2"/>
  <c r="H4677" i="2"/>
  <c r="H4326" i="2"/>
  <c r="F4710" i="2"/>
  <c r="C4710" i="2"/>
  <c r="H4515" i="2"/>
  <c r="I4736" i="2"/>
  <c r="D4234" i="2"/>
  <c r="A4326" i="2"/>
  <c r="I4858" i="2"/>
  <c r="D4710" i="2"/>
  <c r="C4440" i="2"/>
  <c r="C4858" i="2"/>
  <c r="G4710" i="2"/>
  <c r="C4906" i="2"/>
  <c r="F4736" i="2"/>
  <c r="C4736" i="2"/>
  <c r="A4515" i="2"/>
  <c r="F4515" i="2"/>
  <c r="D4787" i="2"/>
  <c r="C4677" i="2"/>
  <c r="G4515" i="2"/>
  <c r="F4440" i="2"/>
  <c r="I4906" i="2"/>
  <c r="B4677" i="2"/>
  <c r="D4515" i="2"/>
  <c r="D4326" i="2"/>
  <c r="F4858" i="2"/>
  <c r="B4787" i="2"/>
  <c r="I4440" i="2"/>
  <c r="D4736" i="2"/>
  <c r="A4710" i="2"/>
  <c r="C4234" i="2"/>
  <c r="H4362" i="2"/>
  <c r="B4241" i="2"/>
  <c r="F4811" i="2"/>
  <c r="F4765" i="2"/>
  <c r="I4775" i="2"/>
  <c r="D4187" i="2"/>
  <c r="H4765" i="2"/>
  <c r="B4974" i="2"/>
  <c r="B4362" i="2"/>
  <c r="F4187" i="2"/>
  <c r="H4811" i="2"/>
  <c r="B4775" i="2"/>
  <c r="A4187" i="2"/>
  <c r="F4241" i="2"/>
  <c r="C4241" i="2"/>
  <c r="G4811" i="2"/>
  <c r="H4419" i="2"/>
  <c r="H4368" i="2"/>
  <c r="H4917" i="2"/>
  <c r="B4419" i="2"/>
  <c r="I4419" i="2"/>
  <c r="D4811" i="2"/>
  <c r="I4362" i="2"/>
  <c r="C4811" i="2"/>
  <c r="D4419" i="2"/>
  <c r="G4419" i="2"/>
  <c r="I4241" i="2"/>
  <c r="A4362" i="2"/>
  <c r="G4917" i="2"/>
  <c r="I4974" i="2"/>
  <c r="F4974" i="2"/>
  <c r="I4811" i="2"/>
  <c r="B4368" i="2"/>
  <c r="A4974" i="2"/>
  <c r="A4775" i="2"/>
  <c r="D4917" i="2"/>
  <c r="H4775" i="2"/>
  <c r="C4368" i="2"/>
  <c r="I4368" i="2"/>
  <c r="C4187" i="2"/>
  <c r="C4362" i="2"/>
  <c r="G4775" i="2"/>
  <c r="B4765" i="2"/>
  <c r="I4765" i="2"/>
  <c r="C4765" i="2"/>
  <c r="C4917" i="2"/>
  <c r="D4765" i="2"/>
  <c r="D4974" i="2"/>
  <c r="F4362" i="2"/>
  <c r="C4419" i="2"/>
  <c r="D4241" i="2"/>
  <c r="A4917" i="2"/>
  <c r="G4241" i="2"/>
  <c r="A4765" i="2"/>
  <c r="H4241" i="2"/>
  <c r="H4974" i="2"/>
  <c r="A4368" i="2"/>
  <c r="I4917" i="2"/>
  <c r="D4368" i="2"/>
  <c r="D4775" i="2"/>
  <c r="G4368" i="2"/>
  <c r="B4811" i="2"/>
  <c r="I4187" i="2"/>
  <c r="B4917" i="2"/>
  <c r="A4419" i="2"/>
  <c r="G4362" i="2"/>
  <c r="C4775" i="2"/>
  <c r="H4187" i="2"/>
  <c r="G4187" i="2"/>
  <c r="G4974" i="2"/>
  <c r="A4811" i="2"/>
  <c r="F4917" i="2"/>
  <c r="F4419" i="2"/>
  <c r="B4187" i="2"/>
  <c r="D4362" i="2"/>
  <c r="C4974" i="2"/>
  <c r="A4241" i="2"/>
  <c r="F4368" i="2"/>
  <c r="G4765" i="2"/>
  <c r="F4775" i="2"/>
  <c r="G4991" i="2"/>
  <c r="H4914" i="2"/>
  <c r="B4570" i="2"/>
  <c r="I4970" i="2"/>
  <c r="F4546" i="2"/>
  <c r="F4991" i="2"/>
  <c r="C4546" i="2"/>
  <c r="B4546" i="2"/>
  <c r="C4408" i="2"/>
  <c r="A4970" i="2"/>
  <c r="C4838" i="2"/>
  <c r="G4408" i="2"/>
  <c r="G4769" i="2"/>
  <c r="B4991" i="2"/>
  <c r="G4657" i="2"/>
  <c r="A4838" i="2"/>
  <c r="A4546" i="2"/>
  <c r="I4700" i="2"/>
  <c r="H4570" i="2"/>
  <c r="D4991" i="2"/>
  <c r="H4700" i="2"/>
  <c r="C4991" i="2"/>
  <c r="D4408" i="2"/>
  <c r="G4838" i="2"/>
  <c r="I4546" i="2"/>
  <c r="I4769" i="2"/>
  <c r="C4914" i="2"/>
  <c r="I4914" i="2"/>
  <c r="D4546" i="2"/>
  <c r="I4991" i="2"/>
  <c r="F4700" i="2"/>
  <c r="H4546" i="2"/>
  <c r="A4570" i="2"/>
  <c r="C4570" i="2"/>
  <c r="H4970" i="2"/>
  <c r="C4657" i="2"/>
  <c r="B4914" i="2"/>
  <c r="B4700" i="2"/>
  <c r="A4408" i="2"/>
  <c r="G4914" i="2"/>
  <c r="I4657" i="2"/>
  <c r="D4838" i="2"/>
  <c r="G4970" i="2"/>
  <c r="C4970" i="2"/>
  <c r="H4769" i="2"/>
  <c r="B4970" i="2"/>
  <c r="B4769" i="2"/>
  <c r="F4408" i="2"/>
  <c r="I4838" i="2"/>
  <c r="G4700" i="2"/>
  <c r="F4970" i="2"/>
  <c r="H4838" i="2"/>
  <c r="H4657" i="2"/>
  <c r="B4408" i="2"/>
  <c r="B4657" i="2"/>
  <c r="F4657" i="2"/>
  <c r="A4769" i="2"/>
  <c r="A4914" i="2"/>
  <c r="H4991" i="2"/>
  <c r="D4570" i="2"/>
  <c r="G4570" i="2"/>
  <c r="D4700" i="2"/>
  <c r="F4769" i="2"/>
  <c r="F4570" i="2"/>
  <c r="H4408" i="2"/>
  <c r="F4914" i="2"/>
  <c r="D4657" i="2"/>
  <c r="D4769" i="2"/>
  <c r="B4838" i="2"/>
  <c r="A4700" i="2"/>
  <c r="I4408" i="2"/>
  <c r="D4914" i="2"/>
  <c r="C4700" i="2"/>
  <c r="C4769" i="2"/>
  <c r="F4838" i="2"/>
  <c r="G4546" i="2"/>
  <c r="I4570" i="2"/>
  <c r="A4657" i="2"/>
  <c r="D4970" i="2"/>
  <c r="A4991" i="2"/>
  <c r="A4496" i="2"/>
  <c r="B4526" i="2"/>
  <c r="A4708" i="2"/>
  <c r="D4290" i="2"/>
  <c r="B4921" i="2"/>
  <c r="D4702" i="2"/>
  <c r="H4702" i="2"/>
  <c r="I4291" i="2"/>
  <c r="G4899" i="2"/>
  <c r="G4645" i="2"/>
  <c r="H4545" i="2"/>
  <c r="D4109" i="2"/>
  <c r="H4586" i="2"/>
  <c r="I4534" i="2"/>
  <c r="C4972" i="2"/>
  <c r="C4713" i="2"/>
  <c r="C4545" i="2"/>
  <c r="I4558" i="2"/>
  <c r="B4109" i="2"/>
  <c r="G4945" i="2"/>
  <c r="G4972" i="2"/>
  <c r="F4945" i="2"/>
  <c r="F4526" i="2"/>
  <c r="H4109" i="2"/>
  <c r="A4945" i="2"/>
  <c r="D4434" i="2"/>
  <c r="D4960" i="2"/>
  <c r="C4642" i="2"/>
  <c r="D4534" i="2"/>
  <c r="A4109" i="2"/>
  <c r="F4545" i="2"/>
  <c r="D4456" i="2"/>
  <c r="D4558" i="2"/>
  <c r="H4642" i="2"/>
  <c r="A4456" i="2"/>
  <c r="B4945" i="2"/>
  <c r="A4702" i="2"/>
  <c r="G4713" i="2"/>
  <c r="G4282" i="2"/>
  <c r="D4496" i="2"/>
  <c r="A4291" i="2"/>
  <c r="B4290" i="2"/>
  <c r="I4921" i="2"/>
  <c r="D4071" i="2"/>
  <c r="C4960" i="2"/>
  <c r="G4291" i="2"/>
  <c r="I4899" i="2"/>
  <c r="H5001" i="2"/>
  <c r="D4645" i="2"/>
  <c r="F4478" i="2"/>
  <c r="F4534" i="2"/>
  <c r="C4290" i="2"/>
  <c r="F4290" i="2"/>
  <c r="F4456" i="2"/>
  <c r="C4456" i="2"/>
  <c r="B4285" i="2"/>
  <c r="C4282" i="2"/>
  <c r="H4960" i="2"/>
  <c r="A4545" i="2"/>
  <c r="G4558" i="2"/>
  <c r="F4972" i="2"/>
  <c r="A4290" i="2"/>
  <c r="A4473" i="2"/>
  <c r="G4478" i="2"/>
  <c r="D4291" i="2"/>
  <c r="B4558" i="2"/>
  <c r="I4545" i="2"/>
  <c r="G4473" i="2"/>
  <c r="I4543" i="2"/>
  <c r="F4496" i="2"/>
  <c r="H4972" i="2"/>
  <c r="B4434" i="2"/>
  <c r="B4543" i="2"/>
  <c r="I4713" i="2"/>
  <c r="H4478" i="2"/>
  <c r="A4642" i="2"/>
  <c r="F4899" i="2"/>
  <c r="F4282" i="2"/>
  <c r="D4526" i="2"/>
  <c r="B4586" i="2"/>
  <c r="F4291" i="2"/>
  <c r="C4921" i="2"/>
  <c r="D4517" i="2"/>
  <c r="A4960" i="2"/>
  <c r="I4945" i="2"/>
  <c r="G4921" i="2"/>
  <c r="H4526" i="2"/>
  <c r="I4071" i="2"/>
  <c r="F4785" i="2"/>
  <c r="I4642" i="2"/>
  <c r="C4478" i="2"/>
  <c r="H4708" i="2"/>
  <c r="A4517" i="2"/>
  <c r="C4496" i="2"/>
  <c r="F4642" i="2"/>
  <c r="B4282" i="2"/>
  <c r="D5001" i="2"/>
  <c r="H4285" i="2"/>
  <c r="F4071" i="2"/>
  <c r="C4702" i="2"/>
  <c r="C4291" i="2"/>
  <c r="C4945" i="2"/>
  <c r="I4285" i="2"/>
  <c r="G4785" i="2"/>
  <c r="C5001" i="2"/>
  <c r="I4785" i="2"/>
  <c r="G4496" i="2"/>
  <c r="A4645" i="2"/>
  <c r="F4586" i="2"/>
  <c r="B4291" i="2"/>
  <c r="C4526" i="2"/>
  <c r="C4473" i="2"/>
  <c r="F4543" i="2"/>
  <c r="H4899" i="2"/>
  <c r="F4708" i="2"/>
  <c r="I4109" i="2"/>
  <c r="C4708" i="2"/>
  <c r="C4586" i="2"/>
  <c r="D4785" i="2"/>
  <c r="I4708" i="2"/>
  <c r="C4534" i="2"/>
  <c r="C4899" i="2"/>
  <c r="I4517" i="2"/>
  <c r="F4645" i="2"/>
  <c r="B4456" i="2"/>
  <c r="F4109" i="2"/>
  <c r="F4960" i="2"/>
  <c r="C4558" i="2"/>
  <c r="D4473" i="2"/>
  <c r="A4543" i="2"/>
  <c r="H4543" i="2"/>
  <c r="A4534" i="2"/>
  <c r="I4972" i="2"/>
  <c r="F4921" i="2"/>
  <c r="G4543" i="2"/>
  <c r="H4945" i="2"/>
  <c r="G4702" i="2"/>
  <c r="B4534" i="2"/>
  <c r="H4534" i="2"/>
  <c r="F5001" i="2"/>
  <c r="A4526" i="2"/>
  <c r="A4071" i="2"/>
  <c r="B4517" i="2"/>
  <c r="I4645" i="2"/>
  <c r="H4496" i="2"/>
  <c r="C4517" i="2"/>
  <c r="G4642" i="2"/>
  <c r="H4456" i="2"/>
  <c r="H4434" i="2"/>
  <c r="H4785" i="2"/>
  <c r="I4702" i="2"/>
  <c r="H4473" i="2"/>
  <c r="H4921" i="2"/>
  <c r="I4473" i="2"/>
  <c r="H4558" i="2"/>
  <c r="B5001" i="2"/>
  <c r="B4545" i="2"/>
  <c r="G4708" i="2"/>
  <c r="G5001" i="2"/>
  <c r="G4071" i="2"/>
  <c r="A4972" i="2"/>
  <c r="B4642" i="2"/>
  <c r="G4517" i="2"/>
  <c r="C4785" i="2"/>
  <c r="G4434" i="2"/>
  <c r="B4645" i="2"/>
  <c r="H4645" i="2"/>
  <c r="A4785" i="2"/>
  <c r="G4586" i="2"/>
  <c r="A4921" i="2"/>
  <c r="A4586" i="2"/>
  <c r="B4071" i="2"/>
  <c r="H4282" i="2"/>
  <c r="G4285" i="2"/>
  <c r="G4109" i="2"/>
  <c r="B4960" i="2"/>
  <c r="F4517" i="2"/>
  <c r="A4478" i="2"/>
  <c r="B4473" i="2"/>
  <c r="D4972" i="2"/>
  <c r="F4558" i="2"/>
  <c r="I4456" i="2"/>
  <c r="I4526" i="2"/>
  <c r="I4586" i="2"/>
  <c r="H4713" i="2"/>
  <c r="A4899" i="2"/>
  <c r="A4713" i="2"/>
  <c r="D4478" i="2"/>
  <c r="I4290" i="2"/>
  <c r="D4713" i="2"/>
  <c r="C4434" i="2"/>
  <c r="D4708" i="2"/>
  <c r="F4434" i="2"/>
  <c r="I4434" i="2"/>
  <c r="I4960" i="2"/>
  <c r="C4285" i="2"/>
  <c r="F4713" i="2"/>
  <c r="I4282" i="2"/>
  <c r="I4496" i="2"/>
  <c r="D4543" i="2"/>
  <c r="B4702" i="2"/>
  <c r="A5001" i="2"/>
  <c r="H4071" i="2"/>
  <c r="B4899" i="2"/>
  <c r="F4285" i="2"/>
  <c r="C4645" i="2"/>
  <c r="C4543" i="2"/>
  <c r="B4972" i="2"/>
  <c r="F4473" i="2"/>
  <c r="G4456" i="2"/>
  <c r="B4713" i="2"/>
  <c r="B4785" i="2"/>
  <c r="B4496" i="2"/>
  <c r="G4960" i="2"/>
  <c r="C4109" i="2"/>
  <c r="D4545" i="2"/>
  <c r="B4478" i="2"/>
  <c r="A4282" i="2"/>
  <c r="H4290" i="2"/>
  <c r="I4478" i="2"/>
  <c r="A4285" i="2"/>
  <c r="G4534" i="2"/>
  <c r="G4290" i="2"/>
  <c r="B4708" i="2"/>
  <c r="D4586" i="2"/>
  <c r="A4558" i="2"/>
  <c r="H4517" i="2"/>
  <c r="F4702" i="2"/>
  <c r="A4434" i="2"/>
  <c r="D4285" i="2"/>
  <c r="G4526" i="2"/>
  <c r="D4945" i="2"/>
  <c r="D4899" i="2"/>
  <c r="H4291" i="2"/>
  <c r="D4282" i="2"/>
  <c r="C4071" i="2"/>
  <c r="D4921" i="2"/>
  <c r="D4642" i="2"/>
  <c r="G4545" i="2"/>
  <c r="I5001" i="2"/>
  <c r="I4711" i="2"/>
  <c r="F4711" i="2"/>
  <c r="G4377" i="2"/>
  <c r="H4871" i="2"/>
  <c r="H4533" i="2"/>
  <c r="H4711" i="2"/>
  <c r="C4244" i="2"/>
  <c r="A4377" i="2"/>
  <c r="C4533" i="2"/>
  <c r="I4871" i="2"/>
  <c r="H4848" i="2"/>
  <c r="I4510" i="2"/>
  <c r="I4244" i="2"/>
  <c r="D4871" i="2"/>
  <c r="H4358" i="2"/>
  <c r="G4244" i="2"/>
  <c r="F4533" i="2"/>
  <c r="G4311" i="2"/>
  <c r="I4377" i="2"/>
  <c r="A4925" i="2"/>
  <c r="B4711" i="2"/>
  <c r="I4358" i="2"/>
  <c r="B4311" i="2"/>
  <c r="C4510" i="2"/>
  <c r="I4311" i="2"/>
  <c r="D4533" i="2"/>
  <c r="B4377" i="2"/>
  <c r="A4871" i="2"/>
  <c r="I4533" i="2"/>
  <c r="H4311" i="2"/>
  <c r="F4510" i="2"/>
  <c r="A4711" i="2"/>
  <c r="F4871" i="2"/>
  <c r="G4533" i="2"/>
  <c r="A4510" i="2"/>
  <c r="C4311" i="2"/>
  <c r="G4871" i="2"/>
  <c r="F4377" i="2"/>
  <c r="B4848" i="2"/>
  <c r="F4244" i="2"/>
  <c r="D4244" i="2"/>
  <c r="A4848" i="2"/>
  <c r="C4925" i="2"/>
  <c r="G4848" i="2"/>
  <c r="G4711" i="2"/>
  <c r="A4311" i="2"/>
  <c r="B4925" i="2"/>
  <c r="B4510" i="2"/>
  <c r="G4358" i="2"/>
  <c r="C4358" i="2"/>
  <c r="D4377" i="2"/>
  <c r="H4510" i="2"/>
  <c r="F4848" i="2"/>
  <c r="I4925" i="2"/>
  <c r="D4848" i="2"/>
  <c r="H4244" i="2"/>
  <c r="B4871" i="2"/>
  <c r="D4311" i="2"/>
  <c r="G4925" i="2"/>
  <c r="D4358" i="2"/>
  <c r="A4533" i="2"/>
  <c r="H4377" i="2"/>
  <c r="A4244" i="2"/>
  <c r="C4711" i="2"/>
  <c r="F4358" i="2"/>
  <c r="D4925" i="2"/>
  <c r="I4848" i="2"/>
  <c r="D4510" i="2"/>
  <c r="B4358" i="2"/>
  <c r="H4925" i="2"/>
  <c r="D4711" i="2"/>
  <c r="C4377" i="2"/>
  <c r="F4311" i="2"/>
  <c r="C4871" i="2"/>
  <c r="B4533" i="2"/>
  <c r="F4925" i="2"/>
  <c r="B4244" i="2"/>
  <c r="A4358" i="2"/>
  <c r="G4510" i="2"/>
  <c r="C4848" i="2"/>
  <c r="G4212" i="2"/>
  <c r="H4426" i="2"/>
  <c r="F4721" i="2"/>
  <c r="H4150" i="2"/>
  <c r="A4212" i="2"/>
  <c r="I4150" i="2"/>
  <c r="A4721" i="2"/>
  <c r="G4652" i="2"/>
  <c r="B4392" i="2"/>
  <c r="C4259" i="2"/>
  <c r="F4426" i="2"/>
  <c r="C4215" i="2"/>
  <c r="D4392" i="2"/>
  <c r="D4426" i="2"/>
  <c r="F4755" i="2"/>
  <c r="G4672" i="2"/>
  <c r="F4215" i="2"/>
  <c r="F4259" i="2"/>
  <c r="G4215" i="2"/>
  <c r="C4721" i="2"/>
  <c r="B4426" i="2"/>
  <c r="D4215" i="2"/>
  <c r="I4426" i="2"/>
  <c r="C4150" i="2"/>
  <c r="H4392" i="2"/>
  <c r="C4392" i="2"/>
  <c r="I4215" i="2"/>
  <c r="H4672" i="2"/>
  <c r="I4212" i="2"/>
  <c r="I4392" i="2"/>
  <c r="F4672" i="2"/>
  <c r="B4672" i="2"/>
  <c r="F4150" i="2"/>
  <c r="D4212" i="2"/>
  <c r="A4755" i="2"/>
  <c r="B4755" i="2"/>
  <c r="A4672" i="2"/>
  <c r="C4212" i="2"/>
  <c r="D4259" i="2"/>
  <c r="I4259" i="2"/>
  <c r="G4259" i="2"/>
  <c r="A4259" i="2"/>
  <c r="G4392" i="2"/>
  <c r="H4259" i="2"/>
  <c r="B4721" i="2"/>
  <c r="F4212" i="2"/>
  <c r="D4672" i="2"/>
  <c r="I4652" i="2"/>
  <c r="G4755" i="2"/>
  <c r="C4672" i="2"/>
  <c r="A4652" i="2"/>
  <c r="H4721" i="2"/>
  <c r="B4652" i="2"/>
  <c r="D4755" i="2"/>
  <c r="G4150" i="2"/>
  <c r="B4150" i="2"/>
  <c r="C4426" i="2"/>
  <c r="D4721" i="2"/>
  <c r="I4721" i="2"/>
  <c r="F4652" i="2"/>
  <c r="A4215" i="2"/>
  <c r="D4652" i="2"/>
  <c r="G4426" i="2"/>
  <c r="H4652" i="2"/>
  <c r="H4755" i="2"/>
  <c r="B4212" i="2"/>
  <c r="D4150" i="2"/>
  <c r="B4215" i="2"/>
  <c r="C4755" i="2"/>
  <c r="H4212" i="2"/>
  <c r="C4652" i="2"/>
  <c r="A4150" i="2"/>
  <c r="A4392" i="2"/>
  <c r="F4392" i="2"/>
  <c r="B4259" i="2"/>
  <c r="H4215" i="2"/>
  <c r="I4672" i="2"/>
  <c r="A4426" i="2"/>
  <c r="I4755" i="2"/>
  <c r="G4721" i="2"/>
  <c r="H4415" i="2"/>
  <c r="A4866" i="2"/>
  <c r="A4703" i="2"/>
  <c r="D4866" i="2"/>
  <c r="D4277" i="2"/>
  <c r="C4703" i="2"/>
  <c r="I4090" i="2"/>
  <c r="G4415" i="2"/>
  <c r="G4703" i="2"/>
  <c r="I4694" i="2"/>
  <c r="B4090" i="2"/>
  <c r="G4520" i="2"/>
  <c r="C4694" i="2"/>
  <c r="H4277" i="2"/>
  <c r="A4090" i="2"/>
  <c r="H4585" i="2"/>
  <c r="G4868" i="2"/>
  <c r="I4520" i="2"/>
  <c r="H4868" i="2"/>
  <c r="D4520" i="2"/>
  <c r="G4277" i="2"/>
  <c r="H4703" i="2"/>
  <c r="C4090" i="2"/>
  <c r="H4866" i="2"/>
  <c r="D4694" i="2"/>
  <c r="D4612" i="2"/>
  <c r="I4866" i="2"/>
  <c r="I4612" i="2"/>
  <c r="G4694" i="2"/>
  <c r="H4520" i="2"/>
  <c r="B4703" i="2"/>
  <c r="B4612" i="2"/>
  <c r="B4520" i="2"/>
  <c r="C4868" i="2"/>
  <c r="B4868" i="2"/>
  <c r="F4520" i="2"/>
  <c r="A4585" i="2"/>
  <c r="C4415" i="2"/>
  <c r="F4703" i="2"/>
  <c r="G4585" i="2"/>
  <c r="B4277" i="2"/>
  <c r="D4585" i="2"/>
  <c r="F4415" i="2"/>
  <c r="F4585" i="2"/>
  <c r="B4415" i="2"/>
  <c r="I4703" i="2"/>
  <c r="I4868" i="2"/>
  <c r="I4415" i="2"/>
  <c r="F4868" i="2"/>
  <c r="H4694" i="2"/>
  <c r="F4694" i="2"/>
  <c r="F4090" i="2"/>
  <c r="C4866" i="2"/>
  <c r="A4612" i="2"/>
  <c r="G4612" i="2"/>
  <c r="F4277" i="2"/>
  <c r="C4585" i="2"/>
  <c r="G4866" i="2"/>
  <c r="F4612" i="2"/>
  <c r="D4868" i="2"/>
  <c r="A4277" i="2"/>
  <c r="I4277" i="2"/>
  <c r="C4520" i="2"/>
  <c r="D4415" i="2"/>
  <c r="D4090" i="2"/>
  <c r="H4612" i="2"/>
  <c r="B4585" i="2"/>
  <c r="B4694" i="2"/>
  <c r="H4090" i="2"/>
  <c r="F4866" i="2"/>
  <c r="I4585" i="2"/>
  <c r="A4694" i="2"/>
  <c r="D4703" i="2"/>
  <c r="C4277" i="2"/>
  <c r="C4612" i="2"/>
  <c r="A4415" i="2"/>
  <c r="B4866" i="2"/>
  <c r="A4868" i="2"/>
  <c r="A4520" i="2"/>
  <c r="G4090" i="2"/>
  <c r="B4369" i="2"/>
  <c r="H4675" i="2"/>
  <c r="B4756" i="2"/>
  <c r="B4675" i="2"/>
  <c r="B4894" i="2"/>
  <c r="C4896" i="2"/>
  <c r="C4675" i="2"/>
  <c r="F4122" i="2"/>
  <c r="F4756" i="2"/>
  <c r="C4609" i="2"/>
  <c r="H4369" i="2"/>
  <c r="H4122" i="2"/>
  <c r="C4499" i="2"/>
  <c r="D4675" i="2"/>
  <c r="F4894" i="2"/>
  <c r="C4727" i="2"/>
  <c r="D4727" i="2"/>
  <c r="D4894" i="2"/>
  <c r="I4894" i="2"/>
  <c r="D4609" i="2"/>
  <c r="I4756" i="2"/>
  <c r="F4706" i="2"/>
  <c r="A4756" i="2"/>
  <c r="A4706" i="2"/>
  <c r="I4609" i="2"/>
  <c r="H4896" i="2"/>
  <c r="I4122" i="2"/>
  <c r="F4675" i="2"/>
  <c r="B4727" i="2"/>
  <c r="G4122" i="2"/>
  <c r="B4609" i="2"/>
  <c r="G4675" i="2"/>
  <c r="H4609" i="2"/>
  <c r="B4499" i="2"/>
  <c r="A4727" i="2"/>
  <c r="A4369" i="2"/>
  <c r="D4896" i="2"/>
  <c r="D4499" i="2"/>
  <c r="F4369" i="2"/>
  <c r="H4706" i="2"/>
  <c r="F4896" i="2"/>
  <c r="I4706" i="2"/>
  <c r="H4894" i="2"/>
  <c r="C4706" i="2"/>
  <c r="A4609" i="2"/>
  <c r="H4499" i="2"/>
  <c r="A4894" i="2"/>
  <c r="C4122" i="2"/>
  <c r="H4727" i="2"/>
  <c r="C4894" i="2"/>
  <c r="A4896" i="2"/>
  <c r="G4369" i="2"/>
  <c r="C4369" i="2"/>
  <c r="G4499" i="2"/>
  <c r="D4122" i="2"/>
  <c r="A4675" i="2"/>
  <c r="I4896" i="2"/>
  <c r="A4122" i="2"/>
  <c r="G4756" i="2"/>
  <c r="G4609" i="2"/>
  <c r="G4706" i="2"/>
  <c r="D4756" i="2"/>
  <c r="B4896" i="2"/>
  <c r="I4499" i="2"/>
  <c r="F4727" i="2"/>
  <c r="G4727" i="2"/>
  <c r="B4706" i="2"/>
  <c r="I4369" i="2"/>
  <c r="F4499" i="2"/>
  <c r="C4756" i="2"/>
  <c r="D4706" i="2"/>
  <c r="I4675" i="2"/>
  <c r="F4609" i="2"/>
  <c r="A4499" i="2"/>
  <c r="I4727" i="2"/>
  <c r="G4894" i="2"/>
  <c r="D4369" i="2"/>
  <c r="H4756" i="2"/>
  <c r="B4122" i="2"/>
  <c r="G4896" i="2"/>
  <c r="C4683" i="2"/>
  <c r="H4372" i="2"/>
  <c r="A4287" i="2"/>
  <c r="D4198" i="2"/>
  <c r="G4199" i="2"/>
  <c r="D4372" i="2"/>
  <c r="H4287" i="2"/>
  <c r="A4922" i="2"/>
  <c r="C4606" i="2"/>
  <c r="C4372" i="2"/>
  <c r="B4452" i="2"/>
  <c r="C4199" i="2"/>
  <c r="C4553" i="2"/>
  <c r="G4922" i="2"/>
  <c r="A4553" i="2"/>
  <c r="I4372" i="2"/>
  <c r="F4372" i="2"/>
  <c r="F4287" i="2"/>
  <c r="I4922" i="2"/>
  <c r="H4198" i="2"/>
  <c r="H4199" i="2"/>
  <c r="A4199" i="2"/>
  <c r="D4683" i="2"/>
  <c r="F4553" i="2"/>
  <c r="G4452" i="2"/>
  <c r="I4606" i="2"/>
  <c r="G4287" i="2"/>
  <c r="A4683" i="2"/>
  <c r="C4452" i="2"/>
  <c r="G4372" i="2"/>
  <c r="C4198" i="2"/>
  <c r="F4199" i="2"/>
  <c r="H4922" i="2"/>
  <c r="D4606" i="2"/>
  <c r="F4922" i="2"/>
  <c r="A4452" i="2"/>
  <c r="A4198" i="2"/>
  <c r="I4683" i="2"/>
  <c r="B4553" i="2"/>
  <c r="G4198" i="2"/>
  <c r="A4606" i="2"/>
  <c r="I4452" i="2"/>
  <c r="F4930" i="2"/>
  <c r="F4198" i="2"/>
  <c r="H4452" i="2"/>
  <c r="B4606" i="2"/>
  <c r="B4198" i="2"/>
  <c r="H4683" i="2"/>
  <c r="B4287" i="2"/>
  <c r="I4199" i="2"/>
  <c r="A4930" i="2"/>
  <c r="D4930" i="2"/>
  <c r="I4287" i="2"/>
  <c r="D4922" i="2"/>
  <c r="B4683" i="2"/>
  <c r="D4199" i="2"/>
  <c r="A4372" i="2"/>
  <c r="H4606" i="2"/>
  <c r="H4553" i="2"/>
  <c r="G4683" i="2"/>
  <c r="B4922" i="2"/>
  <c r="C4930" i="2"/>
  <c r="I4930" i="2"/>
  <c r="D4553" i="2"/>
  <c r="H4930" i="2"/>
  <c r="G4553" i="2"/>
  <c r="C4287" i="2"/>
  <c r="B4930" i="2"/>
  <c r="G4606" i="2"/>
  <c r="B4199" i="2"/>
  <c r="C4922" i="2"/>
  <c r="F4452" i="2"/>
  <c r="D4452" i="2"/>
  <c r="D4287" i="2"/>
  <c r="I4198" i="2"/>
  <c r="B4372" i="2"/>
  <c r="F4606" i="2"/>
  <c r="G4930" i="2"/>
  <c r="I4553" i="2"/>
  <c r="F4683" i="2"/>
  <c r="A4431" i="2"/>
  <c r="H4550" i="2"/>
  <c r="G4476" i="2"/>
  <c r="A4981" i="2"/>
  <c r="B4266" i="2"/>
  <c r="I4996" i="2"/>
  <c r="B4996" i="2"/>
  <c r="I4439" i="2"/>
  <c r="D4476" i="2"/>
  <c r="I4409" i="2"/>
  <c r="D4266" i="2"/>
  <c r="B4476" i="2"/>
  <c r="F4476" i="2"/>
  <c r="C4981" i="2"/>
  <c r="A4996" i="2"/>
  <c r="F4981" i="2"/>
  <c r="G4439" i="2"/>
  <c r="C4439" i="2"/>
  <c r="D4431" i="2"/>
  <c r="F4439" i="2"/>
  <c r="C4431" i="2"/>
  <c r="G4981" i="2"/>
  <c r="A4439" i="2"/>
  <c r="D4996" i="2"/>
  <c r="I4149" i="2"/>
  <c r="H4981" i="2"/>
  <c r="B4431" i="2"/>
  <c r="F4874" i="2"/>
  <c r="D4149" i="2"/>
  <c r="H4431" i="2"/>
  <c r="D4409" i="2"/>
  <c r="F4266" i="2"/>
  <c r="A4874" i="2"/>
  <c r="B4409" i="2"/>
  <c r="B4149" i="2"/>
  <c r="I4981" i="2"/>
  <c r="G4996" i="2"/>
  <c r="A4409" i="2"/>
  <c r="C4266" i="2"/>
  <c r="G4149" i="2"/>
  <c r="B4874" i="2"/>
  <c r="G4431" i="2"/>
  <c r="D4874" i="2"/>
  <c r="F4149" i="2"/>
  <c r="C4476" i="2"/>
  <c r="C4149" i="2"/>
  <c r="G4874" i="2"/>
  <c r="G4409" i="2"/>
  <c r="H4409" i="2"/>
  <c r="F4550" i="2"/>
  <c r="C4409" i="2"/>
  <c r="C4874" i="2"/>
  <c r="D4550" i="2"/>
  <c r="A4476" i="2"/>
  <c r="G4550" i="2"/>
  <c r="I4874" i="2"/>
  <c r="C4996" i="2"/>
  <c r="I4550" i="2"/>
  <c r="H4439" i="2"/>
  <c r="A4550" i="2"/>
  <c r="B4550" i="2"/>
  <c r="I4431" i="2"/>
  <c r="D4439" i="2"/>
  <c r="I4266" i="2"/>
  <c r="H4149" i="2"/>
  <c r="H4996" i="2"/>
  <c r="I4476" i="2"/>
  <c r="B4981" i="2"/>
  <c r="G4266" i="2"/>
  <c r="H4266" i="2"/>
  <c r="F4431" i="2"/>
  <c r="C4550" i="2"/>
  <c r="F4409" i="2"/>
  <c r="A4266" i="2"/>
  <c r="H4476" i="2"/>
  <c r="B4439" i="2"/>
  <c r="H4874" i="2"/>
  <c r="D4981" i="2"/>
  <c r="A4149" i="2"/>
  <c r="F4996" i="2"/>
  <c r="C4283" i="2"/>
  <c r="D4816" i="2"/>
  <c r="F4777" i="2"/>
  <c r="B4402" i="2"/>
  <c r="I4816" i="2"/>
  <c r="I4777" i="2"/>
  <c r="I4247" i="2"/>
  <c r="H4318" i="2"/>
  <c r="I4870" i="2"/>
  <c r="F4247" i="2"/>
  <c r="A4816" i="2"/>
  <c r="C4318" i="2"/>
  <c r="B4689" i="2"/>
  <c r="F4402" i="2"/>
  <c r="D4689" i="2"/>
  <c r="D4870" i="2"/>
  <c r="D4318" i="2"/>
  <c r="C4870" i="2"/>
  <c r="D4402" i="2"/>
  <c r="F4180" i="2"/>
  <c r="C4180" i="2"/>
  <c r="H4870" i="2"/>
  <c r="G4870" i="2"/>
  <c r="G4283" i="2"/>
  <c r="B4777" i="2"/>
  <c r="B4816" i="2"/>
  <c r="A4247" i="2"/>
  <c r="G4816" i="2"/>
  <c r="D4817" i="2"/>
  <c r="H4180" i="2"/>
  <c r="I4180" i="2"/>
  <c r="F4870" i="2"/>
  <c r="H4247" i="2"/>
  <c r="A4283" i="2"/>
  <c r="C4247" i="2"/>
  <c r="F4817" i="2"/>
  <c r="A4817" i="2"/>
  <c r="A4870" i="2"/>
  <c r="A4689" i="2"/>
  <c r="I4817" i="2"/>
  <c r="H4817" i="2"/>
  <c r="F4689" i="2"/>
  <c r="C4402" i="2"/>
  <c r="I4402" i="2"/>
  <c r="D4283" i="2"/>
  <c r="D4247" i="2"/>
  <c r="G4247" i="2"/>
  <c r="A4402" i="2"/>
  <c r="F4816" i="2"/>
  <c r="H4402" i="2"/>
  <c r="C4817" i="2"/>
  <c r="H4777" i="2"/>
  <c r="G4817" i="2"/>
  <c r="B4283" i="2"/>
  <c r="F4283" i="2"/>
  <c r="G4318" i="2"/>
  <c r="G4777" i="2"/>
  <c r="H4689" i="2"/>
  <c r="B4180" i="2"/>
  <c r="B4318" i="2"/>
  <c r="A4180" i="2"/>
  <c r="A4777" i="2"/>
  <c r="H4816" i="2"/>
  <c r="D4777" i="2"/>
  <c r="A4318" i="2"/>
  <c r="I4283" i="2"/>
  <c r="D4180" i="2"/>
  <c r="F4318" i="2"/>
  <c r="G4689" i="2"/>
  <c r="C4689" i="2"/>
  <c r="B4870" i="2"/>
  <c r="B4817" i="2"/>
  <c r="I4689" i="2"/>
  <c r="G4402" i="2"/>
  <c r="H4283" i="2"/>
  <c r="I4318" i="2"/>
  <c r="C4777" i="2"/>
  <c r="C4816" i="2"/>
  <c r="G4180" i="2"/>
  <c r="B4247" i="2"/>
  <c r="D4604" i="2"/>
  <c r="C4321" i="2"/>
  <c r="D4067" i="2"/>
  <c r="D4264" i="2"/>
  <c r="H4411" i="2"/>
  <c r="H4967" i="2"/>
  <c r="I4264" i="2"/>
  <c r="F4825" i="2"/>
  <c r="B4264" i="2"/>
  <c r="H4264" i="2"/>
  <c r="A4604" i="2"/>
  <c r="F4932" i="2"/>
  <c r="D4984" i="2"/>
  <c r="B4067" i="2"/>
  <c r="H4067" i="2"/>
  <c r="G4825" i="2"/>
  <c r="H4932" i="2"/>
  <c r="F4411" i="2"/>
  <c r="G4932" i="2"/>
  <c r="C4825" i="2"/>
  <c r="A4067" i="2"/>
  <c r="H4321" i="2"/>
  <c r="I4932" i="2"/>
  <c r="C4932" i="2"/>
  <c r="A4264" i="2"/>
  <c r="C4967" i="2"/>
  <c r="I4984" i="2"/>
  <c r="I4825" i="2"/>
  <c r="F4984" i="2"/>
  <c r="H4825" i="2"/>
  <c r="B4967" i="2"/>
  <c r="G4984" i="2"/>
  <c r="I4411" i="2"/>
  <c r="B4984" i="2"/>
  <c r="A4411" i="2"/>
  <c r="F4604" i="2"/>
  <c r="A4967" i="2"/>
  <c r="H4604" i="2"/>
  <c r="D4183" i="2"/>
  <c r="F4264" i="2"/>
  <c r="B4321" i="2"/>
  <c r="A4984" i="2"/>
  <c r="G4067" i="2"/>
  <c r="I4321" i="2"/>
  <c r="B4411" i="2"/>
  <c r="A4183" i="2"/>
  <c r="C4183" i="2"/>
  <c r="B4604" i="2"/>
  <c r="D4321" i="2"/>
  <c r="I4183" i="2"/>
  <c r="A4932" i="2"/>
  <c r="B4183" i="2"/>
  <c r="D4932" i="2"/>
  <c r="A4321" i="2"/>
  <c r="B4825" i="2"/>
  <c r="F4967" i="2"/>
  <c r="F4067" i="2"/>
  <c r="D4967" i="2"/>
  <c r="D4411" i="2"/>
  <c r="G4183" i="2"/>
  <c r="C4067" i="2"/>
  <c r="H4984" i="2"/>
  <c r="G4264" i="2"/>
  <c r="H4183" i="2"/>
  <c r="G4967" i="2"/>
  <c r="D4825" i="2"/>
  <c r="C4411" i="2"/>
  <c r="G4321" i="2"/>
  <c r="I4604" i="2"/>
  <c r="G4604" i="2"/>
  <c r="B4932" i="2"/>
  <c r="C4984" i="2"/>
  <c r="A4825" i="2"/>
  <c r="G4411" i="2"/>
  <c r="C4264" i="2"/>
  <c r="I4967" i="2"/>
  <c r="F4321" i="2"/>
  <c r="C4604" i="2"/>
  <c r="F4183" i="2"/>
  <c r="I4067" i="2"/>
  <c r="I4571" i="2"/>
  <c r="A4638" i="2"/>
  <c r="I4518" i="2"/>
  <c r="B4240" i="2"/>
  <c r="A4240" i="2"/>
  <c r="F4648" i="2"/>
  <c r="B4648" i="2"/>
  <c r="I4057" i="2"/>
  <c r="F4240" i="2"/>
  <c r="A4903" i="2"/>
  <c r="H4518" i="2"/>
  <c r="I4648" i="2"/>
  <c r="C4638" i="2"/>
  <c r="A4518" i="2"/>
  <c r="F4903" i="2"/>
  <c r="B4912" i="2"/>
  <c r="G4912" i="2"/>
  <c r="C4903" i="2"/>
  <c r="A4833" i="2"/>
  <c r="I4637" i="2"/>
  <c r="A4571" i="2"/>
  <c r="B4638" i="2"/>
  <c r="F4571" i="2"/>
  <c r="I4912" i="2"/>
  <c r="G4833" i="2"/>
  <c r="C4637" i="2"/>
  <c r="D4057" i="2"/>
  <c r="B4518" i="2"/>
  <c r="H4240" i="2"/>
  <c r="H4571" i="2"/>
  <c r="D4912" i="2"/>
  <c r="C4571" i="2"/>
  <c r="F4638" i="2"/>
  <c r="A4637" i="2"/>
  <c r="D4240" i="2"/>
  <c r="C4833" i="2"/>
  <c r="F4518" i="2"/>
  <c r="C4648" i="2"/>
  <c r="A4912" i="2"/>
  <c r="I4903" i="2"/>
  <c r="B4637" i="2"/>
  <c r="D4638" i="2"/>
  <c r="D4637" i="2"/>
  <c r="B4903" i="2"/>
  <c r="D4833" i="2"/>
  <c r="F4912" i="2"/>
  <c r="C4057" i="2"/>
  <c r="B4833" i="2"/>
  <c r="F4057" i="2"/>
  <c r="F4637" i="2"/>
  <c r="D4648" i="2"/>
  <c r="H4903" i="2"/>
  <c r="G4571" i="2"/>
  <c r="C4240" i="2"/>
  <c r="H4648" i="2"/>
  <c r="G4518" i="2"/>
  <c r="I4240" i="2"/>
  <c r="H4833" i="2"/>
  <c r="F4833" i="2"/>
  <c r="G4903" i="2"/>
  <c r="D4571" i="2"/>
  <c r="G4057" i="2"/>
  <c r="C4912" i="2"/>
  <c r="A4057" i="2"/>
  <c r="B4057" i="2"/>
  <c r="A4648" i="2"/>
  <c r="G4637" i="2"/>
  <c r="G4638" i="2"/>
  <c r="H4638" i="2"/>
  <c r="C4518" i="2"/>
  <c r="I4833" i="2"/>
  <c r="H4057" i="2"/>
  <c r="B4571" i="2"/>
  <c r="H4912" i="2"/>
  <c r="G4648" i="2"/>
  <c r="D4518" i="2"/>
  <c r="D4903" i="2"/>
  <c r="G4240" i="2"/>
  <c r="H4637" i="2"/>
  <c r="I4638" i="2"/>
  <c r="C4428" i="2"/>
  <c r="D4105" i="2"/>
  <c r="I4918" i="2"/>
  <c r="I4488" i="2"/>
  <c r="G4918" i="2"/>
  <c r="A4470" i="2"/>
  <c r="I4687" i="2"/>
  <c r="G4486" i="2"/>
  <c r="D4428" i="2"/>
  <c r="A4605" i="2"/>
  <c r="D4605" i="2"/>
  <c r="B4470" i="2"/>
  <c r="G4105" i="2"/>
  <c r="H4486" i="2"/>
  <c r="F4605" i="2"/>
  <c r="I4942" i="2"/>
  <c r="C4942" i="2"/>
  <c r="H4942" i="2"/>
  <c r="B4428" i="2"/>
  <c r="H4470" i="2"/>
  <c r="H4105" i="2"/>
  <c r="F4428" i="2"/>
  <c r="H4687" i="2"/>
  <c r="C4470" i="2"/>
  <c r="C4605" i="2"/>
  <c r="B4488" i="2"/>
  <c r="A4428" i="2"/>
  <c r="G4488" i="2"/>
  <c r="C4557" i="2"/>
  <c r="B4918" i="2"/>
  <c r="B4605" i="2"/>
  <c r="B4486" i="2"/>
  <c r="D4488" i="2"/>
  <c r="H4488" i="2"/>
  <c r="A4488" i="2"/>
  <c r="F4918" i="2"/>
  <c r="F4687" i="2"/>
  <c r="D4942" i="2"/>
  <c r="B4942" i="2"/>
  <c r="D4557" i="2"/>
  <c r="G4470" i="2"/>
  <c r="G4557" i="2"/>
  <c r="B4557" i="2"/>
  <c r="B4105" i="2"/>
  <c r="B4687" i="2"/>
  <c r="A4918" i="2"/>
  <c r="F4486" i="2"/>
  <c r="F4942" i="2"/>
  <c r="C4918" i="2"/>
  <c r="G4605" i="2"/>
  <c r="C4105" i="2"/>
  <c r="G4428" i="2"/>
  <c r="F4470" i="2"/>
  <c r="I4105" i="2"/>
  <c r="F4488" i="2"/>
  <c r="D4486" i="2"/>
  <c r="F4105" i="2"/>
  <c r="I4557" i="2"/>
  <c r="I4428" i="2"/>
  <c r="I4486" i="2"/>
  <c r="A4557" i="2"/>
  <c r="I4470" i="2"/>
  <c r="C4486" i="2"/>
  <c r="D4918" i="2"/>
  <c r="H4557" i="2"/>
  <c r="H4605" i="2"/>
  <c r="A4687" i="2"/>
  <c r="A4942" i="2"/>
  <c r="D4687" i="2"/>
  <c r="G4687" i="2"/>
  <c r="F4557" i="2"/>
  <c r="C4488" i="2"/>
  <c r="A4486" i="2"/>
  <c r="C4687" i="2"/>
  <c r="I4605" i="2"/>
  <c r="H4918" i="2"/>
  <c r="D4470" i="2"/>
  <c r="H4428" i="2"/>
  <c r="G4942" i="2"/>
  <c r="A4105" i="2"/>
  <c r="I4619" i="2"/>
  <c r="I4404" i="2"/>
  <c r="D4114" i="2"/>
  <c r="F4575" i="2"/>
  <c r="A4919" i="2"/>
  <c r="G4288" i="2"/>
  <c r="B4575" i="2"/>
  <c r="D4094" i="2"/>
  <c r="I4094" i="2"/>
  <c r="B4563" i="2"/>
  <c r="C4603" i="2"/>
  <c r="I4563" i="2"/>
  <c r="A4738" i="2"/>
  <c r="F4563" i="2"/>
  <c r="I4288" i="2"/>
  <c r="D4404" i="2"/>
  <c r="A4563" i="2"/>
  <c r="G4738" i="2"/>
  <c r="H4603" i="2"/>
  <c r="A4288" i="2"/>
  <c r="H4738" i="2"/>
  <c r="D4288" i="2"/>
  <c r="B4919" i="2"/>
  <c r="C4563" i="2"/>
  <c r="C4288" i="2"/>
  <c r="G4575" i="2"/>
  <c r="B4619" i="2"/>
  <c r="D4619" i="2"/>
  <c r="F4404" i="2"/>
  <c r="H4575" i="2"/>
  <c r="G4114" i="2"/>
  <c r="G4563" i="2"/>
  <c r="G4619" i="2"/>
  <c r="B4603" i="2"/>
  <c r="I4738" i="2"/>
  <c r="C4404" i="2"/>
  <c r="I4114" i="2"/>
  <c r="A4114" i="2"/>
  <c r="B4114" i="2"/>
  <c r="I4575" i="2"/>
  <c r="H4094" i="2"/>
  <c r="F4619" i="2"/>
  <c r="G4094" i="2"/>
  <c r="B4404" i="2"/>
  <c r="B4288" i="2"/>
  <c r="D4738" i="2"/>
  <c r="G4603" i="2"/>
  <c r="G4404" i="2"/>
  <c r="A4619" i="2"/>
  <c r="H4919" i="2"/>
  <c r="G4919" i="2"/>
  <c r="C4619" i="2"/>
  <c r="I4919" i="2"/>
  <c r="A4404" i="2"/>
  <c r="C4575" i="2"/>
  <c r="F4919" i="2"/>
  <c r="H4114" i="2"/>
  <c r="F4094" i="2"/>
  <c r="B4094" i="2"/>
  <c r="B4738" i="2"/>
  <c r="C4094" i="2"/>
  <c r="F4603" i="2"/>
  <c r="A4603" i="2"/>
  <c r="C4114" i="2"/>
  <c r="I4603" i="2"/>
  <c r="F4288" i="2"/>
  <c r="H4563" i="2"/>
  <c r="D4919" i="2"/>
  <c r="A4575" i="2"/>
  <c r="F4738" i="2"/>
  <c r="A4094" i="2"/>
  <c r="H4619" i="2"/>
  <c r="C4919" i="2"/>
  <c r="F4114" i="2"/>
  <c r="H4404" i="2"/>
  <c r="D4575" i="2"/>
  <c r="D4563" i="2"/>
  <c r="C4738" i="2"/>
  <c r="H4288" i="2"/>
  <c r="D4603" i="2"/>
  <c r="C4251" i="2"/>
  <c r="B4525" i="2"/>
  <c r="I4766" i="2"/>
  <c r="D4867" i="2"/>
  <c r="G4892" i="2"/>
  <c r="F4197" i="2"/>
  <c r="I4880" i="2"/>
  <c r="F4797" i="2"/>
  <c r="D4251" i="2"/>
  <c r="H4197" i="2"/>
  <c r="D4908" i="2"/>
  <c r="B4908" i="2"/>
  <c r="B4251" i="2"/>
  <c r="C4867" i="2"/>
  <c r="C4892" i="2"/>
  <c r="B4797" i="2"/>
  <c r="C4525" i="2"/>
  <c r="F4892" i="2"/>
  <c r="D4197" i="2"/>
  <c r="A4525" i="2"/>
  <c r="C4422" i="2"/>
  <c r="G4422" i="2"/>
  <c r="C4766" i="2"/>
  <c r="A4892" i="2"/>
  <c r="G4766" i="2"/>
  <c r="A4797" i="2"/>
  <c r="F4766" i="2"/>
  <c r="G4880" i="2"/>
  <c r="H4892" i="2"/>
  <c r="C4880" i="2"/>
  <c r="F4908" i="2"/>
  <c r="D4892" i="2"/>
  <c r="H4251" i="2"/>
  <c r="I4797" i="2"/>
  <c r="I4908" i="2"/>
  <c r="A4422" i="2"/>
  <c r="F4867" i="2"/>
  <c r="I4422" i="2"/>
  <c r="H4422" i="2"/>
  <c r="B4867" i="2"/>
  <c r="G4197" i="2"/>
  <c r="G4908" i="2"/>
  <c r="I4251" i="2"/>
  <c r="B4880" i="2"/>
  <c r="G4797" i="2"/>
  <c r="F4422" i="2"/>
  <c r="A4251" i="2"/>
  <c r="A4766" i="2"/>
  <c r="D4797" i="2"/>
  <c r="A4880" i="2"/>
  <c r="I4867" i="2"/>
  <c r="I4525" i="2"/>
  <c r="I4197" i="2"/>
  <c r="H4766" i="2"/>
  <c r="C4908" i="2"/>
  <c r="A4908" i="2"/>
  <c r="C4197" i="2"/>
  <c r="I4892" i="2"/>
  <c r="G4525" i="2"/>
  <c r="C4797" i="2"/>
  <c r="D4880" i="2"/>
  <c r="A4867" i="2"/>
  <c r="F4880" i="2"/>
  <c r="G4251" i="2"/>
  <c r="D4525" i="2"/>
  <c r="B4766" i="2"/>
  <c r="G4867" i="2"/>
  <c r="B4197" i="2"/>
  <c r="D4422" i="2"/>
  <c r="F4525" i="2"/>
  <c r="H4908" i="2"/>
  <c r="D4766" i="2"/>
  <c r="H4797" i="2"/>
  <c r="B4422" i="2"/>
  <c r="H4525" i="2"/>
  <c r="B4892" i="2"/>
  <c r="A4197" i="2"/>
  <c r="F4251" i="2"/>
  <c r="H4880" i="2"/>
  <c r="H4867" i="2"/>
  <c r="I4963" i="2"/>
  <c r="F4900" i="2"/>
  <c r="B4961" i="2"/>
  <c r="A4963" i="2"/>
  <c r="C4963" i="2"/>
  <c r="D4900" i="2"/>
  <c r="I4175" i="2"/>
  <c r="B4963" i="2"/>
  <c r="A4249" i="2"/>
  <c r="G4651" i="2"/>
  <c r="G4963" i="2"/>
  <c r="G4674" i="2"/>
  <c r="F4249" i="2"/>
  <c r="B4900" i="2"/>
  <c r="I4651" i="2"/>
  <c r="I4364" i="2"/>
  <c r="C4371" i="2"/>
  <c r="C4651" i="2"/>
  <c r="B4371" i="2"/>
  <c r="I4674" i="2"/>
  <c r="B4364" i="2"/>
  <c r="D4963" i="2"/>
  <c r="H4249" i="2"/>
  <c r="H4364" i="2"/>
  <c r="B4249" i="2"/>
  <c r="G4364" i="2"/>
  <c r="A4175" i="2"/>
  <c r="D4651" i="2"/>
  <c r="B4651" i="2"/>
  <c r="B4674" i="2"/>
  <c r="F4175" i="2"/>
  <c r="G4175" i="2"/>
  <c r="G4331" i="2"/>
  <c r="D4674" i="2"/>
  <c r="D4364" i="2"/>
  <c r="I4961" i="2"/>
  <c r="H4961" i="2"/>
  <c r="H4175" i="2"/>
  <c r="F4651" i="2"/>
  <c r="C4674" i="2"/>
  <c r="D4961" i="2"/>
  <c r="H4963" i="2"/>
  <c r="H4674" i="2"/>
  <c r="I4331" i="2"/>
  <c r="C4175" i="2"/>
  <c r="A4331" i="2"/>
  <c r="H4331" i="2"/>
  <c r="H4651" i="2"/>
  <c r="D4371" i="2"/>
  <c r="A4364" i="2"/>
  <c r="C4331" i="2"/>
  <c r="B4175" i="2"/>
  <c r="C4900" i="2"/>
  <c r="G4371" i="2"/>
  <c r="G4961" i="2"/>
  <c r="A4961" i="2"/>
  <c r="C4961" i="2"/>
  <c r="F4371" i="2"/>
  <c r="D4249" i="2"/>
  <c r="C4249" i="2"/>
  <c r="I4900" i="2"/>
  <c r="F4674" i="2"/>
  <c r="B4331" i="2"/>
  <c r="A4900" i="2"/>
  <c r="A4371" i="2"/>
  <c r="I4249" i="2"/>
  <c r="C4364" i="2"/>
  <c r="G4900" i="2"/>
  <c r="F4331" i="2"/>
  <c r="I4371" i="2"/>
  <c r="H4371" i="2"/>
  <c r="F4963" i="2"/>
  <c r="F4961" i="2"/>
  <c r="H4900" i="2"/>
  <c r="A4674" i="2"/>
  <c r="D4175" i="2"/>
  <c r="G4249" i="2"/>
  <c r="F4364" i="2"/>
  <c r="D4331" i="2"/>
  <c r="A4651" i="2"/>
  <c r="A4213" i="2"/>
  <c r="I4339" i="2"/>
  <c r="I4579" i="2"/>
  <c r="I4806" i="2"/>
  <c r="H4582" i="2"/>
  <c r="F4213" i="2"/>
  <c r="I4722" i="2"/>
  <c r="A4806" i="2"/>
  <c r="H4806" i="2"/>
  <c r="C4582" i="2"/>
  <c r="A4579" i="2"/>
  <c r="B4205" i="2"/>
  <c r="B4717" i="2"/>
  <c r="A4205" i="2"/>
  <c r="F4582" i="2"/>
  <c r="G4475" i="2"/>
  <c r="I4717" i="2"/>
  <c r="I4205" i="2"/>
  <c r="D4386" i="2"/>
  <c r="C4475" i="2"/>
  <c r="H4717" i="2"/>
  <c r="I4582" i="2"/>
  <c r="G4579" i="2"/>
  <c r="G4806" i="2"/>
  <c r="C4579" i="2"/>
  <c r="I4213" i="2"/>
  <c r="G4722" i="2"/>
  <c r="H4722" i="2"/>
  <c r="C4722" i="2"/>
  <c r="C4213" i="2"/>
  <c r="B4579" i="2"/>
  <c r="C4339" i="2"/>
  <c r="C4205" i="2"/>
  <c r="A4475" i="2"/>
  <c r="F4722" i="2"/>
  <c r="F4386" i="2"/>
  <c r="D4205" i="2"/>
  <c r="A4717" i="2"/>
  <c r="A4722" i="2"/>
  <c r="G4339" i="2"/>
  <c r="A4339" i="2"/>
  <c r="B4386" i="2"/>
  <c r="D4717" i="2"/>
  <c r="D4806" i="2"/>
  <c r="C4717" i="2"/>
  <c r="G4213" i="2"/>
  <c r="H4213" i="2"/>
  <c r="F4475" i="2"/>
  <c r="A4386" i="2"/>
  <c r="B4213" i="2"/>
  <c r="I4386" i="2"/>
  <c r="C4806" i="2"/>
  <c r="H4579" i="2"/>
  <c r="B4582" i="2"/>
  <c r="D4339" i="2"/>
  <c r="F4205" i="2"/>
  <c r="I4475" i="2"/>
  <c r="H4386" i="2"/>
  <c r="H4475" i="2"/>
  <c r="G4717" i="2"/>
  <c r="B4722" i="2"/>
  <c r="D4475" i="2"/>
  <c r="G4582" i="2"/>
  <c r="G4386" i="2"/>
  <c r="D4582" i="2"/>
  <c r="H4205" i="2"/>
  <c r="F4806" i="2"/>
  <c r="F4579" i="2"/>
  <c r="B4339" i="2"/>
  <c r="F4339" i="2"/>
  <c r="F4717" i="2"/>
  <c r="D4579" i="2"/>
  <c r="A4582" i="2"/>
  <c r="H4339" i="2"/>
  <c r="B4475" i="2"/>
  <c r="B4806" i="2"/>
  <c r="G4205" i="2"/>
  <c r="D4213" i="2"/>
  <c r="D4722" i="2"/>
  <c r="C4386" i="2"/>
  <c r="G4577" i="2"/>
  <c r="G4883" i="2"/>
  <c r="B4883" i="2"/>
  <c r="A4818" i="2"/>
  <c r="D4593" i="2"/>
  <c r="C4818" i="2"/>
  <c r="H4438" i="2"/>
  <c r="H4206" i="2"/>
  <c r="D4276" i="2"/>
  <c r="D4370" i="2"/>
  <c r="B4370" i="2"/>
  <c r="I4593" i="2"/>
  <c r="B4596" i="2"/>
  <c r="H4577" i="2"/>
  <c r="I4883" i="2"/>
  <c r="C4577" i="2"/>
  <c r="C4498" i="2"/>
  <c r="B4276" i="2"/>
  <c r="H4883" i="2"/>
  <c r="F4438" i="2"/>
  <c r="H4593" i="2"/>
  <c r="A4206" i="2"/>
  <c r="G4438" i="2"/>
  <c r="B4593" i="2"/>
  <c r="D4206" i="2"/>
  <c r="F4883" i="2"/>
  <c r="A4883" i="2"/>
  <c r="B4206" i="2"/>
  <c r="A4498" i="2"/>
  <c r="B4577" i="2"/>
  <c r="I4370" i="2"/>
  <c r="G4498" i="2"/>
  <c r="I4438" i="2"/>
  <c r="F4498" i="2"/>
  <c r="I4818" i="2"/>
  <c r="F4276" i="2"/>
  <c r="A4596" i="2"/>
  <c r="H4276" i="2"/>
  <c r="G4206" i="2"/>
  <c r="C4883" i="2"/>
  <c r="C4276" i="2"/>
  <c r="B4818" i="2"/>
  <c r="D4577" i="2"/>
  <c r="A4593" i="2"/>
  <c r="F4206" i="2"/>
  <c r="C4370" i="2"/>
  <c r="F4577" i="2"/>
  <c r="F4596" i="2"/>
  <c r="B4438" i="2"/>
  <c r="H4596" i="2"/>
  <c r="B4498" i="2"/>
  <c r="G4818" i="2"/>
  <c r="D4498" i="2"/>
  <c r="G4593" i="2"/>
  <c r="I4596" i="2"/>
  <c r="G4596" i="2"/>
  <c r="I4276" i="2"/>
  <c r="I4498" i="2"/>
  <c r="C4438" i="2"/>
  <c r="A4577" i="2"/>
  <c r="D4818" i="2"/>
  <c r="G4276" i="2"/>
  <c r="D4438" i="2"/>
  <c r="F4370" i="2"/>
  <c r="F4818" i="2"/>
  <c r="D4596" i="2"/>
  <c r="C4206" i="2"/>
  <c r="C4593" i="2"/>
  <c r="G4370" i="2"/>
  <c r="H4370" i="2"/>
  <c r="I4577" i="2"/>
  <c r="A4438" i="2"/>
  <c r="F4593" i="2"/>
  <c r="H4498" i="2"/>
  <c r="I4206" i="2"/>
  <c r="A4370" i="2"/>
  <c r="A4276" i="2"/>
  <c r="H4818" i="2"/>
  <c r="D4883" i="2"/>
  <c r="C4596" i="2"/>
  <c r="H4320" i="2"/>
  <c r="I4304" i="2"/>
  <c r="A4877" i="2"/>
  <c r="F4355" i="2"/>
  <c r="I4437" i="2"/>
  <c r="D4621" i="2"/>
  <c r="A4971" i="2"/>
  <c r="G4827" i="2"/>
  <c r="I4355" i="2"/>
  <c r="H4355" i="2"/>
  <c r="F4827" i="2"/>
  <c r="B4304" i="2"/>
  <c r="F4437" i="2"/>
  <c r="G4621" i="2"/>
  <c r="H4877" i="2"/>
  <c r="G4437" i="2"/>
  <c r="C4971" i="2"/>
  <c r="C4320" i="2"/>
  <c r="D4877" i="2"/>
  <c r="D4827" i="2"/>
  <c r="B4828" i="2"/>
  <c r="H4254" i="2"/>
  <c r="I4971" i="2"/>
  <c r="B4320" i="2"/>
  <c r="A4320" i="2"/>
  <c r="H4828" i="2"/>
  <c r="I4877" i="2"/>
  <c r="A4621" i="2"/>
  <c r="A4355" i="2"/>
  <c r="H4437" i="2"/>
  <c r="C4304" i="2"/>
  <c r="H4304" i="2"/>
  <c r="G4877" i="2"/>
  <c r="H4621" i="2"/>
  <c r="C4621" i="2"/>
  <c r="D4828" i="2"/>
  <c r="F4304" i="2"/>
  <c r="F4971" i="2"/>
  <c r="H4827" i="2"/>
  <c r="F4877" i="2"/>
  <c r="G4355" i="2"/>
  <c r="A4254" i="2"/>
  <c r="F4254" i="2"/>
  <c r="C4437" i="2"/>
  <c r="A4827" i="2"/>
  <c r="B4621" i="2"/>
  <c r="I4254" i="2"/>
  <c r="C4877" i="2"/>
  <c r="G4254" i="2"/>
  <c r="D4320" i="2"/>
  <c r="F4621" i="2"/>
  <c r="A4828" i="2"/>
  <c r="C4828" i="2"/>
  <c r="C4355" i="2"/>
  <c r="C4827" i="2"/>
  <c r="H4971" i="2"/>
  <c r="G4828" i="2"/>
  <c r="G4320" i="2"/>
  <c r="A4437" i="2"/>
  <c r="D4254" i="2"/>
  <c r="F4828" i="2"/>
  <c r="G4971" i="2"/>
  <c r="B4827" i="2"/>
  <c r="D4304" i="2"/>
  <c r="B4355" i="2"/>
  <c r="F4320" i="2"/>
  <c r="B4254" i="2"/>
  <c r="D4971" i="2"/>
  <c r="B4437" i="2"/>
  <c r="G4304" i="2"/>
  <c r="I4320" i="2"/>
  <c r="D4355" i="2"/>
  <c r="B4877" i="2"/>
  <c r="B4971" i="2"/>
  <c r="D4437" i="2"/>
  <c r="A4304" i="2"/>
  <c r="I4828" i="2"/>
  <c r="I4827" i="2"/>
  <c r="I4621" i="2"/>
  <c r="C4254" i="2"/>
  <c r="G4824" i="2"/>
  <c r="B4127" i="2"/>
  <c r="G4595" i="2"/>
  <c r="C4127" i="2"/>
  <c r="F4957" i="2"/>
  <c r="G4678" i="2"/>
  <c r="F4824" i="2"/>
  <c r="C4466" i="2"/>
  <c r="C4678" i="2"/>
  <c r="C4595" i="2"/>
  <c r="C4939" i="2"/>
  <c r="H4189" i="2"/>
  <c r="F4189" i="2"/>
  <c r="I4551" i="2"/>
  <c r="A4939" i="2"/>
  <c r="A4127" i="2"/>
  <c r="B4218" i="2"/>
  <c r="D4824" i="2"/>
  <c r="F4939" i="2"/>
  <c r="A4957" i="2"/>
  <c r="G4551" i="2"/>
  <c r="I4595" i="2"/>
  <c r="D4595" i="2"/>
  <c r="B4466" i="2"/>
  <c r="D4189" i="2"/>
  <c r="B4678" i="2"/>
  <c r="A4824" i="2"/>
  <c r="D4218" i="2"/>
  <c r="C4218" i="2"/>
  <c r="I4957" i="2"/>
  <c r="B4939" i="2"/>
  <c r="A4218" i="2"/>
  <c r="D4127" i="2"/>
  <c r="B4189" i="2"/>
  <c r="I4127" i="2"/>
  <c r="G4218" i="2"/>
  <c r="F4466" i="2"/>
  <c r="A4189" i="2"/>
  <c r="I4678" i="2"/>
  <c r="C4551" i="2"/>
  <c r="I4189" i="2"/>
  <c r="F4218" i="2"/>
  <c r="C4824" i="2"/>
  <c r="G4939" i="2"/>
  <c r="A4551" i="2"/>
  <c r="G4127" i="2"/>
  <c r="H4824" i="2"/>
  <c r="H4939" i="2"/>
  <c r="F4551" i="2"/>
  <c r="I4466" i="2"/>
  <c r="B4551" i="2"/>
  <c r="I4939" i="2"/>
  <c r="D4466" i="2"/>
  <c r="F4595" i="2"/>
  <c r="G4957" i="2"/>
  <c r="C4957" i="2"/>
  <c r="D4678" i="2"/>
  <c r="D4551" i="2"/>
  <c r="B4824" i="2"/>
  <c r="G4189" i="2"/>
  <c r="H4595" i="2"/>
  <c r="H4957" i="2"/>
  <c r="F4127" i="2"/>
  <c r="A4678" i="2"/>
  <c r="H4466" i="2"/>
  <c r="H4678" i="2"/>
  <c r="H4218" i="2"/>
  <c r="D4957" i="2"/>
  <c r="A4466" i="2"/>
  <c r="B4595" i="2"/>
  <c r="H4551" i="2"/>
  <c r="A4595" i="2"/>
  <c r="D4939" i="2"/>
  <c r="I4218" i="2"/>
  <c r="B4957" i="2"/>
  <c r="F4678" i="2"/>
  <c r="C4189" i="2"/>
  <c r="G4466" i="2"/>
  <c r="H4127" i="2"/>
  <c r="I4824" i="2"/>
  <c r="H4640" i="2"/>
  <c r="G4115" i="2"/>
  <c r="I4524" i="2"/>
  <c r="D4968" i="2"/>
  <c r="G4886" i="2"/>
  <c r="C4640" i="2"/>
  <c r="I4555" i="2"/>
  <c r="I4640" i="2"/>
  <c r="F4875" i="2"/>
  <c r="G4163" i="2"/>
  <c r="F4163" i="2"/>
  <c r="F4133" i="2"/>
  <c r="A4968" i="2"/>
  <c r="C4115" i="2"/>
  <c r="I4886" i="2"/>
  <c r="B4968" i="2"/>
  <c r="D4133" i="2"/>
  <c r="D4640" i="2"/>
  <c r="G4640" i="2"/>
  <c r="C4163" i="2"/>
  <c r="F4886" i="2"/>
  <c r="A4875" i="2"/>
  <c r="A4133" i="2"/>
  <c r="F4115" i="2"/>
  <c r="B4163" i="2"/>
  <c r="A4163" i="2"/>
  <c r="A4716" i="2"/>
  <c r="D4115" i="2"/>
  <c r="G4555" i="2"/>
  <c r="C4555" i="2"/>
  <c r="I4716" i="2"/>
  <c r="B4133" i="2"/>
  <c r="G4524" i="2"/>
  <c r="C4968" i="2"/>
  <c r="D4875" i="2"/>
  <c r="D4716" i="2"/>
  <c r="H4716" i="2"/>
  <c r="F4968" i="2"/>
  <c r="C4133" i="2"/>
  <c r="C4716" i="2"/>
  <c r="H4163" i="2"/>
  <c r="H4886" i="2"/>
  <c r="G4875" i="2"/>
  <c r="I4968" i="2"/>
  <c r="G4133" i="2"/>
  <c r="A4524" i="2"/>
  <c r="G4716" i="2"/>
  <c r="F4524" i="2"/>
  <c r="A4886" i="2"/>
  <c r="D4555" i="2"/>
  <c r="I4163" i="2"/>
  <c r="I4115" i="2"/>
  <c r="B4886" i="2"/>
  <c r="H4115" i="2"/>
  <c r="G4968" i="2"/>
  <c r="C4524" i="2"/>
  <c r="F4640" i="2"/>
  <c r="B4115" i="2"/>
  <c r="C4875" i="2"/>
  <c r="F4555" i="2"/>
  <c r="H4133" i="2"/>
  <c r="H4555" i="2"/>
  <c r="B4716" i="2"/>
  <c r="I4875" i="2"/>
  <c r="D4886" i="2"/>
  <c r="B4875" i="2"/>
  <c r="B4524" i="2"/>
  <c r="B4555" i="2"/>
  <c r="A4640" i="2"/>
  <c r="D4524" i="2"/>
  <c r="F4716" i="2"/>
  <c r="H4875" i="2"/>
  <c r="A4555" i="2"/>
  <c r="H4968" i="2"/>
  <c r="B4640" i="2"/>
  <c r="A4115" i="2"/>
  <c r="I4133" i="2"/>
  <c r="D4163" i="2"/>
  <c r="C4886" i="2"/>
  <c r="H4524" i="2"/>
  <c r="D4948" i="2"/>
  <c r="F4302" i="2"/>
  <c r="C4421" i="2"/>
  <c r="D4719" i="2"/>
  <c r="C4719" i="2"/>
  <c r="H4684" i="2"/>
  <c r="D4421" i="2"/>
  <c r="H4302" i="2"/>
  <c r="G4719" i="2"/>
  <c r="C4119" i="2"/>
  <c r="I4588" i="2"/>
  <c r="B4302" i="2"/>
  <c r="I4684" i="2"/>
  <c r="F4421" i="2"/>
  <c r="A4119" i="2"/>
  <c r="F4684" i="2"/>
  <c r="F4692" i="2"/>
  <c r="G4948" i="2"/>
  <c r="B4719" i="2"/>
  <c r="A4302" i="2"/>
  <c r="D4684" i="2"/>
  <c r="F4635" i="2"/>
  <c r="H4631" i="2"/>
  <c r="A4684" i="2"/>
  <c r="B4588" i="2"/>
  <c r="H4588" i="2"/>
  <c r="G4119" i="2"/>
  <c r="C4684" i="2"/>
  <c r="D4588" i="2"/>
  <c r="D4692" i="2"/>
  <c r="D4635" i="2"/>
  <c r="B4119" i="2"/>
  <c r="A4588" i="2"/>
  <c r="H4948" i="2"/>
  <c r="G4635" i="2"/>
  <c r="H4692" i="2"/>
  <c r="F4119" i="2"/>
  <c r="G4631" i="2"/>
  <c r="B4421" i="2"/>
  <c r="I4635" i="2"/>
  <c r="G4692" i="2"/>
  <c r="C4692" i="2"/>
  <c r="C4588" i="2"/>
  <c r="G4421" i="2"/>
  <c r="D4631" i="2"/>
  <c r="G4302" i="2"/>
  <c r="A4692" i="2"/>
  <c r="F4631" i="2"/>
  <c r="F4588" i="2"/>
  <c r="I4719" i="2"/>
  <c r="H4719" i="2"/>
  <c r="A4631" i="2"/>
  <c r="F4719" i="2"/>
  <c r="C4631" i="2"/>
  <c r="C4635" i="2"/>
  <c r="B4635" i="2"/>
  <c r="I4948" i="2"/>
  <c r="B4948" i="2"/>
  <c r="I4631" i="2"/>
  <c r="D4119" i="2"/>
  <c r="C4302" i="2"/>
  <c r="I4421" i="2"/>
  <c r="B4692" i="2"/>
  <c r="H4635" i="2"/>
  <c r="F4948" i="2"/>
  <c r="D4302" i="2"/>
  <c r="C4948" i="2"/>
  <c r="B4684" i="2"/>
  <c r="H4119" i="2"/>
  <c r="A4421" i="2"/>
  <c r="G4588" i="2"/>
  <c r="I4692" i="2"/>
  <c r="I4302" i="2"/>
  <c r="I4119" i="2"/>
  <c r="A4635" i="2"/>
  <c r="A4948" i="2"/>
  <c r="A4719" i="2"/>
  <c r="G4684" i="2"/>
  <c r="B4631" i="2"/>
  <c r="H4421" i="2"/>
  <c r="A4969" i="2"/>
  <c r="I4106" i="2"/>
  <c r="A4176" i="2"/>
  <c r="C4782" i="2"/>
  <c r="A4782" i="2"/>
  <c r="B4969" i="2"/>
  <c r="G4225" i="2"/>
  <c r="A4106" i="2"/>
  <c r="C4944" i="2"/>
  <c r="H4225" i="2"/>
  <c r="G4969" i="2"/>
  <c r="A4224" i="2"/>
  <c r="I4176" i="2"/>
  <c r="D4813" i="2"/>
  <c r="D4106" i="2"/>
  <c r="I4813" i="2"/>
  <c r="H4969" i="2"/>
  <c r="B4345" i="2"/>
  <c r="F4106" i="2"/>
  <c r="F4224" i="2"/>
  <c r="F4813" i="2"/>
  <c r="B4224" i="2"/>
  <c r="G4782" i="2"/>
  <c r="D4782" i="2"/>
  <c r="H4224" i="2"/>
  <c r="B4813" i="2"/>
  <c r="C4813" i="2"/>
  <c r="I4345" i="2"/>
  <c r="I4336" i="2"/>
  <c r="C4224" i="2"/>
  <c r="B4944" i="2"/>
  <c r="B4336" i="2"/>
  <c r="D4176" i="2"/>
  <c r="G4106" i="2"/>
  <c r="H4336" i="2"/>
  <c r="A4944" i="2"/>
  <c r="A4345" i="2"/>
  <c r="A4336" i="2"/>
  <c r="B4782" i="2"/>
  <c r="B4106" i="2"/>
  <c r="G4345" i="2"/>
  <c r="A4225" i="2"/>
  <c r="G4813" i="2"/>
  <c r="D4225" i="2"/>
  <c r="D4336" i="2"/>
  <c r="H4345" i="2"/>
  <c r="F4969" i="2"/>
  <c r="C4106" i="2"/>
  <c r="F4176" i="2"/>
  <c r="C4336" i="2"/>
  <c r="F4782" i="2"/>
  <c r="G4224" i="2"/>
  <c r="B4225" i="2"/>
  <c r="C4969" i="2"/>
  <c r="B4176" i="2"/>
  <c r="F4944" i="2"/>
  <c r="G4336" i="2"/>
  <c r="D4969" i="2"/>
  <c r="H4176" i="2"/>
  <c r="H4813" i="2"/>
  <c r="I4782" i="2"/>
  <c r="I4225" i="2"/>
  <c r="I4224" i="2"/>
  <c r="C4345" i="2"/>
  <c r="G4944" i="2"/>
  <c r="I4944" i="2"/>
  <c r="D4944" i="2"/>
  <c r="C4176" i="2"/>
  <c r="D4345" i="2"/>
  <c r="C4225" i="2"/>
  <c r="I4969" i="2"/>
  <c r="D4224" i="2"/>
  <c r="H4106" i="2"/>
  <c r="A4813" i="2"/>
  <c r="G4176" i="2"/>
  <c r="H4944" i="2"/>
  <c r="F4345" i="2"/>
  <c r="H4782" i="2"/>
  <c r="F4225" i="2"/>
  <c r="F4336" i="2"/>
  <c r="A4139" i="2"/>
  <c r="A4101" i="2"/>
  <c r="A4433" i="2"/>
  <c r="C4989" i="2"/>
  <c r="D4989" i="2"/>
  <c r="F4511" i="2"/>
  <c r="F4503" i="2"/>
  <c r="F4911" i="2"/>
  <c r="H4139" i="2"/>
  <c r="C4589" i="2"/>
  <c r="D4669" i="2"/>
  <c r="H4101" i="2"/>
  <c r="F4433" i="2"/>
  <c r="B4669" i="2"/>
  <c r="B4663" i="2"/>
  <c r="F4663" i="2"/>
  <c r="F4101" i="2"/>
  <c r="B4989" i="2"/>
  <c r="I4433" i="2"/>
  <c r="C4911" i="2"/>
  <c r="A4663" i="2"/>
  <c r="B4589" i="2"/>
  <c r="I4989" i="2"/>
  <c r="B4139" i="2"/>
  <c r="G4139" i="2"/>
  <c r="D4101" i="2"/>
  <c r="H4503" i="2"/>
  <c r="B4433" i="2"/>
  <c r="A4911" i="2"/>
  <c r="I4669" i="2"/>
  <c r="B4503" i="2"/>
  <c r="G4989" i="2"/>
  <c r="F4139" i="2"/>
  <c r="A4511" i="2"/>
  <c r="I4663" i="2"/>
  <c r="G4511" i="2"/>
  <c r="H4511" i="2"/>
  <c r="D4139" i="2"/>
  <c r="I4101" i="2"/>
  <c r="I4503" i="2"/>
  <c r="H4911" i="2"/>
  <c r="D4433" i="2"/>
  <c r="G4503" i="2"/>
  <c r="H4989" i="2"/>
  <c r="F4669" i="2"/>
  <c r="D4589" i="2"/>
  <c r="I4589" i="2"/>
  <c r="B4101" i="2"/>
  <c r="H4433" i="2"/>
  <c r="C4511" i="2"/>
  <c r="G4911" i="2"/>
  <c r="H4669" i="2"/>
  <c r="C4669" i="2"/>
  <c r="H4589" i="2"/>
  <c r="I4139" i="2"/>
  <c r="C4663" i="2"/>
  <c r="C4433" i="2"/>
  <c r="I4911" i="2"/>
  <c r="C4503" i="2"/>
  <c r="D4511" i="2"/>
  <c r="F4989" i="2"/>
  <c r="G4101" i="2"/>
  <c r="G4589" i="2"/>
  <c r="D4663" i="2"/>
  <c r="D4911" i="2"/>
  <c r="I4511" i="2"/>
  <c r="G4663" i="2"/>
  <c r="A4503" i="2"/>
  <c r="A4589" i="2"/>
  <c r="G4433" i="2"/>
  <c r="G4669" i="2"/>
  <c r="F4589" i="2"/>
  <c r="D4503" i="2"/>
  <c r="A4669" i="2"/>
  <c r="B4911" i="2"/>
  <c r="C4139" i="2"/>
  <c r="B4511" i="2"/>
  <c r="H4663" i="2"/>
  <c r="C4101" i="2"/>
  <c r="A4989" i="2"/>
  <c r="H4173" i="2"/>
  <c r="C4335" i="2"/>
  <c r="G4203" i="2"/>
  <c r="I4173" i="2"/>
  <c r="I4430" i="2"/>
  <c r="D4335" i="2"/>
  <c r="B4430" i="2"/>
  <c r="B4173" i="2"/>
  <c r="D4173" i="2"/>
  <c r="H4920" i="2"/>
  <c r="F4920" i="2"/>
  <c r="D4752" i="2"/>
  <c r="D4528" i="2"/>
  <c r="F4693" i="2"/>
  <c r="F4430" i="2"/>
  <c r="A4701" i="2"/>
  <c r="H4528" i="2"/>
  <c r="F4203" i="2"/>
  <c r="F4752" i="2"/>
  <c r="H4203" i="2"/>
  <c r="B4528" i="2"/>
  <c r="C4528" i="2"/>
  <c r="H4468" i="2"/>
  <c r="C4468" i="2"/>
  <c r="B4203" i="2"/>
  <c r="A4335" i="2"/>
  <c r="C4203" i="2"/>
  <c r="I4701" i="2"/>
  <c r="A4173" i="2"/>
  <c r="D4430" i="2"/>
  <c r="D4701" i="2"/>
  <c r="F4468" i="2"/>
  <c r="B4701" i="2"/>
  <c r="C4430" i="2"/>
  <c r="F4173" i="2"/>
  <c r="G4701" i="2"/>
  <c r="F4528" i="2"/>
  <c r="A4468" i="2"/>
  <c r="G4693" i="2"/>
  <c r="I4693" i="2"/>
  <c r="A4920" i="2"/>
  <c r="D4203" i="2"/>
  <c r="C4920" i="2"/>
  <c r="H4701" i="2"/>
  <c r="B4693" i="2"/>
  <c r="G4920" i="2"/>
  <c r="D4920" i="2"/>
  <c r="A4528" i="2"/>
  <c r="G4335" i="2"/>
  <c r="H4752" i="2"/>
  <c r="F4335" i="2"/>
  <c r="G4430" i="2"/>
  <c r="D4468" i="2"/>
  <c r="C4693" i="2"/>
  <c r="D4693" i="2"/>
  <c r="I4335" i="2"/>
  <c r="B4335" i="2"/>
  <c r="A4693" i="2"/>
  <c r="C4701" i="2"/>
  <c r="A4430" i="2"/>
  <c r="C4752" i="2"/>
  <c r="I4752" i="2"/>
  <c r="I4203" i="2"/>
  <c r="B4752" i="2"/>
  <c r="G4528" i="2"/>
  <c r="I4920" i="2"/>
  <c r="C4173" i="2"/>
  <c r="G4468" i="2"/>
  <c r="B4468" i="2"/>
  <c r="G4752" i="2"/>
  <c r="H4430" i="2"/>
  <c r="I4468" i="2"/>
  <c r="B4920" i="2"/>
  <c r="A4752" i="2"/>
  <c r="G4173" i="2"/>
  <c r="F4701" i="2"/>
  <c r="H4335" i="2"/>
  <c r="H4693" i="2"/>
  <c r="I4528" i="2"/>
  <c r="A4203" i="2"/>
  <c r="H4162" i="2"/>
  <c r="C4958" i="2"/>
  <c r="B4512" i="2"/>
  <c r="A4457" i="2"/>
  <c r="A4204" i="2"/>
  <c r="H4958" i="2"/>
  <c r="A4958" i="2"/>
  <c r="C4457" i="2"/>
  <c r="F4732" i="2"/>
  <c r="I4494" i="2"/>
  <c r="C4204" i="2"/>
  <c r="A4353" i="2"/>
  <c r="I4644" i="2"/>
  <c r="A4162" i="2"/>
  <c r="D4512" i="2"/>
  <c r="D4958" i="2"/>
  <c r="A4644" i="2"/>
  <c r="G4162" i="2"/>
  <c r="D4245" i="2"/>
  <c r="G4732" i="2"/>
  <c r="A4732" i="2"/>
  <c r="G4245" i="2"/>
  <c r="D4162" i="2"/>
  <c r="H4512" i="2"/>
  <c r="A4512" i="2"/>
  <c r="I4162" i="2"/>
  <c r="I4204" i="2"/>
  <c r="C4353" i="2"/>
  <c r="G4204" i="2"/>
  <c r="C4245" i="2"/>
  <c r="D4644" i="2"/>
  <c r="H4353" i="2"/>
  <c r="F4644" i="2"/>
  <c r="I4512" i="2"/>
  <c r="D4457" i="2"/>
  <c r="H4644" i="2"/>
  <c r="A4494" i="2"/>
  <c r="B4353" i="2"/>
  <c r="B4732" i="2"/>
  <c r="D4732" i="2"/>
  <c r="G4958" i="2"/>
  <c r="H4494" i="2"/>
  <c r="B4494" i="2"/>
  <c r="D4204" i="2"/>
  <c r="G4494" i="2"/>
  <c r="F4353" i="2"/>
  <c r="G4457" i="2"/>
  <c r="A4245" i="2"/>
  <c r="F4245" i="2"/>
  <c r="G4644" i="2"/>
  <c r="F4457" i="2"/>
  <c r="H4457" i="2"/>
  <c r="I4732" i="2"/>
  <c r="I4457" i="2"/>
  <c r="C4494" i="2"/>
  <c r="G4512" i="2"/>
  <c r="B4245" i="2"/>
  <c r="I4245" i="2"/>
  <c r="B4162" i="2"/>
  <c r="H4732" i="2"/>
  <c r="H4204" i="2"/>
  <c r="I4353" i="2"/>
  <c r="F4958" i="2"/>
  <c r="D4353" i="2"/>
  <c r="F4204" i="2"/>
  <c r="D4494" i="2"/>
  <c r="B4958" i="2"/>
  <c r="C4644" i="2"/>
  <c r="F4512" i="2"/>
  <c r="C4512" i="2"/>
  <c r="C4162" i="2"/>
  <c r="F4162" i="2"/>
  <c r="B4204" i="2"/>
  <c r="F4494" i="2"/>
  <c r="H4245" i="2"/>
  <c r="B4457" i="2"/>
  <c r="B4644" i="2"/>
  <c r="I4958" i="2"/>
  <c r="C4732" i="2"/>
  <c r="G4353" i="2"/>
  <c r="D4764" i="2"/>
  <c r="B4767" i="2"/>
  <c r="C4322" i="2"/>
  <c r="D4427" i="2"/>
  <c r="F4322" i="2"/>
  <c r="A4940" i="2"/>
  <c r="C4940" i="2"/>
  <c r="C4427" i="2"/>
  <c r="B4940" i="2"/>
  <c r="D4682" i="2"/>
  <c r="H4376" i="2"/>
  <c r="H4754" i="2"/>
  <c r="H4861" i="2"/>
  <c r="B4376" i="2"/>
  <c r="B4764" i="2"/>
  <c r="A4764" i="2"/>
  <c r="F4376" i="2"/>
  <c r="C4767" i="2"/>
  <c r="H4801" i="2"/>
  <c r="B4801" i="2"/>
  <c r="C4801" i="2"/>
  <c r="D4767" i="2"/>
  <c r="H4322" i="2"/>
  <c r="G4754" i="2"/>
  <c r="H4682" i="2"/>
  <c r="I4764" i="2"/>
  <c r="G4322" i="2"/>
  <c r="H4767" i="2"/>
  <c r="G4861" i="2"/>
  <c r="F4754" i="2"/>
  <c r="F4861" i="2"/>
  <c r="A4767" i="2"/>
  <c r="B4322" i="2"/>
  <c r="A4754" i="2"/>
  <c r="A4682" i="2"/>
  <c r="C4861" i="2"/>
  <c r="I4322" i="2"/>
  <c r="G4801" i="2"/>
  <c r="F4682" i="2"/>
  <c r="C4764" i="2"/>
  <c r="D4861" i="2"/>
  <c r="C4682" i="2"/>
  <c r="D4376" i="2"/>
  <c r="B4427" i="2"/>
  <c r="C4376" i="2"/>
  <c r="D4322" i="2"/>
  <c r="I4861" i="2"/>
  <c r="I4427" i="2"/>
  <c r="F4764" i="2"/>
  <c r="I4767" i="2"/>
  <c r="F4940" i="2"/>
  <c r="A4801" i="2"/>
  <c r="I4801" i="2"/>
  <c r="G4682" i="2"/>
  <c r="A4427" i="2"/>
  <c r="A4861" i="2"/>
  <c r="B4754" i="2"/>
  <c r="G4940" i="2"/>
  <c r="I4940" i="2"/>
  <c r="F4767" i="2"/>
  <c r="H4764" i="2"/>
  <c r="I4754" i="2"/>
  <c r="H4427" i="2"/>
  <c r="D4940" i="2"/>
  <c r="I4682" i="2"/>
  <c r="F4801" i="2"/>
  <c r="D4801" i="2"/>
  <c r="B4861" i="2"/>
  <c r="D4754" i="2"/>
  <c r="A4376" i="2"/>
  <c r="G4767" i="2"/>
  <c r="I4376" i="2"/>
  <c r="G4427" i="2"/>
  <c r="G4764" i="2"/>
  <c r="A4322" i="2"/>
  <c r="C4754" i="2"/>
  <c r="H4940" i="2"/>
  <c r="B4682" i="2"/>
  <c r="G4376" i="2"/>
  <c r="F4427" i="2"/>
  <c r="H4299" i="2"/>
  <c r="I4625" i="2"/>
  <c r="I4237" i="2"/>
  <c r="G4299" i="2"/>
  <c r="B4413" i="2"/>
  <c r="A4935" i="2"/>
  <c r="G4747" i="2"/>
  <c r="H4747" i="2"/>
  <c r="B4625" i="2"/>
  <c r="F4966" i="2"/>
  <c r="G4413" i="2"/>
  <c r="I4747" i="2"/>
  <c r="F4734" i="2"/>
  <c r="C4413" i="2"/>
  <c r="F4581" i="2"/>
  <c r="B4747" i="2"/>
  <c r="F4904" i="2"/>
  <c r="C4625" i="2"/>
  <c r="C4747" i="2"/>
  <c r="I4299" i="2"/>
  <c r="G4904" i="2"/>
  <c r="A4237" i="2"/>
  <c r="C4935" i="2"/>
  <c r="G4625" i="2"/>
  <c r="D4747" i="2"/>
  <c r="F4625" i="2"/>
  <c r="A4299" i="2"/>
  <c r="I4734" i="2"/>
  <c r="F4935" i="2"/>
  <c r="D4935" i="2"/>
  <c r="H4966" i="2"/>
  <c r="G4734" i="2"/>
  <c r="A4413" i="2"/>
  <c r="H4935" i="2"/>
  <c r="H4237" i="2"/>
  <c r="D4904" i="2"/>
  <c r="D4237" i="2"/>
  <c r="G4966" i="2"/>
  <c r="D4734" i="2"/>
  <c r="D4581" i="2"/>
  <c r="F4299" i="2"/>
  <c r="B4581" i="2"/>
  <c r="C4299" i="2"/>
  <c r="B4734" i="2"/>
  <c r="I4966" i="2"/>
  <c r="A4966" i="2"/>
  <c r="B4237" i="2"/>
  <c r="I4413" i="2"/>
  <c r="B4904" i="2"/>
  <c r="H4904" i="2"/>
  <c r="D4299" i="2"/>
  <c r="G4581" i="2"/>
  <c r="D4966" i="2"/>
  <c r="D4413" i="2"/>
  <c r="A4625" i="2"/>
  <c r="I4581" i="2"/>
  <c r="C4966" i="2"/>
  <c r="C4734" i="2"/>
  <c r="C4581" i="2"/>
  <c r="F4413" i="2"/>
  <c r="H4581" i="2"/>
  <c r="F4237" i="2"/>
  <c r="A4734" i="2"/>
  <c r="H4625" i="2"/>
  <c r="F4747" i="2"/>
  <c r="I4935" i="2"/>
  <c r="C4237" i="2"/>
  <c r="I4904" i="2"/>
  <c r="C4904" i="2"/>
  <c r="G4935" i="2"/>
  <c r="A4904" i="2"/>
  <c r="H4413" i="2"/>
  <c r="G4237" i="2"/>
  <c r="H4734" i="2"/>
  <c r="B4966" i="2"/>
  <c r="B4299" i="2"/>
  <c r="B4935" i="2"/>
  <c r="D4625" i="2"/>
  <c r="A4581" i="2"/>
  <c r="A4747" i="2"/>
  <c r="F4602" i="2"/>
  <c r="H4129" i="2"/>
  <c r="A4471" i="2"/>
  <c r="F4950" i="2"/>
  <c r="B4950" i="2"/>
  <c r="G4155" i="2"/>
  <c r="G4950" i="2"/>
  <c r="B4507" i="2"/>
  <c r="B4471" i="2"/>
  <c r="G4602" i="2"/>
  <c r="H4882" i="2"/>
  <c r="C4155" i="2"/>
  <c r="C4507" i="2"/>
  <c r="A4611" i="2"/>
  <c r="C4946" i="2"/>
  <c r="C4449" i="2"/>
  <c r="H4950" i="2"/>
  <c r="G4611" i="2"/>
  <c r="B4129" i="2"/>
  <c r="I4602" i="2"/>
  <c r="I4507" i="2"/>
  <c r="A4449" i="2"/>
  <c r="F4507" i="2"/>
  <c r="D4602" i="2"/>
  <c r="I4155" i="2"/>
  <c r="H4946" i="2"/>
  <c r="C4950" i="2"/>
  <c r="I4882" i="2"/>
  <c r="F4882" i="2"/>
  <c r="I4471" i="2"/>
  <c r="H4611" i="2"/>
  <c r="F4449" i="2"/>
  <c r="F4946" i="2"/>
  <c r="I4449" i="2"/>
  <c r="C4471" i="2"/>
  <c r="A4507" i="2"/>
  <c r="D4129" i="2"/>
  <c r="I4129" i="2"/>
  <c r="D4507" i="2"/>
  <c r="A4602" i="2"/>
  <c r="F4471" i="2"/>
  <c r="C4602" i="2"/>
  <c r="C4611" i="2"/>
  <c r="D4449" i="2"/>
  <c r="I4946" i="2"/>
  <c r="G4449" i="2"/>
  <c r="H4471" i="2"/>
  <c r="C4882" i="2"/>
  <c r="B4449" i="2"/>
  <c r="G4946" i="2"/>
  <c r="D4611" i="2"/>
  <c r="H4602" i="2"/>
  <c r="B4946" i="2"/>
  <c r="F4155" i="2"/>
  <c r="G4129" i="2"/>
  <c r="D4882" i="2"/>
  <c r="D4946" i="2"/>
  <c r="D4950" i="2"/>
  <c r="G4507" i="2"/>
  <c r="A4155" i="2"/>
  <c r="D4471" i="2"/>
  <c r="A4129" i="2"/>
  <c r="A4950" i="2"/>
  <c r="B4611" i="2"/>
  <c r="F4129" i="2"/>
  <c r="D4155" i="2"/>
  <c r="F4611" i="2"/>
  <c r="B4882" i="2"/>
  <c r="G4882" i="2"/>
  <c r="B4155" i="2"/>
  <c r="A4882" i="2"/>
  <c r="I4950" i="2"/>
  <c r="C4129" i="2"/>
  <c r="H4449" i="2"/>
  <c r="G4471" i="2"/>
  <c r="B4602" i="2"/>
  <c r="A4946" i="2"/>
  <c r="I4611" i="2"/>
  <c r="H4155" i="2"/>
  <c r="H4507" i="2"/>
  <c r="G4952" i="2"/>
  <c r="F4239" i="2"/>
  <c r="C4881" i="2"/>
  <c r="B4792" i="2"/>
  <c r="A4792" i="2"/>
  <c r="C4269" i="2"/>
  <c r="A4864" i="2"/>
  <c r="H4881" i="2"/>
  <c r="A4881" i="2"/>
  <c r="D4712" i="2"/>
  <c r="I4864" i="2"/>
  <c r="F4269" i="2"/>
  <c r="F4864" i="2"/>
  <c r="I4712" i="2"/>
  <c r="I4952" i="2"/>
  <c r="F4952" i="2"/>
  <c r="F4598" i="2"/>
  <c r="H4864" i="2"/>
  <c r="G4792" i="2"/>
  <c r="B4864" i="2"/>
  <c r="I4598" i="2"/>
  <c r="G4712" i="2"/>
  <c r="F4881" i="2"/>
  <c r="I4881" i="2"/>
  <c r="D4239" i="2"/>
  <c r="B4881" i="2"/>
  <c r="A4289" i="2"/>
  <c r="B4568" i="2"/>
  <c r="C4792" i="2"/>
  <c r="C4239" i="2"/>
  <c r="H4712" i="2"/>
  <c r="D4952" i="2"/>
  <c r="C4598" i="2"/>
  <c r="B4598" i="2"/>
  <c r="F4792" i="2"/>
  <c r="D4289" i="2"/>
  <c r="H4269" i="2"/>
  <c r="H4568" i="2"/>
  <c r="G4289" i="2"/>
  <c r="A4239" i="2"/>
  <c r="C4952" i="2"/>
  <c r="I4792" i="2"/>
  <c r="C4568" i="2"/>
  <c r="B4289" i="2"/>
  <c r="F4289" i="2"/>
  <c r="C4864" i="2"/>
  <c r="D4568" i="2"/>
  <c r="D4792" i="2"/>
  <c r="B4269" i="2"/>
  <c r="F4568" i="2"/>
  <c r="H4598" i="2"/>
  <c r="G4568" i="2"/>
  <c r="C4289" i="2"/>
  <c r="G4239" i="2"/>
  <c r="D4598" i="2"/>
  <c r="F4712" i="2"/>
  <c r="A4568" i="2"/>
  <c r="B4239" i="2"/>
  <c r="G4269" i="2"/>
  <c r="I4239" i="2"/>
  <c r="A4598" i="2"/>
  <c r="A4712" i="2"/>
  <c r="G4881" i="2"/>
  <c r="H4952" i="2"/>
  <c r="A4269" i="2"/>
  <c r="I4269" i="2"/>
  <c r="B4952" i="2"/>
  <c r="H4289" i="2"/>
  <c r="B4712" i="2"/>
  <c r="G4864" i="2"/>
  <c r="G4598" i="2"/>
  <c r="A4952" i="2"/>
  <c r="H4792" i="2"/>
  <c r="D4881" i="2"/>
  <c r="D4864" i="2"/>
  <c r="I4568" i="2"/>
  <c r="H4239" i="2"/>
  <c r="D4269" i="2"/>
  <c r="C4712" i="2"/>
  <c r="I4289" i="2"/>
  <c r="F4296" i="2"/>
  <c r="G4296" i="2"/>
  <c r="A4680" i="2"/>
  <c r="F4144" i="2"/>
  <c r="H4359" i="2"/>
  <c r="I4144" i="2"/>
  <c r="D4803" i="2"/>
  <c r="G4831" i="2"/>
  <c r="G4803" i="2"/>
  <c r="C4502" i="2"/>
  <c r="D4680" i="2"/>
  <c r="G4592" i="2"/>
  <c r="F4723" i="2"/>
  <c r="A4592" i="2"/>
  <c r="D4723" i="2"/>
  <c r="B4144" i="2"/>
  <c r="G4680" i="2"/>
  <c r="B4723" i="2"/>
  <c r="I4680" i="2"/>
  <c r="F4502" i="2"/>
  <c r="A4803" i="2"/>
  <c r="A4403" i="2"/>
  <c r="F4803" i="2"/>
  <c r="B4359" i="2"/>
  <c r="G4144" i="2"/>
  <c r="H4144" i="2"/>
  <c r="I4831" i="2"/>
  <c r="I4502" i="2"/>
  <c r="G4403" i="2"/>
  <c r="A4296" i="2"/>
  <c r="C4831" i="2"/>
  <c r="B4831" i="2"/>
  <c r="I4723" i="2"/>
  <c r="C4803" i="2"/>
  <c r="I4403" i="2"/>
  <c r="I4296" i="2"/>
  <c r="H4592" i="2"/>
  <c r="A4723" i="2"/>
  <c r="G4502" i="2"/>
  <c r="F4592" i="2"/>
  <c r="D4831" i="2"/>
  <c r="B4296" i="2"/>
  <c r="I4803" i="2"/>
  <c r="H4502" i="2"/>
  <c r="D4502" i="2"/>
  <c r="A4144" i="2"/>
  <c r="F4680" i="2"/>
  <c r="H4296" i="2"/>
  <c r="B4403" i="2"/>
  <c r="C4359" i="2"/>
  <c r="D4403" i="2"/>
  <c r="C4403" i="2"/>
  <c r="C4144" i="2"/>
  <c r="I4359" i="2"/>
  <c r="F4359" i="2"/>
  <c r="C4680" i="2"/>
  <c r="A4502" i="2"/>
  <c r="H4403" i="2"/>
  <c r="C4296" i="2"/>
  <c r="C4723" i="2"/>
  <c r="A4359" i="2"/>
  <c r="G4359" i="2"/>
  <c r="C4592" i="2"/>
  <c r="F4831" i="2"/>
  <c r="H4680" i="2"/>
  <c r="I4592" i="2"/>
  <c r="B4592" i="2"/>
  <c r="H4831" i="2"/>
  <c r="G4723" i="2"/>
  <c r="H4803" i="2"/>
  <c r="D4144" i="2"/>
  <c r="B4502" i="2"/>
  <c r="B4680" i="2"/>
  <c r="D4359" i="2"/>
  <c r="D4592" i="2"/>
  <c r="D4296" i="2"/>
  <c r="B4803" i="2"/>
  <c r="H4723" i="2"/>
  <c r="F4403" i="2"/>
  <c r="A4831" i="2"/>
  <c r="A4594" i="2"/>
  <c r="F4536" i="2"/>
  <c r="I4508" i="2"/>
  <c r="D4349" i="2"/>
  <c r="C4536" i="2"/>
  <c r="F4394" i="2"/>
  <c r="G4691" i="2"/>
  <c r="F4594" i="2"/>
  <c r="A4394" i="2"/>
  <c r="C4349" i="2"/>
  <c r="B4594" i="2"/>
  <c r="H4982" i="2"/>
  <c r="G4394" i="2"/>
  <c r="G4508" i="2"/>
  <c r="H4704" i="2"/>
  <c r="H4394" i="2"/>
  <c r="B4367" i="2"/>
  <c r="D4610" i="2"/>
  <c r="B4704" i="2"/>
  <c r="H4610" i="2"/>
  <c r="D4594" i="2"/>
  <c r="H4508" i="2"/>
  <c r="H4349" i="2"/>
  <c r="A4508" i="2"/>
  <c r="A4536" i="2"/>
  <c r="I4367" i="2"/>
  <c r="C4594" i="2"/>
  <c r="C4691" i="2"/>
  <c r="C4394" i="2"/>
  <c r="G4594" i="2"/>
  <c r="I4982" i="2"/>
  <c r="B4536" i="2"/>
  <c r="D4982" i="2"/>
  <c r="F4982" i="2"/>
  <c r="F4508" i="2"/>
  <c r="D4508" i="2"/>
  <c r="A4367" i="2"/>
  <c r="F4610" i="2"/>
  <c r="D4691" i="2"/>
  <c r="F4349" i="2"/>
  <c r="A4691" i="2"/>
  <c r="D4536" i="2"/>
  <c r="F4367" i="2"/>
  <c r="I4691" i="2"/>
  <c r="D4367" i="2"/>
  <c r="G4704" i="2"/>
  <c r="G4610" i="2"/>
  <c r="A4704" i="2"/>
  <c r="C4610" i="2"/>
  <c r="A4982" i="2"/>
  <c r="B4349" i="2"/>
  <c r="B4691" i="2"/>
  <c r="G4982" i="2"/>
  <c r="C4982" i="2"/>
  <c r="B4394" i="2"/>
  <c r="F4704" i="2"/>
  <c r="C4508" i="2"/>
  <c r="I4610" i="2"/>
  <c r="H4594" i="2"/>
  <c r="I4394" i="2"/>
  <c r="A4610" i="2"/>
  <c r="H4536" i="2"/>
  <c r="F4691" i="2"/>
  <c r="C4367" i="2"/>
  <c r="D4704" i="2"/>
  <c r="A4349" i="2"/>
  <c r="G4536" i="2"/>
  <c r="C4704" i="2"/>
  <c r="I4704" i="2"/>
  <c r="G4349" i="2"/>
  <c r="H4367" i="2"/>
  <c r="B4982" i="2"/>
  <c r="H4691" i="2"/>
  <c r="D4394" i="2"/>
  <c r="I4536" i="2"/>
  <c r="I4349" i="2"/>
  <c r="I4594" i="2"/>
  <c r="G4367" i="2"/>
  <c r="B4610" i="2"/>
  <c r="B4508" i="2"/>
  <c r="B4455" i="2"/>
  <c r="F4548" i="2"/>
  <c r="I4273" i="2"/>
  <c r="H4941" i="2"/>
  <c r="A4750" i="2"/>
  <c r="G4584" i="2"/>
  <c r="G4548" i="2"/>
  <c r="A4273" i="2"/>
  <c r="A4584" i="2"/>
  <c r="F4995" i="2"/>
  <c r="D4941" i="2"/>
  <c r="I4995" i="2"/>
  <c r="C4260" i="2"/>
  <c r="H4750" i="2"/>
  <c r="I4260" i="2"/>
  <c r="H4852" i="2"/>
  <c r="D4995" i="2"/>
  <c r="A4941" i="2"/>
  <c r="C4941" i="2"/>
  <c r="F4455" i="2"/>
  <c r="G4436" i="2"/>
  <c r="D4750" i="2"/>
  <c r="H4548" i="2"/>
  <c r="C4273" i="2"/>
  <c r="G4995" i="2"/>
  <c r="F4584" i="2"/>
  <c r="A4995" i="2"/>
  <c r="I4455" i="2"/>
  <c r="A4436" i="2"/>
  <c r="A4852" i="2"/>
  <c r="B4548" i="2"/>
  <c r="B4273" i="2"/>
  <c r="D4584" i="2"/>
  <c r="C4852" i="2"/>
  <c r="D4455" i="2"/>
  <c r="H4260" i="2"/>
  <c r="C4584" i="2"/>
  <c r="C4750" i="2"/>
  <c r="A4455" i="2"/>
  <c r="D4273" i="2"/>
  <c r="C4455" i="2"/>
  <c r="B4260" i="2"/>
  <c r="F4436" i="2"/>
  <c r="B4941" i="2"/>
  <c r="F4750" i="2"/>
  <c r="D4260" i="2"/>
  <c r="G4260" i="2"/>
  <c r="F4852" i="2"/>
  <c r="H4273" i="2"/>
  <c r="A4260" i="2"/>
  <c r="I4852" i="2"/>
  <c r="G4852" i="2"/>
  <c r="F4941" i="2"/>
  <c r="A4548" i="2"/>
  <c r="B4584" i="2"/>
  <c r="D4436" i="2"/>
  <c r="I4548" i="2"/>
  <c r="I4750" i="2"/>
  <c r="G4941" i="2"/>
  <c r="H4584" i="2"/>
  <c r="H4995" i="2"/>
  <c r="C4548" i="2"/>
  <c r="B4750" i="2"/>
  <c r="B4852" i="2"/>
  <c r="B4995" i="2"/>
  <c r="H4436" i="2"/>
  <c r="I4436" i="2"/>
  <c r="C4436" i="2"/>
  <c r="G4273" i="2"/>
  <c r="H4455" i="2"/>
  <c r="G4455" i="2"/>
  <c r="I4584" i="2"/>
  <c r="F4273" i="2"/>
  <c r="G4750" i="2"/>
  <c r="D4548" i="2"/>
  <c r="F4260" i="2"/>
  <c r="C4995" i="2"/>
  <c r="I4941" i="2"/>
  <c r="D4852" i="2"/>
  <c r="B4436" i="2"/>
  <c r="F4307" i="2"/>
  <c r="G4425" i="2"/>
  <c r="B4281" i="2"/>
  <c r="G4393" i="2"/>
  <c r="I4221" i="2"/>
  <c r="F4221" i="2"/>
  <c r="A4393" i="2"/>
  <c r="B4465" i="2"/>
  <c r="D4465" i="2"/>
  <c r="B4221" i="2"/>
  <c r="H4281" i="2"/>
  <c r="F4854" i="2"/>
  <c r="H4913" i="2"/>
  <c r="G4221" i="2"/>
  <c r="H4221" i="2"/>
  <c r="A4281" i="2"/>
  <c r="C4474" i="2"/>
  <c r="F4230" i="2"/>
  <c r="D4425" i="2"/>
  <c r="G4854" i="2"/>
  <c r="A4425" i="2"/>
  <c r="F4393" i="2"/>
  <c r="H4230" i="2"/>
  <c r="C4230" i="2"/>
  <c r="A4474" i="2"/>
  <c r="I4230" i="2"/>
  <c r="D4913" i="2"/>
  <c r="F4913" i="2"/>
  <c r="I4474" i="2"/>
  <c r="A4465" i="2"/>
  <c r="G4307" i="2"/>
  <c r="I4425" i="2"/>
  <c r="H4393" i="2"/>
  <c r="D4854" i="2"/>
  <c r="B4393" i="2"/>
  <c r="G4230" i="2"/>
  <c r="A4854" i="2"/>
  <c r="B4913" i="2"/>
  <c r="D4230" i="2"/>
  <c r="C4854" i="2"/>
  <c r="C4425" i="2"/>
  <c r="C4913" i="2"/>
  <c r="D4307" i="2"/>
  <c r="A4230" i="2"/>
  <c r="H4465" i="2"/>
  <c r="B4474" i="2"/>
  <c r="I4393" i="2"/>
  <c r="I4913" i="2"/>
  <c r="A4221" i="2"/>
  <c r="F4281" i="2"/>
  <c r="D4474" i="2"/>
  <c r="H4307" i="2"/>
  <c r="I4281" i="2"/>
  <c r="G4281" i="2"/>
  <c r="G4913" i="2"/>
  <c r="F4465" i="2"/>
  <c r="B4307" i="2"/>
  <c r="C4281" i="2"/>
  <c r="I4465" i="2"/>
  <c r="B4854" i="2"/>
  <c r="G4465" i="2"/>
  <c r="D4221" i="2"/>
  <c r="D4393" i="2"/>
  <c r="H4474" i="2"/>
  <c r="F4425" i="2"/>
  <c r="B4425" i="2"/>
  <c r="I4307" i="2"/>
  <c r="H4854" i="2"/>
  <c r="A4307" i="2"/>
  <c r="G4474" i="2"/>
  <c r="C4393" i="2"/>
  <c r="C4465" i="2"/>
  <c r="F4474" i="2"/>
  <c r="I4854" i="2"/>
  <c r="H4425" i="2"/>
  <c r="C4221" i="2"/>
  <c r="D4281" i="2"/>
  <c r="A4913" i="2"/>
  <c r="C4307" i="2"/>
  <c r="B4230" i="2"/>
  <c r="D4217" i="2"/>
  <c r="B4217" i="2"/>
  <c r="H4910" i="2"/>
  <c r="C4959" i="2"/>
  <c r="A4583" i="2"/>
  <c r="A4493" i="2"/>
  <c r="C4936" i="2"/>
  <c r="B4720" i="2"/>
  <c r="H4469" i="2"/>
  <c r="I4832" i="2"/>
  <c r="I4217" i="2"/>
  <c r="I4729" i="2"/>
  <c r="H4832" i="2"/>
  <c r="F4464" i="2"/>
  <c r="G4464" i="2"/>
  <c r="H4435" i="2"/>
  <c r="A4469" i="2"/>
  <c r="B4888" i="2"/>
  <c r="H4656" i="2"/>
  <c r="H4936" i="2"/>
  <c r="D4469" i="2"/>
  <c r="I4910" i="2"/>
  <c r="A4936" i="2"/>
  <c r="B4788" i="2"/>
  <c r="F4788" i="2"/>
  <c r="G4513" i="2"/>
  <c r="C4729" i="2"/>
  <c r="F4227" i="2"/>
  <c r="B4656" i="2"/>
  <c r="H4729" i="2"/>
  <c r="G4832" i="2"/>
  <c r="F4936" i="2"/>
  <c r="I4696" i="2"/>
  <c r="D4936" i="2"/>
  <c r="I4936" i="2"/>
  <c r="H4464" i="2"/>
  <c r="A4832" i="2"/>
  <c r="I4464" i="2"/>
  <c r="B4227" i="2"/>
  <c r="D4696" i="2"/>
  <c r="F4959" i="2"/>
  <c r="F4888" i="2"/>
  <c r="D4729" i="2"/>
  <c r="G4469" i="2"/>
  <c r="C4493" i="2"/>
  <c r="H4060" i="2"/>
  <c r="H4227" i="2"/>
  <c r="B4729" i="2"/>
  <c r="C4910" i="2"/>
  <c r="B4469" i="2"/>
  <c r="F4208" i="2"/>
  <c r="B4060" i="2"/>
  <c r="G4435" i="2"/>
  <c r="F4729" i="2"/>
  <c r="H4217" i="2"/>
  <c r="F4435" i="2"/>
  <c r="A4060" i="2"/>
  <c r="I4493" i="2"/>
  <c r="G4729" i="2"/>
  <c r="A4513" i="2"/>
  <c r="B4464" i="2"/>
  <c r="H4788" i="2"/>
  <c r="B4910" i="2"/>
  <c r="I4788" i="2"/>
  <c r="I4227" i="2"/>
  <c r="A4788" i="2"/>
  <c r="A4959" i="2"/>
  <c r="G4936" i="2"/>
  <c r="D4513" i="2"/>
  <c r="G4583" i="2"/>
  <c r="I4720" i="2"/>
  <c r="G4696" i="2"/>
  <c r="C4888" i="2"/>
  <c r="F4217" i="2"/>
  <c r="G4720" i="2"/>
  <c r="D4583" i="2"/>
  <c r="I4583" i="2"/>
  <c r="C4060" i="2"/>
  <c r="A4888" i="2"/>
  <c r="F4493" i="2"/>
  <c r="H4720" i="2"/>
  <c r="A4696" i="2"/>
  <c r="A4208" i="2"/>
  <c r="B4435" i="2"/>
  <c r="F4910" i="2"/>
  <c r="D4832" i="2"/>
  <c r="C4227" i="2"/>
  <c r="B4959" i="2"/>
  <c r="H4888" i="2"/>
  <c r="B4513" i="2"/>
  <c r="C4469" i="2"/>
  <c r="G4227" i="2"/>
  <c r="A4217" i="2"/>
  <c r="D4435" i="2"/>
  <c r="G4493" i="2"/>
  <c r="D4208" i="2"/>
  <c r="B4832" i="2"/>
  <c r="I4656" i="2"/>
  <c r="C4720" i="2"/>
  <c r="H4583" i="2"/>
  <c r="C4513" i="2"/>
  <c r="C4696" i="2"/>
  <c r="B4208" i="2"/>
  <c r="F4583" i="2"/>
  <c r="D4910" i="2"/>
  <c r="F4720" i="2"/>
  <c r="I4959" i="2"/>
  <c r="C4788" i="2"/>
  <c r="C4435" i="2"/>
  <c r="H4208" i="2"/>
  <c r="G4959" i="2"/>
  <c r="F4060" i="2"/>
  <c r="A4464" i="2"/>
  <c r="G4788" i="2"/>
  <c r="C4656" i="2"/>
  <c r="D4493" i="2"/>
  <c r="G4888" i="2"/>
  <c r="G4217" i="2"/>
  <c r="H4696" i="2"/>
  <c r="F4696" i="2"/>
  <c r="A4720" i="2"/>
  <c r="I4060" i="2"/>
  <c r="A4227" i="2"/>
  <c r="H4513" i="2"/>
  <c r="D4656" i="2"/>
  <c r="A4910" i="2"/>
  <c r="B4583" i="2"/>
  <c r="I4888" i="2"/>
  <c r="I4208" i="2"/>
  <c r="F4469" i="2"/>
  <c r="D4060" i="2"/>
  <c r="A4435" i="2"/>
  <c r="A4656" i="2"/>
  <c r="C4464" i="2"/>
  <c r="G4656" i="2"/>
  <c r="H4493" i="2"/>
  <c r="D4959" i="2"/>
  <c r="C4208" i="2"/>
  <c r="I4513" i="2"/>
  <c r="F4832" i="2"/>
  <c r="I4469" i="2"/>
  <c r="A4729" i="2"/>
  <c r="D4227" i="2"/>
  <c r="C4583" i="2"/>
  <c r="G4208" i="2"/>
  <c r="D4464" i="2"/>
  <c r="F4513" i="2"/>
  <c r="G4060" i="2"/>
  <c r="D4888" i="2"/>
  <c r="F4656" i="2"/>
  <c r="B4936" i="2"/>
  <c r="D4720" i="2"/>
  <c r="H4959" i="2"/>
  <c r="I4435" i="2"/>
  <c r="B4493" i="2"/>
  <c r="B4696" i="2"/>
  <c r="G4910" i="2"/>
  <c r="C4832" i="2"/>
  <c r="D4788" i="2"/>
  <c r="C4217" i="2"/>
  <c r="H4396" i="2"/>
  <c r="F4786" i="2"/>
  <c r="A4297" i="2"/>
  <c r="G4810" i="2"/>
  <c r="H4385" i="2"/>
  <c r="A4988" i="2"/>
  <c r="D4895" i="2"/>
  <c r="F4396" i="2"/>
  <c r="G4540" i="2"/>
  <c r="H4491" i="2"/>
  <c r="C4988" i="2"/>
  <c r="A4973" i="2"/>
  <c r="C4786" i="2"/>
  <c r="F4988" i="2"/>
  <c r="A4314" i="2"/>
  <c r="I4537" i="2"/>
  <c r="B4895" i="2"/>
  <c r="A4396" i="2"/>
  <c r="A4895" i="2"/>
  <c r="B4726" i="2"/>
  <c r="A4537" i="2"/>
  <c r="F4491" i="2"/>
  <c r="F4784" i="2"/>
  <c r="A4324" i="2"/>
  <c r="H4262" i="2"/>
  <c r="F4262" i="2"/>
  <c r="B4297" i="2"/>
  <c r="C4262" i="2"/>
  <c r="I4270" i="2"/>
  <c r="G4895" i="2"/>
  <c r="I4385" i="2"/>
  <c r="H4726" i="2"/>
  <c r="F4810" i="2"/>
  <c r="I4540" i="2"/>
  <c r="C4537" i="2"/>
  <c r="B4786" i="2"/>
  <c r="F4726" i="2"/>
  <c r="H4786" i="2"/>
  <c r="F4540" i="2"/>
  <c r="I4444" i="2"/>
  <c r="B4314" i="2"/>
  <c r="C4444" i="2"/>
  <c r="I4491" i="2"/>
  <c r="I4786" i="2"/>
  <c r="F4973" i="2"/>
  <c r="A4491" i="2"/>
  <c r="F4297" i="2"/>
  <c r="H4537" i="2"/>
  <c r="B4820" i="2"/>
  <c r="D4314" i="2"/>
  <c r="F4270" i="2"/>
  <c r="D4988" i="2"/>
  <c r="F4324" i="2"/>
  <c r="H4314" i="2"/>
  <c r="D4810" i="2"/>
  <c r="I4784" i="2"/>
  <c r="G4973" i="2"/>
  <c r="B4385" i="2"/>
  <c r="I4973" i="2"/>
  <c r="A4786" i="2"/>
  <c r="D4297" i="2"/>
  <c r="G4270" i="2"/>
  <c r="H4784" i="2"/>
  <c r="I4262" i="2"/>
  <c r="H4820" i="2"/>
  <c r="D4270" i="2"/>
  <c r="D4414" i="2"/>
  <c r="G4491" i="2"/>
  <c r="B4491" i="2"/>
  <c r="B4414" i="2"/>
  <c r="A4820" i="2"/>
  <c r="G4786" i="2"/>
  <c r="A4414" i="2"/>
  <c r="I4726" i="2"/>
  <c r="A4784" i="2"/>
  <c r="B4988" i="2"/>
  <c r="A4810" i="2"/>
  <c r="F4444" i="2"/>
  <c r="A4270" i="2"/>
  <c r="H4297" i="2"/>
  <c r="D4262" i="2"/>
  <c r="B4784" i="2"/>
  <c r="G4314" i="2"/>
  <c r="I4396" i="2"/>
  <c r="D4537" i="2"/>
  <c r="G4444" i="2"/>
  <c r="I4810" i="2"/>
  <c r="A4444" i="2"/>
  <c r="G4820" i="2"/>
  <c r="D4973" i="2"/>
  <c r="D4324" i="2"/>
  <c r="D4491" i="2"/>
  <c r="D4396" i="2"/>
  <c r="D4820" i="2"/>
  <c r="G4414" i="2"/>
  <c r="C4895" i="2"/>
  <c r="C4414" i="2"/>
  <c r="G4784" i="2"/>
  <c r="G4385" i="2"/>
  <c r="H4540" i="2"/>
  <c r="I4414" i="2"/>
  <c r="C4314" i="2"/>
  <c r="B4396" i="2"/>
  <c r="D4540" i="2"/>
  <c r="H4988" i="2"/>
  <c r="B4262" i="2"/>
  <c r="H4324" i="2"/>
  <c r="I4324" i="2"/>
  <c r="F4820" i="2"/>
  <c r="C4385" i="2"/>
  <c r="H4270" i="2"/>
  <c r="G4726" i="2"/>
  <c r="C4784" i="2"/>
  <c r="H4444" i="2"/>
  <c r="C4810" i="2"/>
  <c r="C4726" i="2"/>
  <c r="A4540" i="2"/>
  <c r="C4270" i="2"/>
  <c r="D4444" i="2"/>
  <c r="H4895" i="2"/>
  <c r="G4537" i="2"/>
  <c r="I4988" i="2"/>
  <c r="G4396" i="2"/>
  <c r="A4385" i="2"/>
  <c r="B4973" i="2"/>
  <c r="I4297" i="2"/>
  <c r="B4324" i="2"/>
  <c r="B4537" i="2"/>
  <c r="G4262" i="2"/>
  <c r="F4414" i="2"/>
  <c r="A4726" i="2"/>
  <c r="C4820" i="2"/>
  <c r="C4540" i="2"/>
  <c r="C4973" i="2"/>
  <c r="F4895" i="2"/>
  <c r="B4810" i="2"/>
  <c r="C4324" i="2"/>
  <c r="I4314" i="2"/>
  <c r="C4297" i="2"/>
  <c r="D4385" i="2"/>
  <c r="B4270" i="2"/>
  <c r="C4491" i="2"/>
  <c r="G4324" i="2"/>
  <c r="G4988" i="2"/>
  <c r="F4537" i="2"/>
  <c r="D4784" i="2"/>
  <c r="I4820" i="2"/>
  <c r="I4895" i="2"/>
  <c r="H4973" i="2"/>
  <c r="B4540" i="2"/>
  <c r="A4262" i="2"/>
  <c r="F4385" i="2"/>
  <c r="H4414" i="2"/>
  <c r="D4786" i="2"/>
  <c r="G4297" i="2"/>
  <c r="D4726" i="2"/>
  <c r="H4810" i="2"/>
  <c r="B4444" i="2"/>
  <c r="C4396" i="2"/>
  <c r="F4314" i="2"/>
  <c r="H4378" i="2"/>
  <c r="G4161" i="2"/>
  <c r="H4532" i="2"/>
  <c r="G4698" i="2"/>
  <c r="H4294" i="2"/>
  <c r="I4539" i="2"/>
  <c r="F4668" i="2"/>
  <c r="H4798" i="2"/>
  <c r="I4514" i="2"/>
  <c r="F4458" i="2"/>
  <c r="F4258" i="2"/>
  <c r="G4629" i="2"/>
  <c r="C4783" i="2"/>
  <c r="I4504" i="2"/>
  <c r="H4346" i="2"/>
  <c r="G4261" i="2"/>
  <c r="B4097" i="2"/>
  <c r="F4161" i="2"/>
  <c r="G4097" i="2"/>
  <c r="F4093" i="2"/>
  <c r="C4154" i="2"/>
  <c r="A4783" i="2"/>
  <c r="C4463" i="2"/>
  <c r="C4484" i="2"/>
  <c r="C4258" i="2"/>
  <c r="D4356" i="2"/>
  <c r="F4463" i="2"/>
  <c r="C4097" i="2"/>
  <c r="D4735" i="2"/>
  <c r="D4093" i="2"/>
  <c r="B4261" i="2"/>
  <c r="F4501" i="2"/>
  <c r="D4697" i="2"/>
  <c r="F4168" i="2"/>
  <c r="D4993" i="2"/>
  <c r="C4190" i="2"/>
  <c r="H4987" i="2"/>
  <c r="C4735" i="2"/>
  <c r="I4783" i="2"/>
  <c r="H4572" i="2"/>
  <c r="A4504" i="2"/>
  <c r="H4890" i="2"/>
  <c r="B4781" i="2"/>
  <c r="H4463" i="2"/>
  <c r="I4323" i="2"/>
  <c r="A4231" i="2"/>
  <c r="D4859" i="2"/>
  <c r="I4463" i="2"/>
  <c r="A4501" i="2"/>
  <c r="F4214" i="2"/>
  <c r="C4363" i="2"/>
  <c r="D4168" i="2"/>
  <c r="B4417" i="2"/>
  <c r="B4188" i="2"/>
  <c r="D4188" i="2"/>
  <c r="H4168" i="2"/>
  <c r="B4463" i="2"/>
  <c r="D4482" i="2"/>
  <c r="B4154" i="2"/>
  <c r="A4190" i="2"/>
  <c r="H4154" i="2"/>
  <c r="I4154" i="2"/>
  <c r="H4873" i="2"/>
  <c r="C4572" i="2"/>
  <c r="D4501" i="2"/>
  <c r="A4790" i="2"/>
  <c r="H4442" i="2"/>
  <c r="D4487" i="2"/>
  <c r="C4168" i="2"/>
  <c r="B4346" i="2"/>
  <c r="A4516" i="2"/>
  <c r="F4504" i="2"/>
  <c r="G4781" i="2"/>
  <c r="C4987" i="2"/>
  <c r="D4190" i="2"/>
  <c r="G4532" i="2"/>
  <c r="F4354" i="2"/>
  <c r="C4412" i="2"/>
  <c r="A4955" i="2"/>
  <c r="H4458" i="2"/>
  <c r="A4463" i="2"/>
  <c r="D4442" i="2"/>
  <c r="F4987" i="2"/>
  <c r="A4873" i="2"/>
  <c r="A4412" i="2"/>
  <c r="C4993" i="2"/>
  <c r="H4761" i="2"/>
  <c r="B4514" i="2"/>
  <c r="I4532" i="2"/>
  <c r="H4126" i="2"/>
  <c r="B4698" i="2"/>
  <c r="D4323" i="2"/>
  <c r="C4161" i="2"/>
  <c r="H4356" i="2"/>
  <c r="A4305" i="2"/>
  <c r="A4664" i="2"/>
  <c r="H4735" i="2"/>
  <c r="F4516" i="2"/>
  <c r="C4629" i="2"/>
  <c r="F4539" i="2"/>
  <c r="G4354" i="2"/>
  <c r="H4783" i="2"/>
  <c r="B4214" i="2"/>
  <c r="G4873" i="2"/>
  <c r="H4955" i="2"/>
  <c r="F4323" i="2"/>
  <c r="F4783" i="2"/>
  <c r="H4093" i="2"/>
  <c r="G4417" i="2"/>
  <c r="F4226" i="2"/>
  <c r="G4226" i="2"/>
  <c r="I4442" i="2"/>
  <c r="B4305" i="2"/>
  <c r="B4572" i="2"/>
  <c r="B4360" i="2"/>
  <c r="B4093" i="2"/>
  <c r="H4993" i="2"/>
  <c r="A4226" i="2"/>
  <c r="B4442" i="2"/>
  <c r="B4890" i="2"/>
  <c r="H4354" i="2"/>
  <c r="A4378" i="2"/>
  <c r="D4378" i="2"/>
  <c r="H4697" i="2"/>
  <c r="B4458" i="2"/>
  <c r="F4294" i="2"/>
  <c r="G4412" i="2"/>
  <c r="G4168" i="2"/>
  <c r="I4664" i="2"/>
  <c r="I4188" i="2"/>
  <c r="D4226" i="2"/>
  <c r="F4363" i="2"/>
  <c r="H4261" i="2"/>
  <c r="H4363" i="2"/>
  <c r="H4965" i="2"/>
  <c r="B4539" i="2"/>
  <c r="I4363" i="2"/>
  <c r="D4154" i="2"/>
  <c r="A4707" i="2"/>
  <c r="B4384" i="2"/>
  <c r="I4484" i="2"/>
  <c r="D4261" i="2"/>
  <c r="G4790" i="2"/>
  <c r="D4629" i="2"/>
  <c r="F4514" i="2"/>
  <c r="I4859" i="2"/>
  <c r="C4501" i="2"/>
  <c r="B4354" i="2"/>
  <c r="A4154" i="2"/>
  <c r="D4363" i="2"/>
  <c r="C4323" i="2"/>
  <c r="H4664" i="2"/>
  <c r="F4993" i="2"/>
  <c r="D4890" i="2"/>
  <c r="I4294" i="2"/>
  <c r="I4698" i="2"/>
  <c r="B4516" i="2"/>
  <c r="G4890" i="2"/>
  <c r="D4484" i="2"/>
  <c r="H4161" i="2"/>
  <c r="I4516" i="2"/>
  <c r="B4482" i="2"/>
  <c r="D4664" i="2"/>
  <c r="I4955" i="2"/>
  <c r="H4097" i="2"/>
  <c r="I4214" i="2"/>
  <c r="F4356" i="2"/>
  <c r="B4859" i="2"/>
  <c r="F4420" i="2"/>
  <c r="D4587" i="2"/>
  <c r="G4735" i="2"/>
  <c r="A4878" i="2"/>
  <c r="C4226" i="2"/>
  <c r="A4384" i="2"/>
  <c r="I4993" i="2"/>
  <c r="C4873" i="2"/>
  <c r="F4965" i="2"/>
  <c r="A4859" i="2"/>
  <c r="B4501" i="2"/>
  <c r="F4484" i="2"/>
  <c r="G4539" i="2"/>
  <c r="G4154" i="2"/>
  <c r="C4126" i="2"/>
  <c r="C4384" i="2"/>
  <c r="H4360" i="2"/>
  <c r="D4420" i="2"/>
  <c r="G4384" i="2"/>
  <c r="C4231" i="2"/>
  <c r="F4126" i="2"/>
  <c r="C4516" i="2"/>
  <c r="G4484" i="2"/>
  <c r="G4294" i="2"/>
  <c r="C4781" i="2"/>
  <c r="C4487" i="2"/>
  <c r="F4664" i="2"/>
  <c r="G4516" i="2"/>
  <c r="H4668" i="2"/>
  <c r="I4890" i="2"/>
  <c r="A4487" i="2"/>
  <c r="B4707" i="2"/>
  <c r="D4668" i="2"/>
  <c r="B4629" i="2"/>
  <c r="I4878" i="2"/>
  <c r="I4346" i="2"/>
  <c r="G4305" i="2"/>
  <c r="A4188" i="2"/>
  <c r="D4231" i="2"/>
  <c r="G4955" i="2"/>
  <c r="D4346" i="2"/>
  <c r="C4697" i="2"/>
  <c r="A4214" i="2"/>
  <c r="F4798" i="2"/>
  <c r="C4417" i="2"/>
  <c r="A4354" i="2"/>
  <c r="A4484" i="2"/>
  <c r="A4356" i="2"/>
  <c r="G4878" i="2"/>
  <c r="H4698" i="2"/>
  <c r="D4516" i="2"/>
  <c r="I4261" i="2"/>
  <c r="B4761" i="2"/>
  <c r="A4668" i="2"/>
  <c r="B4504" i="2"/>
  <c r="G4859" i="2"/>
  <c r="B4878" i="2"/>
  <c r="D4761" i="2"/>
  <c r="C4859" i="2"/>
  <c r="D4097" i="2"/>
  <c r="F4097" i="2"/>
  <c r="I4384" i="2"/>
  <c r="B4955" i="2"/>
  <c r="G4126" i="2"/>
  <c r="D4572" i="2"/>
  <c r="I4417" i="2"/>
  <c r="F4346" i="2"/>
  <c r="A4126" i="2"/>
  <c r="G4258" i="2"/>
  <c r="F4781" i="2"/>
  <c r="B4356" i="2"/>
  <c r="G4378" i="2"/>
  <c r="C4093" i="2"/>
  <c r="D4987" i="2"/>
  <c r="I4378" i="2"/>
  <c r="I4965" i="2"/>
  <c r="D4126" i="2"/>
  <c r="F4487" i="2"/>
  <c r="C4442" i="2"/>
  <c r="G4504" i="2"/>
  <c r="F4698" i="2"/>
  <c r="A4735" i="2"/>
  <c r="H4587" i="2"/>
  <c r="G4346" i="2"/>
  <c r="A4629" i="2"/>
  <c r="D4504" i="2"/>
  <c r="I4354" i="2"/>
  <c r="G4188" i="2"/>
  <c r="D4955" i="2"/>
  <c r="B4587" i="2"/>
  <c r="C4504" i="2"/>
  <c r="F4697" i="2"/>
  <c r="A4761" i="2"/>
  <c r="D4458" i="2"/>
  <c r="I4873" i="2"/>
  <c r="I4420" i="2"/>
  <c r="C4360" i="2"/>
  <c r="B4294" i="2"/>
  <c r="B4323" i="2"/>
  <c r="C4482" i="2"/>
  <c r="D4873" i="2"/>
  <c r="A4987" i="2"/>
  <c r="B4484" i="2"/>
  <c r="G4668" i="2"/>
  <c r="F4761" i="2"/>
  <c r="F4412" i="2"/>
  <c r="B4258" i="2"/>
  <c r="D4305" i="2"/>
  <c r="D4214" i="2"/>
  <c r="I4356" i="2"/>
  <c r="G4514" i="2"/>
  <c r="F4360" i="2"/>
  <c r="I4093" i="2"/>
  <c r="A4587" i="2"/>
  <c r="G4697" i="2"/>
  <c r="A4323" i="2"/>
  <c r="A4258" i="2"/>
  <c r="H4188" i="2"/>
  <c r="H4231" i="2"/>
  <c r="F4305" i="2"/>
  <c r="H4878" i="2"/>
  <c r="F4587" i="2"/>
  <c r="B4226" i="2"/>
  <c r="C4458" i="2"/>
  <c r="F4890" i="2"/>
  <c r="I4126" i="2"/>
  <c r="I4587" i="2"/>
  <c r="B4668" i="2"/>
  <c r="A4965" i="2"/>
  <c r="B4783" i="2"/>
  <c r="H4482" i="2"/>
  <c r="D4790" i="2"/>
  <c r="F4878" i="2"/>
  <c r="H4190" i="2"/>
  <c r="D4412" i="2"/>
  <c r="D4294" i="2"/>
  <c r="D4161" i="2"/>
  <c r="C4354" i="2"/>
  <c r="B4161" i="2"/>
  <c r="B4987" i="2"/>
  <c r="A4097" i="2"/>
  <c r="G4458" i="2"/>
  <c r="F4417" i="2"/>
  <c r="H4629" i="2"/>
  <c r="G4323" i="2"/>
  <c r="F4532" i="2"/>
  <c r="G4572" i="2"/>
  <c r="H4501" i="2"/>
  <c r="F4735" i="2"/>
  <c r="C4698" i="2"/>
  <c r="I4781" i="2"/>
  <c r="G4231" i="2"/>
  <c r="A4532" i="2"/>
  <c r="G4214" i="2"/>
  <c r="C4798" i="2"/>
  <c r="I4707" i="2"/>
  <c r="H4305" i="2"/>
  <c r="A4442" i="2"/>
  <c r="G4463" i="2"/>
  <c r="B4873" i="2"/>
  <c r="F4261" i="2"/>
  <c r="B4735" i="2"/>
  <c r="G4482" i="2"/>
  <c r="C4761" i="2"/>
  <c r="B4798" i="2"/>
  <c r="H4417" i="2"/>
  <c r="H4781" i="2"/>
  <c r="A4798" i="2"/>
  <c r="G4798" i="2"/>
  <c r="C4965" i="2"/>
  <c r="I4412" i="2"/>
  <c r="C4514" i="2"/>
  <c r="B4412" i="2"/>
  <c r="F4190" i="2"/>
  <c r="D4965" i="2"/>
  <c r="A4539" i="2"/>
  <c r="G4587" i="2"/>
  <c r="I4487" i="2"/>
  <c r="B4487" i="2"/>
  <c r="G4501" i="2"/>
  <c r="A4572" i="2"/>
  <c r="B4965" i="2"/>
  <c r="G4420" i="2"/>
  <c r="D4417" i="2"/>
  <c r="D4798" i="2"/>
  <c r="H4420" i="2"/>
  <c r="G4093" i="2"/>
  <c r="A4363" i="2"/>
  <c r="D4258" i="2"/>
  <c r="I4190" i="2"/>
  <c r="F4572" i="2"/>
  <c r="B4790" i="2"/>
  <c r="C4539" i="2"/>
  <c r="H4790" i="2"/>
  <c r="H4384" i="2"/>
  <c r="A4698" i="2"/>
  <c r="I4458" i="2"/>
  <c r="A4514" i="2"/>
  <c r="F4482" i="2"/>
  <c r="D4878" i="2"/>
  <c r="B4697" i="2"/>
  <c r="C4668" i="2"/>
  <c r="G4363" i="2"/>
  <c r="D4783" i="2"/>
  <c r="F4859" i="2"/>
  <c r="A4261" i="2"/>
  <c r="C4294" i="2"/>
  <c r="G4664" i="2"/>
  <c r="G4360" i="2"/>
  <c r="I4360" i="2"/>
  <c r="D4384" i="2"/>
  <c r="C4532" i="2"/>
  <c r="H4514" i="2"/>
  <c r="G4707" i="2"/>
  <c r="H4707" i="2"/>
  <c r="D4707" i="2"/>
  <c r="D4532" i="2"/>
  <c r="F4378" i="2"/>
  <c r="F4955" i="2"/>
  <c r="I4161" i="2"/>
  <c r="A4168" i="2"/>
  <c r="H4214" i="2"/>
  <c r="G4761" i="2"/>
  <c r="C4188" i="2"/>
  <c r="B4231" i="2"/>
  <c r="A4993" i="2"/>
  <c r="I4231" i="2"/>
  <c r="C4707" i="2"/>
  <c r="A4346" i="2"/>
  <c r="C4378" i="2"/>
  <c r="D4781" i="2"/>
  <c r="I4987" i="2"/>
  <c r="C4420" i="2"/>
  <c r="I4226" i="2"/>
  <c r="G4356" i="2"/>
  <c r="I4790" i="2"/>
  <c r="H4539" i="2"/>
  <c r="F4629" i="2"/>
  <c r="D4360" i="2"/>
  <c r="I4482" i="2"/>
  <c r="B4420" i="2"/>
  <c r="G4442" i="2"/>
  <c r="B4190" i="2"/>
  <c r="F4154" i="2"/>
  <c r="I4097" i="2"/>
  <c r="D4514" i="2"/>
  <c r="F4231" i="2"/>
  <c r="A4161" i="2"/>
  <c r="I4572" i="2"/>
  <c r="G4190" i="2"/>
  <c r="G4783" i="2"/>
  <c r="H4504" i="2"/>
  <c r="F4188" i="2"/>
  <c r="A4781" i="2"/>
  <c r="H4516" i="2"/>
  <c r="I4629" i="2"/>
  <c r="A4458" i="2"/>
  <c r="C4587" i="2"/>
  <c r="C4214" i="2"/>
  <c r="C4356" i="2"/>
  <c r="A4420" i="2"/>
  <c r="G4965" i="2"/>
  <c r="I4305" i="2"/>
  <c r="H4226" i="2"/>
  <c r="G4993" i="2"/>
  <c r="C4790" i="2"/>
  <c r="B4168" i="2"/>
  <c r="B4664" i="2"/>
  <c r="A4697" i="2"/>
  <c r="A4890" i="2"/>
  <c r="H4258" i="2"/>
  <c r="H4487" i="2"/>
  <c r="C4890" i="2"/>
  <c r="I4168" i="2"/>
  <c r="B4993" i="2"/>
  <c r="B4378" i="2"/>
  <c r="D4698" i="2"/>
  <c r="G4487" i="2"/>
  <c r="B4532" i="2"/>
  <c r="H4484" i="2"/>
  <c r="I4761" i="2"/>
  <c r="I4697" i="2"/>
  <c r="C4305" i="2"/>
  <c r="A4482" i="2"/>
  <c r="H4859" i="2"/>
  <c r="H4412" i="2"/>
  <c r="F4384" i="2"/>
  <c r="A4093" i="2"/>
  <c r="I4735" i="2"/>
  <c r="F4707" i="2"/>
  <c r="A4360" i="2"/>
  <c r="B4363" i="2"/>
  <c r="D4539" i="2"/>
  <c r="C4955" i="2"/>
  <c r="G4987" i="2"/>
  <c r="F4790" i="2"/>
  <c r="C4878" i="2"/>
  <c r="D4463" i="2"/>
  <c r="A4294" i="2"/>
  <c r="D4354" i="2"/>
  <c r="H4323" i="2"/>
  <c r="F4442" i="2"/>
  <c r="I4668" i="2"/>
  <c r="A4417" i="2"/>
  <c r="I4501" i="2"/>
  <c r="C4346" i="2"/>
  <c r="F4873" i="2"/>
  <c r="I4258" i="2"/>
  <c r="C4261" i="2"/>
  <c r="I4798" i="2"/>
  <c r="B4126" i="2"/>
  <c r="C4664" i="2"/>
  <c r="A4846" i="2"/>
  <c r="B4124" i="2"/>
  <c r="D4658" i="2"/>
  <c r="H4658" i="2"/>
  <c r="B4451" i="2"/>
  <c r="I4451" i="2"/>
  <c r="F4658" i="2"/>
  <c r="A4243" i="2"/>
  <c r="B4753" i="2"/>
  <c r="I4846" i="2"/>
  <c r="F4078" i="2"/>
  <c r="C4243" i="2"/>
  <c r="A4195" i="2"/>
  <c r="B4658" i="2"/>
  <c r="H4243" i="2"/>
  <c r="F4243" i="2"/>
  <c r="C4846" i="2"/>
  <c r="C4753" i="2"/>
  <c r="B4830" i="2"/>
  <c r="G4078" i="2"/>
  <c r="D4753" i="2"/>
  <c r="C4195" i="2"/>
  <c r="C4124" i="2"/>
  <c r="D4846" i="2"/>
  <c r="G4181" i="2"/>
  <c r="B4243" i="2"/>
  <c r="F4181" i="2"/>
  <c r="B4846" i="2"/>
  <c r="I4753" i="2"/>
  <c r="H4181" i="2"/>
  <c r="I4078" i="2"/>
  <c r="H4195" i="2"/>
  <c r="G4243" i="2"/>
  <c r="G4195" i="2"/>
  <c r="C4830" i="2"/>
  <c r="D4830" i="2"/>
  <c r="A4753" i="2"/>
  <c r="D4451" i="2"/>
  <c r="F4124" i="2"/>
  <c r="B4181" i="2"/>
  <c r="F4753" i="2"/>
  <c r="I4181" i="2"/>
  <c r="D4124" i="2"/>
  <c r="I4658" i="2"/>
  <c r="F4846" i="2"/>
  <c r="C4451" i="2"/>
  <c r="A4078" i="2"/>
  <c r="H4124" i="2"/>
  <c r="D4078" i="2"/>
  <c r="D4243" i="2"/>
  <c r="G4124" i="2"/>
  <c r="C4181" i="2"/>
  <c r="H4846" i="2"/>
  <c r="F4451" i="2"/>
  <c r="G4830" i="2"/>
  <c r="A4658" i="2"/>
  <c r="C4658" i="2"/>
  <c r="I4195" i="2"/>
  <c r="G4451" i="2"/>
  <c r="H4078" i="2"/>
  <c r="H4830" i="2"/>
  <c r="A4124" i="2"/>
  <c r="F4830" i="2"/>
  <c r="G4846" i="2"/>
  <c r="F4195" i="2"/>
  <c r="I4124" i="2"/>
  <c r="A4181" i="2"/>
  <c r="A4451" i="2"/>
  <c r="D4181" i="2"/>
  <c r="G4753" i="2"/>
  <c r="I4243" i="2"/>
  <c r="G4658" i="2"/>
  <c r="B4195" i="2"/>
  <c r="C4078" i="2"/>
  <c r="D4195" i="2"/>
  <c r="H4451" i="2"/>
  <c r="I4830" i="2"/>
  <c r="H4753" i="2"/>
  <c r="B4078" i="2"/>
  <c r="A4830" i="2"/>
</calcChain>
</file>

<file path=xl/sharedStrings.xml><?xml version="1.0" encoding="utf-8"?>
<sst xmlns="http://schemas.openxmlformats.org/spreadsheetml/2006/main" count="25" uniqueCount="22">
  <si>
    <t>CUSIP</t>
  </si>
  <si>
    <t>Security Name</t>
  </si>
  <si>
    <t>Generic Ticker Vintage</t>
  </si>
  <si>
    <t>Currency</t>
  </si>
  <si>
    <t>Mtge Orig Amt</t>
  </si>
  <si>
    <t>Cpn</t>
  </si>
  <si>
    <t>Mtge Factor</t>
  </si>
  <si>
    <t>Current WAL</t>
  </si>
  <si>
    <t>Original WAL</t>
  </si>
  <si>
    <t>Summary</t>
  </si>
  <si>
    <t>SRCH Results</t>
  </si>
  <si>
    <t>Number of securities: 32,546</t>
  </si>
  <si>
    <t>Currency: USD</t>
  </si>
  <si>
    <t>Created by  EUGENE ONG ( CARNEGIE MELLON UNIVERSITY )  on  03/12/2026 19:34:45 GMT-0400 (EDT)</t>
  </si>
  <si>
    <t>SRCH Criteria</t>
  </si>
  <si>
    <t>Asset Classes: Mortgages</t>
  </si>
  <si>
    <t>Sources: All Securities</t>
  </si>
  <si>
    <t xml:space="preserve">Security: </t>
  </si>
  <si>
    <t xml:space="preserve"> AND </t>
  </si>
  <si>
    <t>Security Status</t>
  </si>
  <si>
    <t>Include</t>
  </si>
  <si>
    <t>FNCL 3 2021, FNCL 6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</si>
</sst>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">
    <xf numFmtId="0" fontId="0" fillId="0" borderId="0" xfId="0"/>
    <xf numFmtId="0" fontId="1" fillId="34" borderId="0" xfId="29" applyNumberFormat="1" applyFont="1" applyFill="1" applyBorder="1" applyAlignment="1" applyProtection="1"/>
    <xf numFmtId="0" fontId="2" fillId="33" borderId="0" xfId="26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BDP|12028415669869874393</stp>
        <tr r="I4426" s="2"/>
      </tp>
      <tp t="s">
        <v>#N/A N/A</v>
        <stp/>
        <stp>BDP|13520979506488513885</stp>
        <tr r="A3705" s="2"/>
      </tp>
      <tp t="s">
        <v>#N/A N/A</v>
        <stp/>
        <stp>BDP|11087921648192053436</stp>
        <tr r="D900" s="2"/>
      </tp>
      <tp t="s">
        <v>#N/A N/A</v>
        <stp/>
        <stp>BDP|18281190254093250546</stp>
        <tr r="A771" s="2"/>
      </tp>
      <tp t="s">
        <v>#N/A N/A</v>
        <stp/>
        <stp>BDP|13725809219410360042</stp>
        <tr r="F1880" s="2"/>
      </tp>
      <tp t="s">
        <v>#N/A N/A</v>
        <stp/>
        <stp>BDP|12174045834123984811</stp>
        <tr r="D3962" s="2"/>
      </tp>
      <tp t="s">
        <v>#N/A N/A</v>
        <stp/>
        <stp>BDP|16374290933819319434</stp>
        <tr r="B4303" s="2"/>
      </tp>
      <tp t="s">
        <v>#N/A N/A</v>
        <stp/>
        <stp>BDP|17453599980624379477</stp>
        <tr r="I4534" s="2"/>
      </tp>
      <tp t="s">
        <v>#N/A N/A</v>
        <stp/>
        <stp>BDP|13958893566507791083</stp>
        <tr r="D4688" s="2"/>
      </tp>
      <tp t="s">
        <v>#N/A N/A</v>
        <stp/>
        <stp>BDP|13422614779650107849</stp>
        <tr r="F2043" s="2"/>
      </tp>
      <tp t="s">
        <v>#N/A N/A</v>
        <stp/>
        <stp>BDP|17620281514458767648</stp>
        <tr r="I2915" s="2"/>
      </tp>
      <tp t="s">
        <v>#N/A N/A</v>
        <stp/>
        <stp>BDP|11068124811788859329</stp>
        <tr r="H1897" s="2"/>
      </tp>
      <tp t="s">
        <v>#N/A N/A</v>
        <stp/>
        <stp>BDP|14790572298483709166</stp>
        <tr r="I1054" s="2"/>
      </tp>
      <tp t="s">
        <v>#N/A N/A</v>
        <stp/>
        <stp>BDP|16113481588816189698</stp>
        <tr r="C1623" s="2"/>
      </tp>
      <tp t="s">
        <v>#N/A N/A</v>
        <stp/>
        <stp>BDP|13482828111056800668</stp>
        <tr r="H2439" s="2"/>
      </tp>
      <tp t="s">
        <v>#N/A N/A</v>
        <stp/>
        <stp>BDP|13155499893080554476</stp>
        <tr r="H3319" s="2"/>
      </tp>
      <tp t="s">
        <v>#N/A N/A</v>
        <stp/>
        <stp>BDP|12423783887632415568</stp>
        <tr r="G1235" s="2"/>
      </tp>
      <tp t="s">
        <v>#N/A N/A</v>
        <stp/>
        <stp>BDP|10011510109946328924</stp>
        <tr r="H382" s="2"/>
      </tp>
      <tp t="s">
        <v>#N/A N/A</v>
        <stp/>
        <stp>BDP|17995380492811265689</stp>
        <tr r="F908" s="2"/>
      </tp>
      <tp t="s">
        <v>#N/A N/A</v>
        <stp/>
        <stp>BDP|12959828892521667860</stp>
        <tr r="I3317" s="2"/>
      </tp>
      <tp t="s">
        <v>#N/A N/A</v>
        <stp/>
        <stp>BDP|17092914789245136902</stp>
        <tr r="C1343" s="2"/>
      </tp>
      <tp t="s">
        <v>#N/A N/A</v>
        <stp/>
        <stp>BDP|15864516300039782376</stp>
        <tr r="A3261" s="2"/>
      </tp>
      <tp t="s">
        <v>#N/A N/A</v>
        <stp/>
        <stp>BDP|17446508319469022044</stp>
        <tr r="H2443" s="2"/>
      </tp>
      <tp t="s">
        <v>#N/A N/A</v>
        <stp/>
        <stp>BDP|11362441253022811858</stp>
        <tr r="D4292" s="2"/>
      </tp>
      <tp t="s">
        <v>#N/A N/A</v>
        <stp/>
        <stp>BDP|11002134868558056429</stp>
        <tr r="C3713" s="2"/>
      </tp>
      <tp t="s">
        <v>#N/A N/A</v>
        <stp/>
        <stp>BDP|12496254603533913924</stp>
        <tr r="A2426" s="2"/>
      </tp>
      <tp t="s">
        <v>#N/A N/A</v>
        <stp/>
        <stp>BDP|13677252541858944724</stp>
        <tr r="C2092" s="2"/>
      </tp>
      <tp t="s">
        <v>#N/A N/A</v>
        <stp/>
        <stp>BDP|14505499516562235912</stp>
        <tr r="A4592" s="2"/>
      </tp>
      <tp t="s">
        <v>#N/A N/A</v>
        <stp/>
        <stp>BDP|12108897427644644609</stp>
        <tr r="D1142" s="2"/>
      </tp>
      <tp t="s">
        <v>#N/A N/A</v>
        <stp/>
        <stp>BDP|13995012799750021082</stp>
        <tr r="B4351" s="2"/>
      </tp>
      <tp t="s">
        <v>#N/A N/A</v>
        <stp/>
        <stp>BDP|12538785623424592928</stp>
        <tr r="D27" s="2"/>
      </tp>
      <tp t="s">
        <v>#N/A N/A</v>
        <stp/>
        <stp>BDP|17556986307091566566</stp>
        <tr r="D2991" s="2"/>
      </tp>
      <tp t="s">
        <v>#N/A N/A</v>
        <stp/>
        <stp>BDP|17084499887188041977</stp>
        <tr r="B3570" s="2"/>
      </tp>
      <tp t="s">
        <v>#N/A N/A</v>
        <stp/>
        <stp>BDP|13417014251968877458</stp>
        <tr r="F2582" s="2"/>
      </tp>
      <tp t="s">
        <v>#N/A N/A</v>
        <stp/>
        <stp>BDP|17470491555344947882</stp>
        <tr r="F2367" s="2"/>
      </tp>
      <tp t="s">
        <v>#N/A N/A</v>
        <stp/>
        <stp>BDP|17357001430668204681</stp>
        <tr r="H1503" s="2"/>
      </tp>
      <tp t="s">
        <v>#N/A N/A</v>
        <stp/>
        <stp>BDP|10840932632273622365</stp>
        <tr r="H3281" s="2"/>
      </tp>
      <tp t="s">
        <v>#N/A N/A</v>
        <stp/>
        <stp>BDP|11982891427593762298</stp>
        <tr r="F529" s="2"/>
      </tp>
      <tp t="s">
        <v>#N/A N/A</v>
        <stp/>
        <stp>BDP|13617130399048278974</stp>
        <tr r="H4102" s="2"/>
      </tp>
      <tp t="s">
        <v>#N/A N/A</v>
        <stp/>
        <stp>BDP|18285255238672414128</stp>
        <tr r="I1975" s="2"/>
      </tp>
      <tp t="s">
        <v>#N/A N/A</v>
        <stp/>
        <stp>BDP|17619517189526537621</stp>
        <tr r="F4950" s="2"/>
      </tp>
      <tp t="s">
        <v>#N/A N/A</v>
        <stp/>
        <stp>BDP|15971038391653518579</stp>
        <tr r="H3254" s="2"/>
      </tp>
      <tp t="s">
        <v>#N/A N/A</v>
        <stp/>
        <stp>BDP|15645476895960581282</stp>
        <tr r="G1850" s="2"/>
      </tp>
      <tp t="s">
        <v>#N/A N/A</v>
        <stp/>
        <stp>BDP|15002402498412035014</stp>
        <tr r="C3110" s="2"/>
      </tp>
      <tp t="s">
        <v>#N/A N/A</v>
        <stp/>
        <stp>BDP|15117798611949867087</stp>
        <tr r="A395" s="2"/>
      </tp>
      <tp t="s">
        <v>#N/A N/A</v>
        <stp/>
        <stp>BDP|12839859739232584180</stp>
        <tr r="D1162" s="2"/>
      </tp>
      <tp t="s">
        <v>#N/A N/A</v>
        <stp/>
        <stp>BDP|12813786324445502883</stp>
        <tr r="I3719" s="2"/>
      </tp>
      <tp t="s">
        <v>#N/A N/A</v>
        <stp/>
        <stp>BDP|12950647445248370227</stp>
        <tr r="B2992" s="2"/>
      </tp>
      <tp t="s">
        <v>#N/A N/A</v>
        <stp/>
        <stp>BDP|12185845502293884360</stp>
        <tr r="D3312" s="2"/>
      </tp>
      <tp t="s">
        <v>#N/A N/A</v>
        <stp/>
        <stp>BDP|13429416708134628920</stp>
        <tr r="I4931" s="2"/>
      </tp>
      <tp t="s">
        <v>#N/A N/A</v>
        <stp/>
        <stp>BDP|10203184471305400960</stp>
        <tr r="A897" s="2"/>
      </tp>
      <tp t="s">
        <v>#N/A N/A</v>
        <stp/>
        <stp>BDP|12783188872689662727</stp>
        <tr r="A1611" s="2"/>
      </tp>
      <tp t="s">
        <v>#N/A N/A</v>
        <stp/>
        <stp>BDP|17247966349689359977</stp>
        <tr r="C2086" s="2"/>
      </tp>
      <tp t="s">
        <v>#N/A N/A</v>
        <stp/>
        <stp>BDP|10474610039318498718</stp>
        <tr r="I1182" s="2"/>
      </tp>
      <tp t="s">
        <v>#N/A N/A</v>
        <stp/>
        <stp>BDP|15155416609938883387</stp>
        <tr r="G900" s="2"/>
      </tp>
      <tp t="s">
        <v>#N/A N/A</v>
        <stp/>
        <stp>BDP|11966283387204948567</stp>
        <tr r="F2710" s="2"/>
      </tp>
      <tp t="s">
        <v>#N/A N/A</v>
        <stp/>
        <stp>BDP|15474432406248069385</stp>
        <tr r="F723" s="2"/>
      </tp>
      <tp t="s">
        <v>#N/A N/A</v>
        <stp/>
        <stp>BDP|11306036738500337824</stp>
        <tr r="A4423" s="2"/>
      </tp>
      <tp t="s">
        <v>#N/A N/A</v>
        <stp/>
        <stp>BDP|10784878136544622593</stp>
        <tr r="H4483" s="2"/>
      </tp>
      <tp t="s">
        <v>#N/A N/A</v>
        <stp/>
        <stp>BDP|16956867254970391116</stp>
        <tr r="D292" s="2"/>
      </tp>
      <tp t="s">
        <v>#N/A N/A</v>
        <stp/>
        <stp>BDP|12267307900672395995</stp>
        <tr r="G1307" s="2"/>
      </tp>
      <tp t="s">
        <v>#N/A N/A</v>
        <stp/>
        <stp>BDP|17884263960909111078</stp>
        <tr r="H1496" s="2"/>
      </tp>
      <tp t="s">
        <v>#N/A N/A</v>
        <stp/>
        <stp>BDP|16418897346878563862</stp>
        <tr r="I2143" s="2"/>
      </tp>
      <tp t="s">
        <v>#N/A N/A</v>
        <stp/>
        <stp>BDP|16566953628515038209</stp>
        <tr r="B4221" s="2"/>
      </tp>
      <tp t="s">
        <v>#N/A N/A</v>
        <stp/>
        <stp>BDP|14977635316990766937</stp>
        <tr r="A755" s="2"/>
      </tp>
      <tp t="s">
        <v>#N/A N/A</v>
        <stp/>
        <stp>BDP|16110771099303707109</stp>
        <tr r="A4826" s="2"/>
      </tp>
      <tp t="s">
        <v>#N/A N/A</v>
        <stp/>
        <stp>BDP|11225155093935567692</stp>
        <tr r="F2018" s="2"/>
      </tp>
      <tp t="s">
        <v>#N/A N/A</v>
        <stp/>
        <stp>BDP|12192887762644141226</stp>
        <tr r="F1806" s="2"/>
      </tp>
      <tp t="s">
        <v>#N/A N/A</v>
        <stp/>
        <stp>BDP|15895150097244761357</stp>
        <tr r="B4470" s="2"/>
      </tp>
      <tp t="s">
        <v>#N/A N/A</v>
        <stp/>
        <stp>BDP|15110847599539389772</stp>
        <tr r="D2260" s="2"/>
      </tp>
      <tp t="s">
        <v>#N/A N/A</v>
        <stp/>
        <stp>BDP|12552836907170999002</stp>
        <tr r="H745" s="2"/>
      </tp>
      <tp t="s">
        <v>#N/A N/A</v>
        <stp/>
        <stp>BDP|15590931714590808724</stp>
        <tr r="A4394" s="2"/>
      </tp>
      <tp t="s">
        <v>#N/A N/A</v>
        <stp/>
        <stp>BDP|10357320755939403585</stp>
        <tr r="H4304" s="2"/>
      </tp>
      <tp t="s">
        <v>#N/A N/A</v>
        <stp/>
        <stp>BDP|17626611858878479635</stp>
        <tr r="H3573" s="2"/>
      </tp>
      <tp t="s">
        <v>#N/A N/A</v>
        <stp/>
        <stp>BDP|17655814864941829233</stp>
        <tr r="F3011" s="2"/>
      </tp>
      <tp t="s">
        <v>#N/A N/A</v>
        <stp/>
        <stp>BDP|17356088642291315826</stp>
        <tr r="G4540" s="2"/>
      </tp>
      <tp t="s">
        <v>#N/A N/A</v>
        <stp/>
        <stp>BDP|14937589989185309633</stp>
        <tr r="A1318" s="2"/>
      </tp>
      <tp t="s">
        <v>#N/A N/A</v>
        <stp/>
        <stp>BDP|18213314571802333496</stp>
        <tr r="A2921" s="2"/>
      </tp>
      <tp t="s">
        <v>#N/A N/A</v>
        <stp/>
        <stp>BDP|15819613984791025058</stp>
        <tr r="H4642" s="2"/>
      </tp>
      <tp t="s">
        <v>#N/A N/A</v>
        <stp/>
        <stp>BDP|17457424084968314996</stp>
        <tr r="G4678" s="2"/>
      </tp>
      <tp t="s">
        <v>#N/A N/A</v>
        <stp/>
        <stp>BDP|11276348528678502236</stp>
        <tr r="B861" s="2"/>
      </tp>
      <tp t="s">
        <v>#N/A N/A</v>
        <stp/>
        <stp>BDP|13689904747340128483</stp>
        <tr r="F3005" s="2"/>
      </tp>
      <tp t="s">
        <v>#N/A N/A</v>
        <stp/>
        <stp>BDP|14329783392348587847</stp>
        <tr r="H1938" s="2"/>
      </tp>
      <tp t="s">
        <v>#N/A N/A</v>
        <stp/>
        <stp>BDP|12599785787512664542</stp>
        <tr r="C230" s="2"/>
      </tp>
      <tp t="s">
        <v>#N/A N/A</v>
        <stp/>
        <stp>BDP|10654217915888225185</stp>
        <tr r="D2317" s="2"/>
      </tp>
      <tp t="s">
        <v>#N/A N/A</v>
        <stp/>
        <stp>BDP|13967928016854332568</stp>
        <tr r="D1662" s="2"/>
      </tp>
      <tp t="s">
        <v>#N/A N/A</v>
        <stp/>
        <stp>BDP|17285633682961276298</stp>
        <tr r="H2217" s="2"/>
      </tp>
      <tp t="s">
        <v>#N/A N/A</v>
        <stp/>
        <stp>BDP|16846235282910601674</stp>
        <tr r="C4265" s="2"/>
      </tp>
      <tp t="s">
        <v>#N/A N/A</v>
        <stp/>
        <stp>BDP|14037087740529993394</stp>
        <tr r="G2492" s="2"/>
      </tp>
      <tp t="s">
        <v>#N/A N/A</v>
        <stp/>
        <stp>BDP|18020504171307039795</stp>
        <tr r="I4559" s="2"/>
      </tp>
      <tp t="s">
        <v>#N/A N/A</v>
        <stp/>
        <stp>BDP|12649134499253317371</stp>
        <tr r="D238" s="2"/>
      </tp>
      <tp t="s">
        <v>#N/A N/A</v>
        <stp/>
        <stp>BDP|16477847429553778560</stp>
        <tr r="C3293" s="2"/>
      </tp>
      <tp t="s">
        <v>#N/A N/A</v>
        <stp/>
        <stp>BDP|14289550942486893957</stp>
        <tr r="I3406" s="2"/>
      </tp>
      <tp t="s">
        <v>#N/A N/A</v>
        <stp/>
        <stp>BDP|14970165284156150124</stp>
        <tr r="C920" s="2"/>
      </tp>
      <tp t="s">
        <v>#N/A N/A</v>
        <stp/>
        <stp>BDP|14019191485436018147</stp>
        <tr r="I4358" s="2"/>
      </tp>
      <tp t="s">
        <v>#N/A N/A</v>
        <stp/>
        <stp>BDP|15054851062010777181</stp>
        <tr r="A630" s="2"/>
      </tp>
      <tp t="s">
        <v>#N/A N/A</v>
        <stp/>
        <stp>BDP|14509118284932105590</stp>
        <tr r="F1819" s="2"/>
      </tp>
      <tp t="s">
        <v>#N/A N/A</v>
        <stp/>
        <stp>BDP|16444649892822863122</stp>
        <tr r="B1666" s="2"/>
      </tp>
      <tp t="s">
        <v>#N/A N/A</v>
        <stp/>
        <stp>BDP|13522814642106678381</stp>
        <tr r="D543" s="2"/>
      </tp>
      <tp t="s">
        <v>#N/A N/A</v>
        <stp/>
        <stp>BDP|14519575217502987848</stp>
        <tr r="H2284" s="2"/>
      </tp>
      <tp t="s">
        <v>#N/A N/A</v>
        <stp/>
        <stp>BDP|15623008818348183670</stp>
        <tr r="G1365" s="2"/>
      </tp>
      <tp t="s">
        <v>#N/A N/A</v>
        <stp/>
        <stp>BDP|12143018922178952239</stp>
        <tr r="F2426" s="2"/>
      </tp>
      <tp t="s">
        <v>#N/A N/A</v>
        <stp/>
        <stp>BDP|14560750709650477956</stp>
        <tr r="F1998" s="2"/>
      </tp>
      <tp t="s">
        <v>#N/A N/A</v>
        <stp/>
        <stp>BDP|10324244297104101596</stp>
        <tr r="F1904" s="2"/>
      </tp>
      <tp t="s">
        <v>#N/A N/A</v>
        <stp/>
        <stp>BDP|10071472969411141975</stp>
        <tr r="H3195" s="2"/>
      </tp>
      <tp t="s">
        <v>#N/A N/A</v>
        <stp/>
        <stp>BDP|13912823632251112301</stp>
        <tr r="D3384" s="2"/>
      </tp>
      <tp t="s">
        <v>#N/A N/A</v>
        <stp/>
        <stp>BDP|13398680497556786033</stp>
        <tr r="H1141" s="2"/>
      </tp>
      <tp t="s">
        <v>#N/A N/A</v>
        <stp/>
        <stp>BDP|14924787558485571941</stp>
        <tr r="F2290" s="2"/>
      </tp>
      <tp t="s">
        <v>#N/A N/A</v>
        <stp/>
        <stp>BDP|15275626409911384827</stp>
        <tr r="H4932" s="2"/>
      </tp>
      <tp t="s">
        <v>#N/A N/A</v>
        <stp/>
        <stp>BDP|10126987452215283318</stp>
        <tr r="I708" s="2"/>
      </tp>
      <tp t="s">
        <v>#N/A N/A</v>
        <stp/>
        <stp>BDP|16880759890393732126</stp>
        <tr r="F1298" s="2"/>
      </tp>
      <tp t="s">
        <v>#N/A N/A</v>
        <stp/>
        <stp>BDP|16938437995177548627</stp>
        <tr r="B1163" s="2"/>
      </tp>
      <tp t="s">
        <v>#N/A N/A</v>
        <stp/>
        <stp>BDP|12659525742770933972</stp>
        <tr r="G3450" s="2"/>
      </tp>
      <tp t="s">
        <v>#N/A N/A</v>
        <stp/>
        <stp>BDP|10954622702435354920</stp>
        <tr r="I1305" s="2"/>
      </tp>
      <tp t="s">
        <v>#N/A N/A</v>
        <stp/>
        <stp>BDP|10205114388687349400</stp>
        <tr r="D164" s="2"/>
      </tp>
      <tp t="s">
        <v>#N/A N/A</v>
        <stp/>
        <stp>BDP|13261439277122891861</stp>
        <tr r="B3173" s="2"/>
      </tp>
      <tp t="s">
        <v>#N/A N/A</v>
        <stp/>
        <stp>BDP|13945396508538210220</stp>
        <tr r="F763" s="2"/>
      </tp>
      <tp t="s">
        <v>#N/A N/A</v>
        <stp/>
        <stp>BDP|14999087058633499857</stp>
        <tr r="I4590" s="2"/>
      </tp>
      <tp t="s">
        <v>#N/A N/A</v>
        <stp/>
        <stp>BDP|10118085930111302823</stp>
        <tr r="D1246" s="2"/>
      </tp>
      <tp t="s">
        <v>#N/A N/A</v>
        <stp/>
        <stp>BDP|17223988782368846488</stp>
        <tr r="A538" s="2"/>
      </tp>
      <tp t="s">
        <v>#N/A N/A</v>
        <stp/>
        <stp>BDP|11546996330067125655</stp>
        <tr r="B2227" s="2"/>
      </tp>
      <tp t="s">
        <v>#N/A N/A</v>
        <stp/>
        <stp>BDP|13370140290570845173</stp>
        <tr r="B1325" s="2"/>
      </tp>
      <tp t="s">
        <v>#N/A N/A</v>
        <stp/>
        <stp>BDP|14025782916651009963</stp>
        <tr r="B1156" s="2"/>
      </tp>
      <tp t="s">
        <v>#N/A N/A</v>
        <stp/>
        <stp>BDP|17573878902824025181</stp>
        <tr r="C460" s="2"/>
      </tp>
      <tp t="s">
        <v>#N/A N/A</v>
        <stp/>
        <stp>BDP|10709312838583672904</stp>
        <tr r="C720" s="2"/>
      </tp>
      <tp t="s">
        <v>#N/A N/A</v>
        <stp/>
        <stp>BDP|10216030664339526584</stp>
        <tr r="B4636" s="2"/>
      </tp>
      <tp t="s">
        <v>#N/A N/A</v>
        <stp/>
        <stp>BDP|17195964071033983071</stp>
        <tr r="C2942" s="2"/>
      </tp>
      <tp t="s">
        <v>#N/A N/A</v>
        <stp/>
        <stp>BDP|12330671497771392688</stp>
        <tr r="H907" s="2"/>
      </tp>
      <tp t="s">
        <v>#N/A N/A</v>
        <stp/>
        <stp>BDP|12795852076460639797</stp>
        <tr r="D4817" s="2"/>
      </tp>
      <tp t="s">
        <v>#N/A N/A</v>
        <stp/>
        <stp>BDP|13228665546379973209</stp>
        <tr r="G4981" s="2"/>
      </tp>
      <tp t="s">
        <v>#N/A N/A</v>
        <stp/>
        <stp>BDP|13247059706708396199</stp>
        <tr r="F753" s="2"/>
      </tp>
      <tp t="s">
        <v>#N/A N/A</v>
        <stp/>
        <stp>BDP|12230591673358622259</stp>
        <tr r="B4209" s="2"/>
      </tp>
      <tp t="s">
        <v>#N/A N/A</v>
        <stp/>
        <stp>BDP|16075698295146472533</stp>
        <tr r="B2123" s="2"/>
      </tp>
      <tp t="s">
        <v>#N/A N/A</v>
        <stp/>
        <stp>BDP|12337856854845962002</stp>
        <tr r="A645" s="2"/>
      </tp>
      <tp t="s">
        <v>#N/A N/A</v>
        <stp/>
        <stp>BDP|11868896458523685544</stp>
        <tr r="F1587" s="2"/>
      </tp>
      <tp t="s">
        <v>#N/A N/A</v>
        <stp/>
        <stp>BDP|14062482556936321966</stp>
        <tr r="G2795" s="2"/>
      </tp>
      <tp t="s">
        <v>#N/A N/A</v>
        <stp/>
        <stp>BDP|13573218118279168363</stp>
        <tr r="C3967" s="2"/>
      </tp>
      <tp t="s">
        <v>#N/A N/A</v>
        <stp/>
        <stp>BDP|12632539515685966922</stp>
        <tr r="G1970" s="2"/>
      </tp>
      <tp t="s">
        <v>#N/A N/A</v>
        <stp/>
        <stp>BDP|16417188477013916990</stp>
        <tr r="B2352" s="2"/>
      </tp>
      <tp t="s">
        <v>#N/A N/A</v>
        <stp/>
        <stp>BDP|15503200588475386054</stp>
        <tr r="H2751" s="2"/>
      </tp>
      <tp t="s">
        <v>#N/A N/A</v>
        <stp/>
        <stp>BDP|12692540850778859014</stp>
        <tr r="A4677" s="2"/>
      </tp>
      <tp t="s">
        <v>#N/A N/A</v>
        <stp/>
        <stp>BDP|14862575267244372909</stp>
        <tr r="G2538" s="2"/>
      </tp>
      <tp t="s">
        <v>#N/A N/A</v>
        <stp/>
        <stp>BDP|10472984133248686826</stp>
        <tr r="I4471" s="2"/>
      </tp>
      <tp t="s">
        <v>#N/A N/A</v>
        <stp/>
        <stp>BDP|15540602449465498835</stp>
        <tr r="I90" s="2"/>
      </tp>
      <tp t="s">
        <v>#N/A N/A</v>
        <stp/>
        <stp>BDP|11091396734438627307</stp>
        <tr r="D2174" s="2"/>
      </tp>
      <tp t="s">
        <v>#N/A N/A</v>
        <stp/>
        <stp>BDP|11473650918908298409</stp>
        <tr r="I1295" s="2"/>
      </tp>
      <tp t="s">
        <v>#N/A N/A</v>
        <stp/>
        <stp>BDP|11886970170565299069</stp>
        <tr r="F3638" s="2"/>
      </tp>
      <tp t="s">
        <v>#N/A N/A</v>
        <stp/>
        <stp>BDP|13198914791791335894</stp>
        <tr r="F624" s="2"/>
      </tp>
      <tp t="s">
        <v>#N/A N/A</v>
        <stp/>
        <stp>BDP|18007787120721344608</stp>
        <tr r="F3231" s="2"/>
      </tp>
      <tp t="s">
        <v>#N/A N/A</v>
        <stp/>
        <stp>BDP|10563886060774036068</stp>
        <tr r="I4981" s="2"/>
      </tp>
      <tp t="s">
        <v>#N/A N/A</v>
        <stp/>
        <stp>BDP|17382389204776035849</stp>
        <tr r="D1130" s="2"/>
      </tp>
      <tp t="s">
        <v>#N/A N/A</v>
        <stp/>
        <stp>BDP|13549964609329887998</stp>
        <tr r="B1374" s="2"/>
      </tp>
      <tp t="s">
        <v>#N/A N/A</v>
        <stp/>
        <stp>BDP|14235049558958171347</stp>
        <tr r="I413" s="2"/>
      </tp>
      <tp t="s">
        <v>#N/A N/A</v>
        <stp/>
        <stp>BDP|12041914737264532682</stp>
        <tr r="C4949" s="2"/>
      </tp>
      <tp t="s">
        <v>#N/A N/A</v>
        <stp/>
        <stp>BDP|16149070595564864105</stp>
        <tr r="A4916" s="2"/>
      </tp>
      <tp t="s">
        <v>#N/A N/A</v>
        <stp/>
        <stp>BDP|15179569874899910415</stp>
        <tr r="H1606" s="2"/>
      </tp>
      <tp t="s">
        <v>#N/A N/A</v>
        <stp/>
        <stp>BDP|12971628206938677603</stp>
        <tr r="C1236" s="2"/>
      </tp>
      <tp t="s">
        <v>#N/A N/A</v>
        <stp/>
        <stp>BDP|10689980938403860358</stp>
        <tr r="B2956" s="2"/>
      </tp>
      <tp t="s">
        <v>#N/A N/A</v>
        <stp/>
        <stp>BDP|18124096314606647514</stp>
        <tr r="H4530" s="2"/>
      </tp>
      <tp t="s">
        <v>#N/A N/A</v>
        <stp/>
        <stp>BDP|15858821491647575954</stp>
        <tr r="A4190" s="2"/>
      </tp>
      <tp t="s">
        <v>#N/A N/A</v>
        <stp/>
        <stp>BDP|17372570252549858456</stp>
        <tr r="D4067" s="2"/>
      </tp>
      <tp t="s">
        <v>#N/A N/A</v>
        <stp/>
        <stp>BDP|14815861181336008842</stp>
        <tr r="A3812" s="2"/>
      </tp>
      <tp t="s">
        <v>#N/A N/A</v>
        <stp/>
        <stp>BDP|17424967108360616476</stp>
        <tr r="F3306" s="2"/>
      </tp>
      <tp t="s">
        <v>#N/A N/A</v>
        <stp/>
        <stp>BDP|16313015423688949636</stp>
        <tr r="F3121" s="2"/>
      </tp>
      <tp t="s">
        <v>#N/A N/A</v>
        <stp/>
        <stp>BDP|16846078856608647149</stp>
        <tr r="A4056" s="2"/>
      </tp>
      <tp t="s">
        <v>#N/A N/A</v>
        <stp/>
        <stp>BDP|10054153079799625514</stp>
        <tr r="G880" s="2"/>
      </tp>
      <tp t="s">
        <v>#N/A N/A</v>
        <stp/>
        <stp>BDP|11608810579445111142</stp>
        <tr r="G2914" s="2"/>
      </tp>
      <tp t="s">
        <v>#N/A N/A</v>
        <stp/>
        <stp>BDP|11506232987031906035</stp>
        <tr r="F1566" s="2"/>
      </tp>
      <tp t="s">
        <v>#N/A N/A</v>
        <stp/>
        <stp>BDP|12401578094653502799</stp>
        <tr r="H1244" s="2"/>
      </tp>
      <tp t="s">
        <v>#N/A N/A</v>
        <stp/>
        <stp>BDP|10024627952829831038</stp>
        <tr r="C522" s="2"/>
      </tp>
      <tp t="s">
        <v>#N/A N/A</v>
        <stp/>
        <stp>BDP|14755333827019925612</stp>
        <tr r="C3367" s="2"/>
      </tp>
      <tp t="s">
        <v>#N/A N/A</v>
        <stp/>
        <stp>BDP|18207086001087087508</stp>
        <tr r="I4407" s="2"/>
      </tp>
      <tp t="s">
        <v>#N/A N/A</v>
        <stp/>
        <stp>BDP|12694204502353698992</stp>
        <tr r="C4468" s="2"/>
      </tp>
      <tp t="s">
        <v>#N/A N/A</v>
        <stp/>
        <stp>BDP|13956066510869079149</stp>
        <tr r="A1022" s="2"/>
      </tp>
      <tp t="s">
        <v>#N/A N/A</v>
        <stp/>
        <stp>BDP|14823077183731105767</stp>
        <tr r="I3211" s="2"/>
      </tp>
      <tp t="s">
        <v>#N/A N/A</v>
        <stp/>
        <stp>BDP|12455247964245762982</stp>
        <tr r="C3461" s="2"/>
      </tp>
      <tp t="s">
        <v>#N/A N/A</v>
        <stp/>
        <stp>BDP|12675247192357217496</stp>
        <tr r="H3868" s="2"/>
      </tp>
      <tp t="s">
        <v>#N/A N/A</v>
        <stp/>
        <stp>BDP|11058568894992829512</stp>
        <tr r="H3399" s="2"/>
      </tp>
      <tp t="s">
        <v>#N/A N/A</v>
        <stp/>
        <stp>BDP|15987641285173680254</stp>
        <tr r="F3385" s="2"/>
      </tp>
      <tp t="s">
        <v>#N/A N/A</v>
        <stp/>
        <stp>BDP|15815658209119626081</stp>
        <tr r="G2450" s="2"/>
      </tp>
      <tp t="s">
        <v>#N/A N/A</v>
        <stp/>
        <stp>BDP|13348792917737493832</stp>
        <tr r="G737" s="2"/>
      </tp>
      <tp t="s">
        <v>#N/A N/A</v>
        <stp/>
        <stp>BDP|16484574295560564096</stp>
        <tr r="D3035" s="2"/>
      </tp>
      <tp t="s">
        <v>#N/A N/A</v>
        <stp/>
        <stp>BDP|18375387365346097142</stp>
        <tr r="F1827" s="2"/>
      </tp>
      <tp t="s">
        <v>#N/A N/A</v>
        <stp/>
        <stp>BDP|15429017583170883743</stp>
        <tr r="H4351" s="2"/>
      </tp>
      <tp t="s">
        <v>#N/A N/A</v>
        <stp/>
        <stp>BDP|11558676355809440190</stp>
        <tr r="A156" s="2"/>
      </tp>
      <tp t="s">
        <v>#N/A N/A</v>
        <stp/>
        <stp>BDP|14861990052323881112</stp>
        <tr r="I4922" s="2"/>
      </tp>
      <tp t="s">
        <v>#N/A N/A</v>
        <stp/>
        <stp>BDP|16742479326798843240</stp>
        <tr r="C3681" s="2"/>
      </tp>
      <tp t="s">
        <v>#N/A N/A</v>
        <stp/>
        <stp>BDP|11977941132908310960</stp>
        <tr r="I3305" s="2"/>
      </tp>
      <tp t="s">
        <v>#N/A N/A</v>
        <stp/>
        <stp>BDP|10487058452629838618</stp>
        <tr r="A1540" s="2"/>
      </tp>
      <tp t="s">
        <v>#N/A N/A</v>
        <stp/>
        <stp>BDP|13186944116266939700</stp>
        <tr r="I3240" s="2"/>
      </tp>
      <tp t="s">
        <v>#N/A N/A</v>
        <stp/>
        <stp>BDP|16391915548150999199</stp>
        <tr r="I1872" s="2"/>
      </tp>
      <tp t="s">
        <v>#N/A N/A</v>
        <stp/>
        <stp>BDP|11791635883340867554</stp>
        <tr r="H1682" s="2"/>
      </tp>
      <tp t="s">
        <v>#N/A N/A</v>
        <stp/>
        <stp>BDP|13907939015309060851</stp>
        <tr r="D2191" s="2"/>
      </tp>
      <tp t="s">
        <v>#N/A N/A</v>
        <stp/>
        <stp>BDP|10396947218300581209</stp>
        <tr r="H29" s="2"/>
      </tp>
      <tp t="s">
        <v>#N/A N/A</v>
        <stp/>
        <stp>BDP|13033866148237221269</stp>
        <tr r="C4563" s="2"/>
      </tp>
      <tp t="s">
        <v>#N/A N/A</v>
        <stp/>
        <stp>BDP|10142389102298557149</stp>
        <tr r="I4878" s="2"/>
      </tp>
      <tp t="s">
        <v>#N/A N/A</v>
        <stp/>
        <stp>BDP|11900934178085964011</stp>
        <tr r="D1701" s="2"/>
      </tp>
      <tp t="s">
        <v>#N/A N/A</v>
        <stp/>
        <stp>BDP|18067192021752259305</stp>
        <tr r="G1174" s="2"/>
      </tp>
      <tp t="s">
        <v>#N/A N/A</v>
        <stp/>
        <stp>BDP|11746897803626315546</stp>
        <tr r="I3017" s="2"/>
      </tp>
      <tp t="s">
        <v>#N/A N/A</v>
        <stp/>
        <stp>BDP|10707883479515868042</stp>
        <tr r="F552" s="2"/>
      </tp>
      <tp t="s">
        <v>#N/A N/A</v>
        <stp/>
        <stp>BDP|13331898402832290308</stp>
        <tr r="A1176" s="2"/>
      </tp>
      <tp t="s">
        <v>#N/A N/A</v>
        <stp/>
        <stp>BDP|18221833661635234986</stp>
        <tr r="D1326" s="2"/>
      </tp>
      <tp t="s">
        <v>#N/A N/A</v>
        <stp/>
        <stp>BDP|11424663457391965965</stp>
        <tr r="I3373" s="2"/>
      </tp>
      <tp t="s">
        <v>#N/A N/A</v>
        <stp/>
        <stp>BDP|13745084116778347002</stp>
        <tr r="C433" s="2"/>
      </tp>
      <tp t="s">
        <v>#N/A N/A</v>
        <stp/>
        <stp>BDP|15411505515743222890</stp>
        <tr r="F4477" s="2"/>
      </tp>
      <tp t="s">
        <v>#N/A N/A</v>
        <stp/>
        <stp>BDP|10054868012805951670</stp>
        <tr r="A3372" s="2"/>
      </tp>
      <tp t="s">
        <v>#N/A N/A</v>
        <stp/>
        <stp>BDP|18244503117573654597</stp>
        <tr r="A3809" s="2"/>
      </tp>
      <tp t="s">
        <v>#N/A N/A</v>
        <stp/>
        <stp>BDP|14752170129079527467</stp>
        <tr r="G4854" s="2"/>
      </tp>
      <tp t="s">
        <v>#N/A N/A</v>
        <stp/>
        <stp>BDP|12736843938865074618</stp>
        <tr r="D3554" s="2"/>
      </tp>
      <tp t="s">
        <v>#N/A N/A</v>
        <stp/>
        <stp>BDP|10269782079302145884</stp>
        <tr r="G3202" s="2"/>
      </tp>
      <tp t="s">
        <v>#N/A N/A</v>
        <stp/>
        <stp>BDP|10948443080214622210</stp>
        <tr r="H1066" s="2"/>
      </tp>
      <tp t="s">
        <v>#N/A N/A</v>
        <stp/>
        <stp>BDP|14742323399550041461</stp>
        <tr r="F901" s="2"/>
      </tp>
      <tp t="s">
        <v>#N/A N/A</v>
        <stp/>
        <stp>BDP|10323573353752571886</stp>
        <tr r="D4074" s="2"/>
      </tp>
      <tp t="s">
        <v>#N/A N/A</v>
        <stp/>
        <stp>BDP|12981673776859114035</stp>
        <tr r="C1879" s="2"/>
      </tp>
      <tp t="s">
        <v>#N/A N/A</v>
        <stp/>
        <stp>BDP|13713536629977115968</stp>
        <tr r="D2006" s="2"/>
      </tp>
      <tp t="s">
        <v>#N/A N/A</v>
        <stp/>
        <stp>BDP|14474094837155338836</stp>
        <tr r="F1166" s="2"/>
      </tp>
      <tp t="s">
        <v>#N/A N/A</v>
        <stp/>
        <stp>BDP|11148370490812830349</stp>
        <tr r="F588" s="2"/>
      </tp>
      <tp t="s">
        <v>#N/A N/A</v>
        <stp/>
        <stp>BDP|11366696341429148006</stp>
        <tr r="I325" s="2"/>
      </tp>
      <tp t="s">
        <v>#N/A N/A</v>
        <stp/>
        <stp>BDP|17331615906422905974</stp>
        <tr r="B4165" s="2"/>
      </tp>
      <tp t="s">
        <v>#N/A N/A</v>
        <stp/>
        <stp>BDP|17951981979031210203</stp>
        <tr r="C304" s="2"/>
      </tp>
      <tp t="s">
        <v>#N/A N/A</v>
        <stp/>
        <stp>BDP|18178140846251154686</stp>
        <tr r="F1802" s="2"/>
      </tp>
      <tp t="s">
        <v>#N/A N/A</v>
        <stp/>
        <stp>BDP|14041321708424179912</stp>
        <tr r="A2617" s="2"/>
      </tp>
      <tp t="s">
        <v>#N/A N/A</v>
        <stp/>
        <stp>BDP|17315746587396902430</stp>
        <tr r="H4586" s="2"/>
      </tp>
      <tp t="s">
        <v>#N/A N/A</v>
        <stp/>
        <stp>BDP|10970942636956819699</stp>
        <tr r="H3448" s="2"/>
      </tp>
      <tp t="s">
        <v>#N/A N/A</v>
        <stp/>
        <stp>BDP|15733823309527456024</stp>
        <tr r="B1126" s="2"/>
      </tp>
      <tp t="s">
        <v>#N/A N/A</v>
        <stp/>
        <stp>BDP|12964958101554597526</stp>
        <tr r="B4022" s="2"/>
      </tp>
      <tp t="s">
        <v>#N/A N/A</v>
        <stp/>
        <stp>BDP|11421824809823288072</stp>
        <tr r="I3645" s="2"/>
      </tp>
      <tp t="s">
        <v>#N/A N/A</v>
        <stp/>
        <stp>BDP|13993875097261158950</stp>
        <tr r="C1141" s="2"/>
      </tp>
      <tp t="s">
        <v>#N/A N/A</v>
        <stp/>
        <stp>BDP|18399708151944947467</stp>
        <tr r="A4431" s="2"/>
      </tp>
      <tp t="s">
        <v>#N/A N/A</v>
        <stp/>
        <stp>BDP|10849429847083018907</stp>
        <tr r="B1067" s="2"/>
      </tp>
      <tp t="s">
        <v>#N/A N/A</v>
        <stp/>
        <stp>BDP|15852618964097250823</stp>
        <tr r="B4565" s="2"/>
      </tp>
      <tp t="s">
        <v>#N/A N/A</v>
        <stp/>
        <stp>BDP|18168361999721691952</stp>
        <tr r="D647" s="2"/>
      </tp>
      <tp t="s">
        <v>#N/A N/A</v>
        <stp/>
        <stp>BDP|13998763565839583120</stp>
        <tr r="D117" s="2"/>
      </tp>
      <tp t="s">
        <v>#N/A N/A</v>
        <stp/>
        <stp>BDP|12819660480102033439</stp>
        <tr r="F1570" s="2"/>
      </tp>
      <tp t="s">
        <v>#N/A N/A</v>
        <stp/>
        <stp>BDP|17008826055049354999</stp>
        <tr r="H2372" s="2"/>
      </tp>
      <tp t="s">
        <v>#N/A N/A</v>
        <stp/>
        <stp>BDP|12368276147036691883</stp>
        <tr r="G1674" s="2"/>
      </tp>
      <tp t="s">
        <v>#N/A N/A</v>
        <stp/>
        <stp>BDP|13736883347233397661</stp>
        <tr r="B2185" s="2"/>
      </tp>
      <tp t="s">
        <v>#N/A N/A</v>
        <stp/>
        <stp>BDP|16263541669847462863</stp>
        <tr r="G3647" s="2"/>
      </tp>
      <tp t="s">
        <v>#N/A N/A</v>
        <stp/>
        <stp>BDP|10911702234936452845</stp>
        <tr r="I973" s="2"/>
      </tp>
      <tp t="s">
        <v>#N/A N/A</v>
        <stp/>
        <stp>BDP|13481268690992914061</stp>
        <tr r="H409" s="2"/>
      </tp>
      <tp t="s">
        <v>#N/A N/A</v>
        <stp/>
        <stp>BDP|15605981071622190337</stp>
        <tr r="D2871" s="2"/>
      </tp>
      <tp t="s">
        <v>#N/A N/A</v>
        <stp/>
        <stp>BDP|11318699800488778502</stp>
        <tr r="H931" s="2"/>
      </tp>
      <tp t="s">
        <v>#N/A N/A</v>
        <stp/>
        <stp>BDP|18091358655405545188</stp>
        <tr r="F4239" s="2"/>
      </tp>
      <tp t="s">
        <v>#N/A N/A</v>
        <stp/>
        <stp>BDP|14580821904146617081</stp>
        <tr r="G148" s="2"/>
      </tp>
      <tp t="s">
        <v>#N/A N/A</v>
        <stp/>
        <stp>BDP|17406673315519309389</stp>
        <tr r="H1704" s="2"/>
      </tp>
      <tp t="s">
        <v>#N/A N/A</v>
        <stp/>
        <stp>BDP|10214233796407385691</stp>
        <tr r="C3732" s="2"/>
      </tp>
      <tp t="s">
        <v>#N/A N/A</v>
        <stp/>
        <stp>BDP|17074812825352808519</stp>
        <tr r="G2896" s="2"/>
      </tp>
      <tp t="s">
        <v>#N/A N/A</v>
        <stp/>
        <stp>BDP|13745699188505904227</stp>
        <tr r="H4870" s="2"/>
      </tp>
      <tp t="s">
        <v>#N/A N/A</v>
        <stp/>
        <stp>BDP|15948964538951364491</stp>
        <tr r="H188" s="2"/>
      </tp>
      <tp t="s">
        <v>#N/A N/A</v>
        <stp/>
        <stp>BDP|10313065790121889203</stp>
        <tr r="G3744" s="2"/>
      </tp>
      <tp t="s">
        <v>#N/A N/A</v>
        <stp/>
        <stp>BDP|15120246766483797897</stp>
        <tr r="B3204" s="2"/>
      </tp>
      <tp t="s">
        <v>#N/A N/A</v>
        <stp/>
        <stp>BDP|13751996654954239157</stp>
        <tr r="D2326" s="2"/>
      </tp>
      <tp t="s">
        <v>#N/A N/A</v>
        <stp/>
        <stp>BDP|17345312081456897065</stp>
        <tr r="G495" s="2"/>
      </tp>
      <tp t="s">
        <v>#N/A N/A</v>
        <stp/>
        <stp>BDP|10123252140228986404</stp>
        <tr r="I533" s="2"/>
      </tp>
      <tp t="s">
        <v>#N/A N/A</v>
        <stp/>
        <stp>BDP|13302799582736424012</stp>
        <tr r="A855" s="2"/>
      </tp>
      <tp t="s">
        <v>#N/A N/A</v>
        <stp/>
        <stp>BDP|16588082554821566819</stp>
        <tr r="G3724" s="2"/>
      </tp>
      <tp t="s">
        <v>#N/A N/A</v>
        <stp/>
        <stp>BDP|16103791851798136658</stp>
        <tr r="A1002" s="2"/>
      </tp>
      <tp t="s">
        <v>#N/A N/A</v>
        <stp/>
        <stp>BDP|13916010659545812948</stp>
        <tr r="F3852" s="2"/>
      </tp>
      <tp t="s">
        <v>#N/A N/A</v>
        <stp/>
        <stp>BDP|10501924257480445698</stp>
        <tr r="D2103" s="2"/>
      </tp>
      <tp t="s">
        <v>#N/A N/A</v>
        <stp/>
        <stp>BDP|13426053328948318375</stp>
        <tr r="C3042" s="2"/>
      </tp>
      <tp t="s">
        <v>#N/A N/A</v>
        <stp/>
        <stp>BDP|18352184829574619599</stp>
        <tr r="I466" s="2"/>
      </tp>
      <tp t="s">
        <v>#N/A N/A</v>
        <stp/>
        <stp>BDP|15042823873719972954</stp>
        <tr r="D499" s="2"/>
      </tp>
      <tp t="s">
        <v>#N/A N/A</v>
        <stp/>
        <stp>BDP|10052603421347418987</stp>
        <tr r="A3119" s="2"/>
      </tp>
      <tp t="s">
        <v>#N/A N/A</v>
        <stp/>
        <stp>BDP|16810895505382918605</stp>
        <tr r="A3140" s="2"/>
      </tp>
      <tp t="s">
        <v>#N/A N/A</v>
        <stp/>
        <stp>BDP|15927597513872885966</stp>
        <tr r="I4020" s="2"/>
      </tp>
      <tp t="s">
        <v>#N/A N/A</v>
        <stp/>
        <stp>BDP|15672872288087160851</stp>
        <tr r="I1791" s="2"/>
      </tp>
      <tp t="s">
        <v>#N/A N/A</v>
        <stp/>
        <stp>BDP|10818711548568951152</stp>
        <tr r="D4420" s="2"/>
      </tp>
      <tp t="s">
        <v>#N/A N/A</v>
        <stp/>
        <stp>BDP|10154754701199179495</stp>
        <tr r="G1152" s="2"/>
      </tp>
      <tp t="s">
        <v>#N/A N/A</v>
        <stp/>
        <stp>BDP|16437806469281438345</stp>
        <tr r="G4073" s="2"/>
      </tp>
      <tp t="s">
        <v>#N/A N/A</v>
        <stp/>
        <stp>BDP|11131984503940297257</stp>
        <tr r="A652" s="2"/>
      </tp>
      <tp t="s">
        <v>#N/A N/A</v>
        <stp/>
        <stp>BDP|17012755199161459257</stp>
        <tr r="F2681" s="2"/>
      </tp>
      <tp t="s">
        <v>#N/A N/A</v>
        <stp/>
        <stp>BDP|18429208729987158511</stp>
        <tr r="C306" s="2"/>
      </tp>
      <tp t="s">
        <v>#N/A N/A</v>
        <stp/>
        <stp>BDP|10922703981625280078</stp>
        <tr r="F4803" s="2"/>
      </tp>
      <tp t="s">
        <v>#N/A N/A</v>
        <stp/>
        <stp>BDP|11512910247745647385</stp>
        <tr r="H429" s="2"/>
      </tp>
      <tp t="s">
        <v>#N/A N/A</v>
        <stp/>
        <stp>BDP|13873802554175033110</stp>
        <tr r="F4219" s="2"/>
      </tp>
      <tp t="s">
        <v>#N/A N/A</v>
        <stp/>
        <stp>BDP|14503765398111559137</stp>
        <tr r="F1741" s="2"/>
      </tp>
      <tp t="s">
        <v>#N/A N/A</v>
        <stp/>
        <stp>BDP|18362301378126252045</stp>
        <tr r="B1848" s="2"/>
      </tp>
      <tp t="s">
        <v>#N/A N/A</v>
        <stp/>
        <stp>BDP|17551910439833786473</stp>
        <tr r="D345" s="2"/>
      </tp>
      <tp t="s">
        <v>#N/A N/A</v>
        <stp/>
        <stp>BDP|11657380343205349936</stp>
        <tr r="I3350" s="2"/>
      </tp>
      <tp t="s">
        <v>#N/A N/A</v>
        <stp/>
        <stp>BDP|10146435719606315953</stp>
        <tr r="I4227" s="2"/>
      </tp>
      <tp t="s">
        <v>#N/A N/A</v>
        <stp/>
        <stp>BDP|13326089915210795844</stp>
        <tr r="H1548" s="2"/>
      </tp>
      <tp t="s">
        <v>#N/A N/A</v>
        <stp/>
        <stp>BDP|16044008936407288894</stp>
        <tr r="A2594" s="2"/>
      </tp>
      <tp t="s">
        <v>#N/A N/A</v>
        <stp/>
        <stp>BDP|15299235809549793424</stp>
        <tr r="D4600" s="2"/>
      </tp>
      <tp t="s">
        <v>#N/A N/A</v>
        <stp/>
        <stp>BDP|12399180486956279723</stp>
        <tr r="D1454" s="2"/>
      </tp>
      <tp t="s">
        <v>#N/A N/A</v>
        <stp/>
        <stp>BDP|17572939703403959704</stp>
        <tr r="B412" s="2"/>
      </tp>
      <tp t="s">
        <v>#N/A N/A</v>
        <stp/>
        <stp>BDP|17357608988577150467</stp>
        <tr r="C119" s="2"/>
      </tp>
      <tp t="s">
        <v>#N/A N/A</v>
        <stp/>
        <stp>BDP|10902311780467668629</stp>
        <tr r="F4688" s="2"/>
      </tp>
      <tp t="s">
        <v>#N/A N/A</v>
        <stp/>
        <stp>BDP|16517899559249823812</stp>
        <tr r="A1368" s="2"/>
      </tp>
      <tp t="s">
        <v>#N/A N/A</v>
        <stp/>
        <stp>BDP|17012189535919722669</stp>
        <tr r="D123" s="2"/>
      </tp>
      <tp t="s">
        <v>#N/A N/A</v>
        <stp/>
        <stp>BDP|10752890176840735534</stp>
        <tr r="C3855" s="2"/>
      </tp>
      <tp t="s">
        <v>#N/A N/A</v>
        <stp/>
        <stp>BDP|18091215557551286488</stp>
        <tr r="H1533" s="2"/>
      </tp>
      <tp t="s">
        <v>#N/A N/A</v>
        <stp/>
        <stp>BDP|14124389485316030302</stp>
        <tr r="B3308" s="2"/>
      </tp>
      <tp t="s">
        <v>#N/A N/A</v>
        <stp/>
        <stp>BDP|10328080494233213019</stp>
        <tr r="F4146" s="2"/>
      </tp>
      <tp t="s">
        <v>#N/A N/A</v>
        <stp/>
        <stp>BDP|17820996801802442687</stp>
        <tr r="D2256" s="2"/>
      </tp>
      <tp t="s">
        <v>#N/A N/A</v>
        <stp/>
        <stp>BDP|15871210003865415821</stp>
        <tr r="I3991" s="2"/>
      </tp>
      <tp t="s">
        <v>#N/A N/A</v>
        <stp/>
        <stp>BDP|12253319279664638807</stp>
        <tr r="A388" s="2"/>
      </tp>
      <tp t="s">
        <v>#N/A N/A</v>
        <stp/>
        <stp>BDP|13313640838234359808</stp>
        <tr r="A1768" s="2"/>
      </tp>
      <tp t="s">
        <v>#N/A N/A</v>
        <stp/>
        <stp>BDP|16898889874675895601</stp>
        <tr r="B1704" s="2"/>
      </tp>
      <tp t="s">
        <v>#N/A N/A</v>
        <stp/>
        <stp>BDP|10242054658006659958</stp>
        <tr r="D1522" s="2"/>
      </tp>
      <tp t="s">
        <v>#N/A N/A</v>
        <stp/>
        <stp>BDP|12508869218243343242</stp>
        <tr r="G603" s="2"/>
      </tp>
      <tp t="s">
        <v>#N/A N/A</v>
        <stp/>
        <stp>BDP|14670956186628138789</stp>
        <tr r="A3842" s="2"/>
      </tp>
      <tp t="s">
        <v>#N/A N/A</v>
        <stp/>
        <stp>BDP|18400738555148904874</stp>
        <tr r="A1456" s="2"/>
      </tp>
      <tp t="s">
        <v>#N/A N/A</v>
        <stp/>
        <stp>BDP|16954629087575273723</stp>
        <tr r="C1277" s="2"/>
      </tp>
      <tp t="s">
        <v>#N/A N/A</v>
        <stp/>
        <stp>BDP|10546342087920876124</stp>
        <tr r="B160" s="2"/>
      </tp>
      <tp t="s">
        <v>#N/A N/A</v>
        <stp/>
        <stp>BDP|13202853218414433478</stp>
        <tr r="I72" s="2"/>
      </tp>
      <tp t="s">
        <v>#N/A N/A</v>
        <stp/>
        <stp>BDP|14321079680883972517</stp>
        <tr r="I2267" s="2"/>
      </tp>
      <tp t="s">
        <v>#N/A N/A</v>
        <stp/>
        <stp>BDP|14213871585488975650</stp>
        <tr r="I310" s="2"/>
      </tp>
      <tp t="s">
        <v>#N/A N/A</v>
        <stp/>
        <stp>BDP|12977968462631734669</stp>
        <tr r="B181" s="2"/>
      </tp>
      <tp t="s">
        <v>#N/A N/A</v>
        <stp/>
        <stp>BDP|17070291776698058036</stp>
        <tr r="I2590" s="2"/>
      </tp>
      <tp t="s">
        <v>#N/A N/A</v>
        <stp/>
        <stp>BDP|16878874754470078173</stp>
        <tr r="G2477" s="2"/>
      </tp>
      <tp t="s">
        <v>#N/A N/A</v>
        <stp/>
        <stp>BDP|10915653183517108325</stp>
        <tr r="D3833" s="2"/>
      </tp>
      <tp t="s">
        <v>#N/A N/A</v>
        <stp/>
        <stp>BDP|15049386272043438823</stp>
        <tr r="B2729" s="2"/>
      </tp>
      <tp t="s">
        <v>#N/A N/A</v>
        <stp/>
        <stp>BDP|12036622611576871971</stp>
        <tr r="G1091" s="2"/>
      </tp>
      <tp t="s">
        <v>#N/A N/A</v>
        <stp/>
        <stp>BDP|12955011009009468192</stp>
        <tr r="F355" s="2"/>
      </tp>
      <tp t="s">
        <v>#N/A N/A</v>
        <stp/>
        <stp>BDP|16077213780116839056</stp>
        <tr r="C2089" s="2"/>
      </tp>
      <tp t="s">
        <v>#N/A N/A</v>
        <stp/>
        <stp>BDP|11721046845909242689</stp>
        <tr r="H752" s="2"/>
      </tp>
      <tp t="s">
        <v>#N/A N/A</v>
        <stp/>
        <stp>BDP|16171273346608507292</stp>
        <tr r="D2795" s="2"/>
      </tp>
      <tp t="s">
        <v>#N/A N/A</v>
        <stp/>
        <stp>BDP|16833532533648644223</stp>
        <tr r="A997" s="2"/>
      </tp>
      <tp t="s">
        <v>#N/A N/A</v>
        <stp/>
        <stp>BDP|15301873043490949323</stp>
        <tr r="F1033" s="2"/>
      </tp>
      <tp t="s">
        <v>#N/A N/A</v>
        <stp/>
        <stp>BDP|16912222977941544859</stp>
        <tr r="A3281" s="2"/>
      </tp>
      <tp t="s">
        <v>#N/A N/A</v>
        <stp/>
        <stp>BDP|17149860925302677587</stp>
        <tr r="C4258" s="2"/>
      </tp>
      <tp t="s">
        <v>#N/A N/A</v>
        <stp/>
        <stp>BDP|16816950929484847306</stp>
        <tr r="D2729" s="2"/>
      </tp>
      <tp t="s">
        <v>#N/A N/A</v>
        <stp/>
        <stp>BDP|15563690955619558502</stp>
        <tr r="B2152" s="2"/>
      </tp>
      <tp t="s">
        <v>#N/A N/A</v>
        <stp/>
        <stp>BDP|17481706257409790684</stp>
        <tr r="I89" s="2"/>
      </tp>
      <tp t="s">
        <v>#N/A N/A</v>
        <stp/>
        <stp>BDP|16821842668987090586</stp>
        <tr r="G1725" s="2"/>
      </tp>
      <tp t="s">
        <v>#N/A N/A</v>
        <stp/>
        <stp>BDP|15598978427645810110</stp>
        <tr r="B2226" s="2"/>
      </tp>
      <tp t="s">
        <v>#N/A N/A</v>
        <stp/>
        <stp>BDP|13854016665607364835</stp>
        <tr r="D3803" s="2"/>
      </tp>
      <tp t="s">
        <v>#N/A N/A</v>
        <stp/>
        <stp>BDP|12213976043790969530</stp>
        <tr r="G2578" s="2"/>
      </tp>
      <tp t="s">
        <v>#N/A N/A</v>
        <stp/>
        <stp>BDP|13144411001394570984</stp>
        <tr r="F4567" s="2"/>
      </tp>
      <tp t="s">
        <v>#N/A N/A</v>
        <stp/>
        <stp>BDP|10769312032609067381</stp>
        <tr r="B2533" s="2"/>
      </tp>
      <tp t="s">
        <v>#N/A N/A</v>
        <stp/>
        <stp>BDP|11801325990042285348</stp>
        <tr r="D1974" s="2"/>
      </tp>
      <tp t="s">
        <v>#N/A N/A</v>
        <stp/>
        <stp>BDP|17885648260979157419</stp>
        <tr r="F1481" s="2"/>
      </tp>
      <tp t="s">
        <v>#N/A N/A</v>
        <stp/>
        <stp>BDP|16100386205526606966</stp>
        <tr r="I867" s="2"/>
      </tp>
      <tp t="s">
        <v>#N/A N/A</v>
        <stp/>
        <stp>BDP|16266416586103902304</stp>
        <tr r="I3433" s="2"/>
      </tp>
      <tp t="s">
        <v>#N/A N/A</v>
        <stp/>
        <stp>BDP|15050405771905557989</stp>
        <tr r="C3457" s="2"/>
      </tp>
      <tp t="s">
        <v>#N/A N/A</v>
        <stp/>
        <stp>BDP|11651540514156233983</stp>
        <tr r="H523" s="2"/>
      </tp>
      <tp t="s">
        <v>#N/A N/A</v>
        <stp/>
        <stp>BDP|11287915418622240164</stp>
        <tr r="C4914" s="2"/>
      </tp>
      <tp t="s">
        <v>#N/A N/A</v>
        <stp/>
        <stp>BDP|14319054060880070891</stp>
        <tr r="A4388" s="2"/>
      </tp>
      <tp t="s">
        <v>#N/A N/A</v>
        <stp/>
        <stp>BDP|18439528908051896699</stp>
        <tr r="A4496" s="2"/>
      </tp>
      <tp t="s">
        <v>#N/A N/A</v>
        <stp/>
        <stp>BDP|10970208801650540824</stp>
        <tr r="I318" s="2"/>
      </tp>
      <tp t="s">
        <v>#N/A N/A</v>
        <stp/>
        <stp>BDP|13476935963893365585</stp>
        <tr r="A4104" s="2"/>
      </tp>
      <tp t="s">
        <v>#N/A N/A</v>
        <stp/>
        <stp>BDP|11275637628186403929</stp>
        <tr r="A1381" s="2"/>
      </tp>
      <tp t="s">
        <v>#N/A N/A</v>
        <stp/>
        <stp>BDP|11050595551998378346</stp>
        <tr r="D4541" s="2"/>
      </tp>
      <tp t="s">
        <v>#N/A N/A</v>
        <stp/>
        <stp>BDP|10844903381139083266</stp>
        <tr r="C43" s="2"/>
      </tp>
      <tp t="s">
        <v>#N/A N/A</v>
        <stp/>
        <stp>BDP|14884860976160528123</stp>
        <tr r="G993" s="2"/>
      </tp>
      <tp t="s">
        <v>#N/A N/A</v>
        <stp/>
        <stp>BDP|17865752691030052339</stp>
        <tr r="F2699" s="2"/>
      </tp>
      <tp t="s">
        <v>#N/A N/A</v>
        <stp/>
        <stp>BDP|15224566278399513469</stp>
        <tr r="D4941" s="2"/>
      </tp>
      <tp t="s">
        <v>#N/A N/A</v>
        <stp/>
        <stp>BDP|13860265904049744228</stp>
        <tr r="B1956" s="2"/>
      </tp>
      <tp t="s">
        <v>#N/A N/A</v>
        <stp/>
        <stp>BDP|13901527096797762259</stp>
        <tr r="B3962" s="2"/>
      </tp>
      <tp t="s">
        <v>#N/A N/A</v>
        <stp/>
        <stp>BDP|15929605026292796973</stp>
        <tr r="F3431" s="2"/>
      </tp>
      <tp t="s">
        <v>#N/A N/A</v>
        <stp/>
        <stp>BDP|17690812678936296424</stp>
        <tr r="F3882" s="2"/>
      </tp>
      <tp t="s">
        <v>#N/A N/A</v>
        <stp/>
        <stp>BDP|12320800616461284080</stp>
        <tr r="H4733" s="2"/>
      </tp>
      <tp t="s">
        <v>#N/A N/A</v>
        <stp/>
        <stp>BDP|11978188186170166295</stp>
        <tr r="A295" s="2"/>
      </tp>
      <tp t="s">
        <v>#N/A N/A</v>
        <stp/>
        <stp>BDP|17799243659239016354</stp>
        <tr r="C3015" s="2"/>
      </tp>
      <tp t="s">
        <v>#N/A N/A</v>
        <stp/>
        <stp>BDP|13991153047728155455</stp>
        <tr r="B3851" s="2"/>
      </tp>
      <tp t="s">
        <v>#N/A N/A</v>
        <stp/>
        <stp>BDP|11984835033552612204</stp>
        <tr r="D2092" s="2"/>
      </tp>
      <tp t="s">
        <v>#N/A N/A</v>
        <stp/>
        <stp>BDP|13217860929146355519</stp>
        <tr r="G3573" s="2"/>
      </tp>
      <tp t="s">
        <v>#N/A N/A</v>
        <stp/>
        <stp>BDP|13650880404827208671</stp>
        <tr r="D980" s="2"/>
      </tp>
      <tp t="s">
        <v>#N/A N/A</v>
        <stp/>
        <stp>BDP|11888198419872022976</stp>
        <tr r="C1661" s="2"/>
      </tp>
      <tp t="s">
        <v>#N/A N/A</v>
        <stp/>
        <stp>BDP|11514837897943942977</stp>
        <tr r="B4060" s="2"/>
      </tp>
      <tp t="s">
        <v>#N/A N/A</v>
        <stp/>
        <stp>BDP|13169666780220868708</stp>
        <tr r="C4210" s="2"/>
      </tp>
      <tp t="s">
        <v>#N/A N/A</v>
        <stp/>
        <stp>BDP|12273598477462730844</stp>
        <tr r="H956" s="2"/>
      </tp>
      <tp t="s">
        <v>#N/A N/A</v>
        <stp/>
        <stp>BDP|16920968621034315327</stp>
        <tr r="D32" s="2"/>
      </tp>
      <tp t="s">
        <v>#N/A N/A</v>
        <stp/>
        <stp>BDP|16556697122449780162</stp>
        <tr r="A2919" s="2"/>
      </tp>
      <tp t="s">
        <v>#N/A N/A</v>
        <stp/>
        <stp>BDP|14068620108169472113</stp>
        <tr r="B1518" s="2"/>
      </tp>
      <tp t="s">
        <v>#N/A N/A</v>
        <stp/>
        <stp>BDP|16037853745806825679</stp>
        <tr r="G2413" s="2"/>
      </tp>
      <tp t="s">
        <v>#N/A N/A</v>
        <stp/>
        <stp>BDP|13215803688839102049</stp>
        <tr r="B2437" s="2"/>
      </tp>
      <tp t="s">
        <v>#N/A N/A</v>
        <stp/>
        <stp>BDP|14432802914645733286</stp>
        <tr r="D2997" s="2"/>
      </tp>
      <tp t="s">
        <v>#N/A N/A</v>
        <stp/>
        <stp>BDP|18301744098465119913</stp>
        <tr r="D2600" s="2"/>
      </tp>
      <tp t="s">
        <v>#N/A N/A</v>
        <stp/>
        <stp>BDP|10651587367790316955</stp>
        <tr r="I1379" s="2"/>
      </tp>
      <tp t="s">
        <v>#N/A N/A</v>
        <stp/>
        <stp>BDP|13478405092337944304</stp>
        <tr r="F204" s="2"/>
      </tp>
      <tp t="s">
        <v>#N/A N/A</v>
        <stp/>
        <stp>BDP|13590312393817858407</stp>
        <tr r="B1275" s="2"/>
      </tp>
      <tp t="s">
        <v>#N/A N/A</v>
        <stp/>
        <stp>BDP|10915046647317436916</stp>
        <tr r="F2081" s="2"/>
      </tp>
      <tp t="s">
        <v>#N/A N/A</v>
        <stp/>
        <stp>BDP|15535576661958552498</stp>
        <tr r="G4719" s="2"/>
      </tp>
      <tp t="s">
        <v>#N/A N/A</v>
        <stp/>
        <stp>BDP|13443008442484119988</stp>
        <tr r="A2172" s="2"/>
      </tp>
      <tp t="s">
        <v>#N/A N/A</v>
        <stp/>
        <stp>BDP|11693083377505363958</stp>
        <tr r="H3321" s="2"/>
      </tp>
      <tp t="s">
        <v>#N/A N/A</v>
        <stp/>
        <stp>BDP|16490924826881743680</stp>
        <tr r="F3513" s="2"/>
      </tp>
      <tp t="s">
        <v>#N/A N/A</v>
        <stp/>
        <stp>BDP|10989609572229574214</stp>
        <tr r="D1959" s="2"/>
      </tp>
      <tp t="s">
        <v>#N/A N/A</v>
        <stp/>
        <stp>BDP|12801199349854787909</stp>
        <tr r="I4507" s="2"/>
      </tp>
      <tp t="s">
        <v>#N/A N/A</v>
        <stp/>
        <stp>BDP|16768376669169464020</stp>
        <tr r="D1908" s="2"/>
      </tp>
      <tp t="s">
        <v>#N/A N/A</v>
        <stp/>
        <stp>BDP|14066262599743718675</stp>
        <tr r="A2581" s="2"/>
      </tp>
      <tp t="s">
        <v>#N/A N/A</v>
        <stp/>
        <stp>BDP|10565896237392016345</stp>
        <tr r="B3467" s="2"/>
      </tp>
      <tp t="s">
        <v>#N/A N/A</v>
        <stp/>
        <stp>BDP|17256327694423956424</stp>
        <tr r="I3597" s="2"/>
      </tp>
      <tp t="s">
        <v>#N/A N/A</v>
        <stp/>
        <stp>BDP|17446881351256527672</stp>
        <tr r="I4416" s="2"/>
      </tp>
      <tp t="s">
        <v>#N/A N/A</v>
        <stp/>
        <stp>BDP|17996385088343383550</stp>
        <tr r="G4199" s="2"/>
      </tp>
      <tp t="s">
        <v>#N/A N/A</v>
        <stp/>
        <stp>BDP|11129875609757077401</stp>
        <tr r="A1286" s="2"/>
      </tp>
      <tp t="s">
        <v>#N/A N/A</v>
        <stp/>
        <stp>BDP|11470575194551989619</stp>
        <tr r="D382" s="2"/>
      </tp>
      <tp t="s">
        <v>#N/A N/A</v>
        <stp/>
        <stp>BDP|11328231638453430932</stp>
        <tr r="B3685" s="2"/>
      </tp>
      <tp t="s">
        <v>#N/A N/A</v>
        <stp/>
        <stp>BDP|15272566495041979270</stp>
        <tr r="A2389" s="2"/>
      </tp>
      <tp t="s">
        <v>#N/A N/A</v>
        <stp/>
        <stp>BDP|17386366524564680885</stp>
        <tr r="G716" s="2"/>
      </tp>
      <tp t="s">
        <v>#N/A N/A</v>
        <stp/>
        <stp>BDP|14841856372872242328</stp>
        <tr r="B1634" s="2"/>
      </tp>
      <tp t="s">
        <v>#N/A N/A</v>
        <stp/>
        <stp>BDP|15878770351769033416</stp>
        <tr r="G4327" s="2"/>
      </tp>
      <tp t="s">
        <v>#N/A N/A</v>
        <stp/>
        <stp>BDP|11593289487065028457</stp>
        <tr r="B1872" s="2"/>
      </tp>
      <tp t="s">
        <v>#N/A N/A</v>
        <stp/>
        <stp>BDP|10566796087941153459</stp>
        <tr r="C3405" s="2"/>
      </tp>
      <tp t="s">
        <v>#N/A N/A</v>
        <stp/>
        <stp>BDP|11119686090586132274</stp>
        <tr r="D7" s="2"/>
      </tp>
      <tp t="s">
        <v>#N/A N/A</v>
        <stp/>
        <stp>BDP|18179274591469058087</stp>
        <tr r="G174" s="2"/>
      </tp>
      <tp t="s">
        <v>#N/A N/A</v>
        <stp/>
        <stp>BDP|13937056864576702904</stp>
        <tr r="I4515" s="2"/>
      </tp>
      <tp t="s">
        <v>#N/A N/A</v>
        <stp/>
        <stp>BDP|13648354542499662786</stp>
        <tr r="B3566" s="2"/>
      </tp>
      <tp t="s">
        <v>#N/A N/A</v>
        <stp/>
        <stp>BDP|10406810265423885778</stp>
        <tr r="C3661" s="2"/>
      </tp>
      <tp t="s">
        <v>#N/A N/A</v>
        <stp/>
        <stp>BDP|14072754518099513169</stp>
        <tr r="B644" s="2"/>
      </tp>
      <tp t="s">
        <v>#N/A N/A</v>
        <stp/>
        <stp>BDP|11834277039828809207</stp>
        <tr r="C995" s="2"/>
      </tp>
      <tp t="s">
        <v>#N/A N/A</v>
        <stp/>
        <stp>BDP|17607961638181180673</stp>
        <tr r="D297" s="2"/>
      </tp>
      <tp t="s">
        <v>#N/A N/A</v>
        <stp/>
        <stp>BDP|17781383623864188830</stp>
        <tr r="G2301" s="2"/>
      </tp>
      <tp t="s">
        <v>#N/A N/A</v>
        <stp/>
        <stp>BDP|10206521673468961048</stp>
        <tr r="G1991" s="2"/>
      </tp>
      <tp t="s">
        <v>#N/A N/A</v>
        <stp/>
        <stp>BDP|12027299103992119858</stp>
        <tr r="D4194" s="2"/>
      </tp>
      <tp t="s">
        <v>#N/A N/A</v>
        <stp/>
        <stp>BDP|12287744189706435153</stp>
        <tr r="H617" s="2"/>
      </tp>
      <tp t="s">
        <v>#N/A N/A</v>
        <stp/>
        <stp>BDP|15573379366453987939</stp>
        <tr r="D2226" s="2"/>
      </tp>
      <tp t="s">
        <v>#N/A N/A</v>
        <stp/>
        <stp>BDP|14095445885355727787</stp>
        <tr r="G3443" s="2"/>
      </tp>
      <tp t="s">
        <v>#N/A N/A</v>
        <stp/>
        <stp>BDP|14655427331611380886</stp>
        <tr r="C2793" s="2"/>
      </tp>
      <tp t="s">
        <v>#N/A N/A</v>
        <stp/>
        <stp>BDP|11564569547079327397</stp>
        <tr r="F3061" s="2"/>
      </tp>
      <tp t="s">
        <v>#N/A N/A</v>
        <stp/>
        <stp>BDP|15211318113594607985</stp>
        <tr r="G2776" s="2"/>
      </tp>
      <tp t="s">
        <v>#N/A N/A</v>
        <stp/>
        <stp>BDP|10712239746378546496</stp>
        <tr r="B4046" s="2"/>
      </tp>
      <tp t="s">
        <v>#N/A N/A</v>
        <stp/>
        <stp>BDP|12082932889031648827</stp>
        <tr r="D2082" s="2"/>
      </tp>
      <tp t="s">
        <v>#N/A N/A</v>
        <stp/>
        <stp>BDP|13219475187555411088</stp>
        <tr r="G1131" s="2"/>
      </tp>
      <tp t="s">
        <v>#N/A N/A</v>
        <stp/>
        <stp>BDP|13755714643062319888</stp>
        <tr r="I4033" s="2"/>
      </tp>
      <tp t="s">
        <v>#N/A N/A</v>
        <stp/>
        <stp>BDP|11081897966534805195</stp>
        <tr r="D1929" s="2"/>
      </tp>
      <tp t="s">
        <v>#N/A N/A</v>
        <stp/>
        <stp>BDP|10634508585354573380</stp>
        <tr r="F1721" s="2"/>
      </tp>
      <tp t="s">
        <v>#N/A N/A</v>
        <stp/>
        <stp>BDP|10921470629548811419</stp>
        <tr r="B4393" s="2"/>
      </tp>
      <tp t="s">
        <v>#N/A N/A</v>
        <stp/>
        <stp>BDP|13629144281818808851</stp>
        <tr r="A689" s="2"/>
      </tp>
      <tp t="s">
        <v>#N/A N/A</v>
        <stp/>
        <stp>BDP|15186032392347853163</stp>
        <tr r="H799" s="2"/>
      </tp>
      <tp t="s">
        <v>#N/A N/A</v>
        <stp/>
        <stp>BDP|16937539551478787429</stp>
        <tr r="I2957" s="2"/>
      </tp>
      <tp t="s">
        <v>#N/A N/A</v>
        <stp/>
        <stp>BDP|12189680289607633183</stp>
        <tr r="G1589" s="2"/>
      </tp>
      <tp t="s">
        <v>#N/A N/A</v>
        <stp/>
        <stp>BDP|11050383276229132619</stp>
        <tr r="C833" s="2"/>
      </tp>
      <tp t="s">
        <v>#N/A N/A</v>
        <stp/>
        <stp>BDP|13025281391086665418</stp>
        <tr r="G4412" s="2"/>
      </tp>
      <tp t="s">
        <v>#N/A N/A</v>
        <stp/>
        <stp>BDP|13181666066310604990</stp>
        <tr r="D4724" s="2"/>
      </tp>
      <tp t="s">
        <v>#N/A N/A</v>
        <stp/>
        <stp>BDP|14378661127852418882</stp>
        <tr r="F1639" s="2"/>
      </tp>
      <tp t="s">
        <v>#N/A N/A</v>
        <stp/>
        <stp>BDP|15792192459758018391</stp>
        <tr r="G602" s="2"/>
      </tp>
      <tp t="s">
        <v>#N/A N/A</v>
        <stp/>
        <stp>BDP|16184862369952969099</stp>
        <tr r="C2715" s="2"/>
      </tp>
      <tp t="s">
        <v>#N/A N/A</v>
        <stp/>
        <stp>BDP|16482860923125733386</stp>
        <tr r="C2047" s="2"/>
      </tp>
      <tp t="s">
        <v>#N/A N/A</v>
        <stp/>
        <stp>BDP|13807636114828434651</stp>
        <tr r="C2801" s="2"/>
      </tp>
      <tp t="s">
        <v>#N/A N/A</v>
        <stp/>
        <stp>BDP|11694096164159173445</stp>
        <tr r="F1628" s="2"/>
      </tp>
      <tp t="s">
        <v>#N/A N/A</v>
        <stp/>
        <stp>BDP|17663586226789413325</stp>
        <tr r="A4759" s="2"/>
      </tp>
      <tp t="s">
        <v>#N/A N/A</v>
        <stp/>
        <stp>BDP|18416858461435680986</stp>
        <tr r="I3920" s="2"/>
      </tp>
      <tp t="s">
        <v>#N/A N/A</v>
        <stp/>
        <stp>BDP|14422127785425437291</stp>
        <tr r="F3426" s="2"/>
      </tp>
      <tp t="s">
        <v>#N/A N/A</v>
        <stp/>
        <stp>BDP|14586728295229945955</stp>
        <tr r="F3579" s="2"/>
      </tp>
      <tp t="s">
        <v>#N/A N/A</v>
        <stp/>
        <stp>BDP|14565401103469099388</stp>
        <tr r="A216" s="2"/>
      </tp>
      <tp t="s">
        <v>#N/A N/A</v>
        <stp/>
        <stp>BDP|13852444072693771972</stp>
        <tr r="A4453" s="2"/>
      </tp>
      <tp t="s">
        <v>#N/A N/A</v>
        <stp/>
        <stp>BDP|16034691484313000133</stp>
        <tr r="I2008" s="2"/>
      </tp>
      <tp t="s">
        <v>#N/A N/A</v>
        <stp/>
        <stp>BDP|17235247449288270330</stp>
        <tr r="I744" s="2"/>
      </tp>
      <tp t="s">
        <v>#N/A N/A</v>
        <stp/>
        <stp>BDP|11043179212609939229</stp>
        <tr r="B3699" s="2"/>
      </tp>
      <tp t="s">
        <v>#N/A N/A</v>
        <stp/>
        <stp>BDP|12544875928094680628</stp>
        <tr r="G3166" s="2"/>
      </tp>
      <tp t="s">
        <v>#N/A N/A</v>
        <stp/>
        <stp>BDP|14366376289137093239</stp>
        <tr r="B1742" s="2"/>
      </tp>
      <tp t="s">
        <v>#N/A N/A</v>
        <stp/>
        <stp>BDP|14794277479243483835</stp>
        <tr r="B4297" s="2"/>
      </tp>
      <tp t="s">
        <v>#N/A N/A</v>
        <stp/>
        <stp>BDP|10814326515698189008</stp>
        <tr r="G1424" s="2"/>
      </tp>
      <tp t="s">
        <v>#N/A N/A</v>
        <stp/>
        <stp>BDP|12954540355461782918</stp>
        <tr r="B4000" s="2"/>
      </tp>
      <tp t="s">
        <v>#N/A N/A</v>
        <stp/>
        <stp>BDP|13132800807732014385</stp>
        <tr r="F2540" s="2"/>
      </tp>
      <tp t="s">
        <v>#N/A N/A</v>
        <stp/>
        <stp>BDP|16655955848166287779</stp>
        <tr r="F1212" s="2"/>
      </tp>
      <tp t="s">
        <v>#N/A N/A</v>
        <stp/>
        <stp>BDP|15201030983404531397</stp>
        <tr r="C1199" s="2"/>
      </tp>
      <tp t="s">
        <v>#N/A N/A</v>
        <stp/>
        <stp>BDP|10327850710551822205</stp>
        <tr r="I4933" s="2"/>
      </tp>
      <tp t="s">
        <v>#N/A N/A</v>
        <stp/>
        <stp>BDP|14057357083473106696</stp>
        <tr r="A4306" s="2"/>
      </tp>
      <tp t="s">
        <v>#N/A N/A</v>
        <stp/>
        <stp>BDP|14102599582955593619</stp>
        <tr r="I2904" s="2"/>
      </tp>
      <tp t="s">
        <v>#N/A N/A</v>
        <stp/>
        <stp>BDP|11229710985260906410</stp>
        <tr r="D2772" s="2"/>
      </tp>
      <tp t="s">
        <v>#N/A N/A</v>
        <stp/>
        <stp>BDP|13722265387774978710</stp>
        <tr r="B748" s="2"/>
      </tp>
      <tp t="s">
        <v>#N/A N/A</v>
        <stp/>
        <stp>BDP|13948737656732674945</stp>
        <tr r="B1232" s="2"/>
      </tp>
      <tp t="s">
        <v>#N/A N/A</v>
        <stp/>
        <stp>BDP|10416234287784838467</stp>
        <tr r="B2542" s="2"/>
      </tp>
      <tp t="s">
        <v>#N/A N/A</v>
        <stp/>
        <stp>BDP|17614888292214554878</stp>
        <tr r="H3229" s="2"/>
      </tp>
      <tp t="s">
        <v>#N/A N/A</v>
        <stp/>
        <stp>BDP|15911934784719462740</stp>
        <tr r="A2855" s="2"/>
      </tp>
      <tp t="s">
        <v>#N/A N/A</v>
        <stp/>
        <stp>BDP|10569938679136611285</stp>
        <tr r="H4784" s="2"/>
      </tp>
      <tp t="s">
        <v>#N/A N/A</v>
        <stp/>
        <stp>BDP|18041594008235498240</stp>
        <tr r="H3730" s="2"/>
      </tp>
      <tp t="s">
        <v>#N/A N/A</v>
        <stp/>
        <stp>BDP|18422042745305494301</stp>
        <tr r="D767" s="2"/>
      </tp>
      <tp t="s">
        <v>#N/A N/A</v>
        <stp/>
        <stp>BDP|12086897128947040509</stp>
        <tr r="B1593" s="2"/>
      </tp>
      <tp t="s">
        <v>#N/A N/A</v>
        <stp/>
        <stp>BDP|16219823315236094343</stp>
        <tr r="H518" s="2"/>
      </tp>
      <tp t="s">
        <v>#N/A N/A</v>
        <stp/>
        <stp>BDP|14004870850010093363</stp>
        <tr r="F4263" s="2"/>
      </tp>
      <tp t="s">
        <v>#N/A N/A</v>
        <stp/>
        <stp>BDP|17633166791891834484</stp>
        <tr r="H4159" s="2"/>
      </tp>
      <tp t="s">
        <v>#N/A N/A</v>
        <stp/>
        <stp>BDP|10045354388796845749</stp>
        <tr r="B1094" s="2"/>
      </tp>
      <tp t="s">
        <v>#N/A N/A</v>
        <stp/>
        <stp>BDP|18397368845495492056</stp>
        <tr r="C3041" s="2"/>
      </tp>
      <tp t="s">
        <v>#N/A N/A</v>
        <stp/>
        <stp>BDP|16704446480649433969</stp>
        <tr r="C2887" s="2"/>
      </tp>
      <tp t="s">
        <v>#N/A N/A</v>
        <stp/>
        <stp>BDP|13892732215766920964</stp>
        <tr r="A1533" s="2"/>
      </tp>
      <tp t="s">
        <v>#N/A N/A</v>
        <stp/>
        <stp>BDP|17185164305065721944</stp>
        <tr r="C4484" s="2"/>
      </tp>
      <tp t="s">
        <v>#N/A N/A</v>
        <stp/>
        <stp>BDP|17486283590140936643</stp>
        <tr r="A1439" s="2"/>
      </tp>
      <tp t="s">
        <v>#N/A N/A</v>
        <stp/>
        <stp>BDP|10713065086874319654</stp>
        <tr r="F7" s="2"/>
      </tp>
      <tp t="s">
        <v>#N/A N/A</v>
        <stp/>
        <stp>BDP|11667903147982032406</stp>
        <tr r="H4767" s="2"/>
      </tp>
      <tp t="s">
        <v>#N/A N/A</v>
        <stp/>
        <stp>BDP|16328013063478543258</stp>
        <tr r="B152" s="2"/>
      </tp>
      <tp t="s">
        <v>#N/A N/A</v>
        <stp/>
        <stp>BDP|10051507950303483950</stp>
        <tr r="H500" s="2"/>
      </tp>
      <tp t="s">
        <v>#N/A N/A</v>
        <stp/>
        <stp>BDP|16778351374228543029</stp>
        <tr r="C1766" s="2"/>
      </tp>
      <tp t="s">
        <v>#N/A N/A</v>
        <stp/>
        <stp>BDP|14588891093708659782</stp>
        <tr r="A2971" s="2"/>
      </tp>
      <tp t="s">
        <v>#N/A N/A</v>
        <stp/>
        <stp>BDP|10091977585518738340</stp>
        <tr r="I850" s="2"/>
      </tp>
      <tp t="s">
        <v>#N/A N/A</v>
        <stp/>
        <stp>BDP|16158658765668065405</stp>
        <tr r="B1966" s="2"/>
      </tp>
      <tp t="s">
        <v>#N/A N/A</v>
        <stp/>
        <stp>BDP|14579069390236663142</stp>
        <tr r="H1663" s="2"/>
      </tp>
      <tp t="s">
        <v>#N/A N/A</v>
        <stp/>
        <stp>BDP|17469118201315744926</stp>
        <tr r="A2410" s="2"/>
      </tp>
      <tp t="s">
        <v>#N/A N/A</v>
        <stp/>
        <stp>BDP|10357240886351390130</stp>
        <tr r="A4800" s="2"/>
      </tp>
      <tp t="s">
        <v>#N/A N/A</v>
        <stp/>
        <stp>BDP|11972989377924019179</stp>
        <tr r="A3460" s="2"/>
      </tp>
      <tp t="s">
        <v>#N/A N/A</v>
        <stp/>
        <stp>BDP|17756861647126725708</stp>
        <tr r="F265" s="2"/>
      </tp>
      <tp t="s">
        <v>#N/A N/A</v>
        <stp/>
        <stp>BDP|14909321122576989913</stp>
        <tr r="I2967" s="2"/>
      </tp>
      <tp t="s">
        <v>#N/A N/A</v>
        <stp/>
        <stp>BDP|10070218285996413619</stp>
        <tr r="G2266" s="2"/>
      </tp>
      <tp t="s">
        <v>#N/A N/A</v>
        <stp/>
        <stp>BDP|11356958535552162330</stp>
        <tr r="A1404" s="2"/>
      </tp>
      <tp t="s">
        <v>#N/A N/A</v>
        <stp/>
        <stp>BDP|10364486748963061922</stp>
        <tr r="C744" s="2"/>
      </tp>
      <tp t="s">
        <v>#N/A N/A</v>
        <stp/>
        <stp>BDP|14563113909488542798</stp>
        <tr r="C4942" s="2"/>
      </tp>
      <tp t="s">
        <v>#N/A N/A</v>
        <stp/>
        <stp>BDP|15741725741744291872</stp>
        <tr r="H4110" s="2"/>
      </tp>
      <tp t="s">
        <v>#N/A N/A</v>
        <stp/>
        <stp>BDP|16529631891800432325</stp>
        <tr r="H4920" s="2"/>
      </tp>
      <tp t="s">
        <v>#N/A N/A</v>
        <stp/>
        <stp>BDP|14868406140977030996</stp>
        <tr r="C790" s="2"/>
      </tp>
      <tp t="s">
        <v>#N/A N/A</v>
        <stp/>
        <stp>BDP|17974916866987667592</stp>
        <tr r="A65" s="2"/>
      </tp>
      <tp t="s">
        <v>#N/A N/A</v>
        <stp/>
        <stp>BDP|16526512499229962958</stp>
        <tr r="H2038" s="2"/>
      </tp>
      <tp t="s">
        <v>#N/A N/A</v>
        <stp/>
        <stp>BDP|11756525441893284973</stp>
        <tr r="H3558" s="2"/>
      </tp>
      <tp t="s">
        <v>#N/A N/A</v>
        <stp/>
        <stp>BDP|15989979629702154670</stp>
        <tr r="A4934" s="2"/>
      </tp>
      <tp t="s">
        <v>#N/A N/A</v>
        <stp/>
        <stp>BDP|15625745911379611046</stp>
        <tr r="A2499" s="2"/>
      </tp>
      <tp t="s">
        <v>#N/A N/A</v>
        <stp/>
        <stp>BDP|16672873346010704017</stp>
        <tr r="I4175" s="2"/>
      </tp>
      <tp t="s">
        <v>#N/A N/A</v>
        <stp/>
        <stp>BDP|18117314125532364175</stp>
        <tr r="F3031" s="2"/>
      </tp>
      <tp t="s">
        <v>#N/A N/A</v>
        <stp/>
        <stp>BDP|13123588728837195918</stp>
        <tr r="G3003" s="2"/>
      </tp>
      <tp t="s">
        <v>#N/A N/A</v>
        <stp/>
        <stp>BDP|10054864911262087169</stp>
        <tr r="C2131" s="2"/>
      </tp>
      <tp t="s">
        <v>#N/A N/A</v>
        <stp/>
        <stp>BDP|10829667699393638607</stp>
        <tr r="F1502" s="2"/>
      </tp>
      <tp t="s">
        <v>#N/A N/A</v>
        <stp/>
        <stp>BDP|14953883920607620360</stp>
        <tr r="D3612" s="2"/>
      </tp>
      <tp t="s">
        <v>#N/A N/A</v>
        <stp/>
        <stp>BDP|14210104273611486949</stp>
        <tr r="I629" s="2"/>
      </tp>
      <tp t="s">
        <v>#N/A N/A</v>
        <stp/>
        <stp>BDP|14405821755532325114</stp>
        <tr r="B329" s="2"/>
      </tp>
      <tp t="s">
        <v>#N/A N/A</v>
        <stp/>
        <stp>BDP|16396765158819460780</stp>
        <tr r="H4381" s="2"/>
      </tp>
      <tp t="s">
        <v>#N/A N/A</v>
        <stp/>
        <stp>BDP|10301511085381373654</stp>
        <tr r="A2585" s="2"/>
      </tp>
      <tp t="s">
        <v>#N/A N/A</v>
        <stp/>
        <stp>BDP|17473266097545623327</stp>
        <tr r="G2237" s="2"/>
      </tp>
      <tp t="s">
        <v>#N/A N/A</v>
        <stp/>
        <stp>BDP|15241129844922268873</stp>
        <tr r="C3062" s="2"/>
      </tp>
      <tp t="s">
        <v>#N/A N/A</v>
        <stp/>
        <stp>BDP|16797305945823623856</stp>
        <tr r="A649" s="2"/>
      </tp>
      <tp t="s">
        <v>#N/A N/A</v>
        <stp/>
        <stp>BDP|18398173624184789563</stp>
        <tr r="H4640" s="2"/>
      </tp>
      <tp t="s">
        <v>#N/A N/A</v>
        <stp/>
        <stp>BDP|12864405649768670063</stp>
        <tr r="H1181" s="2"/>
      </tp>
      <tp t="s">
        <v>#N/A N/A</v>
        <stp/>
        <stp>BDP|12155302545878680737</stp>
        <tr r="D3105" s="2"/>
      </tp>
      <tp t="s">
        <v>#N/A N/A</v>
        <stp/>
        <stp>BDP|15815746788554471415</stp>
        <tr r="H417" s="2"/>
      </tp>
      <tp t="s">
        <v>#N/A N/A</v>
        <stp/>
        <stp>BDP|11744058056868562602</stp>
        <tr r="I4591" s="2"/>
      </tp>
      <tp t="s">
        <v>#N/A N/A</v>
        <stp/>
        <stp>BDP|11534264638543205982</stp>
        <tr r="A2981" s="2"/>
      </tp>
      <tp t="s">
        <v>#N/A N/A</v>
        <stp/>
        <stp>BDP|12167632372619618074</stp>
        <tr r="C518" s="2"/>
      </tp>
      <tp t="s">
        <v>#N/A N/A</v>
        <stp/>
        <stp>BDP|12381797976861893959</stp>
        <tr r="B2493" s="2"/>
      </tp>
      <tp t="s">
        <v>#N/A N/A</v>
        <stp/>
        <stp>BDP|17134951277492433162</stp>
        <tr r="B2961" s="2"/>
      </tp>
      <tp t="s">
        <v>#N/A N/A</v>
        <stp/>
        <stp>BDP|12385328781780813391</stp>
        <tr r="C4841" s="2"/>
      </tp>
      <tp t="s">
        <v>#N/A N/A</v>
        <stp/>
        <stp>BDP|17833653902208821367</stp>
        <tr r="I231" s="2"/>
      </tp>
      <tp t="s">
        <v>#N/A N/A</v>
        <stp/>
        <stp>BDP|11967784585497101341</stp>
        <tr r="A1410" s="2"/>
      </tp>
      <tp t="s">
        <v>#N/A N/A</v>
        <stp/>
        <stp>BDP|17565916117560118533</stp>
        <tr r="H2012" s="2"/>
      </tp>
      <tp t="s">
        <v>#N/A N/A</v>
        <stp/>
        <stp>BDP|11316182682395854703</stp>
        <tr r="G531" s="2"/>
      </tp>
      <tp t="s">
        <v>#N/A N/A</v>
        <stp/>
        <stp>BDP|16034724937039216160</stp>
        <tr r="G1382" s="2"/>
      </tp>
      <tp t="s">
        <v>#N/A N/A</v>
        <stp/>
        <stp>BDP|14075437693084521744</stp>
        <tr r="I3590" s="2"/>
      </tp>
      <tp t="s">
        <v>#N/A N/A</v>
        <stp/>
        <stp>BDP|16047086810708049597</stp>
        <tr r="H480" s="2"/>
      </tp>
      <tp t="s">
        <v>#N/A N/A</v>
        <stp/>
        <stp>BDP|13094888113127846722</stp>
        <tr r="H1797" s="2"/>
      </tp>
      <tp t="s">
        <v>#N/A N/A</v>
        <stp/>
        <stp>BDP|15409981556482855136</stp>
        <tr r="B2895" s="2"/>
      </tp>
      <tp t="s">
        <v>#N/A N/A</v>
        <stp/>
        <stp>BDP|10317182187500966346</stp>
        <tr r="C4407" s="2"/>
      </tp>
      <tp t="s">
        <v>#N/A N/A</v>
        <stp/>
        <stp>BDP|13725132992553274257</stp>
        <tr r="B1128" s="2"/>
      </tp>
      <tp t="s">
        <v>#N/A N/A</v>
        <stp/>
        <stp>BDP|14032714047939188463</stp>
        <tr r="B2418" s="2"/>
      </tp>
      <tp t="s">
        <v>#N/A N/A</v>
        <stp/>
        <stp>BDP|16867880116651279452</stp>
        <tr r="C4807" s="2"/>
      </tp>
      <tp t="s">
        <v>#N/A N/A</v>
        <stp/>
        <stp>BDP|10274974503476432531</stp>
        <tr r="B3951" s="2"/>
      </tp>
      <tp t="s">
        <v>#N/A N/A</v>
        <stp/>
        <stp>BDP|16506914771703413107</stp>
        <tr r="D2962" s="2"/>
      </tp>
      <tp t="s">
        <v>#N/A N/A</v>
        <stp/>
        <stp>BDP|11482474305818567726</stp>
        <tr r="D1330" s="2"/>
      </tp>
      <tp t="s">
        <v>#N/A N/A</v>
        <stp/>
        <stp>BDP|13335185445605912965</stp>
        <tr r="A2805" s="2"/>
      </tp>
      <tp t="s">
        <v>#N/A N/A</v>
        <stp/>
        <stp>BDP|12363170880422411308</stp>
        <tr r="G3337" s="2"/>
      </tp>
      <tp t="s">
        <v>#N/A N/A</v>
        <stp/>
        <stp>BDP|18297130670853020718</stp>
        <tr r="C536" s="2"/>
      </tp>
      <tp t="s">
        <v>#N/A N/A</v>
        <stp/>
        <stp>BDP|14977755807891236892</stp>
        <tr r="F2769" s="2"/>
      </tp>
      <tp t="s">
        <v>#N/A N/A</v>
        <stp/>
        <stp>BDP|10945648593163808667</stp>
        <tr r="C3256" s="2"/>
      </tp>
      <tp t="s">
        <v>#N/A N/A</v>
        <stp/>
        <stp>BDP|10525438141258318243</stp>
        <tr r="F3201" s="2"/>
      </tp>
      <tp t="s">
        <v>#N/A N/A</v>
        <stp/>
        <stp>BDP|16602618080871434339</stp>
        <tr r="I837" s="2"/>
      </tp>
      <tp t="s">
        <v>#N/A N/A</v>
        <stp/>
        <stp>BDP|14185546717299119337</stp>
        <tr r="D3632" s="2"/>
      </tp>
      <tp t="s">
        <v>#N/A N/A</v>
        <stp/>
        <stp>BDP|13911194922662491863</stp>
        <tr r="D2671" s="2"/>
      </tp>
      <tp t="s">
        <v>#N/A N/A</v>
        <stp/>
        <stp>BDP|18211745106281280427</stp>
        <tr r="H3582" s="2"/>
      </tp>
      <tp t="s">
        <v>#N/A N/A</v>
        <stp/>
        <stp>BDP|11222368471856227979</stp>
        <tr r="C973" s="2"/>
      </tp>
      <tp t="s">
        <v>#N/A N/A</v>
        <stp/>
        <stp>BDP|17880633519139767355</stp>
        <tr r="A4994" s="2"/>
      </tp>
      <tp t="s">
        <v>#N/A N/A</v>
        <stp/>
        <stp>BDP|11350152884902405066</stp>
        <tr r="H4574" s="2"/>
      </tp>
      <tp t="s">
        <v>#N/A N/A</v>
        <stp/>
        <stp>BDP|10640183278905408926</stp>
        <tr r="C2984" s="2"/>
      </tp>
      <tp t="s">
        <v>#N/A N/A</v>
        <stp/>
        <stp>BDP|12415554385550496501</stp>
        <tr r="D4567" s="2"/>
      </tp>
      <tp t="s">
        <v>#N/A N/A</v>
        <stp/>
        <stp>BDP|16413565866556708939</stp>
        <tr r="D2959" s="2"/>
      </tp>
      <tp t="s">
        <v>#N/A N/A</v>
        <stp/>
        <stp>BDP|15880458219058206268</stp>
        <tr r="I2939" s="2"/>
      </tp>
      <tp t="s">
        <v>#N/A N/A</v>
        <stp/>
        <stp>BDP|18244796709274005128</stp>
        <tr r="A501" s="2"/>
      </tp>
      <tp t="s">
        <v>#N/A N/A</v>
        <stp/>
        <stp>BDP|15294643486377575656</stp>
        <tr r="B4066" s="2"/>
      </tp>
      <tp t="s">
        <v>#N/A N/A</v>
        <stp/>
        <stp>BDP|12327407553898823180</stp>
        <tr r="G2452" s="2"/>
      </tp>
      <tp t="s">
        <v>#N/A N/A</v>
        <stp/>
        <stp>BDP|14427375321557043829</stp>
        <tr r="H2866" s="2"/>
      </tp>
      <tp t="s">
        <v>#N/A N/A</v>
        <stp/>
        <stp>BDP|15600072076880016875</stp>
        <tr r="C3151" s="2"/>
      </tp>
      <tp t="s">
        <v>#N/A N/A</v>
        <stp/>
        <stp>BDP|12689791169879798016</stp>
        <tr r="A3220" s="2"/>
      </tp>
      <tp t="s">
        <v>#N/A N/A</v>
        <stp/>
        <stp>BDP|11990782943541273904</stp>
        <tr r="I1757" s="2"/>
      </tp>
      <tp t="s">
        <v>#N/A N/A</v>
        <stp/>
        <stp>BDP|11748295172089482784</stp>
        <tr r="B6" s="2"/>
      </tp>
      <tp t="s">
        <v>#N/A N/A</v>
        <stp/>
        <stp>BDP|14959808100976816016</stp>
        <tr r="H1711" s="2"/>
      </tp>
      <tp t="s">
        <v>#N/A N/A</v>
        <stp/>
        <stp>BDP|17593833519116892271</stp>
        <tr r="A875" s="2"/>
      </tp>
      <tp t="s">
        <v>#N/A N/A</v>
        <stp/>
        <stp>BDP|13481568642230024803</stp>
        <tr r="F92" s="2"/>
      </tp>
      <tp t="s">
        <v>#N/A N/A</v>
        <stp/>
        <stp>BDP|10008905361854392126</stp>
        <tr r="I4683" s="2"/>
      </tp>
      <tp t="s">
        <v>#N/A N/A</v>
        <stp/>
        <stp>BDP|11436211685541678062</stp>
        <tr r="D761" s="2"/>
      </tp>
      <tp t="s">
        <v>#N/A N/A</v>
        <stp/>
        <stp>BDP|11956086934360677836</stp>
        <tr r="I3120" s="2"/>
      </tp>
      <tp t="s">
        <v>#N/A N/A</v>
        <stp/>
        <stp>BDP|18359355452032126653</stp>
        <tr r="B4807" s="2"/>
      </tp>
      <tp t="s">
        <v>#N/A N/A</v>
        <stp/>
        <stp>BDP|13050171687735352537</stp>
        <tr r="D930" s="2"/>
      </tp>
      <tp t="s">
        <v>#N/A N/A</v>
        <stp/>
        <stp>BDP|17217189694824893168</stp>
        <tr r="A1114" s="2"/>
      </tp>
      <tp t="s">
        <v>#N/A N/A</v>
        <stp/>
        <stp>BDP|11474747986784449023</stp>
        <tr r="C4303" s="2"/>
      </tp>
      <tp t="s">
        <v>#N/A N/A</v>
        <stp/>
        <stp>BDP|11913105896756755586</stp>
        <tr r="B609" s="2"/>
      </tp>
      <tp t="s">
        <v>#N/A N/A</v>
        <stp/>
        <stp>BDP|17381504763887532950</stp>
        <tr r="A4325" s="2"/>
      </tp>
      <tp t="s">
        <v>#N/A N/A</v>
        <stp/>
        <stp>BDP|12477540024206143956</stp>
        <tr r="D4947" s="2"/>
      </tp>
      <tp t="s">
        <v>#N/A N/A</v>
        <stp/>
        <stp>BDP|16969137449779279016</stp>
        <tr r="A2781" s="2"/>
      </tp>
      <tp t="s">
        <v>#N/A N/A</v>
        <stp/>
        <stp>BDP|16084629813668913380</stp>
        <tr r="C2170" s="2"/>
      </tp>
      <tp t="s">
        <v>#N/A N/A</v>
        <stp/>
        <stp>BDP|10753225683388226847</stp>
        <tr r="G3421" s="2"/>
      </tp>
      <tp t="s">
        <v>#N/A N/A</v>
        <stp/>
        <stp>BDP|12012284569334885898</stp>
        <tr r="C2999" s="2"/>
      </tp>
      <tp t="s">
        <v>#N/A N/A</v>
        <stp/>
        <stp>BDP|17096948942606223640</stp>
        <tr r="F3145" s="2"/>
      </tp>
      <tp t="s">
        <v>#N/A N/A</v>
        <stp/>
        <stp>BDP|17628102660722010863</stp>
        <tr r="G4203" s="2"/>
      </tp>
      <tp t="s">
        <v>#N/A N/A</v>
        <stp/>
        <stp>BDP|17150398083950832632</stp>
        <tr r="I2801" s="2"/>
      </tp>
      <tp t="s">
        <v>#N/A N/A</v>
        <stp/>
        <stp>BDP|14782191062970933956</stp>
        <tr r="B2056" s="2"/>
      </tp>
      <tp t="s">
        <v>#N/A N/A</v>
        <stp/>
        <stp>BDP|15378313673413613875</stp>
        <tr r="B708" s="2"/>
      </tp>
      <tp t="s">
        <v>#N/A N/A</v>
        <stp/>
        <stp>BDP|16482003845951371921</stp>
        <tr r="G2928" s="2"/>
      </tp>
      <tp t="s">
        <v>#N/A N/A</v>
        <stp/>
        <stp>BDP|10117406606519078771</stp>
        <tr r="H2302" s="2"/>
      </tp>
      <tp t="s">
        <v>#N/A N/A</v>
        <stp/>
        <stp>BDP|15940687749135037885</stp>
        <tr r="B1896" s="2"/>
      </tp>
      <tp t="s">
        <v>#N/A N/A</v>
        <stp/>
        <stp>BDP|15669922420273592724</stp>
        <tr r="A4485" s="2"/>
      </tp>
      <tp t="s">
        <v>#N/A N/A</v>
        <stp/>
        <stp>BDP|17110621852197736959</stp>
        <tr r="I4192" s="2"/>
      </tp>
      <tp t="s">
        <v>#N/A N/A</v>
        <stp/>
        <stp>BDP|13578263091892457053</stp>
        <tr r="D4431" s="2"/>
      </tp>
      <tp t="s">
        <v>#N/A N/A</v>
        <stp/>
        <stp>BDP|14390923531246743246</stp>
        <tr r="B4983" s="2"/>
      </tp>
      <tp t="s">
        <v>#N/A N/A</v>
        <stp/>
        <stp>BDP|11903671764849929202</stp>
        <tr r="B4469" s="2"/>
      </tp>
      <tp t="s">
        <v>#N/A N/A</v>
        <stp/>
        <stp>BDP|12018119094586134677</stp>
        <tr r="A2200" s="2"/>
      </tp>
      <tp t="s">
        <v>#N/A N/A</v>
        <stp/>
        <stp>BDP|15212502190650242338</stp>
        <tr r="A3359" s="2"/>
      </tp>
      <tp t="s">
        <v>#N/A N/A</v>
        <stp/>
        <stp>BDP|18304622113183489652</stp>
        <tr r="A4708" s="2"/>
      </tp>
      <tp t="s">
        <v>#N/A N/A</v>
        <stp/>
        <stp>BDP|10082210390648174930</stp>
        <tr r="H3607" s="2"/>
      </tp>
      <tp t="s">
        <v>#N/A N/A</v>
        <stp/>
        <stp>BDP|18056363535826948492</stp>
        <tr r="B4489" s="2"/>
      </tp>
      <tp t="s">
        <v>#N/A N/A</v>
        <stp/>
        <stp>BDP|10469954714421799317</stp>
        <tr r="H2689" s="2"/>
      </tp>
      <tp t="s">
        <v>#N/A N/A</v>
        <stp/>
        <stp>BDP|16469122647970034921</stp>
        <tr r="G3357" s="2"/>
      </tp>
      <tp t="s">
        <v>#N/A N/A</v>
        <stp/>
        <stp>BDP|12353117812028640059</stp>
        <tr r="B719" s="2"/>
      </tp>
      <tp t="s">
        <v>#N/A N/A</v>
        <stp/>
        <stp>BDP|17116912754893310245</stp>
        <tr r="C1539" s="2"/>
      </tp>
      <tp t="s">
        <v>#N/A N/A</v>
        <stp/>
        <stp>BDP|13201729483307420147</stp>
        <tr r="C2032" s="2"/>
      </tp>
      <tp t="s">
        <v>#N/A N/A</v>
        <stp/>
        <stp>BDP|16542563792675477569</stp>
        <tr r="G1469" s="2"/>
      </tp>
      <tp t="s">
        <v>#N/A N/A</v>
        <stp/>
        <stp>BDP|13285502520509973787</stp>
        <tr r="C3162" s="2"/>
      </tp>
      <tp t="s">
        <v>#N/A N/A</v>
        <stp/>
        <stp>BDP|10685839425005473579</stp>
        <tr r="D3015" s="2"/>
      </tp>
      <tp t="s">
        <v>#N/A N/A</v>
        <stp/>
        <stp>BDP|15220971447722588042</stp>
        <tr r="D4071" s="2"/>
      </tp>
      <tp t="s">
        <v>#N/A N/A</v>
        <stp/>
        <stp>BDP|16256410730569199217</stp>
        <tr r="H1348" s="2"/>
      </tp>
      <tp t="s">
        <v>#N/A N/A</v>
        <stp/>
        <stp>BDP|15288735393118432951</stp>
        <tr r="D3228" s="2"/>
      </tp>
      <tp t="s">
        <v>#N/A N/A</v>
        <stp/>
        <stp>BDP|17573397196696096192</stp>
        <tr r="A3998" s="2"/>
      </tp>
      <tp t="s">
        <v>#N/A N/A</v>
        <stp/>
        <stp>BDP|16886044926868897610</stp>
        <tr r="C4091" s="2"/>
      </tp>
      <tp t="s">
        <v>#N/A N/A</v>
        <stp/>
        <stp>BDP|16919915732306034099</stp>
        <tr r="B2410" s="2"/>
      </tp>
      <tp t="s">
        <v>#N/A N/A</v>
        <stp/>
        <stp>BDP|16241356652259245349</stp>
        <tr r="D4047" s="2"/>
      </tp>
      <tp t="s">
        <v>#N/A N/A</v>
        <stp/>
        <stp>BDP|18427611050005572438</stp>
        <tr r="C3861" s="2"/>
      </tp>
      <tp t="s">
        <v>#N/A N/A</v>
        <stp/>
        <stp>BDP|10891891621956255618</stp>
        <tr r="G3327" s="2"/>
      </tp>
      <tp t="s">
        <v>#N/A N/A</v>
        <stp/>
        <stp>BDP|14783017552918561323</stp>
        <tr r="C1389" s="2"/>
      </tp>
      <tp t="s">
        <v>#N/A N/A</v>
        <stp/>
        <stp>BDP|18173807283414356622</stp>
        <tr r="B522" s="2"/>
      </tp>
      <tp t="s">
        <v>#N/A N/A</v>
        <stp/>
        <stp>BDP|15148316218464921926</stp>
        <tr r="A3266" s="2"/>
      </tp>
      <tp t="s">
        <v>#N/A N/A</v>
        <stp/>
        <stp>BDP|13097876666947779053</stp>
        <tr r="H1894" s="2"/>
      </tp>
      <tp t="s">
        <v>#N/A N/A</v>
        <stp/>
        <stp>BDP|10506482905026393889</stp>
        <tr r="A188" s="2"/>
      </tp>
      <tp t="s">
        <v>#N/A N/A</v>
        <stp/>
        <stp>BDP|14507859081836421861</stp>
        <tr r="B2676" s="2"/>
      </tp>
      <tp t="s">
        <v>#N/A N/A</v>
        <stp/>
        <stp>BDP|15464255066512768931</stp>
        <tr r="I2561" s="2"/>
      </tp>
      <tp t="s">
        <v>#N/A N/A</v>
        <stp/>
        <stp>BDP|11176500265509218152</stp>
        <tr r="I374" s="2"/>
      </tp>
      <tp t="s">
        <v>#N/A N/A</v>
        <stp/>
        <stp>BDP|13178652682420764726</stp>
        <tr r="I4602" s="2"/>
      </tp>
      <tp t="s">
        <v>#N/A N/A</v>
        <stp/>
        <stp>BDP|14407227374423813893</stp>
        <tr r="F4731" s="2"/>
      </tp>
      <tp t="s">
        <v>#N/A N/A</v>
        <stp/>
        <stp>BDP|15692116765448024018</stp>
        <tr r="H2102" s="2"/>
      </tp>
      <tp t="s">
        <v>#N/A N/A</v>
        <stp/>
        <stp>BDP|17241146136826397902</stp>
        <tr r="G3673" s="2"/>
      </tp>
      <tp t="s">
        <v>#N/A N/A</v>
        <stp/>
        <stp>BDP|12497803346006632278</stp>
        <tr r="B908" s="2"/>
      </tp>
      <tp t="s">
        <v>#N/A N/A</v>
        <stp/>
        <stp>BDP|14554625885113452354</stp>
        <tr r="C4767" s="2"/>
      </tp>
      <tp t="s">
        <v>#N/A N/A</v>
        <stp/>
        <stp>BDP|10308876373501670424</stp>
        <tr r="G1632" s="2"/>
      </tp>
      <tp t="s">
        <v>#N/A N/A</v>
        <stp/>
        <stp>BDP|14267876730504535136</stp>
        <tr r="F551" s="2"/>
      </tp>
      <tp t="s">
        <v>#N/A N/A</v>
        <stp/>
        <stp>BDP|12639451883425747142</stp>
        <tr r="F1230" s="2"/>
      </tp>
      <tp t="s">
        <v>#N/A N/A</v>
        <stp/>
        <stp>BDP|15271557385303655176</stp>
        <tr r="G1543" s="2"/>
      </tp>
      <tp t="s">
        <v>#N/A N/A</v>
        <stp/>
        <stp>BDP|14317674030309176261</stp>
        <tr r="D413" s="2"/>
      </tp>
      <tp t="s">
        <v>#N/A N/A</v>
        <stp/>
        <stp>BDP|16774214600126550807</stp>
        <tr r="G1056" s="2"/>
      </tp>
      <tp t="s">
        <v>#N/A N/A</v>
        <stp/>
        <stp>BDP|17082416093695699571</stp>
        <tr r="D3854" s="2"/>
      </tp>
      <tp t="s">
        <v>#N/A N/A</v>
        <stp/>
        <stp>BDP|18371125047745669234</stp>
        <tr r="H3988" s="2"/>
      </tp>
      <tp t="s">
        <v>#N/A N/A</v>
        <stp/>
        <stp>BDP|16918731729188351132</stp>
        <tr r="C3384" s="2"/>
      </tp>
      <tp t="s">
        <v>#N/A N/A</v>
        <stp/>
        <stp>BDP|13698166845234781813</stp>
        <tr r="I2124" s="2"/>
      </tp>
      <tp t="s">
        <v>#N/A N/A</v>
        <stp/>
        <stp>BDP|11181817141764290304</stp>
        <tr r="B3953" s="2"/>
      </tp>
      <tp t="s">
        <v>#N/A N/A</v>
        <stp/>
        <stp>BDP|10014691999576289318</stp>
        <tr r="B505" s="2"/>
      </tp>
      <tp t="s">
        <v>#N/A N/A</v>
        <stp/>
        <stp>BDP|13582493687953022685</stp>
        <tr r="C800" s="2"/>
      </tp>
      <tp t="s">
        <v>#N/A N/A</v>
        <stp/>
        <stp>BDP|10663111605829598242</stp>
        <tr r="I1064" s="2"/>
      </tp>
      <tp t="s">
        <v>#N/A N/A</v>
        <stp/>
        <stp>BDP|12265573880276564335</stp>
        <tr r="F3194" s="2"/>
      </tp>
      <tp t="s">
        <v>#N/A N/A</v>
        <stp/>
        <stp>BDP|14171874773919079869</stp>
        <tr r="H4917" s="2"/>
      </tp>
      <tp t="s">
        <v>#N/A N/A</v>
        <stp/>
        <stp>BDP|12352227088904975638</stp>
        <tr r="B3864" s="2"/>
      </tp>
      <tp t="s">
        <v>#N/A N/A</v>
        <stp/>
        <stp>BDP|12228623776300159943</stp>
        <tr r="H1598" s="2"/>
      </tp>
      <tp t="s">
        <v>#N/A N/A</v>
        <stp/>
        <stp>BDP|11927828168832334735</stp>
        <tr r="A1572" s="2"/>
      </tp>
      <tp t="s">
        <v>#N/A N/A</v>
        <stp/>
        <stp>BDP|13668142110089010011</stp>
        <tr r="F2706" s="2"/>
      </tp>
      <tp t="s">
        <v>#N/A N/A</v>
        <stp/>
        <stp>BDP|17774181616615922836</stp>
        <tr r="I395" s="2"/>
      </tp>
      <tp t="s">
        <v>#N/A N/A</v>
        <stp/>
        <stp>BDP|17626873686735633821</stp>
        <tr r="G1572" s="2"/>
      </tp>
      <tp t="s">
        <v>#N/A N/A</v>
        <stp/>
        <stp>BDP|10947653994411915439</stp>
        <tr r="C3260" s="2"/>
      </tp>
      <tp t="s">
        <v>#N/A N/A</v>
        <stp/>
        <stp>BDP|12943909842966189387</stp>
        <tr r="H1811" s="2"/>
      </tp>
      <tp t="s">
        <v>#N/A N/A</v>
        <stp/>
        <stp>BDP|13677185688700782036</stp>
        <tr r="D601" s="2"/>
      </tp>
      <tp t="s">
        <v>#N/A N/A</v>
        <stp/>
        <stp>BDP|10791337577188542641</stp>
        <tr r="F2288" s="2"/>
      </tp>
      <tp t="s">
        <v>#N/A N/A</v>
        <stp/>
        <stp>BDP|17537803989218911579</stp>
        <tr r="I2052" s="2"/>
      </tp>
      <tp t="s">
        <v>#N/A N/A</v>
        <stp/>
        <stp>BDP|10432199055158224683</stp>
        <tr r="A4689" s="2"/>
      </tp>
      <tp t="s">
        <v>#N/A N/A</v>
        <stp/>
        <stp>BDP|18066118763743776674</stp>
        <tr r="I2991" s="2"/>
      </tp>
      <tp t="s">
        <v>#N/A N/A</v>
        <stp/>
        <stp>BDP|14461043937034289974</stp>
        <tr r="C696" s="2"/>
      </tp>
      <tp t="s">
        <v>#N/A N/A</v>
        <stp/>
        <stp>BDP|11909790734337043868</stp>
        <tr r="C4598" s="2"/>
      </tp>
      <tp t="s">
        <v>#N/A N/A</v>
        <stp/>
        <stp>BDP|13478936555702808789</stp>
        <tr r="D20" s="2"/>
      </tp>
      <tp t="s">
        <v>#N/A N/A</v>
        <stp/>
        <stp>BDP|15684958745916232465</stp>
        <tr r="G3974" s="2"/>
      </tp>
      <tp t="s">
        <v>#N/A N/A</v>
        <stp/>
        <stp>BDP|12503020686969510967</stp>
        <tr r="A4621" s="2"/>
      </tp>
      <tp t="s">
        <v>#N/A N/A</v>
        <stp/>
        <stp>BDP|15680206451569770123</stp>
        <tr r="B366" s="2"/>
      </tp>
      <tp t="s">
        <v>#N/A N/A</v>
        <stp/>
        <stp>BDP|10387035900039651346</stp>
        <tr r="I1349" s="2"/>
      </tp>
      <tp t="s">
        <v>#N/A N/A</v>
        <stp/>
        <stp>BDP|16138633630611113819</stp>
        <tr r="I3700" s="2"/>
      </tp>
      <tp t="s">
        <v>#N/A N/A</v>
        <stp/>
        <stp>BDP|14413920626294045129</stp>
        <tr r="I3508" s="2"/>
      </tp>
      <tp t="s">
        <v>#N/A N/A</v>
        <stp/>
        <stp>BDP|10198650220318100674</stp>
        <tr r="G4144" s="2"/>
      </tp>
      <tp t="s">
        <v>#N/A N/A</v>
        <stp/>
        <stp>BDP|13924996124187427529</stp>
        <tr r="I3685" s="2"/>
      </tp>
      <tp t="s">
        <v>#N/A N/A</v>
        <stp/>
        <stp>BDP|11708017806269220209</stp>
        <tr r="I1079" s="2"/>
      </tp>
      <tp t="s">
        <v>#N/A N/A</v>
        <stp/>
        <stp>BDP|15327534127670260878</stp>
        <tr r="I1646" s="2"/>
      </tp>
      <tp t="s">
        <v>#N/A N/A</v>
        <stp/>
        <stp>BDP|16595775302202376917</stp>
        <tr r="H3333" s="2"/>
      </tp>
      <tp t="s">
        <v>#N/A N/A</v>
        <stp/>
        <stp>BDP|17797906527094438262</stp>
        <tr r="G277" s="2"/>
      </tp>
      <tp t="s">
        <v>#N/A N/A</v>
        <stp/>
        <stp>BDP|15878290569473385896</stp>
        <tr r="B3412" s="2"/>
      </tp>
      <tp t="s">
        <v>#N/A N/A</v>
        <stp/>
        <stp>BDP|13554355139550985920</stp>
        <tr r="H1335" s="2"/>
      </tp>
      <tp t="s">
        <v>#N/A N/A</v>
        <stp/>
        <stp>BDP|15382925527043533713</stp>
        <tr r="B4900" s="2"/>
      </tp>
      <tp t="s">
        <v>#N/A N/A</v>
        <stp/>
        <stp>BDP|14507899261094771482</stp>
        <tr r="A651" s="2"/>
      </tp>
      <tp t="s">
        <v>#N/A N/A</v>
        <stp/>
        <stp>BDP|14380000990657314023</stp>
        <tr r="I718" s="2"/>
      </tp>
      <tp t="s">
        <v>#N/A N/A</v>
        <stp/>
        <stp>BDP|16284760372304773830</stp>
        <tr r="C4597" s="2"/>
      </tp>
      <tp t="s">
        <v>#N/A N/A</v>
        <stp/>
        <stp>BDP|17939051451180885877</stp>
        <tr r="D567" s="2"/>
      </tp>
      <tp t="s">
        <v>#N/A N/A</v>
        <stp/>
        <stp>BDP|16939701340707816837</stp>
        <tr r="D1442" s="2"/>
      </tp>
      <tp t="s">
        <v>#N/A N/A</v>
        <stp/>
        <stp>BDP|11300841082392012970</stp>
        <tr r="H120" s="2"/>
      </tp>
      <tp t="s">
        <v>#N/A N/A</v>
        <stp/>
        <stp>BDP|13346965416755406455</stp>
        <tr r="D3016" s="2"/>
      </tp>
      <tp t="s">
        <v>#N/A N/A</v>
        <stp/>
        <stp>BDP|13630366382460375235</stp>
        <tr r="A3508" s="2"/>
      </tp>
      <tp t="s">
        <v>#N/A N/A</v>
        <stp/>
        <stp>BDP|15989930369339384921</stp>
        <tr r="C2418" s="2"/>
      </tp>
      <tp t="s">
        <v>#N/A N/A</v>
        <stp/>
        <stp>BDP|15798613765738467759</stp>
        <tr r="I3742" s="2"/>
      </tp>
      <tp t="s">
        <v>#N/A N/A</v>
        <stp/>
        <stp>BDP|17963289591042359418</stp>
        <tr r="C3431" s="2"/>
      </tp>
      <tp t="s">
        <v>#N/A N/A</v>
        <stp/>
        <stp>BDP|11161684599293568774</stp>
        <tr r="B1380" s="2"/>
      </tp>
      <tp t="s">
        <v>#N/A N/A</v>
        <stp/>
        <stp>BDP|15100339475653455818</stp>
        <tr r="I4288" s="2"/>
      </tp>
      <tp t="s">
        <v>#N/A N/A</v>
        <stp/>
        <stp>BDP|14619409531638688134</stp>
        <tr r="F2253" s="2"/>
      </tp>
      <tp t="s">
        <v>#N/A N/A</v>
        <stp/>
        <stp>BDP|16878965556268817820</stp>
        <tr r="A3286" s="2"/>
      </tp>
      <tp t="s">
        <v>#N/A N/A</v>
        <stp/>
        <stp>BDP|11262812567492006761</stp>
        <tr r="C1410" s="2"/>
      </tp>
      <tp t="s">
        <v>#N/A N/A</v>
        <stp/>
        <stp>BDP|14008515255218020664</stp>
        <tr r="I3611" s="2"/>
      </tp>
      <tp t="s">
        <v>#N/A N/A</v>
        <stp/>
        <stp>BDP|17695269124669407427</stp>
        <tr r="C4137" s="2"/>
      </tp>
      <tp t="s">
        <v>#N/A N/A</v>
        <stp/>
        <stp>BDP|16051124485010015551</stp>
        <tr r="G190" s="2"/>
      </tp>
      <tp t="s">
        <v>#N/A N/A</v>
        <stp/>
        <stp>BDP|11786946315412587113</stp>
        <tr r="G2482" s="2"/>
      </tp>
      <tp t="s">
        <v>#N/A N/A</v>
        <stp/>
        <stp>BDP|18020456570466090778</stp>
        <tr r="G1313" s="2"/>
      </tp>
      <tp t="s">
        <v>#N/A N/A</v>
        <stp/>
        <stp>BDP|14083904320303589677</stp>
        <tr r="D686" s="2"/>
      </tp>
      <tp t="s">
        <v>#N/A N/A</v>
        <stp/>
        <stp>BDP|15374560685391740350</stp>
        <tr r="D1732" s="2"/>
      </tp>
      <tp t="s">
        <v>#N/A N/A</v>
        <stp/>
        <stp>BDP|10322200374319245675</stp>
        <tr r="B603" s="2"/>
      </tp>
      <tp t="s">
        <v>#N/A N/A</v>
        <stp/>
        <stp>BDP|12196970683141313849</stp>
        <tr r="A3871" s="2"/>
      </tp>
      <tp t="s">
        <v>#N/A N/A</v>
        <stp/>
        <stp>BDP|14236461636538365131</stp>
        <tr r="I4989" s="2"/>
      </tp>
      <tp t="s">
        <v>#N/A N/A</v>
        <stp/>
        <stp>BDP|14430415952678678737</stp>
        <tr r="G465" s="2"/>
      </tp>
      <tp t="s">
        <v>#N/A N/A</v>
        <stp/>
        <stp>BDP|14335279815148699552</stp>
        <tr r="B694" s="2"/>
      </tp>
      <tp t="s">
        <v>#N/A N/A</v>
        <stp/>
        <stp>BDP|12039137611211013900</stp>
        <tr r="C3155" s="2"/>
      </tp>
      <tp t="s">
        <v>#N/A N/A</v>
        <stp/>
        <stp>BDP|13419071130668970286</stp>
        <tr r="B1602" s="2"/>
      </tp>
      <tp t="s">
        <v>#N/A N/A</v>
        <stp/>
        <stp>BDP|14338809765232782237</stp>
        <tr r="I2264" s="2"/>
      </tp>
      <tp t="s">
        <v>#N/A N/A</v>
        <stp/>
        <stp>BDP|16115016994336416322</stp>
        <tr r="A4597" s="2"/>
      </tp>
      <tp t="s">
        <v>#N/A N/A</v>
        <stp/>
        <stp>BDP|12773740641208124310</stp>
        <tr r="A568" s="2"/>
      </tp>
      <tp t="s">
        <v>#N/A N/A</v>
        <stp/>
        <stp>BDP|17205729907552799822</stp>
        <tr r="F1954" s="2"/>
      </tp>
      <tp t="s">
        <v>#N/A N/A</v>
        <stp/>
        <stp>BDP|14272512283141376214</stp>
        <tr r="C2564" s="2"/>
      </tp>
      <tp t="s">
        <v>#N/A N/A</v>
        <stp/>
        <stp>BDP|15108266762079154265</stp>
        <tr r="D1784" s="2"/>
      </tp>
      <tp t="s">
        <v>#N/A N/A</v>
        <stp/>
        <stp>BDP|17113075418495421984</stp>
        <tr r="I1543" s="2"/>
      </tp>
      <tp t="s">
        <v>#N/A N/A</v>
        <stp/>
        <stp>BDP|11312657429746865951</stp>
        <tr r="D1352" s="2"/>
      </tp>
      <tp t="s">
        <v>#N/A N/A</v>
        <stp/>
        <stp>BDP|17425198310989959460</stp>
        <tr r="A972" s="2"/>
      </tp>
      <tp t="s">
        <v>#N/A N/A</v>
        <stp/>
        <stp>BDP|12977048089260087063</stp>
        <tr r="D1611" s="2"/>
      </tp>
      <tp t="s">
        <v>#N/A N/A</v>
        <stp/>
        <stp>BDP|17126755956059636661</stp>
        <tr r="I2425" s="2"/>
      </tp>
      <tp t="s">
        <v>#N/A N/A</v>
        <stp/>
        <stp>BDP|17710851370464119610</stp>
        <tr r="I3269" s="2"/>
      </tp>
      <tp t="s">
        <v>#N/A N/A</v>
        <stp/>
        <stp>BDP|15973598999975265694</stp>
        <tr r="B3428" s="2"/>
      </tp>
      <tp t="s">
        <v>#N/A N/A</v>
        <stp/>
        <stp>BDP|12369010284627333777</stp>
        <tr r="A4132" s="2"/>
      </tp>
      <tp t="s">
        <v>#N/A N/A</v>
        <stp/>
        <stp>BDP|12343849353775382056</stp>
        <tr r="A1626" s="2"/>
      </tp>
      <tp t="s">
        <v>#N/A N/A</v>
        <stp/>
        <stp>BDP|14492469909388076290</stp>
        <tr r="C1202" s="2"/>
      </tp>
      <tp t="s">
        <v>#N/A N/A</v>
        <stp/>
        <stp>BDP|12097719554773724901</stp>
        <tr r="A4196" s="2"/>
      </tp>
      <tp t="s">
        <v>#N/A N/A</v>
        <stp/>
        <stp>BDP|11740805325830793174</stp>
        <tr r="C1861" s="2"/>
      </tp>
      <tp t="s">
        <v>#N/A N/A</v>
        <stp/>
        <stp>BDP|17622287048453774832</stp>
        <tr r="A3680" s="2"/>
      </tp>
      <tp t="s">
        <v>#N/A N/A</v>
        <stp/>
        <stp>BDP|16979597693596364627</stp>
        <tr r="D346" s="2"/>
      </tp>
      <tp t="s">
        <v>#N/A N/A</v>
        <stp/>
        <stp>BDP|14002932711886053074</stp>
        <tr r="D2457" s="2"/>
      </tp>
      <tp t="s">
        <v>#N/A N/A</v>
        <stp/>
        <stp>BDP|16215090665322307889</stp>
        <tr r="H784" s="2"/>
      </tp>
      <tp t="s">
        <v>#N/A N/A</v>
        <stp/>
        <stp>BDP|17747369367149166121</stp>
        <tr r="D1312" s="2"/>
      </tp>
      <tp t="s">
        <v>#N/A N/A</v>
        <stp/>
        <stp>BDP|13994067159254461871</stp>
        <tr r="C4325" s="2"/>
      </tp>
      <tp t="s">
        <v>#N/A N/A</v>
        <stp/>
        <stp>BDP|10994150903779948231</stp>
        <tr r="F2225" s="2"/>
      </tp>
      <tp t="s">
        <v>#N/A N/A</v>
        <stp/>
        <stp>BDP|14947026907727045998</stp>
        <tr r="D3319" s="2"/>
      </tp>
      <tp t="s">
        <v>#N/A N/A</v>
        <stp/>
        <stp>BDP|12216645973810375932</stp>
        <tr r="C238" s="2"/>
      </tp>
      <tp t="s">
        <v>#N/A N/A</v>
        <stp/>
        <stp>BDP|17251452693329340929</stp>
        <tr r="B554" s="2"/>
      </tp>
      <tp t="s">
        <v>#N/A N/A</v>
        <stp/>
        <stp>BDP|15246642842205392825</stp>
        <tr r="G635" s="2"/>
      </tp>
      <tp t="s">
        <v>#N/A N/A</v>
        <stp/>
        <stp>BDP|13278173293766233718</stp>
        <tr r="B3498" s="2"/>
      </tp>
      <tp t="s">
        <v>#N/A N/A</v>
        <stp/>
        <stp>BDP|12221819484288327013</stp>
        <tr r="I1176" s="2"/>
      </tp>
      <tp t="s">
        <v>#N/A N/A</v>
        <stp/>
        <stp>BDP|17294027315349734576</stp>
        <tr r="D702" s="2"/>
      </tp>
      <tp t="s">
        <v>#N/A N/A</v>
        <stp/>
        <stp>BDP|17868759576198933575</stp>
        <tr r="G3095" s="2"/>
      </tp>
      <tp t="s">
        <v>#N/A N/A</v>
        <stp/>
        <stp>BDP|14089206048608948044</stp>
        <tr r="D564" s="2"/>
      </tp>
      <tp t="s">
        <v>#N/A N/A</v>
        <stp/>
        <stp>BDP|13691964215776028707</stp>
        <tr r="G946" s="2"/>
      </tp>
      <tp t="s">
        <v>#N/A N/A</v>
        <stp/>
        <stp>BDP|14867999000300060745</stp>
        <tr r="D4404" s="2"/>
      </tp>
      <tp t="s">
        <v>#N/A N/A</v>
        <stp/>
        <stp>BDP|15802001325124892906</stp>
        <tr r="D1969" s="2"/>
      </tp>
      <tp t="s">
        <v>#N/A N/A</v>
        <stp/>
        <stp>BDP|18182410030074605137</stp>
        <tr r="D3883" s="2"/>
      </tp>
      <tp t="s">
        <v>#N/A N/A</v>
        <stp/>
        <stp>BDP|14753434567934258843</stp>
        <tr r="D3155" s="2"/>
      </tp>
      <tp t="s">
        <v>#N/A N/A</v>
        <stp/>
        <stp>BDP|10014649887261674503</stp>
        <tr r="C2812" s="2"/>
      </tp>
      <tp t="s">
        <v>#N/A N/A</v>
        <stp/>
        <stp>BDP|12688806563141474745</stp>
        <tr r="A4034" s="2"/>
      </tp>
      <tp t="s">
        <v>#N/A N/A</v>
        <stp/>
        <stp>BDP|15530658897702177236</stp>
        <tr r="F2920" s="2"/>
      </tp>
      <tp t="s">
        <v>#N/A N/A</v>
        <stp/>
        <stp>BDP|18422990745159879659</stp>
        <tr r="F3850" s="2"/>
      </tp>
      <tp t="s">
        <v>#N/A N/A</v>
        <stp/>
        <stp>BDP|10175296399749429809</stp>
        <tr r="F2483" s="2"/>
      </tp>
      <tp t="s">
        <v>#N/A N/A</v>
        <stp/>
        <stp>BDP|14771536688696138589</stp>
        <tr r="A2683" s="2"/>
      </tp>
      <tp t="s">
        <v>#N/A N/A</v>
        <stp/>
        <stp>BDP|17264420275848600663</stp>
        <tr r="A4583" s="2"/>
      </tp>
      <tp t="s">
        <v>#N/A N/A</v>
        <stp/>
        <stp>BDP|11250211492141089141</stp>
        <tr r="A4803" s="2"/>
      </tp>
      <tp t="s">
        <v>#N/A N/A</v>
        <stp/>
        <stp>BDP|11492924110054025733</stp>
        <tr r="B2236" s="2"/>
      </tp>
      <tp t="s">
        <v>#N/A N/A</v>
        <stp/>
        <stp>BDP|11228095028141514834</stp>
        <tr r="F4244" s="2"/>
      </tp>
      <tp t="s">
        <v>#N/A N/A</v>
        <stp/>
        <stp>BDP|18068546258995127788</stp>
        <tr r="C4399" s="2"/>
      </tp>
      <tp t="s">
        <v>#N/A N/A</v>
        <stp/>
        <stp>BDP|15603314103785429952</stp>
        <tr r="C1599" s="2"/>
      </tp>
      <tp t="s">
        <v>#N/A N/A</v>
        <stp/>
        <stp>BDP|16364427259155409892</stp>
        <tr r="B4962" s="2"/>
      </tp>
      <tp t="s">
        <v>#N/A N/A</v>
        <stp/>
        <stp>BDP|14159810345384810685</stp>
        <tr r="H3691" s="2"/>
      </tp>
      <tp t="s">
        <v>#N/A N/A</v>
        <stp/>
        <stp>BDP|11051667733199712773</stp>
        <tr r="A4848" s="2"/>
      </tp>
      <tp t="s">
        <v>#N/A N/A</v>
        <stp/>
        <stp>BDP|14877690370586423901</stp>
        <tr r="A1702" s="2"/>
      </tp>
      <tp t="s">
        <v>#N/A N/A</v>
        <stp/>
        <stp>BDP|11386150587350131259</stp>
        <tr r="D2597" s="2"/>
      </tp>
      <tp t="s">
        <v>#N/A N/A</v>
        <stp/>
        <stp>BDP|13526562433158484718</stp>
        <tr r="H1362" s="2"/>
      </tp>
      <tp t="s">
        <v>#N/A N/A</v>
        <stp/>
        <stp>BDP|11389913451321313659</stp>
        <tr r="G3674" s="2"/>
      </tp>
      <tp t="s">
        <v>#N/A N/A</v>
        <stp/>
        <stp>BDP|16063906941736002747</stp>
        <tr r="A1357" s="2"/>
      </tp>
      <tp t="s">
        <v>#N/A N/A</v>
        <stp/>
        <stp>BDP|16548842514814399137</stp>
        <tr r="H3202" s="2"/>
      </tp>
      <tp t="s">
        <v>#N/A N/A</v>
        <stp/>
        <stp>BDP|13030959314334501519</stp>
        <tr r="H3340" s="2"/>
      </tp>
      <tp t="s">
        <v>#N/A N/A</v>
        <stp/>
        <stp>BDP|14903918889828408700</stp>
        <tr r="H1376" s="2"/>
      </tp>
      <tp t="s">
        <v>#N/A N/A</v>
        <stp/>
        <stp>BDP|13057975305212025270</stp>
        <tr r="I2265" s="2"/>
      </tp>
      <tp t="s">
        <v>#N/A N/A</v>
        <stp/>
        <stp>BDP|11658075838261539996</stp>
        <tr r="D3259" s="2"/>
      </tp>
      <tp t="s">
        <v>#N/A N/A</v>
        <stp/>
        <stp>BDP|14913247549809709169</stp>
        <tr r="C1763" s="2"/>
      </tp>
      <tp t="s">
        <v>#N/A N/A</v>
        <stp/>
        <stp>BDP|13869893100299650825</stp>
        <tr r="D3629" s="2"/>
      </tp>
      <tp t="s">
        <v>#N/A N/A</v>
        <stp/>
        <stp>BDP|14459698468556978898</stp>
        <tr r="C4096" s="2"/>
      </tp>
      <tp t="s">
        <v>#N/A N/A</v>
        <stp/>
        <stp>BDP|17383574278369095691</stp>
        <tr r="G3985" s="2"/>
      </tp>
      <tp t="s">
        <v>#N/A N/A</v>
        <stp/>
        <stp>BDP|13030675331634061830</stp>
        <tr r="B1965" s="2"/>
      </tp>
      <tp t="s">
        <v>#N/A N/A</v>
        <stp/>
        <stp>BDP|11905861572441174594</stp>
        <tr r="F2606" s="2"/>
      </tp>
      <tp t="s">
        <v>#N/A N/A</v>
        <stp/>
        <stp>BDP|12630034133319070235</stp>
        <tr r="H4858" s="2"/>
      </tp>
      <tp t="s">
        <v>#N/A N/A</v>
        <stp/>
        <stp>BDP|11030525015166605941</stp>
        <tr r="C2070" s="2"/>
      </tp>
      <tp t="s">
        <v>#N/A N/A</v>
        <stp/>
        <stp>BDP|11015113821731335963</stp>
        <tr r="G4973" s="2"/>
      </tp>
      <tp t="s">
        <v>#N/A N/A</v>
        <stp/>
        <stp>BDP|17817775566828997450</stp>
        <tr r="G1304" s="2"/>
      </tp>
      <tp t="s">
        <v>#N/A N/A</v>
        <stp/>
        <stp>BDP|12398273207432239848</stp>
        <tr r="I61" s="2"/>
      </tp>
      <tp t="s">
        <v>#N/A N/A</v>
        <stp/>
        <stp>BDP|10897189278374551883</stp>
        <tr r="F2864" s="2"/>
      </tp>
      <tp t="s">
        <v>#N/A N/A</v>
        <stp/>
        <stp>BDP|15415428682046185504</stp>
        <tr r="I518" s="2"/>
      </tp>
      <tp t="s">
        <v>#N/A N/A</v>
        <stp/>
        <stp>BDP|16381805544745392516</stp>
        <tr r="F4476" s="2"/>
      </tp>
      <tp t="s">
        <v>#N/A N/A</v>
        <stp/>
        <stp>BDP|13057152765087210972</stp>
        <tr r="D207" s="2"/>
      </tp>
      <tp t="s">
        <v>#N/A N/A</v>
        <stp/>
        <stp>BDP|17998923388475096963</stp>
        <tr r="C4741" s="2"/>
      </tp>
      <tp t="s">
        <v>#N/A N/A</v>
        <stp/>
        <stp>BDP|12407716210478164610</stp>
        <tr r="A895" s="2"/>
      </tp>
      <tp t="s">
        <v>#N/A N/A</v>
        <stp/>
        <stp>BDP|11050837012867064548</stp>
        <tr r="F266" s="2"/>
      </tp>
      <tp t="s">
        <v>#N/A N/A</v>
        <stp/>
        <stp>BDP|16114504625068973399</stp>
        <tr r="F2574" s="2"/>
      </tp>
      <tp t="s">
        <v>#N/A N/A</v>
        <stp/>
        <stp>BDP|16590084594491453496</stp>
        <tr r="B2212" s="2"/>
      </tp>
      <tp t="s">
        <v>#N/A N/A</v>
        <stp/>
        <stp>BDP|14794868369895957556</stp>
        <tr r="D2435" s="2"/>
      </tp>
      <tp t="s">
        <v>#N/A N/A</v>
        <stp/>
        <stp>BDP|16757142908868830576</stp>
        <tr r="G4113" s="2"/>
      </tp>
      <tp t="s">
        <v>#N/A N/A</v>
        <stp/>
        <stp>BDP|11890652798395545146</stp>
        <tr r="G1898" s="2"/>
      </tp>
      <tp t="s">
        <v>#N/A N/A</v>
        <stp/>
        <stp>BDP|14183232497714713166</stp>
        <tr r="F2709" s="2"/>
      </tp>
      <tp t="s">
        <v>#N/A N/A</v>
        <stp/>
        <stp>BDP|18101543008274880313</stp>
        <tr r="D4198" s="2"/>
      </tp>
      <tp t="s">
        <v>#N/A N/A</v>
        <stp/>
        <stp>BDP|16200616982921728327</stp>
        <tr r="B76" s="2"/>
      </tp>
      <tp t="s">
        <v>#N/A N/A</v>
        <stp/>
        <stp>BDP|16920953003912253797</stp>
        <tr r="A1669" s="2"/>
      </tp>
      <tp t="s">
        <v>#N/A N/A</v>
        <stp/>
        <stp>BDP|13984353559717058810</stp>
        <tr r="C286" s="2"/>
      </tp>
      <tp t="s">
        <v>#N/A N/A</v>
        <stp/>
        <stp>BDP|10186197302172938974</stp>
        <tr r="A1064" s="2"/>
      </tp>
      <tp t="s">
        <v>#N/A N/A</v>
        <stp/>
        <stp>BDP|13242059165028310755</stp>
        <tr r="I499" s="2"/>
      </tp>
      <tp t="s">
        <v>#N/A N/A</v>
        <stp/>
        <stp>BDP|11997652785770435596</stp>
        <tr r="F4907" s="2"/>
      </tp>
      <tp t="s">
        <v>#N/A N/A</v>
        <stp/>
        <stp>BDP|15480515860124548841</stp>
        <tr r="B744" s="2"/>
      </tp>
      <tp t="s">
        <v>#N/A N/A</v>
        <stp/>
        <stp>BDP|13706547949838846063</stp>
        <tr r="H4096" s="2"/>
      </tp>
      <tp t="s">
        <v>#N/A N/A</v>
        <stp/>
        <stp>BDP|12797324116979081374</stp>
        <tr r="F1902" s="2"/>
      </tp>
      <tp t="s">
        <v>#N/A N/A</v>
        <stp/>
        <stp>BDP|11988836674710320494</stp>
        <tr r="A3823" s="2"/>
      </tp>
      <tp t="s">
        <v>#N/A N/A</v>
        <stp/>
        <stp>BDP|12818869279435403273</stp>
        <tr r="H497" s="2"/>
      </tp>
      <tp t="s">
        <v>#N/A N/A</v>
        <stp/>
        <stp>BDP|13491175882462125245</stp>
        <tr r="D3815" s="2"/>
      </tp>
      <tp t="s">
        <v>#N/A N/A</v>
        <stp/>
        <stp>BDP|15185659851669297530</stp>
        <tr r="A4308" s="2"/>
      </tp>
      <tp t="s">
        <v>#N/A N/A</v>
        <stp/>
        <stp>BDP|18073941787300523329</stp>
        <tr r="C2138" s="2"/>
      </tp>
      <tp t="s">
        <v>#N/A N/A</v>
        <stp/>
        <stp>BDP|17680272228754801953</stp>
        <tr r="F3863" s="2"/>
      </tp>
      <tp t="s">
        <v>#N/A N/A</v>
        <stp/>
        <stp>BDP|12254977561247159018</stp>
        <tr r="G2931" s="2"/>
      </tp>
      <tp t="s">
        <v>#N/A N/A</v>
        <stp/>
        <stp>BDP|11921523406538184681</stp>
        <tr r="B4835" s="2"/>
      </tp>
      <tp t="s">
        <v>#N/A N/A</v>
        <stp/>
        <stp>BDP|10481347735383056915</stp>
        <tr r="I711" s="2"/>
      </tp>
      <tp t="s">
        <v>#N/A N/A</v>
        <stp/>
        <stp>BDP|15036085483256603198</stp>
        <tr r="A525" s="2"/>
      </tp>
      <tp t="s">
        <v>#N/A N/A</v>
        <stp/>
        <stp>BDP|12002081296964876523</stp>
        <tr r="F1597" s="2"/>
      </tp>
      <tp t="s">
        <v>#N/A N/A</v>
        <stp/>
        <stp>BDP|15046489998187379578</stp>
        <tr r="F4788" s="2"/>
      </tp>
      <tp t="s">
        <v>#N/A N/A</v>
        <stp/>
        <stp>BDP|11419002797856490431</stp>
        <tr r="B1530" s="2"/>
      </tp>
      <tp t="s">
        <v>#N/A N/A</v>
        <stp/>
        <stp>BDP|11130340281801105118</stp>
        <tr r="F13" s="2"/>
      </tp>
      <tp t="s">
        <v>#N/A N/A</v>
        <stp/>
        <stp>BDP|14030264467103763923</stp>
        <tr r="H1401" s="2"/>
      </tp>
      <tp t="s">
        <v>#N/A N/A</v>
        <stp/>
        <stp>BDP|12147056050228069504</stp>
        <tr r="F1339" s="2"/>
      </tp>
      <tp t="s">
        <v>#N/A N/A</v>
        <stp/>
        <stp>BDP|17725502101188009023</stp>
        <tr r="C1116" s="2"/>
      </tp>
      <tp t="s">
        <v>#N/A N/A</v>
        <stp/>
        <stp>BDP|18059644942618560873</stp>
        <tr r="B3596" s="2"/>
      </tp>
      <tp t="s">
        <v>#N/A N/A</v>
        <stp/>
        <stp>BDP|18144611061767382568</stp>
        <tr r="H573" s="2"/>
      </tp>
      <tp t="s">
        <v>#N/A N/A</v>
        <stp/>
        <stp>BDP|16745963085285203824</stp>
        <tr r="D485" s="2"/>
      </tp>
      <tp t="s">
        <v>#N/A N/A</v>
        <stp/>
        <stp>BDP|12249649382876417045</stp>
        <tr r="I3345" s="2"/>
      </tp>
      <tp t="s">
        <v>#N/A N/A</v>
        <stp/>
        <stp>BDP|17206365690014227326</stp>
        <tr r="B3739" s="2"/>
      </tp>
      <tp t="s">
        <v>#N/A N/A</v>
        <stp/>
        <stp>BDP|16616815875211570231</stp>
        <tr r="B2893" s="2"/>
      </tp>
      <tp t="s">
        <v>#N/A N/A</v>
        <stp/>
        <stp>BDP|16460805711845937088</stp>
        <tr r="H801" s="2"/>
      </tp>
      <tp t="s">
        <v>#N/A N/A</v>
        <stp/>
        <stp>BDP|12627708351758047239</stp>
        <tr r="C779" s="2"/>
      </tp>
      <tp t="s">
        <v>#N/A N/A</v>
        <stp/>
        <stp>BDP|15168774024888186272</stp>
        <tr r="F1325" s="2"/>
      </tp>
      <tp t="s">
        <v>#N/A N/A</v>
        <stp/>
        <stp>BDP|15075170551839693246</stp>
        <tr r="I1492" s="2"/>
      </tp>
      <tp t="s">
        <v>#N/A N/A</v>
        <stp/>
        <stp>BDP|11671429816029086761</stp>
        <tr r="D4615" s="2"/>
      </tp>
      <tp t="s">
        <v>#N/A N/A</v>
        <stp/>
        <stp>BDP|16718001124806474838</stp>
        <tr r="D2279" s="2"/>
      </tp>
      <tp t="s">
        <v>#N/A N/A</v>
        <stp/>
        <stp>BDP|17413643812558445224</stp>
        <tr r="D3323" s="2"/>
      </tp>
      <tp t="s">
        <v>#N/A N/A</v>
        <stp/>
        <stp>BDP|18231424565581266133</stp>
        <tr r="H3710" s="2"/>
      </tp>
      <tp t="s">
        <v>#N/A N/A</v>
        <stp/>
        <stp>BDP|18302013111493330043</stp>
        <tr r="G2848" s="2"/>
      </tp>
      <tp t="s">
        <v>#N/A N/A</v>
        <stp/>
        <stp>BDP|12079494894783018692</stp>
        <tr r="G4989" s="2"/>
      </tp>
      <tp t="s">
        <v>#N/A N/A</v>
        <stp/>
        <stp>BDP|16546978275171682352</stp>
        <tr r="I1424" s="2"/>
      </tp>
      <tp t="s">
        <v>#N/A N/A</v>
        <stp/>
        <stp>BDP|14153577803402126902</stp>
        <tr r="A1282" s="2"/>
      </tp>
      <tp t="s">
        <v>#N/A N/A</v>
        <stp/>
        <stp>BDP|13750601774381540925</stp>
        <tr r="B4801" s="2"/>
      </tp>
      <tp t="s">
        <v>#N/A N/A</v>
        <stp/>
        <stp>BDP|13968281895491320337</stp>
        <tr r="F928" s="2"/>
      </tp>
      <tp t="s">
        <v>#N/A N/A</v>
        <stp/>
        <stp>BDP|13277193474938298792</stp>
        <tr r="F3721" s="2"/>
      </tp>
      <tp t="s">
        <v>#N/A N/A</v>
        <stp/>
        <stp>BDP|13231060051638436450</stp>
        <tr r="D4291" s="2"/>
      </tp>
      <tp t="s">
        <v>#N/A N/A</v>
        <stp/>
        <stp>BDP|14212816495118320712</stp>
        <tr r="C1991" s="2"/>
      </tp>
      <tp t="s">
        <v>#N/A N/A</v>
        <stp/>
        <stp>BDP|11347430163610617915</stp>
        <tr r="C683" s="2"/>
      </tp>
      <tp t="s">
        <v>#N/A N/A</v>
        <stp/>
        <stp>BDP|13219662993902140428</stp>
        <tr r="F4271" s="2"/>
      </tp>
      <tp t="s">
        <v>#N/A N/A</v>
        <stp/>
        <stp>BDP|10132147110019261334</stp>
        <tr r="G3156" s="2"/>
      </tp>
      <tp t="s">
        <v>#N/A N/A</v>
        <stp/>
        <stp>BDP|16420603760475002903</stp>
        <tr r="B165" s="2"/>
      </tp>
      <tp t="s">
        <v>#N/A N/A</v>
        <stp/>
        <stp>BDP|11313235470728248662</stp>
        <tr r="A1848" s="2"/>
      </tp>
      <tp t="s">
        <v>#N/A N/A</v>
        <stp/>
        <stp>BDP|15077188961848816053</stp>
        <tr r="F4411" s="2"/>
      </tp>
      <tp t="s">
        <v>#N/A N/A</v>
        <stp/>
        <stp>BDP|12710846216421629074</stp>
        <tr r="G4573" s="2"/>
      </tp>
      <tp t="s">
        <v>#N/A N/A</v>
        <stp/>
        <stp>BDP|13827356488120889298</stp>
        <tr r="F2539" s="2"/>
      </tp>
      <tp t="s">
        <v>#N/A N/A</v>
        <stp/>
        <stp>BDP|12052501899686908247</stp>
        <tr r="H4467" s="2"/>
      </tp>
      <tp t="s">
        <v>#N/A N/A</v>
        <stp/>
        <stp>BDP|17309171863549713340</stp>
        <tr r="I1287" s="2"/>
      </tp>
      <tp t="s">
        <v>#N/A N/A</v>
        <stp/>
        <stp>BDP|17777961301272110650</stp>
        <tr r="F301" s="2"/>
      </tp>
      <tp t="s">
        <v>#N/A N/A</v>
        <stp/>
        <stp>BDP|14554220984673776700</stp>
        <tr r="D2925" s="2"/>
      </tp>
      <tp t="s">
        <v>#N/A N/A</v>
        <stp/>
        <stp>BDP|11776846781528557335</stp>
        <tr r="I1734" s="2"/>
      </tp>
      <tp t="s">
        <v>#N/A N/A</v>
        <stp/>
        <stp>BDP|18111649665046684424</stp>
        <tr r="B1881" s="2"/>
      </tp>
      <tp t="s">
        <v>#N/A N/A</v>
        <stp/>
        <stp>BDP|15666454506363275832</stp>
        <tr r="H1382" s="2"/>
      </tp>
      <tp t="s">
        <v>#N/A N/A</v>
        <stp/>
        <stp>BDP|15827074619649046720</stp>
        <tr r="I2176" s="2"/>
      </tp>
      <tp t="s">
        <v>#N/A N/A</v>
        <stp/>
        <stp>BDP|11336131581964440624</stp>
        <tr r="C2853" s="2"/>
      </tp>
      <tp t="s">
        <v>#N/A N/A</v>
        <stp/>
        <stp>BDP|17707773637878040104</stp>
        <tr r="I949" s="2"/>
      </tp>
      <tp t="s">
        <v>#N/A N/A</v>
        <stp/>
        <stp>BDP|15076619446958586554</stp>
        <tr r="I1725" s="2"/>
      </tp>
      <tp t="s">
        <v>#N/A N/A</v>
        <stp/>
        <stp>BDP|16326459685127146754</stp>
        <tr r="C1902" s="2"/>
      </tp>
      <tp t="s">
        <v>#N/A N/A</v>
        <stp/>
        <stp>BDP|15273974282357734979</stp>
        <tr r="I2233" s="2"/>
      </tp>
      <tp t="s">
        <v>#N/A N/A</v>
        <stp/>
        <stp>BDP|11178534386840462674</stp>
        <tr r="C4329" s="2"/>
      </tp>
      <tp t="s">
        <v>#N/A N/A</v>
        <stp/>
        <stp>BDP|14584053405376298808</stp>
        <tr r="F4310" s="2"/>
      </tp>
      <tp t="s">
        <v>#N/A N/A</v>
        <stp/>
        <stp>BDP|17794335764169440130</stp>
        <tr r="H3507" s="2"/>
      </tp>
      <tp t="s">
        <v>#N/A N/A</v>
        <stp/>
        <stp>BDP|10734121296817455506</stp>
        <tr r="G1883" s="2"/>
      </tp>
      <tp t="s">
        <v>#N/A N/A</v>
        <stp/>
        <stp>BDP|16595344860350150973</stp>
        <tr r="C3585" s="2"/>
      </tp>
      <tp t="s">
        <v>#N/A N/A</v>
        <stp/>
        <stp>BDP|18107239929904916659</stp>
        <tr r="G1946" s="2"/>
      </tp>
      <tp t="s">
        <v>#N/A N/A</v>
        <stp/>
        <stp>BDP|17960810732295595385</stp>
        <tr r="F4458" s="2"/>
      </tp>
      <tp t="s">
        <v>#N/A N/A</v>
        <stp/>
        <stp>BDP|18247779230593397519</stp>
        <tr r="F2086" s="2"/>
      </tp>
      <tp t="s">
        <v>#N/A N/A</v>
        <stp/>
        <stp>BDP|18438500547696155558</stp>
        <tr r="C653" s="2"/>
      </tp>
      <tp t="s">
        <v>#N/A N/A</v>
        <stp/>
        <stp>BDP|16668928052037318727</stp>
        <tr r="C2118" s="2"/>
      </tp>
      <tp t="s">
        <v>#N/A N/A</v>
        <stp/>
        <stp>BDP|10439574071551385965</stp>
        <tr r="H1017" s="2"/>
      </tp>
      <tp t="s">
        <v>#N/A N/A</v>
        <stp/>
        <stp>BDP|13448293788951251204</stp>
        <tr r="D367" s="2"/>
      </tp>
      <tp t="s">
        <v>#N/A N/A</v>
        <stp/>
        <stp>BDP|11213643840330472959</stp>
        <tr r="I1738" s="2"/>
      </tp>
      <tp t="s">
        <v>#N/A N/A</v>
        <stp/>
        <stp>BDP|12241914824734792770</stp>
        <tr r="H4631" s="2"/>
      </tp>
      <tp t="s">
        <v>#N/A N/A</v>
        <stp/>
        <stp>BDP|15785043047602173924</stp>
        <tr r="I3678" s="2"/>
      </tp>
      <tp t="s">
        <v>#N/A N/A</v>
        <stp/>
        <stp>BDP|10525557682941757627</stp>
        <tr r="H4718" s="2"/>
      </tp>
      <tp t="s">
        <v>#N/A N/A</v>
        <stp/>
        <stp>BDP|15689673206619608063</stp>
        <tr r="I3618" s="2"/>
      </tp>
      <tp t="s">
        <v>#N/A N/A</v>
        <stp/>
        <stp>BDP|18017431027896743241</stp>
        <tr r="B3521" s="2"/>
      </tp>
      <tp t="s">
        <v>#N/A N/A</v>
        <stp/>
        <stp>BDP|17654599088095381539</stp>
        <tr r="A1437" s="2"/>
      </tp>
      <tp t="s">
        <v>#N/A N/A</v>
        <stp/>
        <stp>BDP|13199117795846484763</stp>
        <tr r="A3535" s="2"/>
      </tp>
      <tp t="s">
        <v>#N/A N/A</v>
        <stp/>
        <stp>BDP|10413368280135779422</stp>
        <tr r="F1087" s="2"/>
      </tp>
      <tp t="s">
        <v>#N/A N/A</v>
        <stp/>
        <stp>BDP|10300079384957199565</stp>
        <tr r="F693" s="2"/>
      </tp>
      <tp t="s">
        <v>#N/A N/A</v>
        <stp/>
        <stp>BDP|14197408667979873593</stp>
        <tr r="H815" s="2"/>
      </tp>
      <tp t="s">
        <v>#N/A N/A</v>
        <stp/>
        <stp>BDP|12534038238093978800</stp>
        <tr r="F2241" s="2"/>
      </tp>
      <tp t="s">
        <v>#N/A N/A</v>
        <stp/>
        <stp>BDP|12202863463226286025</stp>
        <tr r="I2467" s="2"/>
      </tp>
      <tp t="s">
        <v>#N/A N/A</v>
        <stp/>
        <stp>BDP|14125862451203664077</stp>
        <tr r="I418" s="2"/>
      </tp>
      <tp t="s">
        <v>#N/A N/A</v>
        <stp/>
        <stp>BDP|14234615654259877480</stp>
        <tr r="H2613" s="2"/>
      </tp>
      <tp t="s">
        <v>#N/A N/A</v>
        <stp/>
        <stp>BDP|12683378701278531322</stp>
        <tr r="G4622" s="2"/>
      </tp>
      <tp t="s">
        <v>#N/A N/A</v>
        <stp/>
        <stp>BDP|15334426814349710355</stp>
        <tr r="H700" s="2"/>
      </tp>
      <tp t="s">
        <v>#N/A N/A</v>
        <stp/>
        <stp>BDP|10097620950191482812</stp>
        <tr r="D1774" s="2"/>
      </tp>
      <tp t="s">
        <v>#N/A N/A</v>
        <stp/>
        <stp>BDP|17062707491157702412</stp>
        <tr r="B2458" s="2"/>
      </tp>
      <tp t="s">
        <v>#N/A N/A</v>
        <stp/>
        <stp>BDP|16232832842718259861</stp>
        <tr r="C4363" s="2"/>
      </tp>
      <tp t="s">
        <v>#N/A N/A</v>
        <stp/>
        <stp>BDP|18288136347935965280</stp>
        <tr r="I3363" s="2"/>
      </tp>
      <tp t="s">
        <v>#N/A N/A</v>
        <stp/>
        <stp>BDP|10085346845778605508</stp>
        <tr r="G97" s="2"/>
      </tp>
      <tp t="s">
        <v>#N/A N/A</v>
        <stp/>
        <stp>BDP|13356916378797902045</stp>
        <tr r="A1734" s="2"/>
      </tp>
      <tp t="s">
        <v>#N/A N/A</v>
        <stp/>
        <stp>BDP|15756461702089462203</stp>
        <tr r="D456" s="2"/>
      </tp>
      <tp t="s">
        <v>#N/A N/A</v>
        <stp/>
        <stp>BDP|17749800750866382635</stp>
        <tr r="G4379" s="2"/>
      </tp>
      <tp t="s">
        <v>#N/A N/A</v>
        <stp/>
        <stp>BDP|10152796148859037079</stp>
        <tr r="A2732" s="2"/>
      </tp>
      <tp t="s">
        <v>#N/A N/A</v>
        <stp/>
        <stp>BDP|16516031636647426835</stp>
        <tr r="B1612" s="2"/>
      </tp>
      <tp t="s">
        <v>#N/A N/A</v>
        <stp/>
        <stp>BDP|10804926318230238277</stp>
        <tr r="H2488" s="2"/>
      </tp>
      <tp t="s">
        <v>#N/A N/A</v>
        <stp/>
        <stp>BDP|11035796866402835802</stp>
        <tr r="A4403" s="2"/>
      </tp>
      <tp t="s">
        <v>#N/A N/A</v>
        <stp/>
        <stp>BDP|11717674630728569624</stp>
        <tr r="H756" s="2"/>
      </tp>
      <tp t="s">
        <v>#N/A N/A</v>
        <stp/>
        <stp>BDP|18366253555005535016</stp>
        <tr r="C1093" s="2"/>
      </tp>
      <tp t="s">
        <v>#N/A N/A</v>
        <stp/>
        <stp>BDP|14455341163702635920</stp>
        <tr r="C2467" s="2"/>
      </tp>
      <tp t="s">
        <v>#N/A N/A</v>
        <stp/>
        <stp>BDP|10792604126197758919</stp>
        <tr r="B2032" s="2"/>
      </tp>
      <tp t="s">
        <v>#N/A N/A</v>
        <stp/>
        <stp>BDP|16206268648823990929</stp>
        <tr r="D4454" s="2"/>
      </tp>
      <tp t="s">
        <v>#N/A N/A</v>
        <stp/>
        <stp>BDP|12125901207693231231</stp>
        <tr r="C3334" s="2"/>
      </tp>
      <tp t="s">
        <v>#N/A N/A</v>
        <stp/>
        <stp>BDP|12081020111838038144</stp>
        <tr r="H1196" s="2"/>
      </tp>
      <tp t="s">
        <v>#N/A N/A</v>
        <stp/>
        <stp>BDP|15092958535091314447</stp>
        <tr r="C1303" s="2"/>
      </tp>
      <tp t="s">
        <v>#N/A N/A</v>
        <stp/>
        <stp>BDP|13641347986825543769</stp>
        <tr r="I2727" s="2"/>
      </tp>
      <tp t="s">
        <v>#N/A N/A</v>
        <stp/>
        <stp>BDP|15491052138884648881</stp>
        <tr r="C3535" s="2"/>
      </tp>
      <tp t="s">
        <v>#N/A N/A</v>
        <stp/>
        <stp>BDP|11342651853011408963</stp>
        <tr r="D3089" s="2"/>
      </tp>
      <tp t="s">
        <v>#N/A N/A</v>
        <stp/>
        <stp>BDP|12823957146764926156</stp>
        <tr r="F1213" s="2"/>
      </tp>
      <tp t="s">
        <v>#N/A N/A</v>
        <stp/>
        <stp>BDP|15625350282010074463</stp>
        <tr r="H2201" s="2"/>
      </tp>
      <tp t="s">
        <v>#N/A N/A</v>
        <stp/>
        <stp>BDP|10830417995666806137</stp>
        <tr r="D3397" s="2"/>
      </tp>
      <tp t="s">
        <v>#N/A N/A</v>
        <stp/>
        <stp>BDP|16268926846187360622</stp>
        <tr r="D4344" s="2"/>
      </tp>
      <tp t="s">
        <v>#N/A N/A</v>
        <stp/>
        <stp>BDP|10991264285957577786</stp>
        <tr r="G1326" s="2"/>
      </tp>
      <tp t="s">
        <v>#N/A N/A</v>
        <stp/>
        <stp>BDP|14794849153726336541</stp>
        <tr r="H3142" s="2"/>
      </tp>
      <tp t="s">
        <v>#N/A N/A</v>
        <stp/>
        <stp>BDP|16953032445281191998</stp>
        <tr r="A3782" s="2"/>
      </tp>
      <tp t="s">
        <v>#N/A N/A</v>
        <stp/>
        <stp>BDP|17646247453123539935</stp>
        <tr r="H1595" s="2"/>
      </tp>
      <tp t="s">
        <v>#N/A N/A</v>
        <stp/>
        <stp>BDP|11399410901948464702</stp>
        <tr r="I2073" s="2"/>
      </tp>
      <tp t="s">
        <v>#N/A N/A</v>
        <stp/>
        <stp>BDP|13322911572041794611</stp>
        <tr r="D2450" s="2"/>
      </tp>
      <tp t="s">
        <v>#N/A N/A</v>
        <stp/>
        <stp>BDP|12451842684889709154</stp>
        <tr r="F3679" s="2"/>
      </tp>
      <tp t="s">
        <v>#N/A N/A</v>
        <stp/>
        <stp>BDP|12230162402680643969</stp>
        <tr r="G3709" s="2"/>
      </tp>
      <tp t="s">
        <v>#N/A N/A</v>
        <stp/>
        <stp>BDP|10223436477889561050</stp>
        <tr r="C2389" s="2"/>
      </tp>
      <tp t="s">
        <v>#N/A N/A</v>
        <stp/>
        <stp>BDP|18268844377249421438</stp>
        <tr r="D608" s="2"/>
      </tp>
      <tp t="s">
        <v>#N/A N/A</v>
        <stp/>
        <stp>BDP|13293892878074348265</stp>
        <tr r="I2392" s="2"/>
      </tp>
      <tp t="s">
        <v>#N/A N/A</v>
        <stp/>
        <stp>BDP|15156032420855213864</stp>
        <tr r="G3553" s="2"/>
      </tp>
      <tp t="s">
        <v>#N/A N/A</v>
        <stp/>
        <stp>BDP|13330319713463326846</stp>
        <tr r="B4544" s="2"/>
      </tp>
      <tp t="s">
        <v>#N/A N/A</v>
        <stp/>
        <stp>BDP|16273038536709311623</stp>
        <tr r="C3808" s="2"/>
      </tp>
      <tp t="s">
        <v>#N/A N/A</v>
        <stp/>
        <stp>BDP|11983173198792751170</stp>
        <tr r="D1347" s="2"/>
      </tp>
      <tp t="s">
        <v>#N/A N/A</v>
        <stp/>
        <stp>BDP|10728338417280542805</stp>
        <tr r="B2424" s="2"/>
      </tp>
      <tp t="s">
        <v>#N/A N/A</v>
        <stp/>
        <stp>BDP|11862812708964472733</stp>
        <tr r="B355" s="2"/>
      </tp>
      <tp t="s">
        <v>#N/A N/A</v>
        <stp/>
        <stp>BDP|11951289194092534267</stp>
        <tr r="D170" s="2"/>
      </tp>
      <tp t="s">
        <v>#N/A N/A</v>
        <stp/>
        <stp>BDP|10031908186843848888</stp>
        <tr r="G3461" s="2"/>
      </tp>
      <tp t="s">
        <v>#N/A N/A</v>
        <stp/>
        <stp>BDP|13443081052044038889</stp>
        <tr r="D2290" s="2"/>
      </tp>
      <tp t="s">
        <v>#N/A N/A</v>
        <stp/>
        <stp>BDP|12287588509334548909</stp>
        <tr r="C108" s="2"/>
      </tp>
      <tp t="s">
        <v>#N/A N/A</v>
        <stp/>
        <stp>BDP|14070997268066259758</stp>
        <tr r="I4230" s="2"/>
      </tp>
      <tp t="s">
        <v>#N/A N/A</v>
        <stp/>
        <stp>BDP|12648651785631392737</stp>
        <tr r="F3643" s="2"/>
      </tp>
      <tp t="s">
        <v>#N/A N/A</v>
        <stp/>
        <stp>BDP|12646523805375393840</stp>
        <tr r="D1296" s="2"/>
      </tp>
      <tp t="s">
        <v>#N/A N/A</v>
        <stp/>
        <stp>BDP|13903637565568966109</stp>
        <tr r="H4464" s="2"/>
      </tp>
      <tp t="s">
        <v>#N/A N/A</v>
        <stp/>
        <stp>BDP|16247462411020337908</stp>
        <tr r="F3768" s="2"/>
      </tp>
      <tp t="s">
        <v>#N/A N/A</v>
        <stp/>
        <stp>BDP|11677504993065398207</stp>
        <tr r="F3168" s="2"/>
      </tp>
      <tp t="s">
        <v>#N/A N/A</v>
        <stp/>
        <stp>BDP|15448681755078617498</stp>
        <tr r="G4311" s="2"/>
      </tp>
      <tp t="s">
        <v>#N/A N/A</v>
        <stp/>
        <stp>BDP|18119674740408545856</stp>
        <tr r="B4266" s="2"/>
      </tp>
      <tp t="s">
        <v>#N/A N/A</v>
        <stp/>
        <stp>BDP|16183864425861062741</stp>
        <tr r="F4269" s="2"/>
      </tp>
      <tp t="s">
        <v>#N/A N/A</v>
        <stp/>
        <stp>BDP|10200503927515024836</stp>
        <tr r="C3339" s="2"/>
      </tp>
      <tp t="s">
        <v>#N/A N/A</v>
        <stp/>
        <stp>BDP|12945930478054528214</stp>
        <tr r="A3018" s="2"/>
      </tp>
      <tp t="s">
        <v>#N/A N/A</v>
        <stp/>
        <stp>BDP|13354676213619918786</stp>
        <tr r="C476" s="2"/>
      </tp>
      <tp t="s">
        <v>#N/A N/A</v>
        <stp/>
        <stp>BDP|10929178731569896114</stp>
        <tr r="B754" s="2"/>
      </tp>
      <tp t="s">
        <v>#N/A N/A</v>
        <stp/>
        <stp>BDP|14783803423113188730</stp>
        <tr r="B2176" s="2"/>
      </tp>
      <tp t="s">
        <v>#N/A N/A</v>
        <stp/>
        <stp>BDP|10656447853172731902</stp>
        <tr r="I3512" s="2"/>
      </tp>
      <tp t="s">
        <v>#N/A N/A</v>
        <stp/>
        <stp>BDP|17522340117086561956</stp>
        <tr r="H2085" s="2"/>
      </tp>
      <tp t="s">
        <v>#N/A N/A</v>
        <stp/>
        <stp>BDP|17835965884424545894</stp>
        <tr r="A4240" s="2"/>
      </tp>
      <tp t="s">
        <v>#N/A N/A</v>
        <stp/>
        <stp>BDP|15230269596807040344</stp>
        <tr r="F2322" s="2"/>
      </tp>
      <tp t="s">
        <v>#N/A N/A</v>
        <stp/>
        <stp>BDP|12804876136540762387</stp>
        <tr r="I3428" s="2"/>
      </tp>
      <tp t="s">
        <v>#N/A N/A</v>
        <stp/>
        <stp>BDP|13560955905050213013</stp>
        <tr r="G2744" s="2"/>
      </tp>
      <tp t="s">
        <v>#N/A N/A</v>
        <stp/>
        <stp>BDP|14394122486117538048</stp>
        <tr r="I2446" s="2"/>
      </tp>
      <tp t="s">
        <v>#N/A N/A</v>
        <stp/>
        <stp>BDP|10909562489233956494</stp>
        <tr r="G4154" s="2"/>
      </tp>
      <tp t="s">
        <v>#N/A N/A</v>
        <stp/>
        <stp>BDP|16212882016316976336</stp>
        <tr r="I3839" s="2"/>
      </tp>
      <tp t="s">
        <v>#N/A N/A</v>
        <stp/>
        <stp>BDP|17596145444008197024</stp>
        <tr r="G454" s="2"/>
      </tp>
      <tp t="s">
        <v>#N/A N/A</v>
        <stp/>
        <stp>BDP|15050422681512075154</stp>
        <tr r="H1746" s="2"/>
      </tp>
      <tp t="s">
        <v>#N/A N/A</v>
        <stp/>
        <stp>BDP|17247901657818682954</stp>
        <tr r="G45" s="2"/>
      </tp>
      <tp t="s">
        <v>#N/A N/A</v>
        <stp/>
        <stp>BDP|15677576362108279477</stp>
        <tr r="I575" s="2"/>
      </tp>
      <tp t="s">
        <v>#N/A N/A</v>
        <stp/>
        <stp>BDP|15142276185986434318</stp>
        <tr r="A1165" s="2"/>
      </tp>
      <tp t="s">
        <v>#N/A N/A</v>
        <stp/>
        <stp>BDP|10591725988111140489</stp>
        <tr r="C1184" s="2"/>
      </tp>
      <tp t="s">
        <v>#N/A N/A</v>
        <stp/>
        <stp>BDP|10023554822164415956</stp>
        <tr r="I4617" s="2"/>
      </tp>
      <tp t="s">
        <v>#N/A N/A</v>
        <stp/>
        <stp>BDP|16059776347659637606</stp>
        <tr r="F2298" s="2"/>
      </tp>
      <tp t="s">
        <v>#N/A N/A</v>
        <stp/>
        <stp>BDP|17901864122985240299</stp>
        <tr r="F4777" s="2"/>
      </tp>
      <tp t="s">
        <v>#N/A N/A</v>
        <stp/>
        <stp>BDP|14480969386697410866</stp>
        <tr r="C4985" s="2"/>
      </tp>
      <tp t="s">
        <v>#N/A N/A</v>
        <stp/>
        <stp>BDP|18069357032393265134</stp>
        <tr r="I2443" s="2"/>
      </tp>
      <tp t="s">
        <v>#N/A N/A</v>
        <stp/>
        <stp>BDP|10852892332639146845</stp>
        <tr r="H3528" s="2"/>
      </tp>
      <tp t="s">
        <v>#N/A N/A</v>
        <stp/>
        <stp>BDP|16254396307406273980</stp>
        <tr r="F1046" s="2"/>
      </tp>
      <tp t="s">
        <v>#N/A N/A</v>
        <stp/>
        <stp>BDP|17744178617924957980</stp>
        <tr r="D3147" s="2"/>
      </tp>
      <tp t="s">
        <v>#N/A N/A</v>
        <stp/>
        <stp>BDP|13361761622034189808</stp>
        <tr r="G2113" s="2"/>
      </tp>
      <tp t="s">
        <v>#N/A N/A</v>
        <stp/>
        <stp>BDP|18329125613190799238</stp>
        <tr r="I2450" s="2"/>
      </tp>
      <tp t="s">
        <v>#N/A N/A</v>
        <stp/>
        <stp>BDP|14000775061309344635</stp>
        <tr r="D3282" s="2"/>
      </tp>
      <tp t="s">
        <v>#N/A N/A</v>
        <stp/>
        <stp>BDP|17307908431145063248</stp>
        <tr r="F4824" s="2"/>
      </tp>
      <tp t="s">
        <v>#N/A N/A</v>
        <stp/>
        <stp>BDP|14523283368132254812</stp>
        <tr r="F1673" s="2"/>
      </tp>
      <tp t="s">
        <v>#N/A N/A</v>
        <stp/>
        <stp>BDP|16796694889697850599</stp>
        <tr r="H3515" s="2"/>
      </tp>
      <tp t="s">
        <v>#N/A N/A</v>
        <stp/>
        <stp>BDP|13057550299231970437</stp>
        <tr r="I2724" s="2"/>
      </tp>
      <tp t="s">
        <v>#N/A N/A</v>
        <stp/>
        <stp>BDP|18212382514186850601</stp>
        <tr r="H1271" s="2"/>
      </tp>
      <tp t="s">
        <v>#N/A N/A</v>
        <stp/>
        <stp>BDP|15765303660423905987</stp>
        <tr r="C1170" s="2"/>
      </tp>
      <tp t="s">
        <v>#N/A N/A</v>
        <stp/>
        <stp>BDP|13041839672317384140</stp>
        <tr r="A666" s="2"/>
      </tp>
      <tp t="s">
        <v>#N/A N/A</v>
        <stp/>
        <stp>BDP|11031039789113998057</stp>
        <tr r="F4459" s="2"/>
      </tp>
      <tp t="s">
        <v>#N/A N/A</v>
        <stp/>
        <stp>BDP|10122721719758419480</stp>
        <tr r="B2175" s="2"/>
      </tp>
      <tp t="s">
        <v>#N/A N/A</v>
        <stp/>
        <stp>BDP|11785205020883404850</stp>
        <tr r="I4937" s="2"/>
      </tp>
      <tp t="s">
        <v>#N/A N/A</v>
        <stp/>
        <stp>BDP|15404894975449670982</stp>
        <tr r="F4402" s="2"/>
      </tp>
      <tp t="s">
        <v>#N/A N/A</v>
        <stp/>
        <stp>BDP|15304057910009278725</stp>
        <tr r="G2375" s="2"/>
      </tp>
      <tp t="s">
        <v>#N/A N/A</v>
        <stp/>
        <stp>BDP|10657422392376434142</stp>
        <tr r="A4519" s="2"/>
      </tp>
      <tp t="s">
        <v>#N/A N/A</v>
        <stp/>
        <stp>BDP|13547237733461711943</stp>
        <tr r="A2532" s="2"/>
      </tp>
      <tp t="s">
        <v>#N/A N/A</v>
        <stp/>
        <stp>BDP|15577146406579919781</stp>
        <tr r="C3694" s="2"/>
      </tp>
      <tp t="s">
        <v>#N/A N/A</v>
        <stp/>
        <stp>BDP|13448890866086507180</stp>
        <tr r="G4070" s="2"/>
      </tp>
      <tp t="s">
        <v>#N/A N/A</v>
        <stp/>
        <stp>BDP|17060762927631270951</stp>
        <tr r="G4725" s="2"/>
      </tp>
      <tp t="s">
        <v>#N/A N/A</v>
        <stp/>
        <stp>BDP|15793858739326846252</stp>
        <tr r="I2149" s="2"/>
      </tp>
      <tp t="s">
        <v>#N/A N/A</v>
        <stp/>
        <stp>BDP|16238713730791766925</stp>
        <tr r="A1489" s="2"/>
      </tp>
      <tp t="s">
        <v>#N/A N/A</v>
        <stp/>
        <stp>BDP|14280826118966944177</stp>
        <tr r="F582" s="2"/>
      </tp>
      <tp t="s">
        <v>#N/A N/A</v>
        <stp/>
        <stp>BDP|16919052712865101960</stp>
        <tr r="G2623" s="2"/>
      </tp>
      <tp t="s">
        <v>#N/A N/A</v>
        <stp/>
        <stp>BDP|18420326679384744318</stp>
        <tr r="D1655" s="2"/>
      </tp>
      <tp t="s">
        <v>#N/A N/A</v>
        <stp/>
        <stp>BDP|10226259128629413227</stp>
        <tr r="C4500" s="2"/>
      </tp>
      <tp t="s">
        <v>#N/A N/A</v>
        <stp/>
        <stp>BDP|11326424895717997042</stp>
        <tr r="B4179" s="2"/>
      </tp>
      <tp t="s">
        <v>#N/A N/A</v>
        <stp/>
        <stp>BDP|17710569993216860636</stp>
        <tr r="H1684" s="2"/>
      </tp>
      <tp t="s">
        <v>#N/A N/A</v>
        <stp/>
        <stp>BDP|13096118589099521849</stp>
        <tr r="B2300" s="2"/>
      </tp>
      <tp t="s">
        <v>#N/A N/A</v>
        <stp/>
        <stp>BDP|10484452889786319125</stp>
        <tr r="C2365" s="2"/>
      </tp>
      <tp t="s">
        <v>#N/A N/A</v>
        <stp/>
        <stp>BDP|12891168595402389314</stp>
        <tr r="H1691" s="2"/>
      </tp>
      <tp t="s">
        <v>#N/A N/A</v>
        <stp/>
        <stp>BDP|11333312323299085283</stp>
        <tr r="I4955" s="2"/>
      </tp>
      <tp t="s">
        <v>#N/A N/A</v>
        <stp/>
        <stp>BDP|10665488801807084866</stp>
        <tr r="H2061" s="2"/>
      </tp>
      <tp t="s">
        <v>#N/A N/A</v>
        <stp/>
        <stp>BDP|14272957113867501080</stp>
        <tr r="B860" s="2"/>
      </tp>
      <tp t="s">
        <v>#N/A N/A</v>
        <stp/>
        <stp>BDP|12491973174402661580</stp>
        <tr r="F4404" s="2"/>
      </tp>
      <tp t="s">
        <v>#N/A N/A</v>
        <stp/>
        <stp>BDP|12332789493350383729</stp>
        <tr r="G1616" s="2"/>
      </tp>
      <tp t="s">
        <v>#N/A N/A</v>
        <stp/>
        <stp>BDP|13645636219056192943</stp>
        <tr r="B309" s="2"/>
      </tp>
      <tp t="s">
        <v>#N/A N/A</v>
        <stp/>
        <stp>BDP|16443993460536449409</stp>
        <tr r="I1989" s="2"/>
      </tp>
      <tp t="s">
        <v>#N/A N/A</v>
        <stp/>
        <stp>BDP|14711396490492559729</stp>
        <tr r="G3924" s="2"/>
      </tp>
      <tp t="s">
        <v>#N/A N/A</v>
        <stp/>
        <stp>BDP|12875891195970833853</stp>
        <tr r="I4143" s="2"/>
      </tp>
      <tp t="s">
        <v>#N/A N/A</v>
        <stp/>
        <stp>BDP|12162381268508092484</stp>
        <tr r="F1707" s="2"/>
      </tp>
      <tp t="s">
        <v>#N/A N/A</v>
        <stp/>
        <stp>BDP|11390091912668754365</stp>
        <tr r="I2860" s="2"/>
      </tp>
      <tp t="s">
        <v>#N/A N/A</v>
        <stp/>
        <stp>BDP|15053481895030083342</stp>
        <tr r="D704" s="2"/>
      </tp>
      <tp t="s">
        <v>#N/A N/A</v>
        <stp/>
        <stp>BDP|13780820727760244295</stp>
        <tr r="A3554" s="2"/>
      </tp>
      <tp t="s">
        <v>#N/A N/A</v>
        <stp/>
        <stp>BDP|14972325022976834886</stp>
        <tr r="H6" s="2"/>
      </tp>
      <tp t="s">
        <v>#N/A N/A</v>
        <stp/>
        <stp>BDP|12966404881456019319</stp>
        <tr r="I2046" s="2"/>
      </tp>
      <tp t="s">
        <v>#N/A N/A</v>
        <stp/>
        <stp>BDP|11375899633842928399</stp>
        <tr r="H4217" s="2"/>
      </tp>
      <tp t="s">
        <v>#N/A N/A</v>
        <stp/>
        <stp>BDP|16089084340651475850</stp>
        <tr r="C2240" s="2"/>
      </tp>
      <tp t="s">
        <v>#N/A N/A</v>
        <stp/>
        <stp>BDP|11694846502117807513</stp>
        <tr r="A4029" s="2"/>
      </tp>
      <tp t="s">
        <v>#N/A N/A</v>
        <stp/>
        <stp>BDP|11413978935243768380</stp>
        <tr r="B2870" s="2"/>
      </tp>
      <tp t="s">
        <v>#N/A N/A</v>
        <stp/>
        <stp>BDP|14593537654109314683</stp>
        <tr r="H2913" s="2"/>
      </tp>
      <tp t="s">
        <v>#N/A N/A</v>
        <stp/>
        <stp>BDP|13408887342432597626</stp>
        <tr r="C2591" s="2"/>
      </tp>
      <tp t="s">
        <v>#N/A N/A</v>
        <stp/>
        <stp>BDP|15928084648438796277</stp>
        <tr r="I363" s="2"/>
      </tp>
      <tp t="s">
        <v>#N/A N/A</v>
        <stp/>
        <stp>BDP|17528267566619967159</stp>
        <tr r="H3377" s="2"/>
      </tp>
      <tp t="s">
        <v>#N/A N/A</v>
        <stp/>
        <stp>BDP|14730879714940469699</stp>
        <tr r="C1542" s="2"/>
      </tp>
      <tp t="s">
        <v>#N/A N/A</v>
        <stp/>
        <stp>BDP|12282773479640056954</stp>
        <tr r="A3322" s="2"/>
      </tp>
      <tp t="s">
        <v>#N/A N/A</v>
        <stp/>
        <stp>BDP|16028921535573825467</stp>
        <tr r="B1393" s="2"/>
      </tp>
      <tp t="s">
        <v>#N/A N/A</v>
        <stp/>
        <stp>BDP|13266181070877689954</stp>
        <tr r="D3787" s="2"/>
      </tp>
      <tp t="s">
        <v>#N/A N/A</v>
        <stp/>
        <stp>BDP|10157775371333742894</stp>
        <tr r="C1503" s="2"/>
      </tp>
      <tp t="s">
        <v>#N/A N/A</v>
        <stp/>
        <stp>BDP|12835150984496452641</stp>
        <tr r="H1474" s="2"/>
      </tp>
      <tp t="s">
        <v>#N/A N/A</v>
        <stp/>
        <stp>BDP|14846974606663856580</stp>
        <tr r="B2577" s="2"/>
      </tp>
      <tp t="s">
        <v>#N/A N/A</v>
        <stp/>
        <stp>BDP|15736393617495456943</stp>
        <tr r="C3620" s="2"/>
      </tp>
      <tp t="s">
        <v>#N/A N/A</v>
        <stp/>
        <stp>BDP|16608667199667301533</stp>
        <tr r="I1040" s="2"/>
      </tp>
      <tp t="s">
        <v>#N/A N/A</v>
        <stp/>
        <stp>BDP|14379448015039949329</stp>
        <tr r="I2015" s="2"/>
      </tp>
      <tp t="s">
        <v>#N/A N/A</v>
        <stp/>
        <stp>BDP|16273552230992653988</stp>
        <tr r="I2906" s="2"/>
      </tp>
      <tp t="s">
        <v>#N/A N/A</v>
        <stp/>
        <stp>BDP|13635124188777653634</stp>
        <tr r="F4141" s="2"/>
      </tp>
      <tp t="s">
        <v>#N/A N/A</v>
        <stp/>
        <stp>BDP|14888718205890583801</stp>
        <tr r="B4251" s="2"/>
      </tp>
      <tp t="s">
        <v>#N/A N/A</v>
        <stp/>
        <stp>BDP|13350036036719903265</stp>
        <tr r="B1681" s="2"/>
      </tp>
      <tp t="s">
        <v>#N/A N/A</v>
        <stp/>
        <stp>BDP|10756509082817428186</stp>
        <tr r="G4729" s="2"/>
      </tp>
      <tp t="s">
        <v>#N/A N/A</v>
        <stp/>
        <stp>BDP|11879416183867104129</stp>
        <tr r="D712" s="2"/>
      </tp>
      <tp t="s">
        <v>#N/A N/A</v>
        <stp/>
        <stp>BDP|17386258803659418787</stp>
        <tr r="A294" s="2"/>
      </tp>
      <tp t="s">
        <v>#N/A N/A</v>
        <stp/>
        <stp>BDP|14720875768001305027</stp>
        <tr r="I831" s="2"/>
      </tp>
      <tp t="s">
        <v>#N/A N/A</v>
        <stp/>
        <stp>BDP|15147466195632306183</stp>
        <tr r="D353" s="2"/>
      </tp>
      <tp t="s">
        <v>#N/A N/A</v>
        <stp/>
        <stp>BDP|17356355180477634091</stp>
        <tr r="C4280" s="2"/>
      </tp>
      <tp t="s">
        <v>#N/A N/A</v>
        <stp/>
        <stp>BDP|10751210184100263194</stp>
        <tr r="B1031" s="2"/>
      </tp>
      <tp t="s">
        <v>#N/A N/A</v>
        <stp/>
        <stp>BDP|12750970153366995339</stp>
        <tr r="F357" s="2"/>
      </tp>
      <tp t="s">
        <v>#N/A N/A</v>
        <stp/>
        <stp>BDP|12763962006502801264</stp>
        <tr r="C2361" s="2"/>
      </tp>
      <tp t="s">
        <v>#N/A N/A</v>
        <stp/>
        <stp>BDP|18047514939087218235</stp>
        <tr r="C30" s="2"/>
      </tp>
      <tp t="s">
        <v>#N/A N/A</v>
        <stp/>
        <stp>BDP|11149655599102125756</stp>
        <tr r="B987" s="2"/>
      </tp>
      <tp t="s">
        <v>#N/A N/A</v>
        <stp/>
        <stp>BDP|11986734197274786032</stp>
        <tr r="G2523" s="2"/>
      </tp>
      <tp t="s">
        <v>#N/A N/A</v>
        <stp/>
        <stp>BDP|13995543083336279345</stp>
        <tr r="A211" s="2"/>
      </tp>
      <tp t="s">
        <v>#N/A N/A</v>
        <stp/>
        <stp>BDP|12209729018059643667</stp>
        <tr r="H1043" s="2"/>
      </tp>
      <tp t="s">
        <v>#N/A N/A</v>
        <stp/>
        <stp>BDP|10337243485235899421</stp>
        <tr r="C2834" s="2"/>
      </tp>
      <tp t="s">
        <v>#N/A N/A</v>
        <stp/>
        <stp>BDP|10698374228448048217</stp>
        <tr r="B1598" s="2"/>
      </tp>
      <tp t="s">
        <v>#N/A N/A</v>
        <stp/>
        <stp>BDP|10807929556493526416</stp>
        <tr r="D1848" s="2"/>
      </tp>
      <tp t="s">
        <v>#N/A N/A</v>
        <stp/>
        <stp>BDP|12283247398777151574</stp>
        <tr r="A4535" s="2"/>
      </tp>
      <tp t="s">
        <v>#N/A N/A</v>
        <stp/>
        <stp>BDP|11195795011759133501</stp>
        <tr r="H2837" s="2"/>
      </tp>
      <tp t="s">
        <v>#N/A N/A</v>
        <stp/>
        <stp>BDP|14584704187703337391</stp>
        <tr r="C477" s="2"/>
      </tp>
      <tp t="s">
        <v>#N/A N/A</v>
        <stp/>
        <stp>BDP|13185462726889824718</stp>
        <tr r="B4458" s="2"/>
      </tp>
      <tp t="s">
        <v>#N/A N/A</v>
        <stp/>
        <stp>BDP|11944999238970889083</stp>
        <tr r="D415" s="2"/>
      </tp>
      <tp t="s">
        <v>#N/A N/A</v>
        <stp/>
        <stp>BDP|14148089731538617466</stp>
        <tr r="F3497" s="2"/>
      </tp>
      <tp t="s">
        <v>#N/A N/A</v>
        <stp/>
        <stp>BDP|14764005383543595490</stp>
        <tr r="H1297" s="2"/>
      </tp>
      <tp t="s">
        <v>#N/A N/A</v>
        <stp/>
        <stp>BDP|14512387033458686705</stp>
        <tr r="D3917" s="2"/>
      </tp>
      <tp t="s">
        <v>#N/A N/A</v>
        <stp/>
        <stp>BDP|11456552268840152905</stp>
        <tr r="F622" s="2"/>
      </tp>
      <tp t="s">
        <v>#N/A N/A</v>
        <stp/>
        <stp>BDP|17531807941360903059</stp>
        <tr r="C512" s="2"/>
      </tp>
      <tp t="s">
        <v>#N/A N/A</v>
        <stp/>
        <stp>BDP|11229288766237152953</stp>
        <tr r="I1869" s="2"/>
      </tp>
      <tp t="s">
        <v>#N/A N/A</v>
        <stp/>
        <stp>BDP|11761443284856946067</stp>
        <tr r="H2919" s="2"/>
      </tp>
      <tp t="s">
        <v>#N/A N/A</v>
        <stp/>
        <stp>BDP|14067997812813547460</stp>
        <tr r="I2272" s="2"/>
      </tp>
      <tp t="s">
        <v>#N/A N/A</v>
        <stp/>
        <stp>BDP|13358608383835993311</stp>
        <tr r="D1907" s="2"/>
      </tp>
      <tp t="s">
        <v>#N/A N/A</v>
        <stp/>
        <stp>BDP|15886251804344930884</stp>
        <tr r="B4067" s="2"/>
      </tp>
      <tp t="s">
        <v>#N/A N/A</v>
        <stp/>
        <stp>BDP|16092886032552577470</stp>
        <tr r="C3448" s="2"/>
      </tp>
      <tp t="s">
        <v>#N/A N/A</v>
        <stp/>
        <stp>BDP|15529828582459890754</stp>
        <tr r="H2912" s="2"/>
      </tp>
      <tp t="s">
        <v>#N/A N/A</v>
        <stp/>
        <stp>BDP|11213311594750801074</stp>
        <tr r="A2722" s="2"/>
      </tp>
      <tp t="s">
        <v>#N/A N/A</v>
        <stp/>
        <stp>BDP|16684925360297859548</stp>
        <tr r="H765" s="2"/>
      </tp>
      <tp t="s">
        <v>#N/A N/A</v>
        <stp/>
        <stp>BDP|18144634487928891552</stp>
        <tr r="G2716" s="2"/>
      </tp>
      <tp t="s">
        <v>#N/A N/A</v>
        <stp/>
        <stp>BDP|17844716997966524438</stp>
        <tr r="C2376" s="2"/>
      </tp>
      <tp t="s">
        <v>#N/A N/A</v>
        <stp/>
        <stp>BDP|12014509912845877826</stp>
        <tr r="H299" s="2"/>
      </tp>
      <tp t="s">
        <v>#N/A N/A</v>
        <stp/>
        <stp>BDP|18315546748377360543</stp>
        <tr r="D4764" s="2"/>
      </tp>
      <tp t="s">
        <v>#N/A N/A</v>
        <stp/>
        <stp>BDP|13112387152236414874</stp>
        <tr r="G3946" s="2"/>
      </tp>
      <tp t="s">
        <v>#N/A N/A</v>
        <stp/>
        <stp>BDP|14167520640609902721</stp>
        <tr r="I139" s="2"/>
      </tp>
      <tp t="s">
        <v>#N/A N/A</v>
        <stp/>
        <stp>BDP|15534112682581939676</stp>
        <tr r="D322" s="2"/>
      </tp>
      <tp t="s">
        <v>#N/A N/A</v>
        <stp/>
        <stp>BDP|14113603028053369824</stp>
        <tr r="A2576" s="2"/>
      </tp>
      <tp t="s">
        <v>#N/A N/A</v>
        <stp/>
        <stp>BDP|17876758142698100769</stp>
        <tr r="H1694" s="2"/>
      </tp>
      <tp t="s">
        <v>#N/A N/A</v>
        <stp/>
        <stp>BDP|14009322124566924872</stp>
        <tr r="F398" s="2"/>
      </tp>
      <tp t="s">
        <v>#N/A N/A</v>
        <stp/>
        <stp>BDP|15198934094897947976</stp>
        <tr r="H649" s="2"/>
      </tp>
      <tp t="s">
        <v>#N/A N/A</v>
        <stp/>
        <stp>BDP|17157223308067744945</stp>
        <tr r="I1065" s="2"/>
      </tp>
      <tp t="s">
        <v>#N/A N/A</v>
        <stp/>
        <stp>BDP|13454830529820633209</stp>
        <tr r="B2752" s="2"/>
      </tp>
      <tp t="s">
        <v>#N/A N/A</v>
        <stp/>
        <stp>BDP|16565886355969380936</stp>
        <tr r="F4578" s="2"/>
      </tp>
      <tp t="s">
        <v>#N/A N/A</v>
        <stp/>
        <stp>BDP|11172997936300320057</stp>
        <tr r="F727" s="2"/>
      </tp>
      <tp t="s">
        <v>#N/A N/A</v>
        <stp/>
        <stp>BDP|12909786488724559242</stp>
        <tr r="B2289" s="2"/>
      </tp>
      <tp t="s">
        <v>#N/A N/A</v>
        <stp/>
        <stp>BDP|14510313707405801930</stp>
        <tr r="B2029" s="2"/>
      </tp>
      <tp t="s">
        <v>#N/A N/A</v>
        <stp/>
        <stp>BDP|11172013064645946950</stp>
        <tr r="B1104" s="2"/>
      </tp>
      <tp t="s">
        <v>#N/A N/A</v>
        <stp/>
        <stp>BDP|15523377426278967754</stp>
        <tr r="H200" s="2"/>
      </tp>
      <tp t="s">
        <v>#N/A N/A</v>
        <stp/>
        <stp>BDP|12848916862042662451</stp>
        <tr r="I2220" s="2"/>
      </tp>
      <tp t="s">
        <v>#N/A N/A</v>
        <stp/>
        <stp>BDP|15473889506572670449</stp>
        <tr r="H3004" s="2"/>
      </tp>
      <tp t="s">
        <v>#N/A N/A</v>
        <stp/>
        <stp>BDP|14286972833970612586</stp>
        <tr r="C550" s="2"/>
      </tp>
      <tp t="s">
        <v>#N/A N/A</v>
        <stp/>
        <stp>BDP|10522956212264351797</stp>
        <tr r="B4654" s="2"/>
      </tp>
      <tp t="s">
        <v>#N/A N/A</v>
        <stp/>
        <stp>BDP|15625484592696639527</stp>
        <tr r="I4809" s="2"/>
      </tp>
      <tp t="s">
        <v>#N/A N/A</v>
        <stp/>
        <stp>BDP|18279583825104489006</stp>
        <tr r="D4236" s="2"/>
      </tp>
      <tp t="s">
        <v>#N/A N/A</v>
        <stp/>
        <stp>BDP|13618973556943582798</stp>
        <tr r="F4770" s="2"/>
      </tp>
      <tp t="s">
        <v>#N/A N/A</v>
        <stp/>
        <stp>BDP|18202623344109791880</stp>
        <tr r="F1889" s="2"/>
      </tp>
      <tp t="s">
        <v>#N/A N/A</v>
        <stp/>
        <stp>BDP|13991042496526674762</stp>
        <tr r="I2602" s="2"/>
      </tp>
      <tp t="s">
        <v>#N/A N/A</v>
        <stp/>
        <stp>BDP|13156427258050299921</stp>
        <tr r="I3577" s="2"/>
      </tp>
      <tp t="s">
        <v>#N/A N/A</v>
        <stp/>
        <stp>BDP|14741495431119789131</stp>
        <tr r="C1323" s="2"/>
      </tp>
      <tp t="s">
        <v>#N/A N/A</v>
        <stp/>
        <stp>BDP|16452078192497217381</stp>
        <tr r="C775" s="2"/>
      </tp>
      <tp t="s">
        <v>#N/A N/A</v>
        <stp/>
        <stp>BDP|10930826436588412828</stp>
        <tr r="F4343" s="2"/>
      </tp>
      <tp t="s">
        <v>#N/A N/A</v>
        <stp/>
        <stp>BDP|17753371541119990235</stp>
        <tr r="D247" s="2"/>
      </tp>
      <tp t="s">
        <v>#N/A N/A</v>
        <stp/>
        <stp>BDP|11927302490362736259</stp>
        <tr r="I1050" s="2"/>
      </tp>
      <tp t="s">
        <v>#N/A N/A</v>
        <stp/>
        <stp>BDP|11982298406230999843</stp>
        <tr r="I4411" s="2"/>
      </tp>
      <tp t="s">
        <v>#N/A N/A</v>
        <stp/>
        <stp>BDP|12832842230424555628</stp>
        <tr r="F966" s="2"/>
      </tp>
      <tp t="s">
        <v>#N/A N/A</v>
        <stp/>
        <stp>BDP|10875635699237913309</stp>
        <tr r="C1038" s="2"/>
      </tp>
      <tp t="s">
        <v>#N/A N/A</v>
        <stp/>
        <stp>BDP|13942018130293708846</stp>
        <tr r="C648" s="2"/>
      </tp>
      <tp t="s">
        <v>#N/A N/A</v>
        <stp/>
        <stp>BDP|14384192197747235041</stp>
        <tr r="H3940" s="2"/>
      </tp>
      <tp t="s">
        <v>#N/A N/A</v>
        <stp/>
        <stp>BDP|18342944589976054453</stp>
        <tr r="C3729" s="2"/>
      </tp>
      <tp t="s">
        <v>#N/A N/A</v>
        <stp/>
        <stp>BDP|14130134293574282385</stp>
        <tr r="D1267" s="2"/>
      </tp>
      <tp t="s">
        <v>#N/A N/A</v>
        <stp/>
        <stp>BDP|11984245207690439857</stp>
        <tr r="F3805" s="2"/>
      </tp>
      <tp t="s">
        <v>#N/A N/A</v>
        <stp/>
        <stp>BDP|11172206984222896264</stp>
        <tr r="G134" s="2"/>
      </tp>
      <tp t="s">
        <v>#N/A N/A</v>
        <stp/>
        <stp>BDP|12971756488741601798</stp>
        <tr r="C4444" s="2"/>
      </tp>
      <tp t="s">
        <v>#N/A N/A</v>
        <stp/>
        <stp>BDP|17829045865238698241</stp>
        <tr r="H3157" s="2"/>
      </tp>
      <tp t="s">
        <v>#N/A N/A</v>
        <stp/>
        <stp>BDP|17113204729394699852</stp>
        <tr r="I4523" s="2"/>
      </tp>
      <tp t="s">
        <v>#N/A N/A</v>
        <stp/>
        <stp>BDP|17784805579304005753</stp>
        <tr r="B4124" s="2"/>
      </tp>
      <tp t="s">
        <v>#N/A N/A</v>
        <stp/>
        <stp>BDP|10484456327609459491</stp>
        <tr r="A1969" s="2"/>
      </tp>
      <tp t="s">
        <v>#N/A N/A</v>
        <stp/>
        <stp>BDP|12951852707852239320</stp>
        <tr r="C69" s="2"/>
      </tp>
      <tp t="s">
        <v>#N/A N/A</v>
        <stp/>
        <stp>BDP|17583886075102406173</stp>
        <tr r="G4041" s="2"/>
      </tp>
      <tp t="s">
        <v>#N/A N/A</v>
        <stp/>
        <stp>BDP|13416785174268086032</stp>
        <tr r="C1288" s="2"/>
      </tp>
      <tp t="s">
        <v>#N/A N/A</v>
        <stp/>
        <stp>BDP|17989838811750593552</stp>
        <tr r="C149" s="2"/>
      </tp>
      <tp t="s">
        <v>#N/A N/A</v>
        <stp/>
        <stp>BDP|18038871719453669933</stp>
        <tr r="B536" s="2"/>
      </tp>
      <tp t="s">
        <v>#N/A N/A</v>
        <stp/>
        <stp>BDP|14220898706816264147</stp>
        <tr r="D3848" s="2"/>
      </tp>
      <tp t="s">
        <v>#N/A N/A</v>
        <stp/>
        <stp>BDP|17524491477648418746</stp>
        <tr r="D4109" s="2"/>
      </tp>
      <tp t="s">
        <v>#N/A N/A</v>
        <stp/>
        <stp>BDP|14665141897632900573</stp>
        <tr r="I173" s="2"/>
      </tp>
      <tp t="s">
        <v>#N/A N/A</v>
        <stp/>
        <stp>BDP|11205084912358030336</stp>
        <tr r="B1098" s="2"/>
      </tp>
      <tp t="s">
        <v>#N/A N/A</v>
        <stp/>
        <stp>BDP|15124070843873781990</stp>
        <tr r="A1401" s="2"/>
      </tp>
      <tp t="s">
        <v>#N/A N/A</v>
        <stp/>
        <stp>BDP|15613558837270696890</stp>
        <tr r="B167" s="2"/>
      </tp>
      <tp t="s">
        <v>#N/A N/A</v>
        <stp/>
        <stp>BDP|16725990402724279050</stp>
        <tr r="A2558" s="2"/>
      </tp>
      <tp t="s">
        <v>#N/A N/A</v>
        <stp/>
        <stp>BDP|10183987132328095907</stp>
        <tr r="F1402" s="2"/>
      </tp>
      <tp t="s">
        <v>#N/A N/A</v>
        <stp/>
        <stp>BDP|16293555389905542503</stp>
        <tr r="C3311" s="2"/>
      </tp>
      <tp t="s">
        <v>#N/A N/A</v>
        <stp/>
        <stp>BDP|18133576276519902822</stp>
        <tr r="I1366" s="2"/>
      </tp>
      <tp t="s">
        <v>#N/A N/A</v>
        <stp/>
        <stp>BDP|11243187632899093133</stp>
        <tr r="A4343" s="2"/>
      </tp>
      <tp t="s">
        <v>#N/A N/A</v>
        <stp/>
        <stp>BDP|14263623002429898019</stp>
        <tr r="D3082" s="2"/>
      </tp>
      <tp t="s">
        <v>#N/A N/A</v>
        <stp/>
        <stp>BDP|10265827603287171495</stp>
        <tr r="I316" s="2"/>
      </tp>
      <tp t="s">
        <v>#N/A N/A</v>
        <stp/>
        <stp>BDP|15231481526861584923</stp>
        <tr r="C4350" s="2"/>
      </tp>
      <tp t="s">
        <v>#N/A N/A</v>
        <stp/>
        <stp>BDP|12891039180301221020</stp>
        <tr r="B955" s="2"/>
      </tp>
      <tp t="s">
        <v>#N/A N/A</v>
        <stp/>
        <stp>BDP|15908233484155418112</stp>
        <tr r="F1432" s="2"/>
      </tp>
      <tp t="s">
        <v>#N/A N/A</v>
        <stp/>
        <stp>BDP|15061497302628532255</stp>
        <tr r="A4925" s="2"/>
      </tp>
      <tp t="s">
        <v>#N/A N/A</v>
        <stp/>
        <stp>BDP|15357470635380946932</stp>
        <tr r="B2693" s="2"/>
      </tp>
      <tp t="s">
        <v>#N/A N/A</v>
        <stp/>
        <stp>BDP|10853527781330999698</stp>
        <tr r="B4409" s="2"/>
      </tp>
      <tp t="s">
        <v>#N/A N/A</v>
        <stp/>
        <stp>BDP|17036774584633994018</stp>
        <tr r="G1668" s="2"/>
      </tp>
      <tp t="s">
        <v>#N/A N/A</v>
        <stp/>
        <stp>BDP|10124061117048877234</stp>
        <tr r="G281" s="2"/>
      </tp>
      <tp t="s">
        <v>#N/A N/A</v>
        <stp/>
        <stp>BDP|11179655083295836143</stp>
        <tr r="D4206" s="2"/>
      </tp>
      <tp t="s">
        <v>#N/A N/A</v>
        <stp/>
        <stp>BDP|14512462822189341096</stp>
        <tr r="B1517" s="2"/>
      </tp>
      <tp t="s">
        <v>#N/A N/A</v>
        <stp/>
        <stp>BDP|13466929411096486680</stp>
        <tr r="C960" s="2"/>
      </tp>
      <tp t="s">
        <v>#N/A N/A</v>
        <stp/>
        <stp>BDP|18302890854687449915</stp>
        <tr r="I2266" s="2"/>
      </tp>
      <tp t="s">
        <v>#N/A N/A</v>
        <stp/>
        <stp>BDP|13557899760554081276</stp>
        <tr r="F1788" s="2"/>
      </tp>
      <tp t="s">
        <v>#N/A N/A</v>
        <stp/>
        <stp>BDP|15016699563576385822</stp>
        <tr r="F4660" s="2"/>
      </tp>
      <tp t="s">
        <v>#N/A N/A</v>
        <stp/>
        <stp>BDP|15807973097386012837</stp>
        <tr r="A2698" s="2"/>
      </tp>
      <tp t="s">
        <v>#N/A N/A</v>
        <stp/>
        <stp>BDP|16598356427855537992</stp>
        <tr r="A4799" s="2"/>
      </tp>
      <tp t="s">
        <v>#N/A N/A</v>
        <stp/>
        <stp>BDP|15164943391666964863</stp>
        <tr r="C3697" s="2"/>
      </tp>
      <tp t="s">
        <v>#N/A N/A</v>
        <stp/>
        <stp>BDP|10554830469246010340</stp>
        <tr r="C3157" s="2"/>
      </tp>
      <tp t="s">
        <v>#N/A N/A</v>
        <stp/>
        <stp>BDP|11471585794677612153</stp>
        <tr r="A2556" s="2"/>
      </tp>
      <tp t="s">
        <v>#N/A N/A</v>
        <stp/>
        <stp>BDP|12315406468598617366</stp>
        <tr r="A622" s="2"/>
      </tp>
      <tp t="s">
        <v>#N/A N/A</v>
        <stp/>
        <stp>BDP|11065354693637519780</stp>
        <tr r="D3810" s="2"/>
      </tp>
      <tp t="s">
        <v>#N/A N/A</v>
        <stp/>
        <stp>BDP|16212837602084118192</stp>
        <tr r="H3325" s="2"/>
      </tp>
      <tp t="s">
        <v>#N/A N/A</v>
        <stp/>
        <stp>BDP|14637933745625315782</stp>
        <tr r="I240" s="2"/>
      </tp>
      <tp t="s">
        <v>#N/A N/A</v>
        <stp/>
        <stp>BDP|14904502897461726220</stp>
        <tr r="A4571" s="2"/>
      </tp>
      <tp t="s">
        <v>#N/A N/A</v>
        <stp/>
        <stp>BDP|14478185488172615496</stp>
        <tr r="G3427" s="2"/>
      </tp>
      <tp t="s">
        <v>#N/A N/A</v>
        <stp/>
        <stp>BDP|16145298504667762808</stp>
        <tr r="B4667" s="2"/>
      </tp>
      <tp t="s">
        <v>#N/A N/A</v>
        <stp/>
        <stp>BDP|17375799844008499713</stp>
        <tr r="F4355" s="2"/>
      </tp>
      <tp t="s">
        <v>#N/A N/A</v>
        <stp/>
        <stp>BDP|14010280845790520930</stp>
        <tr r="B2096" s="2"/>
      </tp>
      <tp t="s">
        <v>#N/A N/A</v>
        <stp/>
        <stp>BDP|18047833853586807836</stp>
        <tr r="B4996" s="2"/>
      </tp>
      <tp t="s">
        <v>#N/A N/A</v>
        <stp/>
        <stp>BDP|16713738208112024861</stp>
        <tr r="D4084" s="2"/>
      </tp>
      <tp t="s">
        <v>#N/A N/A</v>
        <stp/>
        <stp>BDP|11253889120256557650</stp>
        <tr r="A4715" s="2"/>
      </tp>
      <tp t="s">
        <v>#N/A N/A</v>
        <stp/>
        <stp>BDP|17194592892599377932</stp>
        <tr r="B3177" s="2"/>
      </tp>
      <tp t="s">
        <v>#N/A N/A</v>
        <stp/>
        <stp>BDP|14232133642782192884</stp>
        <tr r="B2421" s="2"/>
      </tp>
      <tp t="s">
        <v>#N/A N/A</v>
        <stp/>
        <stp>BDP|12855824515720096055</stp>
        <tr r="C3524" s="2"/>
      </tp>
      <tp t="s">
        <v>#N/A N/A</v>
        <stp/>
        <stp>BDP|15424787485583788242</stp>
        <tr r="C2431" s="2"/>
      </tp>
      <tp t="s">
        <v>#N/A N/A</v>
        <stp/>
        <stp>BDP|15224599546878199763</stp>
        <tr r="B3338" s="2"/>
      </tp>
      <tp t="s">
        <v>#N/A N/A</v>
        <stp/>
        <stp>BDP|17005929956277711793</stp>
        <tr r="C3980" s="2"/>
      </tp>
      <tp t="s">
        <v>#N/A N/A</v>
        <stp/>
        <stp>BDP|17442239071021505894</stp>
        <tr r="C4782" s="2"/>
      </tp>
      <tp t="s">
        <v>#N/A N/A</v>
        <stp/>
        <stp>BDP|12801353117913135810</stp>
        <tr r="D1610" s="2"/>
      </tp>
      <tp t="s">
        <v>#N/A N/A</v>
        <stp/>
        <stp>BDP|10805719286024212071</stp>
        <tr r="C2797" s="2"/>
      </tp>
      <tp t="s">
        <v>#N/A N/A</v>
        <stp/>
        <stp>BDP|16465306919129788600</stp>
        <tr r="A1215" s="2"/>
      </tp>
      <tp t="s">
        <v>#N/A N/A</v>
        <stp/>
        <stp>BDP|11403693432538164749</stp>
        <tr r="B4616" s="2"/>
      </tp>
      <tp t="s">
        <v>#N/A N/A</v>
        <stp/>
        <stp>BDP|14997652770306363857</stp>
        <tr r="C2072" s="2"/>
      </tp>
      <tp t="s">
        <v>#N/A N/A</v>
        <stp/>
        <stp>BDP|14276039536199556582</stp>
        <tr r="B917" s="2"/>
      </tp>
      <tp t="s">
        <v>#N/A N/A</v>
        <stp/>
        <stp>BDP|12857979764501343725</stp>
        <tr r="I2239" s="2"/>
      </tp>
      <tp t="s">
        <v>#N/A N/A</v>
        <stp/>
        <stp>BDP|10635595411227286863</stp>
        <tr r="C1933" s="2"/>
      </tp>
      <tp t="s">
        <v>#N/A N/A</v>
        <stp/>
        <stp>BDP|11055288237513110846</stp>
        <tr r="H1967" s="2"/>
      </tp>
      <tp t="s">
        <v>#N/A N/A</v>
        <stp/>
        <stp>BDP|13538862159615192010</stp>
        <tr r="D2037" s="2"/>
      </tp>
      <tp t="s">
        <v>#N/A N/A</v>
        <stp/>
        <stp>BDP|15784002774188031196</stp>
        <tr r="F1709" s="2"/>
      </tp>
      <tp t="s">
        <v>#N/A N/A</v>
        <stp/>
        <stp>BDP|15841480028858120030</stp>
        <tr r="H710" s="2"/>
      </tp>
      <tp t="s">
        <v>#N/A N/A</v>
        <stp/>
        <stp>BDP|11185044819019280249</stp>
        <tr r="H1922" s="2"/>
      </tp>
      <tp t="s">
        <v>#N/A N/A</v>
        <stp/>
        <stp>BDP|12605313521981456982</stp>
        <tr r="F3583" s="2"/>
      </tp>
      <tp t="s">
        <v>#N/A N/A</v>
        <stp/>
        <stp>BDP|11865193093195986711</stp>
        <tr r="B1289" s="2"/>
      </tp>
      <tp t="s">
        <v>#N/A N/A</v>
        <stp/>
        <stp>BDP|18437932928450283871</stp>
        <tr r="G349" s="2"/>
      </tp>
      <tp t="s">
        <v>#N/A N/A</v>
        <stp/>
        <stp>BDP|14422773714939453091</stp>
        <tr r="I2085" s="2"/>
      </tp>
      <tp t="s">
        <v>#N/A N/A</v>
        <stp/>
        <stp>BDP|16117680360439384401</stp>
        <tr r="C3850" s="2"/>
      </tp>
      <tp t="s">
        <v>#N/A N/A</v>
        <stp/>
        <stp>BDP|10902841380682322946</stp>
        <tr r="A2363" s="2"/>
      </tp>
      <tp t="s">
        <v>#N/A N/A</v>
        <stp/>
        <stp>BDP|16344016441539038097</stp>
        <tr r="F615" s="2"/>
      </tp>
      <tp t="s">
        <v>#N/A N/A</v>
        <stp/>
        <stp>BDP|13949094928303567976</stp>
        <tr r="I4881" s="2"/>
      </tp>
      <tp t="s">
        <v>#N/A N/A</v>
        <stp/>
        <stp>BDP|13077455094477271292</stp>
        <tr r="H1015" s="2"/>
      </tp>
      <tp t="s">
        <v>#N/A N/A</v>
        <stp/>
        <stp>BDP|14670187252843727819</stp>
        <tr r="G1587" s="2"/>
      </tp>
      <tp t="s">
        <v>#N/A N/A</v>
        <stp/>
        <stp>BDP|10285951024671180184</stp>
        <tr r="I3006" s="2"/>
      </tp>
      <tp t="s">
        <v>#N/A N/A</v>
        <stp/>
        <stp>BDP|10137356889905673519</stp>
        <tr r="C1127" s="2"/>
      </tp>
      <tp t="s">
        <v>#N/A N/A</v>
        <stp/>
        <stp>BDP|18092290844822006770</stp>
        <tr r="B3461" s="2"/>
      </tp>
      <tp t="s">
        <v>#N/A N/A</v>
        <stp/>
        <stp>BDP|14834806917163713524</stp>
        <tr r="C201" s="2"/>
      </tp>
      <tp t="s">
        <v>#N/A N/A</v>
        <stp/>
        <stp>BDP|11612193642339193669</stp>
        <tr r="G3953" s="2"/>
      </tp>
      <tp t="s">
        <v>#N/A N/A</v>
        <stp/>
        <stp>BDP|13222607810498985718</stp>
        <tr r="D3763" s="2"/>
      </tp>
      <tp t="s">
        <v>#N/A N/A</v>
        <stp/>
        <stp>BDP|13846378364815675872</stp>
        <tr r="H3418" s="2"/>
      </tp>
      <tp t="s">
        <v>#N/A N/A</v>
        <stp/>
        <stp>BDP|12304523593170804503</stp>
        <tr r="D144" s="2"/>
      </tp>
      <tp t="s">
        <v>#N/A N/A</v>
        <stp/>
        <stp>BDP|16258850228461035652</stp>
        <tr r="D1885" s="2"/>
      </tp>
      <tp t="s">
        <v>#N/A N/A</v>
        <stp/>
        <stp>BDP|10857537448289821312</stp>
        <tr r="A2653" s="2"/>
      </tp>
      <tp t="s">
        <v>#N/A N/A</v>
        <stp/>
        <stp>BDP|11301214699477335623</stp>
        <tr r="G2172" s="2"/>
      </tp>
      <tp t="s">
        <v>#N/A N/A</v>
        <stp/>
        <stp>BDP|16216106771048920305</stp>
        <tr r="F1225" s="2"/>
      </tp>
      <tp t="s">
        <v>#N/A N/A</v>
        <stp/>
        <stp>BDP|10385218880096832703</stp>
        <tr r="F2009" s="2"/>
      </tp>
      <tp t="s">
        <v>#N/A N/A</v>
        <stp/>
        <stp>BDP|12866625797233242555</stp>
        <tr r="C4333" s="2"/>
      </tp>
      <tp t="s">
        <v>#N/A N/A</v>
        <stp/>
        <stp>BDP|15300792471158252636</stp>
        <tr r="D4813" s="2"/>
      </tp>
      <tp t="s">
        <v>#N/A N/A</v>
        <stp/>
        <stp>BDP|12226291217628430221</stp>
        <tr r="F217" s="2"/>
      </tp>
      <tp t="s">
        <v>#N/A N/A</v>
        <stp/>
        <stp>BDP|13954613459912317989</stp>
        <tr r="B359" s="2"/>
      </tp>
      <tp t="s">
        <v>#N/A N/A</v>
        <stp/>
        <stp>BDP|13510773018369816787</stp>
        <tr r="I872" s="2"/>
      </tp>
      <tp t="s">
        <v>#N/A N/A</v>
        <stp/>
        <stp>BDP|10600309087986914627</stp>
        <tr r="I3481" s="2"/>
      </tp>
      <tp t="s">
        <v>#N/A N/A</v>
        <stp/>
        <stp>BDP|16079274378721054957</stp>
        <tr r="B1451" s="2"/>
      </tp>
      <tp t="s">
        <v>#N/A N/A</v>
        <stp/>
        <stp>BDP|16854101637628450711</stp>
        <tr r="G841" s="2"/>
      </tp>
      <tp t="s">
        <v>#N/A N/A</v>
        <stp/>
        <stp>BDP|13891518585280722514</stp>
        <tr r="B2188" s="2"/>
      </tp>
      <tp t="s">
        <v>#N/A N/A</v>
        <stp/>
        <stp>BDP|13581297693811654237</stp>
        <tr r="B2740" s="2"/>
      </tp>
      <tp t="s">
        <v>#N/A N/A</v>
        <stp/>
        <stp>BDP|11135341870746631892</stp>
        <tr r="B632" s="2"/>
      </tp>
      <tp t="s">
        <v>#N/A N/A</v>
        <stp/>
        <stp>BDP|11919120595675660725</stp>
        <tr r="C1577" s="2"/>
      </tp>
      <tp t="s">
        <v>#N/A N/A</v>
        <stp/>
        <stp>BDP|10560253458504421866</stp>
        <tr r="I555" s="2"/>
      </tp>
      <tp t="s">
        <v>#N/A N/A</v>
        <stp/>
        <stp>BDP|13860895919787484668</stp>
        <tr r="A2776" s="2"/>
      </tp>
      <tp t="s">
        <v>#N/A N/A</v>
        <stp/>
        <stp>BDP|15739564895107927570</stp>
        <tr r="B3693" s="2"/>
      </tp>
      <tp t="s">
        <v>#N/A N/A</v>
        <stp/>
        <stp>BDP|13306586470779765363</stp>
        <tr r="A822" s="2"/>
      </tp>
      <tp t="s">
        <v>#N/A N/A</v>
        <stp/>
        <stp>BDP|14017473990992884057</stp>
        <tr r="D1074" s="2"/>
      </tp>
      <tp t="s">
        <v>#N/A N/A</v>
        <stp/>
        <stp>BDP|15824700598006973631</stp>
        <tr r="A4553" s="2"/>
      </tp>
      <tp t="s">
        <v>#N/A N/A</v>
        <stp/>
        <stp>BDP|14579994054954010750</stp>
        <tr r="A4664" s="2"/>
      </tp>
      <tp t="s">
        <v>#N/A N/A</v>
        <stp/>
        <stp>BDP|11404795350781300939</stp>
        <tr r="H2555" s="2"/>
      </tp>
      <tp t="s">
        <v>#N/A N/A</v>
        <stp/>
        <stp>BDP|11559045267569375589</stp>
        <tr r="F941" s="2"/>
      </tp>
      <tp t="s">
        <v>#N/A N/A</v>
        <stp/>
        <stp>BDP|16907103081974376066</stp>
        <tr r="I4558" s="2"/>
      </tp>
      <tp t="s">
        <v>#N/A N/A</v>
        <stp/>
        <stp>BDP|12660906902648040898</stp>
        <tr r="H4728" s="2"/>
      </tp>
      <tp t="s">
        <v>#N/A N/A</v>
        <stp/>
        <stp>BDP|14689994935755150064</stp>
        <tr r="D1039" s="2"/>
      </tp>
      <tp t="s">
        <v>#N/A N/A</v>
        <stp/>
        <stp>BDP|14342943779665191422</stp>
        <tr r="I4270" s="2"/>
      </tp>
      <tp t="s">
        <v>#N/A N/A</v>
        <stp/>
        <stp>BDP|16767394616908553704</stp>
        <tr r="I672" s="2"/>
      </tp>
      <tp t="s">
        <v>#N/A N/A</v>
        <stp/>
        <stp>BDP|15748928007262842573</stp>
        <tr r="F3845" s="2"/>
      </tp>
      <tp t="s">
        <v>#N/A N/A</v>
        <stp/>
        <stp>BDP|16358994444355786543</stp>
        <tr r="I4510" s="2"/>
      </tp>
      <tp t="s">
        <v>#N/A N/A</v>
        <stp/>
        <stp>BDP|10799944229070677013</stp>
        <tr r="D4896" s="2"/>
      </tp>
      <tp t="s">
        <v>#N/A N/A</v>
        <stp/>
        <stp>BDP|10895869257682584417</stp>
        <tr r="H4964" s="2"/>
      </tp>
      <tp t="s">
        <v>#N/A N/A</v>
        <stp/>
        <stp>BDP|13003657787944972260</stp>
        <tr r="A2428" s="2"/>
      </tp>
      <tp t="s">
        <v>#N/A N/A</v>
        <stp/>
        <stp>BDP|15604626648594635878</stp>
        <tr r="F2789" s="2"/>
      </tp>
      <tp t="s">
        <v>#N/A N/A</v>
        <stp/>
        <stp>BDP|12351399844588639652</stp>
        <tr r="A1340" s="2"/>
      </tp>
      <tp t="s">
        <v>#N/A N/A</v>
        <stp/>
        <stp>BDP|13072008119671750834</stp>
        <tr r="B3573" s="2"/>
      </tp>
      <tp t="s">
        <v>#N/A N/A</v>
        <stp/>
        <stp>BDP|16904802550306397670</stp>
        <tr r="C4256" s="2"/>
      </tp>
      <tp t="s">
        <v>#N/A N/A</v>
        <stp/>
        <stp>BDP|16004447561689808609</stp>
        <tr r="H3883" s="2"/>
      </tp>
      <tp t="s">
        <v>#N/A N/A</v>
        <stp/>
        <stp>BDP|16474998020554809285</stp>
        <tr r="G3808" s="2"/>
      </tp>
      <tp t="s">
        <v>#N/A N/A</v>
        <stp/>
        <stp>BDP|17273486689514691482</stp>
        <tr r="I3757" s="2"/>
      </tp>
      <tp t="s">
        <v>#N/A N/A</v>
        <stp/>
        <stp>BDP|13880480252560610993</stp>
        <tr r="G4599" s="2"/>
      </tp>
      <tp t="s">
        <v>#N/A N/A</v>
        <stp/>
        <stp>BDP|14808968790309779643</stp>
        <tr r="C1860" s="2"/>
      </tp>
      <tp t="s">
        <v>#N/A N/A</v>
        <stp/>
        <stp>BDP|11325435958852108940</stp>
        <tr r="F726" s="2"/>
      </tp>
      <tp t="s">
        <v>#N/A N/A</v>
        <stp/>
        <stp>BDP|10647787080642283612</stp>
        <tr r="F4071" s="2"/>
      </tp>
      <tp t="s">
        <v>#N/A N/A</v>
        <stp/>
        <stp>BDP|16350728012088726391</stp>
        <tr r="F2863" s="2"/>
      </tp>
      <tp t="s">
        <v>#N/A N/A</v>
        <stp/>
        <stp>BDP|13081894450154329171</stp>
        <tr r="B3975" s="2"/>
      </tp>
      <tp t="s">
        <v>#N/A N/A</v>
        <stp/>
        <stp>BDP|12865320992760680337</stp>
        <tr r="C2148" s="2"/>
      </tp>
      <tp t="s">
        <v>#N/A N/A</v>
        <stp/>
        <stp>BDP|13592220440657283989</stp>
        <tr r="I1212" s="2"/>
      </tp>
      <tp t="s">
        <v>#N/A N/A</v>
        <stp/>
        <stp>BDP|15053983256993146126</stp>
        <tr r="I1337" s="2"/>
      </tp>
      <tp t="s">
        <v>#N/A N/A</v>
        <stp/>
        <stp>BDP|17253575554069496584</stp>
        <tr r="C398" s="2"/>
      </tp>
      <tp t="s">
        <v>#N/A N/A</v>
        <stp/>
        <stp>BDP|13406158585322001396</stp>
        <tr r="C3547" s="2"/>
      </tp>
      <tp t="s">
        <v>#N/A N/A</v>
        <stp/>
        <stp>BDP|11256834968373293767</stp>
        <tr r="B3376" s="2"/>
      </tp>
      <tp t="s">
        <v>#N/A N/A</v>
        <stp/>
        <stp>BDP|10539920553183871419</stp>
        <tr r="B4564" s="2"/>
      </tp>
      <tp t="s">
        <v>#N/A N/A</v>
        <stp/>
        <stp>BDP|11253018594064256784</stp>
        <tr r="D3489" s="2"/>
      </tp>
      <tp t="s">
        <v>#N/A N/A</v>
        <stp/>
        <stp>BDP|12049091583417250657</stp>
        <tr r="A4265" s="2"/>
      </tp>
      <tp t="s">
        <v>#N/A N/A</v>
        <stp/>
        <stp>BDP|11561442917086948923</stp>
        <tr r="C1393" s="2"/>
      </tp>
      <tp t="s">
        <v>#N/A N/A</v>
        <stp/>
        <stp>BDP|17789998911534603046</stp>
        <tr r="H2175" s="2"/>
      </tp>
      <tp t="s">
        <v>#N/A N/A</v>
        <stp/>
        <stp>BDP|12599084451238793464</stp>
        <tr r="B1669" s="2"/>
      </tp>
      <tp t="s">
        <v>#N/A N/A</v>
        <stp/>
        <stp>BDP|17343049838876149933</stp>
        <tr r="C3578" s="2"/>
      </tp>
      <tp t="s">
        <v>#N/A N/A</v>
        <stp/>
        <stp>BDP|11319009281683751189</stp>
        <tr r="I264" s="2"/>
      </tp>
      <tp t="s">
        <v>#N/A N/A</v>
        <stp/>
        <stp>BDP|11683426298977824097</stp>
        <tr r="H2733" s="2"/>
      </tp>
      <tp t="s">
        <v>#N/A N/A</v>
        <stp/>
        <stp>BDP|17313098093735380077</stp>
        <tr r="A3529" s="2"/>
      </tp>
      <tp t="s">
        <v>#N/A N/A</v>
        <stp/>
        <stp>BDP|17812512790713677322</stp>
        <tr r="I802" s="2"/>
      </tp>
      <tp t="s">
        <v>#N/A N/A</v>
        <stp/>
        <stp>BDP|14339692826349908282</stp>
        <tr r="D4133" s="2"/>
      </tp>
      <tp t="s">
        <v>#N/A N/A</v>
        <stp/>
        <stp>BDP|12564655368491706827</stp>
        <tr r="D4083" s="2"/>
      </tp>
      <tp t="s">
        <v>#N/A N/A</v>
        <stp/>
        <stp>BDP|10673903606346826455</stp>
        <tr r="I4046" s="2"/>
      </tp>
      <tp t="s">
        <v>#N/A N/A</v>
        <stp/>
        <stp>BDP|18029167547352878441</stp>
        <tr r="F4381" s="2"/>
      </tp>
      <tp t="s">
        <v>#N/A N/A</v>
        <stp/>
        <stp>BDP|16578316728375876992</stp>
        <tr r="A1275" s="2"/>
      </tp>
      <tp t="s">
        <v>#N/A N/A</v>
        <stp/>
        <stp>BDP|16522809678006483444</stp>
        <tr r="H720" s="2"/>
      </tp>
      <tp t="s">
        <v>#N/A N/A</v>
        <stp/>
        <stp>BDP|11810866043782855483</stp>
        <tr r="G3686" s="2"/>
      </tp>
      <tp t="s">
        <v>#N/A N/A</v>
        <stp/>
        <stp>BDP|16163832948589601817</stp>
        <tr r="A2120" s="2"/>
      </tp>
      <tp t="s">
        <v>#N/A N/A</v>
        <stp/>
        <stp>BDP|14643911809553100525</stp>
        <tr r="C4161" s="2"/>
      </tp>
      <tp t="s">
        <v>#N/A N/A</v>
        <stp/>
        <stp>BDP|16110892611843499707</stp>
        <tr r="G3302" s="2"/>
      </tp>
      <tp t="s">
        <v>#N/A N/A</v>
        <stp/>
        <stp>BDP|13914846376255271247</stp>
        <tr r="G2891" s="2"/>
      </tp>
      <tp t="s">
        <v>#N/A N/A</v>
        <stp/>
        <stp>BDP|10671582956412577902</stp>
        <tr r="G3554" s="2"/>
      </tp>
      <tp t="s">
        <v>#N/A N/A</v>
        <stp/>
        <stp>BDP|17308574158028275437</stp>
        <tr r="A3887" s="2"/>
      </tp>
      <tp t="s">
        <v>#N/A N/A</v>
        <stp/>
        <stp>BDP|15219150908209439664</stp>
        <tr r="F1423" s="2"/>
      </tp>
      <tp t="s">
        <v>#N/A N/A</v>
        <stp/>
        <stp>BDP|13753318993280897202</stp>
        <tr r="I4419" s="2"/>
      </tp>
      <tp t="s">
        <v>#N/A N/A</v>
        <stp/>
        <stp>BDP|15624422221758835000</stp>
        <tr r="B1522" s="2"/>
      </tp>
      <tp t="s">
        <v>#N/A N/A</v>
        <stp/>
        <stp>BDP|16742062458381048945</stp>
        <tr r="I387" s="2"/>
      </tp>
      <tp t="s">
        <v>#N/A N/A</v>
        <stp/>
        <stp>BDP|17592595080345439447</stp>
        <tr r="B2492" s="2"/>
      </tp>
      <tp t="s">
        <v>#N/A N/A</v>
        <stp/>
        <stp>BDP|17918554220222697965</stp>
        <tr r="D3310" s="2"/>
      </tp>
      <tp t="s">
        <v>#N/A N/A</v>
        <stp/>
        <stp>BDP|11043180261754492911</stp>
        <tr r="G2223" s="2"/>
      </tp>
      <tp t="s">
        <v>#N/A N/A</v>
        <stp/>
        <stp>BDP|10450120579148670558</stp>
        <tr r="B953" s="2"/>
      </tp>
      <tp t="s">
        <v>#N/A N/A</v>
        <stp/>
        <stp>BDP|13629491488370999422</stp>
        <tr r="H69" s="2"/>
      </tp>
      <tp t="s">
        <v>#N/A N/A</v>
        <stp/>
        <stp>BDP|10252889621791540025</stp>
        <tr r="F3325" s="2"/>
      </tp>
      <tp t="s">
        <v>#N/A N/A</v>
        <stp/>
        <stp>BDP|11566983666823224655</stp>
        <tr r="F4500" s="2"/>
      </tp>
      <tp t="s">
        <v>#N/A N/A</v>
        <stp/>
        <stp>BDP|11607479991381828641</stp>
        <tr r="I4516" s="2"/>
      </tp>
      <tp t="s">
        <v>#N/A N/A</v>
        <stp/>
        <stp>BDP|10670933438376666778</stp>
        <tr r="H1004" s="2"/>
      </tp>
      <tp t="s">
        <v>#N/A N/A</v>
        <stp/>
        <stp>BDP|11749043187090994217</stp>
        <tr r="D1351" s="2"/>
      </tp>
      <tp t="s">
        <v>#N/A N/A</v>
        <stp/>
        <stp>BDP|10238884948431925678</stp>
        <tr r="G4496" s="2"/>
      </tp>
      <tp t="s">
        <v>#N/A N/A</v>
        <stp/>
        <stp>BDP|11800034976898836596</stp>
        <tr r="D1980" s="2"/>
      </tp>
      <tp t="s">
        <v>#N/A N/A</v>
        <stp/>
        <stp>BDP|15557481594966536507</stp>
        <tr r="A783" s="2"/>
      </tp>
      <tp t="s">
        <v>#N/A N/A</v>
        <stp/>
        <stp>BDP|15807160367949735022</stp>
        <tr r="B3262" s="2"/>
      </tp>
      <tp t="s">
        <v>#N/A N/A</v>
        <stp/>
        <stp>BDP|15914773495324403439</stp>
        <tr r="I2970" s="2"/>
      </tp>
      <tp t="s">
        <v>#N/A N/A</v>
        <stp/>
        <stp>BDP|12617598279573241880</stp>
        <tr r="D4005" s="2"/>
      </tp>
      <tp t="s">
        <v>#N/A N/A</v>
        <stp/>
        <stp>BDP|10078817223660902179</stp>
        <tr r="I4162" s="2"/>
      </tp>
      <tp t="s">
        <v>#N/A N/A</v>
        <stp/>
        <stp>BDP|11190347755834491880</stp>
        <tr r="G2899" s="2"/>
      </tp>
      <tp t="s">
        <v>#N/A N/A</v>
        <stp/>
        <stp>BDP|14789582450769459677</stp>
        <tr r="F1638" s="2"/>
      </tp>
      <tp t="s">
        <v>#N/A N/A</v>
        <stp/>
        <stp>BDP|11380668380095882116</stp>
        <tr r="F3382" s="2"/>
      </tp>
      <tp t="s">
        <v>#N/A N/A</v>
        <stp/>
        <stp>BDP|13342092543964619830</stp>
        <tr r="D4805" s="2"/>
      </tp>
      <tp t="s">
        <v>#N/A N/A</v>
        <stp/>
        <stp>BDP|13817919374477036111</stp>
        <tr r="C3074" s="2"/>
      </tp>
      <tp t="s">
        <v>#N/A N/A</v>
        <stp/>
        <stp>BDP|13690562499502716621</stp>
        <tr r="B1309" s="2"/>
      </tp>
      <tp t="s">
        <v>#N/A N/A</v>
        <stp/>
        <stp>BDP|17072287484794585252</stp>
        <tr r="A2124" s="2"/>
      </tp>
      <tp t="s">
        <v>#N/A N/A</v>
        <stp/>
        <stp>BDP|16898773330260561962</stp>
        <tr r="D541" s="2"/>
      </tp>
      <tp t="s">
        <v>#N/A N/A</v>
        <stp/>
        <stp>BDP|17450948905753903609</stp>
        <tr r="C2786" s="2"/>
      </tp>
      <tp t="s">
        <v>#N/A N/A</v>
        <stp/>
        <stp>BDP|11245096950406042971</stp>
        <tr r="A4228" s="2"/>
      </tp>
      <tp t="s">
        <v>#N/A N/A</v>
        <stp/>
        <stp>BDP|17675284607677330965</stp>
        <tr r="I2468" s="2"/>
      </tp>
      <tp t="s">
        <v>#N/A N/A</v>
        <stp/>
        <stp>BDP|18446560233437426291</stp>
        <tr r="H3594" s="2"/>
      </tp>
      <tp t="s">
        <v>#N/A N/A</v>
        <stp/>
        <stp>BDP|10245962817727671494</stp>
        <tr r="F4070" s="2"/>
      </tp>
      <tp t="s">
        <v>#N/A N/A</v>
        <stp/>
        <stp>BDP|14506376947568937002</stp>
        <tr r="G2765" s="2"/>
      </tp>
      <tp t="s">
        <v>#N/A N/A</v>
        <stp/>
        <stp>BDP|14233296797685108111</stp>
        <tr r="B4728" s="2"/>
      </tp>
      <tp t="s">
        <v>#N/A N/A</v>
        <stp/>
        <stp>BDP|14714712070007924833</stp>
        <tr r="C3637" s="2"/>
      </tp>
      <tp t="s">
        <v>#N/A N/A</v>
        <stp/>
        <stp>BDP|17885168522488715774</stp>
        <tr r="B3445" s="2"/>
      </tp>
      <tp t="s">
        <v>#N/A N/A</v>
        <stp/>
        <stp>BDP|12247921020102958050</stp>
        <tr r="F106" s="2"/>
      </tp>
      <tp t="s">
        <v>#N/A N/A</v>
        <stp/>
        <stp>BDP|18139695784609210420</stp>
        <tr r="I1371" s="2"/>
      </tp>
      <tp t="s">
        <v>#N/A N/A</v>
        <stp/>
        <stp>BDP|18366416824236978334</stp>
        <tr r="D3829" s="2"/>
      </tp>
      <tp t="s">
        <v>#N/A N/A</v>
        <stp/>
        <stp>BDP|11640987530358747855</stp>
        <tr r="C2245" s="2"/>
      </tp>
      <tp t="s">
        <v>#N/A N/A</v>
        <stp/>
        <stp>BDP|10212594190563036472</stp>
        <tr r="F743" s="2"/>
      </tp>
      <tp t="s">
        <v>#N/A N/A</v>
        <stp/>
        <stp>BDP|16232933190524952941</stp>
        <tr r="H3909" s="2"/>
      </tp>
      <tp t="s">
        <v>#N/A N/A</v>
        <stp/>
        <stp>BDP|12100241395881489380</stp>
        <tr r="B876" s="2"/>
      </tp>
      <tp t="s">
        <v>#N/A N/A</v>
        <stp/>
        <stp>BDP|15494553395632944018</stp>
        <tr r="G2892" s="2"/>
      </tp>
      <tp t="s">
        <v>#N/A N/A</v>
        <stp/>
        <stp>BDP|12934231756228913691</stp>
        <tr r="D1155" s="2"/>
      </tp>
      <tp t="s">
        <v>#N/A N/A</v>
        <stp/>
        <stp>BDP|11902429896217141008</stp>
        <tr r="H2069" s="2"/>
      </tp>
      <tp t="s">
        <v>#N/A N/A</v>
        <stp/>
        <stp>BDP|14986383149121147959</stp>
        <tr r="C1856" s="2"/>
      </tp>
      <tp t="s">
        <v>#N/A N/A</v>
        <stp/>
        <stp>BDP|14792978268113369370</stp>
        <tr r="I3725" s="2"/>
      </tp>
      <tp t="s">
        <v>#N/A N/A</v>
        <stp/>
        <stp>BDP|15951317870283069940</stp>
        <tr r="D3174" s="2"/>
      </tp>
      <tp t="s">
        <v>#N/A N/A</v>
        <stp/>
        <stp>BDP|14541800167798822967</stp>
        <tr r="G4832" s="2"/>
      </tp>
      <tp t="s">
        <v>#N/A N/A</v>
        <stp/>
        <stp>BDP|17109795080930781332</stp>
        <tr r="F4082" s="2"/>
      </tp>
      <tp t="s">
        <v>#N/A N/A</v>
        <stp/>
        <stp>BDP|11490828436420806143</stp>
        <tr r="B3421" s="2"/>
      </tp>
      <tp t="s">
        <v>#N/A N/A</v>
        <stp/>
        <stp>BDP|13831569960713607848</stp>
        <tr r="F1434" s="2"/>
      </tp>
      <tp t="s">
        <v>#N/A N/A</v>
        <stp/>
        <stp>BDP|14130585060615379962</stp>
        <tr r="H3601" s="2"/>
      </tp>
      <tp t="s">
        <v>#N/A N/A</v>
        <stp/>
        <stp>BDP|18007302649901069558</stp>
        <tr r="F457" s="2"/>
      </tp>
      <tp t="s">
        <v>#N/A N/A</v>
        <stp/>
        <stp>BDP|17075889501301680530</stp>
        <tr r="H3984" s="2"/>
      </tp>
      <tp t="s">
        <v>#N/A N/A</v>
        <stp/>
        <stp>BDP|13159610289183584508</stp>
        <tr r="I1447" s="2"/>
      </tp>
      <tp t="s">
        <v>#N/A N/A</v>
        <stp/>
        <stp>BDP|12878759496086192163</stp>
        <tr r="G677" s="2"/>
      </tp>
      <tp t="s">
        <v>#N/A N/A</v>
        <stp/>
        <stp>BDP|14549137127889844564</stp>
        <tr r="F1177" s="2"/>
      </tp>
      <tp t="s">
        <v>#N/A N/A</v>
        <stp/>
        <stp>BDP|13952508884743696649</stp>
        <tr r="C578" s="2"/>
      </tp>
      <tp t="s">
        <v>#N/A N/A</v>
        <stp/>
        <stp>BDP|15188977118980589644</stp>
        <tr r="I853" s="2"/>
      </tp>
      <tp t="s">
        <v>#N/A N/A</v>
        <stp/>
        <stp>BDP|14990576446407691918</stp>
        <tr r="G463" s="2"/>
      </tp>
      <tp t="s">
        <v>#N/A N/A</v>
        <stp/>
        <stp>BDP|10462101992146967509</stp>
        <tr r="A792" s="2"/>
      </tp>
      <tp t="s">
        <v>#N/A N/A</v>
        <stp/>
        <stp>BDP|13649046470288900749</stp>
        <tr r="A2903" s="2"/>
      </tp>
      <tp t="s">
        <v>#N/A N/A</v>
        <stp/>
        <stp>BDP|16983470280404125507</stp>
        <tr r="I1418" s="2"/>
      </tp>
      <tp t="s">
        <v>#N/A N/A</v>
        <stp/>
        <stp>BDP|14655809751361863300</stp>
        <tr r="H4750" s="2"/>
      </tp>
      <tp t="s">
        <v>#N/A N/A</v>
        <stp/>
        <stp>BDP|11824573718519054788</stp>
        <tr r="B2748" s="2"/>
      </tp>
      <tp t="s">
        <v>#N/A N/A</v>
        <stp/>
        <stp>BDP|14853446023629649069</stp>
        <tr r="G2584" s="2"/>
      </tp>
      <tp t="s">
        <v>#N/A N/A</v>
        <stp/>
        <stp>BDP|12595798037878378576</stp>
        <tr r="B2111" s="2"/>
      </tp>
      <tp t="s">
        <v>#N/A N/A</v>
        <stp/>
        <stp>BDP|18141581848937600584</stp>
        <tr r="A1267" s="2"/>
      </tp>
      <tp t="s">
        <v>#N/A N/A</v>
        <stp/>
        <stp>BDP|18001589611144516331</stp>
        <tr r="B2640" s="2"/>
      </tp>
      <tp t="s">
        <v>#N/A N/A</v>
        <stp/>
        <stp>BDP|17191747956788807641</stp>
        <tr r="G2865" s="2"/>
      </tp>
      <tp t="s">
        <v>#N/A N/A</v>
        <stp/>
        <stp>BDP|14117841397767508988</stp>
        <tr r="G4712" s="2"/>
      </tp>
      <tp t="s">
        <v>#N/A N/A</v>
        <stp/>
        <stp>BDP|18315404459981037351</stp>
        <tr r="C237" s="2"/>
      </tp>
      <tp t="s">
        <v>#N/A N/A</v>
        <stp/>
        <stp>BDP|11993370006649456034</stp>
        <tr r="F811" s="2"/>
      </tp>
      <tp t="s">
        <v>#N/A N/A</v>
        <stp/>
        <stp>BDP|14272645376589888771</stp>
        <tr r="A1677" s="2"/>
      </tp>
      <tp t="s">
        <v>#N/A N/A</v>
        <stp/>
        <stp>BDP|15987127492661779713</stp>
        <tr r="G368" s="2"/>
      </tp>
      <tp t="s">
        <v>#N/A N/A</v>
        <stp/>
        <stp>BDP|17484590533138966282</stp>
        <tr r="B1969" s="2"/>
      </tp>
      <tp t="s">
        <v>#N/A N/A</v>
        <stp/>
        <stp>BDP|14208915069594599405</stp>
        <tr r="C3310" s="2"/>
      </tp>
      <tp t="s">
        <v>#N/A N/A</v>
        <stp/>
        <stp>BDP|18337771375926688580</stp>
        <tr r="D1288" s="2"/>
      </tp>
      <tp t="s">
        <v>#N/A N/A</v>
        <stp/>
        <stp>BDP|17415048690861671495</stp>
        <tr r="H1337" s="2"/>
      </tp>
      <tp t="s">
        <v>#N/A N/A</v>
        <stp/>
        <stp>BDP|13386356089822623167</stp>
        <tr r="A800" s="2"/>
      </tp>
      <tp t="s">
        <v>#N/A N/A</v>
        <stp/>
        <stp>BDP|10822067102159279211</stp>
        <tr r="G3033" s="2"/>
      </tp>
      <tp t="s">
        <v>#N/A N/A</v>
        <stp/>
        <stp>BDP|17331904258244506417</stp>
        <tr r="I1345" s="2"/>
      </tp>
      <tp t="s">
        <v>#N/A N/A</v>
        <stp/>
        <stp>BDP|10465965396679353282</stp>
        <tr r="D142" s="2"/>
      </tp>
      <tp t="s">
        <v>#N/A N/A</v>
        <stp/>
        <stp>BDP|17593972909394491103</stp>
        <tr r="I4035" s="2"/>
      </tp>
      <tp t="s">
        <v>#N/A N/A</v>
        <stp/>
        <stp>BDP|12836857512550438043</stp>
        <tr r="D4653" s="2"/>
      </tp>
      <tp t="s">
        <v>#N/A N/A</v>
        <stp/>
        <stp>BDP|12202346098145957683</stp>
        <tr r="I4859" s="2"/>
      </tp>
      <tp t="s">
        <v>#N/A N/A</v>
        <stp/>
        <stp>BDP|16812130145168365027</stp>
        <tr r="C180" s="2"/>
      </tp>
      <tp t="s">
        <v>#N/A N/A</v>
        <stp/>
        <stp>BDP|11805210312198463107</stp>
        <tr r="D4602" s="2"/>
      </tp>
      <tp t="s">
        <v>#N/A N/A</v>
        <stp/>
        <stp>BDP|17543226059593805897</stp>
        <tr r="F1084" s="2"/>
      </tp>
      <tp t="s">
        <v>#N/A N/A</v>
        <stp/>
        <stp>BDP|10739741106798215484</stp>
        <tr r="A1250" s="2"/>
      </tp>
      <tp t="s">
        <v>#N/A N/A</v>
        <stp/>
        <stp>BDP|11113255294940992164</stp>
        <tr r="G1877" s="2"/>
      </tp>
      <tp t="s">
        <v>#N/A N/A</v>
        <stp/>
        <stp>BDP|15195936423661891460</stp>
        <tr r="B147" s="2"/>
      </tp>
      <tp t="s">
        <v>#N/A N/A</v>
        <stp/>
        <stp>BDP|18130020514266185499</stp>
        <tr r="G4595" s="2"/>
      </tp>
      <tp t="s">
        <v>#N/A N/A</v>
        <stp/>
        <stp>BDP|14343390472719436230</stp>
        <tr r="F566" s="2"/>
      </tp>
      <tp t="s">
        <v>#N/A N/A</v>
        <stp/>
        <stp>BDP|17260084992845257058</stp>
        <tr r="D2513" s="2"/>
      </tp>
      <tp t="s">
        <v>#N/A N/A</v>
        <stp/>
        <stp>BDP|17855562559388962415</stp>
        <tr r="F181" s="2"/>
      </tp>
      <tp t="s">
        <v>#N/A N/A</v>
        <stp/>
        <stp>BDP|17909467346554269843</stp>
        <tr r="B534" s="2"/>
      </tp>
      <tp t="s">
        <v>#N/A N/A</v>
        <stp/>
        <stp>BDP|13141760735778552481</stp>
        <tr r="A4871" s="2"/>
      </tp>
      <tp t="s">
        <v>#N/A N/A</v>
        <stp/>
        <stp>BDP|16309602189054452711</stp>
        <tr r="G2725" s="2"/>
      </tp>
      <tp t="s">
        <v>#N/A N/A</v>
        <stp/>
        <stp>BDP|11728071564278920425</stp>
        <tr r="C84" s="2"/>
      </tp>
      <tp t="s">
        <v>#N/A N/A</v>
        <stp/>
        <stp>BDP|12728438903964062983</stp>
        <tr r="F364" s="2"/>
      </tp>
      <tp t="s">
        <v>#N/A N/A</v>
        <stp/>
        <stp>BDP|14131941233235866010</stp>
        <tr r="D289" s="2"/>
      </tp>
      <tp t="s">
        <v>#N/A N/A</v>
        <stp/>
        <stp>BDP|15104078459763796870</stp>
        <tr r="H1578" s="2"/>
      </tp>
      <tp t="s">
        <v>#N/A N/A</v>
        <stp/>
        <stp>BDP|12721040069158147741</stp>
        <tr r="C2353" s="2"/>
      </tp>
      <tp t="s">
        <v>#N/A N/A</v>
        <stp/>
        <stp>BDP|16839994218163560635</stp>
        <tr r="A3332" s="2"/>
      </tp>
      <tp t="s">
        <v>#N/A N/A</v>
        <stp/>
        <stp>BDP|14299736099101535028</stp>
        <tr r="G128" s="2"/>
      </tp>
      <tp t="s">
        <v>#N/A N/A</v>
        <stp/>
        <stp>BDP|16079940368050210212</stp>
        <tr r="I11" s="2"/>
      </tp>
      <tp t="s">
        <v>#N/A N/A</v>
        <stp/>
        <stp>BDP|16927250412337949981</stp>
        <tr r="A3277" s="2"/>
      </tp>
      <tp t="s">
        <v>#N/A N/A</v>
        <stp/>
        <stp>BDP|10842809463611361479</stp>
        <tr r="B4243" s="2"/>
      </tp>
      <tp t="s">
        <v>#N/A N/A</v>
        <stp/>
        <stp>BDP|13747282390524826785</stp>
        <tr r="H2401" s="2"/>
      </tp>
      <tp t="s">
        <v>#N/A N/A</v>
        <stp/>
        <stp>BDP|17987794587431853209</stp>
        <tr r="F4352" s="2"/>
      </tp>
      <tp t="s">
        <v>#N/A N/A</v>
        <stp/>
        <stp>BDP|16145168898865867099</stp>
        <tr r="B3290" s="2"/>
      </tp>
      <tp t="s">
        <v>#N/A N/A</v>
        <stp/>
        <stp>BDP|11050750511799803529</stp>
        <tr r="H4066" s="2"/>
      </tp>
      <tp t="s">
        <v>#N/A N/A</v>
        <stp/>
        <stp>BDP|17951611833288543109</stp>
        <tr r="C1743" s="2"/>
      </tp>
      <tp t="s">
        <v>#N/A N/A</v>
        <stp/>
        <stp>BDP|11768825654836873176</stp>
        <tr r="B208" s="2"/>
      </tp>
      <tp t="s">
        <v>#N/A N/A</v>
        <stp/>
        <stp>BDP|14910069983161126631</stp>
        <tr r="F2422" s="2"/>
      </tp>
      <tp t="s">
        <v>#N/A N/A</v>
        <stp/>
        <stp>BDP|10862288895730283098</stp>
        <tr r="I893" s="2"/>
      </tp>
      <tp t="s">
        <v>#N/A N/A</v>
        <stp/>
        <stp>BDP|16819918017420371533</stp>
        <tr r="D4593" s="2"/>
      </tp>
      <tp t="s">
        <v>#N/A N/A</v>
        <stp/>
        <stp>BDP|14069132810797536888</stp>
        <tr r="D2527" s="2"/>
      </tp>
      <tp t="s">
        <v>#N/A N/A</v>
        <stp/>
        <stp>BDP|13546375562995813861</stp>
        <tr r="F3536" s="2"/>
      </tp>
      <tp t="s">
        <v>#N/A N/A</v>
        <stp/>
        <stp>BDP|11887450651232138931</stp>
        <tr r="D104" s="2"/>
      </tp>
      <tp t="s">
        <v>#N/A N/A</v>
        <stp/>
        <stp>BDP|10893877727363617204</stp>
        <tr r="A3770" s="2"/>
      </tp>
      <tp t="s">
        <v>#N/A N/A</v>
        <stp/>
        <stp>BDP|13357469082532060697</stp>
        <tr r="B4314" s="2"/>
      </tp>
      <tp t="s">
        <v>#N/A N/A</v>
        <stp/>
        <stp>BDP|16267746718823766876</stp>
        <tr r="D1728" s="2"/>
      </tp>
      <tp t="s">
        <v>#N/A N/A</v>
        <stp/>
        <stp>BDP|16826931256571080036</stp>
        <tr r="B3082" s="2"/>
      </tp>
      <tp t="s">
        <v>#N/A N/A</v>
        <stp/>
        <stp>BDP|17989467719349826001</stp>
        <tr r="A701" s="2"/>
      </tp>
      <tp t="s">
        <v>#N/A N/A</v>
        <stp/>
        <stp>BDP|12631891444857006255</stp>
        <tr r="G4754" s="2"/>
      </tp>
      <tp t="s">
        <v>#N/A N/A</v>
        <stp/>
        <stp>BDP|17376297702876130874</stp>
        <tr r="B4772" s="2"/>
      </tp>
      <tp t="s">
        <v>#N/A N/A</v>
        <stp/>
        <stp>BDP|15882825074766204725</stp>
        <tr r="B4154" s="2"/>
      </tp>
      <tp t="s">
        <v>#N/A N/A</v>
        <stp/>
        <stp>BDP|15270424118858319354</stp>
        <tr r="F3129" s="2"/>
      </tp>
      <tp t="s">
        <v>#N/A N/A</v>
        <stp/>
        <stp>BDP|16021851636837519184</stp>
        <tr r="D1492" s="2"/>
      </tp>
      <tp t="s">
        <v>#N/A N/A</v>
        <stp/>
        <stp>BDP|12925278289596900501</stp>
        <tr r="H148" s="2"/>
      </tp>
      <tp t="s">
        <v>#N/A N/A</v>
        <stp/>
        <stp>BDP|12982106420528115264</stp>
        <tr r="I999" s="2"/>
      </tp>
      <tp t="s">
        <v>#N/A N/A</v>
        <stp/>
        <stp>BDP|14992859140871447262</stp>
        <tr r="I1364" s="2"/>
      </tp>
      <tp t="s">
        <v>#N/A N/A</v>
        <stp/>
        <stp>BDP|11931225364696246838</stp>
        <tr r="F2687" s="2"/>
      </tp>
      <tp t="s">
        <v>#N/A N/A</v>
        <stp/>
        <stp>BDP|16059828957502266292</stp>
        <tr r="A931" s="2"/>
      </tp>
      <tp t="s">
        <v>#N/A N/A</v>
        <stp/>
        <stp>BDP|16331474792148831809</stp>
        <tr r="D3347" s="2"/>
      </tp>
      <tp t="s">
        <v>#N/A N/A</v>
        <stp/>
        <stp>BDP|10230396884014874491</stp>
        <tr r="G2354" s="2"/>
      </tp>
      <tp t="s">
        <v>#N/A N/A</v>
        <stp/>
        <stp>BDP|11115497134634600943</stp>
        <tr r="H142" s="2"/>
      </tp>
      <tp t="s">
        <v>#N/A N/A</v>
        <stp/>
        <stp>BDP|14151080015278720656</stp>
        <tr r="B3486" s="2"/>
      </tp>
      <tp t="s">
        <v>#N/A N/A</v>
        <stp/>
        <stp>BDP|18374260901284246582</stp>
        <tr r="F4113" s="2"/>
      </tp>
      <tp t="s">
        <v>#N/A N/A</v>
        <stp/>
        <stp>BDP|13513278936840231980</stp>
        <tr r="A3240" s="2"/>
      </tp>
      <tp t="s">
        <v>#N/A N/A</v>
        <stp/>
        <stp>BDP|15466082189290314685</stp>
        <tr r="C783" s="2"/>
      </tp>
      <tp t="s">
        <v>#N/A N/A</v>
        <stp/>
        <stp>BDP|17526975528423184459</stp>
        <tr r="G2985" s="2"/>
      </tp>
      <tp t="s">
        <v>#N/A N/A</v>
        <stp/>
        <stp>BDP|11349752707494795989</stp>
        <tr r="A4840" s="2"/>
      </tp>
      <tp t="s">
        <v>#N/A N/A</v>
        <stp/>
        <stp>BDP|10568825670576963201</stp>
        <tr r="D2314" s="2"/>
      </tp>
      <tp t="s">
        <v>#N/A N/A</v>
        <stp/>
        <stp>BDP|10452906448825085322</stp>
        <tr r="G2189" s="2"/>
      </tp>
      <tp t="s">
        <v>#N/A N/A</v>
        <stp/>
        <stp>BDP|15225653959474978993</stp>
        <tr r="C1528" s="2"/>
      </tp>
      <tp t="s">
        <v>#N/A N/A</v>
        <stp/>
        <stp>BDP|17473792491352621045</stp>
        <tr r="G748" s="2"/>
      </tp>
      <tp t="s">
        <v>#N/A N/A</v>
        <stp/>
        <stp>BDP|11410927583539954227</stp>
        <tr r="G3014" s="2"/>
      </tp>
      <tp t="s">
        <v>#N/A N/A</v>
        <stp/>
        <stp>BDP|15577949979806427624</stp>
        <tr r="B2535" s="2"/>
      </tp>
      <tp t="s">
        <v>#N/A N/A</v>
        <stp/>
        <stp>BDP|12609263397447944503</stp>
        <tr r="A4362" s="2"/>
      </tp>
      <tp t="s">
        <v>#N/A N/A</v>
        <stp/>
        <stp>BDP|10245065767444536986</stp>
        <tr r="H346" s="2"/>
      </tp>
      <tp t="s">
        <v>#N/A N/A</v>
        <stp/>
        <stp>BDP|14453031879789053106</stp>
        <tr r="B2973" s="2"/>
      </tp>
      <tp t="s">
        <v>#N/A N/A</v>
        <stp/>
        <stp>BDP|17716666617703903810</stp>
        <tr r="I620" s="2"/>
      </tp>
      <tp t="s">
        <v>#N/A N/A</v>
        <stp/>
        <stp>BDP|12159991211227198668</stp>
        <tr r="D2337" s="2"/>
      </tp>
      <tp t="s">
        <v>#N/A N/A</v>
        <stp/>
        <stp>BDP|16205318593945977271</stp>
        <tr r="I770" s="2"/>
      </tp>
      <tp t="s">
        <v>#N/A N/A</v>
        <stp/>
        <stp>BDP|14100596386060818281</stp>
        <tr r="F3828" s="2"/>
      </tp>
      <tp t="s">
        <v>#N/A N/A</v>
        <stp/>
        <stp>BDP|14441446258157627907</stp>
        <tr r="C689" s="2"/>
      </tp>
      <tp t="s">
        <v>#N/A N/A</v>
        <stp/>
        <stp>BDP|12351236391297869571</stp>
        <tr r="D1966" s="2"/>
      </tp>
      <tp t="s">
        <v>#N/A N/A</v>
        <stp/>
        <stp>BDP|16534372181695942346</stp>
        <tr r="D3192" s="2"/>
      </tp>
      <tp t="s">
        <v>#N/A N/A</v>
        <stp/>
        <stp>BDP|10336787277182505970</stp>
        <tr r="G2154" s="2"/>
      </tp>
      <tp t="s">
        <v>#N/A N/A</v>
        <stp/>
        <stp>BDP|13048882344605302115</stp>
        <tr r="I3136" s="2"/>
      </tp>
      <tp t="s">
        <v>#N/A N/A</v>
        <stp/>
        <stp>BDP|17957538965346630978</stp>
        <tr r="D3097" s="2"/>
      </tp>
      <tp t="s">
        <v>#N/A N/A</v>
        <stp/>
        <stp>BDP|12775991011469137804</stp>
        <tr r="B4433" s="2"/>
      </tp>
      <tp t="s">
        <v>#N/A N/A</v>
        <stp/>
        <stp>BDP|18307585309130463687</stp>
        <tr r="F1329" s="2"/>
      </tp>
      <tp t="s">
        <v>#N/A N/A</v>
        <stp/>
        <stp>BDP|12402111438109521267</stp>
        <tr r="G2039" s="2"/>
      </tp>
      <tp t="s">
        <v>#N/A N/A</v>
        <stp/>
        <stp>BDP|14845984645073305185</stp>
        <tr r="G3370" s="2"/>
      </tp>
      <tp t="s">
        <v>#N/A N/A</v>
        <stp/>
        <stp>BDP|17843044217974744928</stp>
        <tr r="A2844" s="2"/>
      </tp>
      <tp t="s">
        <v>#N/A N/A</v>
        <stp/>
        <stp>BDP|14427060387377204095</stp>
        <tr r="D4902" s="2"/>
      </tp>
      <tp t="s">
        <v>#N/A N/A</v>
        <stp/>
        <stp>BDP|17070741624379602081</stp>
        <tr r="B3195" s="2"/>
      </tp>
      <tp t="s">
        <v>#N/A N/A</v>
        <stp/>
        <stp>BDP|16822458869208555706</stp>
        <tr r="D934" s="2"/>
      </tp>
      <tp t="s">
        <v>#N/A N/A</v>
        <stp/>
        <stp>BDP|16865492098081973118</stp>
        <tr r="D4263" s="2"/>
      </tp>
      <tp t="s">
        <v>#N/A N/A</v>
        <stp/>
        <stp>BDP|11431876360370791454</stp>
        <tr r="G4236" s="2"/>
      </tp>
      <tp t="s">
        <v>#N/A N/A</v>
        <stp/>
        <stp>BDP|14369988935533834673</stp>
        <tr r="C1347" s="2"/>
      </tp>
      <tp t="s">
        <v>#N/A N/A</v>
        <stp/>
        <stp>BDP|13663648426028623437</stp>
        <tr r="I3878" s="2"/>
      </tp>
      <tp t="s">
        <v>#N/A N/A</v>
        <stp/>
        <stp>BDP|12282732259273815812</stp>
        <tr r="A3625" s="2"/>
      </tp>
      <tp t="s">
        <v>#N/A N/A</v>
        <stp/>
        <stp>BDP|14092096781240045793</stp>
        <tr r="C3895" s="2"/>
      </tp>
      <tp t="s">
        <v>#N/A N/A</v>
        <stp/>
        <stp>BDP|16067174694632791757</stp>
        <tr r="G4804" s="2"/>
      </tp>
      <tp t="s">
        <v>#N/A N/A</v>
        <stp/>
        <stp>BDP|11424607285796683263</stp>
        <tr r="I1916" s="2"/>
      </tp>
      <tp t="s">
        <v>#N/A N/A</v>
        <stp/>
        <stp>BDP|14080037482320479742</stp>
        <tr r="H2415" s="2"/>
      </tp>
      <tp t="s">
        <v>#N/A N/A</v>
        <stp/>
        <stp>BDP|13615434709919412594</stp>
        <tr r="F2604" s="2"/>
      </tp>
      <tp t="s">
        <v>#N/A N/A</v>
        <stp/>
        <stp>BDP|15131900460312486341</stp>
        <tr r="I245" s="2"/>
      </tp>
      <tp t="s">
        <v>#N/A N/A</v>
        <stp/>
        <stp>BDP|15453255775908606330</stp>
        <tr r="I669" s="2"/>
      </tp>
      <tp t="s">
        <v>#N/A N/A</v>
        <stp/>
        <stp>BDP|15455118094481871781</stp>
        <tr r="G3547" s="2"/>
      </tp>
      <tp t="s">
        <v>#N/A N/A</v>
        <stp/>
        <stp>BDP|13135434029217323998</stp>
        <tr r="G4066" s="2"/>
      </tp>
      <tp t="s">
        <v>#N/A N/A</v>
        <stp/>
        <stp>BDP|13326294497627562499</stp>
        <tr r="A3416" s="2"/>
      </tp>
      <tp t="s">
        <v>#N/A N/A</v>
        <stp/>
        <stp>BDP|13938936339894569675</stp>
        <tr r="I4540" s="2"/>
      </tp>
      <tp t="s">
        <v>#N/A N/A</v>
        <stp/>
        <stp>BDP|12676071303968406171</stp>
        <tr r="C3846" s="2"/>
      </tp>
      <tp t="s">
        <v>#N/A N/A</v>
        <stp/>
        <stp>BDP|13455482662852812870</stp>
        <tr r="D3014" s="2"/>
      </tp>
      <tp t="s">
        <v>#N/A N/A</v>
        <stp/>
        <stp>BDP|16529312788956904044</stp>
        <tr r="I2334" s="2"/>
      </tp>
      <tp t="s">
        <v>#N/A N/A</v>
        <stp/>
        <stp>BDP|18237288159034061021</stp>
        <tr r="D3875" s="2"/>
      </tp>
      <tp t="s">
        <v>#N/A N/A</v>
        <stp/>
        <stp>BDP|18010647581774795934</stp>
        <tr r="C4896" s="2"/>
      </tp>
      <tp t="s">
        <v>#N/A N/A</v>
        <stp/>
        <stp>BDP|12702805538975601780</stp>
        <tr r="B1562" s="2"/>
      </tp>
      <tp t="s">
        <v>#N/A N/A</v>
        <stp/>
        <stp>BDP|13669862717164499520</stp>
        <tr r="A4264" s="2"/>
      </tp>
      <tp t="s">
        <v>#N/A N/A</v>
        <stp/>
        <stp>BDP|10116214993667099726</stp>
        <tr r="F685" s="2"/>
      </tp>
      <tp t="s">
        <v>#N/A N/A</v>
        <stp/>
        <stp>BDP|15649421641899704731</stp>
        <tr r="G1229" s="2"/>
      </tp>
      <tp t="s">
        <v>#N/A N/A</v>
        <stp/>
        <stp>BDP|16194466095795094532</stp>
        <tr r="G4839" s="2"/>
      </tp>
      <tp t="s">
        <v>#N/A N/A</v>
        <stp/>
        <stp>BDP|16685444856478081453</stp>
        <tr r="H164" s="2"/>
      </tp>
      <tp t="s">
        <v>#N/A N/A</v>
        <stp/>
        <stp>BDP|11325978845313098403</stp>
        <tr r="B4796" s="2"/>
      </tp>
      <tp t="s">
        <v>#N/A N/A</v>
        <stp/>
        <stp>BDP|13100308189971102282</stp>
        <tr r="H690" s="2"/>
      </tp>
      <tp t="s">
        <v>#N/A N/A</v>
        <stp/>
        <stp>BDP|14136773490113533221</stp>
        <tr r="A3767" s="2"/>
      </tp>
      <tp t="s">
        <v>#N/A N/A</v>
        <stp/>
        <stp>BDP|15905948737540876439</stp>
        <tr r="B3285" s="2"/>
      </tp>
      <tp t="s">
        <v>#N/A N/A</v>
        <stp/>
        <stp>BDP|16159576070419435636</stp>
        <tr r="C625" s="2"/>
      </tp>
      <tp t="s">
        <v>#N/A N/A</v>
        <stp/>
        <stp>BDP|12464247610349788368</stp>
        <tr r="F3729" s="2"/>
      </tp>
      <tp t="s">
        <v>#N/A N/A</v>
        <stp/>
        <stp>BDP|10592794989215183155</stp>
        <tr r="B4739" s="2"/>
      </tp>
      <tp t="s">
        <v>#N/A N/A</v>
        <stp/>
        <stp>BDP|13076745581393303473</stp>
        <tr r="C1897" s="2"/>
      </tp>
      <tp t="s">
        <v>#N/A N/A</v>
        <stp/>
        <stp>BDP|15322858918950914760</stp>
        <tr r="G989" s="2"/>
      </tp>
      <tp t="s">
        <v>#N/A N/A</v>
        <stp/>
        <stp>BDP|10447477166758707136</stp>
        <tr r="I748" s="2"/>
      </tp>
      <tp t="s">
        <v>#N/A N/A</v>
        <stp/>
        <stp>BDP|16667125527166585878</stp>
        <tr r="F4526" s="2"/>
      </tp>
      <tp t="s">
        <v>#N/A N/A</v>
        <stp/>
        <stp>BDP|10043352094501920093</stp>
        <tr r="I209" s="2"/>
      </tp>
      <tp t="s">
        <v>#N/A N/A</v>
        <stp/>
        <stp>BDP|17194091188865479156</stp>
        <tr r="C2160" s="2"/>
      </tp>
      <tp t="s">
        <v>#N/A N/A</v>
        <stp/>
        <stp>BDP|12631149887852308273</stp>
        <tr r="F4888" s="2"/>
      </tp>
      <tp t="s">
        <v>#N/A N/A</v>
        <stp/>
        <stp>BDP|10567137076578707565</stp>
        <tr r="H2254" s="2"/>
      </tp>
      <tp t="s">
        <v>#N/A N/A</v>
        <stp/>
        <stp>BDP|17691580734909970326</stp>
        <tr r="D3275" s="2"/>
      </tp>
      <tp t="s">
        <v>#N/A N/A</v>
        <stp/>
        <stp>BDP|16775366735074725922</stp>
        <tr r="F4797" s="2"/>
      </tp>
      <tp t="s">
        <v>#N/A N/A</v>
        <stp/>
        <stp>BDP|10329827315000063253</stp>
        <tr r="H4309" s="2"/>
      </tp>
      <tp t="s">
        <v>#N/A N/A</v>
        <stp/>
        <stp>BDP|17170807666677058563</stp>
        <tr r="B2838" s="2"/>
      </tp>
      <tp t="s">
        <v>#N/A N/A</v>
        <stp/>
        <stp>BDP|11264722489405128092</stp>
        <tr r="I155" s="2"/>
      </tp>
      <tp t="s">
        <v>#N/A N/A</v>
        <stp/>
        <stp>BDP|10165103057196461935</stp>
        <tr r="H3757" s="2"/>
      </tp>
      <tp t="s">
        <v>#N/A N/A</v>
        <stp/>
        <stp>BDP|12028154546164295809</stp>
        <tr r="I4546" s="2"/>
      </tp>
      <tp t="s">
        <v>#N/A N/A</v>
        <stp/>
        <stp>BDP|13559544698202849600</stp>
        <tr r="F4050" s="2"/>
      </tp>
      <tp t="s">
        <v>#N/A N/A</v>
        <stp/>
        <stp>BDP|12972900652485343091</stp>
        <tr r="C3290" s="2"/>
      </tp>
      <tp t="s">
        <v>#N/A N/A</v>
        <stp/>
        <stp>BDP|11533967713244109600</stp>
        <tr r="H2255" s="2"/>
      </tp>
      <tp t="s">
        <v>#N/A N/A</v>
        <stp/>
        <stp>BDP|18423329875760735759</stp>
        <tr r="F3942" s="2"/>
      </tp>
      <tp t="s">
        <v>#N/A N/A</v>
        <stp/>
        <stp>BDP|16308301289674857234</stp>
        <tr r="I4361" s="2"/>
      </tp>
      <tp t="s">
        <v>#N/A N/A</v>
        <stp/>
        <stp>BDP|13118395258349169707</stp>
        <tr r="F1701" s="2"/>
      </tp>
      <tp t="s">
        <v>#N/A N/A</v>
        <stp/>
        <stp>BDP|14178051581267338071</stp>
        <tr r="B132" s="2"/>
      </tp>
      <tp t="s">
        <v>#N/A N/A</v>
        <stp/>
        <stp>BDP|17558317795374936297</stp>
        <tr r="A1904" s="2"/>
      </tp>
      <tp t="s">
        <v>#N/A N/A</v>
        <stp/>
        <stp>BDP|12664538902344180870</stp>
        <tr r="I3559" s="2"/>
      </tp>
      <tp t="s">
        <v>#N/A N/A</v>
        <stp/>
        <stp>BDP|13141115273397432964</stp>
        <tr r="I2896" s="2"/>
      </tp>
      <tp t="s">
        <v>#N/A N/A</v>
        <stp/>
        <stp>BDP|10183117803399505379</stp>
        <tr r="H659" s="2"/>
      </tp>
      <tp t="s">
        <v>#N/A N/A</v>
        <stp/>
        <stp>BDP|15226976635646822295</stp>
        <tr r="H4223" s="2"/>
      </tp>
      <tp t="s">
        <v>#N/A N/A</v>
        <stp/>
        <stp>BDP|16593908055540351124</stp>
        <tr r="G2145" s="2"/>
      </tp>
      <tp t="s">
        <v>#N/A N/A</v>
        <stp/>
        <stp>BDP|18107749684678531458</stp>
        <tr r="I2631" s="2"/>
      </tp>
      <tp t="s">
        <v>#N/A N/A</v>
        <stp/>
        <stp>BDP|16476509094792699374</stp>
        <tr r="F4560" s="2"/>
      </tp>
      <tp t="s">
        <v>#N/A N/A</v>
        <stp/>
        <stp>BDP|14457135190870742718</stp>
        <tr r="C1284" s="2"/>
      </tp>
      <tp t="s">
        <v>#N/A N/A</v>
        <stp/>
        <stp>BDP|11526829231391368055</stp>
        <tr r="G2942" s="2"/>
      </tp>
      <tp t="s">
        <v>#N/A N/A</v>
        <stp/>
        <stp>BDP|15164877077174026519</stp>
        <tr r="C104" s="2"/>
      </tp>
      <tp t="s">
        <v>#N/A N/A</v>
        <stp/>
        <stp>BDP|12190426353080604865</stp>
        <tr r="A2257" s="2"/>
      </tp>
      <tp t="s">
        <v>#N/A N/A</v>
        <stp/>
        <stp>BDP|17091550650179439511</stp>
        <tr r="G382" s="2"/>
      </tp>
      <tp t="s">
        <v>#N/A N/A</v>
        <stp/>
        <stp>BDP|18374454020410390554</stp>
        <tr r="D1455" s="2"/>
      </tp>
      <tp t="s">
        <v>#N/A N/A</v>
        <stp/>
        <stp>BDP|11435526223909373461</stp>
        <tr r="A2787" s="2"/>
      </tp>
      <tp t="s">
        <v>#N/A N/A</v>
        <stp/>
        <stp>BDP|17175793478409935599</stp>
        <tr r="B1832" s="2"/>
      </tp>
      <tp t="s">
        <v>#N/A N/A</v>
        <stp/>
        <stp>BDP|11002308588766108796</stp>
        <tr r="H461" s="2"/>
      </tp>
      <tp t="s">
        <v>#N/A N/A</v>
        <stp/>
        <stp>BDP|10054685299643978788</stp>
        <tr r="F4647" s="2"/>
      </tp>
      <tp t="s">
        <v>#N/A N/A</v>
        <stp/>
        <stp>BDP|16863706548758974699</stp>
        <tr r="H1728" s="2"/>
      </tp>
      <tp t="s">
        <v>#N/A N/A</v>
        <stp/>
        <stp>BDP|14313639296722575231</stp>
        <tr r="B770" s="2"/>
      </tp>
      <tp t="s">
        <v>#N/A N/A</v>
        <stp/>
        <stp>BDP|15076270103569394573</stp>
        <tr r="D4680" s="2"/>
      </tp>
      <tp t="s">
        <v>#N/A N/A</v>
        <stp/>
        <stp>BDP|16430249680977795072</stp>
        <tr r="H1978" s="2"/>
      </tp>
      <tp t="s">
        <v>#N/A N/A</v>
        <stp/>
        <stp>BDP|14141191246113741998</stp>
        <tr r="H4407" s="2"/>
      </tp>
      <tp t="s">
        <v>#N/A N/A</v>
        <stp/>
        <stp>BDP|15688257627877097941</stp>
        <tr r="H1117" s="2"/>
      </tp>
      <tp t="s">
        <v>#N/A N/A</v>
        <stp/>
        <stp>BDP|17649909657406711667</stp>
        <tr r="A93" s="2"/>
      </tp>
      <tp t="s">
        <v>#N/A N/A</v>
        <stp/>
        <stp>BDP|18443008275381370527</stp>
        <tr r="G4020" s="2"/>
      </tp>
      <tp t="s">
        <v>#N/A N/A</v>
        <stp/>
        <stp>BDP|11433572784797089071</stp>
        <tr r="C2152" s="2"/>
      </tp>
      <tp t="s">
        <v>#N/A N/A</v>
        <stp/>
        <stp>BDP|15002656611551281864</stp>
        <tr r="C3497" s="2"/>
      </tp>
      <tp t="s">
        <v>#N/A N/A</v>
        <stp/>
        <stp>BDP|17188762681451083268</stp>
        <tr r="B15" s="2"/>
      </tp>
      <tp t="s">
        <v>#N/A N/A</v>
        <stp/>
        <stp>BDP|11480206081239467914</stp>
        <tr r="B2179" s="2"/>
      </tp>
      <tp t="s">
        <v>#N/A N/A</v>
        <stp/>
        <stp>BDP|15122651376879766653</stp>
        <tr r="H2692" s="2"/>
      </tp>
      <tp t="s">
        <v>#N/A N/A</v>
        <stp/>
        <stp>BDP|12828852187819847021</stp>
        <tr r="H2336" s="2"/>
      </tp>
      <tp t="s">
        <v>#N/A N/A</v>
        <stp/>
        <stp>BDP|10097978714427508468</stp>
        <tr r="G1867" s="2"/>
      </tp>
      <tp t="s">
        <v>#N/A N/A</v>
        <stp/>
        <stp>BDP|16573172232676280926</stp>
        <tr r="D782" s="2"/>
      </tp>
      <tp t="s">
        <v>#N/A N/A</v>
        <stp/>
        <stp>BDP|14069419657379595739</stp>
        <tr r="C3938" s="2"/>
      </tp>
      <tp t="s">
        <v>#N/A N/A</v>
        <stp/>
        <stp>BDP|16296204392594715275</stp>
        <tr r="H1515" s="2"/>
      </tp>
      <tp t="s">
        <v>#N/A N/A</v>
        <stp/>
        <stp>BDP|10037829219032853033</stp>
        <tr r="F1468" s="2"/>
      </tp>
      <tp t="s">
        <v>#N/A N/A</v>
        <stp/>
        <stp>BDP|11791822612753596029</stp>
        <tr r="I4071" s="2"/>
      </tp>
      <tp t="s">
        <v>#N/A N/A</v>
        <stp/>
        <stp>BDP|16149778580900719217</stp>
        <tr r="C4642" s="2"/>
      </tp>
      <tp t="s">
        <v>#N/A N/A</v>
        <stp/>
        <stp>BDP|16771975661060554244</stp>
        <tr r="B1261" s="2"/>
      </tp>
      <tp t="s">
        <v>#N/A N/A</v>
        <stp/>
        <stp>BDP|18302218109945270495</stp>
        <tr r="B3464" s="2"/>
      </tp>
      <tp t="s">
        <v>#N/A N/A</v>
        <stp/>
        <stp>BDP|14275677264926186902</stp>
        <tr r="B2767" s="2"/>
      </tp>
      <tp t="s">
        <v>#N/A N/A</v>
        <stp/>
        <stp>BDP|15619469485861536301</stp>
        <tr r="I3697" s="2"/>
      </tp>
      <tp t="s">
        <v>#N/A N/A</v>
        <stp/>
        <stp>BDP|14299560590682353178</stp>
        <tr r="D4350" s="2"/>
      </tp>
      <tp t="s">
        <v>#N/A N/A</v>
        <stp/>
        <stp>BDP|11144553553623015972</stp>
        <tr r="A2379" s="2"/>
      </tp>
      <tp t="s">
        <v>#N/A N/A</v>
        <stp/>
        <stp>BDP|10505904971046238365</stp>
        <tr r="F1280" s="2"/>
      </tp>
      <tp t="s">
        <v>#N/A N/A</v>
        <stp/>
        <stp>BDP|12312192179217494879</stp>
        <tr r="B1209" s="2"/>
      </tp>
      <tp t="s">
        <v>#N/A N/A</v>
        <stp/>
        <stp>BDP|15817122371250390889</stp>
        <tr r="G1110" s="2"/>
      </tp>
      <tp t="s">
        <v>#N/A N/A</v>
        <stp/>
        <stp>BDP|17107064784097049331</stp>
        <tr r="F3142" s="2"/>
      </tp>
      <tp t="s">
        <v>#N/A N/A</v>
        <stp/>
        <stp>BDP|11407205884662035200</stp>
        <tr r="G1052" s="2"/>
      </tp>
      <tp t="s">
        <v>#N/A N/A</v>
        <stp/>
        <stp>BDP|17057706430258779076</stp>
        <tr r="C2106" s="2"/>
      </tp>
      <tp t="s">
        <v>#N/A N/A</v>
        <stp/>
        <stp>BDP|17752806926581135705</stp>
        <tr r="G3648" s="2"/>
      </tp>
      <tp t="s">
        <v>#N/A N/A</v>
        <stp/>
        <stp>BDP|15146730564856785914</stp>
        <tr r="C4939" s="2"/>
      </tp>
      <tp t="s">
        <v>#N/A N/A</v>
        <stp/>
        <stp>BDP|12212033765528303770</stp>
        <tr r="F650" s="2"/>
      </tp>
      <tp t="s">
        <v>#N/A N/A</v>
        <stp/>
        <stp>BDP|15606726266949416669</stp>
        <tr r="D3505" s="2"/>
      </tp>
      <tp t="s">
        <v>#N/A N/A</v>
        <stp/>
        <stp>BDP|17701746729331958836</stp>
        <tr r="C3956" s="2"/>
      </tp>
      <tp t="s">
        <v>#N/A N/A</v>
        <stp/>
        <stp>BDP|12404517411945400808</stp>
        <tr r="D1416" s="2"/>
      </tp>
      <tp t="s">
        <v>#N/A N/A</v>
        <stp/>
        <stp>BDP|15198981166790816178</stp>
        <tr r="G4083" s="2"/>
      </tp>
      <tp t="s">
        <v>#N/A N/A</v>
        <stp/>
        <stp>BDP|13329656756772229927</stp>
        <tr r="D1380" s="2"/>
      </tp>
      <tp t="s">
        <v>#N/A N/A</v>
        <stp/>
        <stp>BDP|11290309416349543111</stp>
        <tr r="F401" s="2"/>
      </tp>
      <tp t="s">
        <v>#N/A N/A</v>
        <stp/>
        <stp>BDP|11775164456198512626</stp>
        <tr r="B1955" s="2"/>
      </tp>
      <tp t="s">
        <v>#N/A N/A</v>
        <stp/>
        <stp>BDP|16723296555599379383</stp>
        <tr r="I2434" s="2"/>
      </tp>
      <tp t="s">
        <v>#N/A N/A</v>
        <stp/>
        <stp>BDP|10231315981239187938</stp>
        <tr r="H2887" s="2"/>
      </tp>
      <tp t="s">
        <v>#N/A N/A</v>
        <stp/>
        <stp>BDP|13092848545394871091</stp>
        <tr r="I4492" s="2"/>
      </tp>
      <tp t="s">
        <v>#N/A N/A</v>
        <stp/>
        <stp>BDP|14823706495831883050</stp>
        <tr r="H3277" s="2"/>
      </tp>
      <tp t="s">
        <v>#N/A N/A</v>
        <stp/>
        <stp>BDP|11123861644217616154</stp>
        <tr r="H643" s="2"/>
      </tp>
      <tp t="s">
        <v>#N/A N/A</v>
        <stp/>
        <stp>BDP|13624355921139047019</stp>
        <tr r="I4278" s="2"/>
      </tp>
      <tp t="s">
        <v>#N/A N/A</v>
        <stp/>
        <stp>BDP|14977644492029588990</stp>
        <tr r="A3960" s="2"/>
      </tp>
      <tp t="s">
        <v>#N/A N/A</v>
        <stp/>
        <stp>BDP|10867489602338278730</stp>
        <tr r="A546" s="2"/>
      </tp>
      <tp t="s">
        <v>#N/A N/A</v>
        <stp/>
        <stp>BDP|16113915253852160311</stp>
        <tr r="I1847" s="2"/>
      </tp>
      <tp t="s">
        <v>#N/A N/A</v>
        <stp/>
        <stp>BDP|12408809636534407656</stp>
        <tr r="A3543" s="2"/>
      </tp>
      <tp t="s">
        <v>#N/A N/A</v>
        <stp/>
        <stp>BDP|17733204091800000755</stp>
        <tr r="I1633" s="2"/>
      </tp>
      <tp t="s">
        <v>#N/A N/A</v>
        <stp/>
        <stp>BDP|17759006799846818350</stp>
        <tr r="C2083" s="2"/>
      </tp>
      <tp t="s">
        <v>#N/A N/A</v>
        <stp/>
        <stp>BDP|10624463823489980494</stp>
        <tr r="I39" s="2"/>
      </tp>
      <tp t="s">
        <v>#N/A N/A</v>
        <stp/>
        <stp>BDP|10856926138354993580</stp>
        <tr r="F1565" s="2"/>
      </tp>
      <tp t="s">
        <v>#N/A N/A</v>
        <stp/>
        <stp>BDP|10991577545339916315</stp>
        <tr r="F509" s="2"/>
      </tp>
      <tp t="s">
        <v>#N/A N/A</v>
        <stp/>
        <stp>BDP|14941685883664570548</stp>
        <tr r="G3866" s="2"/>
      </tp>
      <tp t="s">
        <v>#N/A N/A</v>
        <stp/>
        <stp>BDP|11302972764330782541</stp>
        <tr r="B734" s="2"/>
      </tp>
      <tp t="s">
        <v>#N/A N/A</v>
        <stp/>
        <stp>BDP|13781716723598240540</stp>
        <tr r="F1529" s="2"/>
      </tp>
      <tp t="s">
        <v>#N/A N/A</v>
        <stp/>
        <stp>BDP|15999243972603838840</stp>
        <tr r="F2764" s="2"/>
      </tp>
      <tp t="s">
        <v>#N/A N/A</v>
        <stp/>
        <stp>BDP|15467407685994563671</stp>
        <tr r="F490" s="2"/>
      </tp>
      <tp t="s">
        <v>#N/A N/A</v>
        <stp/>
        <stp>BDP|15605240364903452913</stp>
        <tr r="C2638" s="2"/>
      </tp>
      <tp t="s">
        <v>#N/A N/A</v>
        <stp/>
        <stp>BDP|16172211805317537838</stp>
        <tr r="A2390" s="2"/>
      </tp>
      <tp t="s">
        <v>#N/A N/A</v>
        <stp/>
        <stp>BDP|15013112097096043059</stp>
        <tr r="C551" s="2"/>
      </tp>
      <tp t="s">
        <v>#N/A N/A</v>
        <stp/>
        <stp>BDP|17269728581774212706</stp>
        <tr r="H4670" s="2"/>
      </tp>
      <tp t="s">
        <v>#N/A N/A</v>
        <stp/>
        <stp>BDP|12917319453289821606</stp>
        <tr r="C936" s="2"/>
      </tp>
      <tp t="s">
        <v>#N/A N/A</v>
        <stp/>
        <stp>BDP|16302701233490333908</stp>
        <tr r="F1659" s="2"/>
      </tp>
      <tp t="s">
        <v>#N/A N/A</v>
        <stp/>
        <stp>BDP|11751368525249055274</stp>
        <tr r="I4642" s="2"/>
      </tp>
      <tp t="s">
        <v>#N/A N/A</v>
        <stp/>
        <stp>BDP|16859113895837884278</stp>
        <tr r="I1051" s="2"/>
      </tp>
      <tp t="s">
        <v>#N/A N/A</v>
        <stp/>
        <stp>BDP|14514472697756535439</stp>
        <tr r="D1280" s="2"/>
      </tp>
      <tp t="s">
        <v>#N/A N/A</v>
        <stp/>
        <stp>BDP|14287956141016653436</stp>
        <tr r="D4936" s="2"/>
      </tp>
      <tp t="s">
        <v>#N/A N/A</v>
        <stp/>
        <stp>BDP|10859092450827078925</stp>
        <tr r="D3536" s="2"/>
      </tp>
      <tp t="s">
        <v>#N/A N/A</v>
        <stp/>
        <stp>BDP|10286239688747224689</stp>
        <tr r="G852" s="2"/>
      </tp>
      <tp t="s">
        <v>#N/A N/A</v>
        <stp/>
        <stp>BDP|12249642181610144758</stp>
        <tr r="B2342" s="2"/>
      </tp>
      <tp t="s">
        <v>#N/A N/A</v>
        <stp/>
        <stp>BDP|16766906928991998753</stp>
        <tr r="I2754" s="2"/>
      </tp>
      <tp t="s">
        <v>#N/A N/A</v>
        <stp/>
        <stp>BDP|17120263455252318921</stp>
        <tr r="A3518" s="2"/>
      </tp>
      <tp t="s">
        <v>#N/A N/A</v>
        <stp/>
        <stp>BDP|15884836199399084616</stp>
        <tr r="A595" s="2"/>
      </tp>
      <tp t="s">
        <v>#N/A N/A</v>
        <stp/>
        <stp>BDP|16038010314065176977</stp>
        <tr r="A1965" s="2"/>
      </tp>
      <tp t="s">
        <v>#N/A N/A</v>
        <stp/>
        <stp>BDP|18388433457457742538</stp>
        <tr r="C4559" s="2"/>
      </tp>
      <tp t="s">
        <v>#N/A N/A</v>
        <stp/>
        <stp>BDP|16273946332675423236</stp>
        <tr r="D591" s="2"/>
      </tp>
      <tp t="s">
        <v>#N/A N/A</v>
        <stp/>
        <stp>BDP|11788071403952616863</stp>
        <tr r="F3251" s="2"/>
      </tp>
      <tp t="s">
        <v>#N/A N/A</v>
        <stp/>
        <stp>BDP|18388456536825134127</stp>
        <tr r="B3526" s="2"/>
      </tp>
      <tp t="s">
        <v>#N/A N/A</v>
        <stp/>
        <stp>BDP|16303852352330044077</stp>
        <tr r="I2949" s="2"/>
      </tp>
      <tp t="s">
        <v>#N/A N/A</v>
        <stp/>
        <stp>BDP|11385567693161747728</stp>
        <tr r="A4001" s="2"/>
      </tp>
      <tp t="s">
        <v>#N/A N/A</v>
        <stp/>
        <stp>BDP|16297843154311988180</stp>
        <tr r="I2074" s="2"/>
      </tp>
      <tp t="s">
        <v>#N/A N/A</v>
        <stp/>
        <stp>BDP|14974406202342933910</stp>
        <tr r="C1287" s="2"/>
      </tp>
      <tp t="s">
        <v>#N/A N/A</v>
        <stp/>
        <stp>BDP|13617606412378767703</stp>
        <tr r="G1401" s="2"/>
      </tp>
      <tp t="s">
        <v>#N/A N/A</v>
        <stp/>
        <stp>BDP|11125830241667953190</stp>
        <tr r="B3268" s="2"/>
      </tp>
      <tp t="s">
        <v>#N/A N/A</v>
        <stp/>
        <stp>BDP|14300362376113449847</stp>
        <tr r="A3442" s="2"/>
      </tp>
      <tp t="s">
        <v>#N/A N/A</v>
        <stp/>
        <stp>BDP|11515702542828635128</stp>
        <tr r="I4676" s="2"/>
      </tp>
      <tp t="s">
        <v>#N/A N/A</v>
        <stp/>
        <stp>BDP|13859485277543318874</stp>
        <tr r="B4305" s="2"/>
      </tp>
      <tp t="s">
        <v>#N/A N/A</v>
        <stp/>
        <stp>BDP|14845410158417602940</stp>
        <tr r="H3803" s="2"/>
      </tp>
      <tp t="s">
        <v>#N/A N/A</v>
        <stp/>
        <stp>BDP|15125168759823956947</stp>
        <tr r="I1166" s="2"/>
      </tp>
      <tp t="s">
        <v>#N/A N/A</v>
        <stp/>
        <stp>BDP|16110860808595502094</stp>
        <tr r="F3524" s="2"/>
      </tp>
      <tp t="s">
        <v>#N/A N/A</v>
        <stp/>
        <stp>BDP|16404538277438686754</stp>
        <tr r="F110" s="2"/>
      </tp>
      <tp t="s">
        <v>#N/A N/A</v>
        <stp/>
        <stp>BDP|12424168012191784844</stp>
        <tr r="G4551" s="2"/>
      </tp>
      <tp t="s">
        <v>#N/A N/A</v>
        <stp/>
        <stp>BDP|16566040950198062026</stp>
        <tr r="H1805" s="2"/>
      </tp>
      <tp t="s">
        <v>#N/A N/A</v>
        <stp/>
        <stp>BDP|13956837477397968070</stp>
        <tr r="F1569" s="2"/>
      </tp>
      <tp t="s">
        <v>#N/A N/A</v>
        <stp/>
        <stp>BDP|17112001756571610823</stp>
        <tr r="B3397" s="2"/>
      </tp>
      <tp t="s">
        <v>#N/A N/A</v>
        <stp/>
        <stp>BDP|16923824228355970294</stp>
        <tr r="H4131" s="2"/>
      </tp>
      <tp t="s">
        <v>#N/A N/A</v>
        <stp/>
        <stp>BDP|10675854523665230410</stp>
        <tr r="D3437" s="2"/>
      </tp>
      <tp t="s">
        <v>#N/A N/A</v>
        <stp/>
        <stp>BDP|14128201513698235433</stp>
        <tr r="H4603" s="2"/>
      </tp>
      <tp t="s">
        <v>#N/A N/A</v>
        <stp/>
        <stp>BDP|10502711283637713333</stp>
        <tr r="G3528" s="2"/>
      </tp>
      <tp t="s">
        <v>#N/A N/A</v>
        <stp/>
        <stp>BDP|11779410192666241151</stp>
        <tr r="H4760" s="2"/>
      </tp>
      <tp t="s">
        <v>#N/A N/A</v>
        <stp/>
        <stp>BDP|18305013478117976301</stp>
        <tr r="H4299" s="2"/>
      </tp>
      <tp t="s">
        <v>#N/A N/A</v>
        <stp/>
        <stp>BDP|10450173315773214874</stp>
        <tr r="I1787" s="2"/>
      </tp>
      <tp t="s">
        <v>#N/A N/A</v>
        <stp/>
        <stp>BDP|10449446871841466968</stp>
        <tr r="I3134" s="2"/>
      </tp>
      <tp t="s">
        <v>#N/A N/A</v>
        <stp/>
        <stp>BDP|12414762165830428812</stp>
        <tr r="D2061" s="2"/>
      </tp>
      <tp t="s">
        <v>#N/A N/A</v>
        <stp/>
        <stp>BDP|13326833875231093671</stp>
        <tr r="B1826" s="2"/>
      </tp>
      <tp t="s">
        <v>#N/A N/A</v>
        <stp/>
        <stp>BDP|16474558785707141777</stp>
        <tr r="C3682" s="2"/>
      </tp>
      <tp t="s">
        <v>#N/A N/A</v>
        <stp/>
        <stp>BDP|10458874075531493507</stp>
        <tr r="B1145" s="2"/>
      </tp>
      <tp t="s">
        <v>#N/A N/A</v>
        <stp/>
        <stp>BDP|11248973317275688767</stp>
        <tr r="B43" s="2"/>
      </tp>
      <tp t="s">
        <v>#N/A N/A</v>
        <stp/>
        <stp>BDP|17109440777077384831</stp>
        <tr r="F619" s="2"/>
      </tp>
      <tp t="s">
        <v>#N/A N/A</v>
        <stp/>
        <stp>BDP|11537452606189386771</stp>
        <tr r="B882" s="2"/>
      </tp>
      <tp t="s">
        <v>#N/A N/A</v>
        <stp/>
        <stp>BDP|11391145385407782479</stp>
        <tr r="F683" s="2"/>
      </tp>
      <tp t="s">
        <v>#N/A N/A</v>
        <stp/>
        <stp>BDP|13121096855505799881</stp>
        <tr r="C1159" s="2"/>
      </tp>
      <tp t="s">
        <v>#N/A N/A</v>
        <stp/>
        <stp>BDP|14683985073250626194</stp>
        <tr r="F4605" s="2"/>
      </tp>
      <tp t="s">
        <v>#N/A N/A</v>
        <stp/>
        <stp>BDP|14133721871847006802</stp>
        <tr r="D1666" s="2"/>
      </tp>
      <tp t="s">
        <v>#N/A N/A</v>
        <stp/>
        <stp>BDP|16699127210328251540</stp>
        <tr r="F992" s="2"/>
      </tp>
      <tp t="s">
        <v>#N/A N/A</v>
        <stp/>
        <stp>BDP|13714156004301741838</stp>
        <tr r="I2733" s="2"/>
      </tp>
      <tp t="s">
        <v>#N/A N/A</v>
        <stp/>
        <stp>BDP|17124169570128104242</stp>
        <tr r="A620" s="2"/>
      </tp>
      <tp t="s">
        <v>#N/A N/A</v>
        <stp/>
        <stp>BDP|14262224384825345056</stp>
        <tr r="I3583" s="2"/>
      </tp>
      <tp t="s">
        <v>#N/A N/A</v>
        <stp/>
        <stp>BDP|17595520580660637134</stp>
        <tr r="F3187" s="2"/>
      </tp>
      <tp t="s">
        <v>#N/A N/A</v>
        <stp/>
        <stp>BDP|13162356386284289722</stp>
        <tr r="G3344" s="2"/>
      </tp>
      <tp t="s">
        <v>#N/A N/A</v>
        <stp/>
        <stp>BDP|15485862230844683162</stp>
        <tr r="F1634" s="2"/>
      </tp>
      <tp t="s">
        <v>#N/A N/A</v>
        <stp/>
        <stp>BDP|16031275081975074240</stp>
        <tr r="H1193" s="2"/>
      </tp>
      <tp t="s">
        <v>#N/A N/A</v>
        <stp/>
        <stp>BDP|11786260832249517244</stp>
        <tr r="G4407" s="2"/>
      </tp>
      <tp t="s">
        <v>#N/A N/A</v>
        <stp/>
        <stp>BDP|12192218929828250193</stp>
        <tr r="H1700" s="2"/>
      </tp>
      <tp t="s">
        <v>#N/A N/A</v>
        <stp/>
        <stp>BDP|13665605883353471538</stp>
        <tr r="G1310" s="2"/>
      </tp>
      <tp t="s">
        <v>#N/A N/A</v>
        <stp/>
        <stp>BDP|16999693746529419601</stp>
        <tr r="G901" s="2"/>
      </tp>
      <tp t="s">
        <v>#N/A N/A</v>
        <stp/>
        <stp>BDP|13582664398656865113</stp>
        <tr r="F1899" s="2"/>
      </tp>
      <tp t="s">
        <v>#N/A N/A</v>
        <stp/>
        <stp>BDP|15583429087727401569</stp>
        <tr r="G404" s="2"/>
      </tp>
      <tp t="s">
        <v>#N/A N/A</v>
        <stp/>
        <stp>BDP|14512613751084281854</stp>
        <tr r="C2142" s="2"/>
      </tp>
      <tp t="s">
        <v>#N/A N/A</v>
        <stp/>
        <stp>BDP|13956993339940889239</stp>
        <tr r="D1468" s="2"/>
      </tp>
      <tp t="s">
        <v>#N/A N/A</v>
        <stp/>
        <stp>BDP|15928797473809007713</stp>
        <tr r="B2614" s="2"/>
      </tp>
      <tp t="s">
        <v>#N/A N/A</v>
        <stp/>
        <stp>BDP|18119563074548007919</stp>
        <tr r="I2994" s="2"/>
      </tp>
      <tp t="s">
        <v>#N/A N/A</v>
        <stp/>
        <stp>BDP|12265929022064233622</stp>
        <tr r="A834" s="2"/>
      </tp>
      <tp t="s">
        <v>#N/A N/A</v>
        <stp/>
        <stp>BDP|11985808473175194096</stp>
        <tr r="D4432" s="2"/>
      </tp>
      <tp t="s">
        <v>#N/A N/A</v>
        <stp/>
        <stp>BDP|15398094220469821506</stp>
        <tr r="C531" s="2"/>
      </tp>
      <tp t="s">
        <v>#N/A N/A</v>
        <stp/>
        <stp>BDP|10645467926628310579</stp>
        <tr r="G4625" s="2"/>
      </tp>
      <tp t="s">
        <v>#N/A N/A</v>
        <stp/>
        <stp>BDP|16155122196487366248</stp>
        <tr r="I1465" s="2"/>
      </tp>
      <tp t="s">
        <v>#N/A N/A</v>
        <stp/>
        <stp>BDP|10413132484473421158</stp>
        <tr r="C2839" s="2"/>
      </tp>
      <tp t="s">
        <v>#N/A N/A</v>
        <stp/>
        <stp>BDP|13466307495492793040</stp>
        <tr r="B1399" s="2"/>
      </tp>
      <tp t="s">
        <v>#N/A N/A</v>
        <stp/>
        <stp>BDP|17819841179346581528</stp>
        <tr r="D1682" s="2"/>
      </tp>
      <tp t="s">
        <v>#N/A N/A</v>
        <stp/>
        <stp>BDP|11389224566847577900</stp>
        <tr r="A2519" s="2"/>
      </tp>
      <tp t="s">
        <v>#N/A N/A</v>
        <stp/>
        <stp>BDP|11128246370467275854</stp>
        <tr r="H212" s="2"/>
      </tp>
      <tp t="s">
        <v>#N/A N/A</v>
        <stp/>
        <stp>BDP|10262714869802111898</stp>
        <tr r="A530" s="2"/>
      </tp>
      <tp t="s">
        <v>#N/A N/A</v>
        <stp/>
        <stp>BDP|14151822100447033013</stp>
        <tr r="D2584" s="2"/>
      </tp>
      <tp t="s">
        <v>#N/A N/A</v>
        <stp/>
        <stp>BDP|18341672553467035753</stp>
        <tr r="I1180" s="2"/>
      </tp>
      <tp t="s">
        <v>#N/A N/A</v>
        <stp/>
        <stp>BDP|16730649717802086868</stp>
        <tr r="D4039" s="2"/>
      </tp>
      <tp t="s">
        <v>#N/A N/A</v>
        <stp/>
        <stp>BDP|10917827774453915741</stp>
        <tr r="B1785" s="2"/>
      </tp>
      <tp t="s">
        <v>#N/A N/A</v>
        <stp/>
        <stp>BDP|15767977349530848331</stp>
        <tr r="F510" s="2"/>
      </tp>
      <tp t="s">
        <v>#N/A N/A</v>
        <stp/>
        <stp>BDP|12334999568070328639</stp>
        <tr r="B3989" s="2"/>
      </tp>
      <tp t="s">
        <v>#N/A N/A</v>
        <stp/>
        <stp>BDP|12832348812922822941</stp>
        <tr r="C1262" s="2"/>
      </tp>
      <tp t="s">
        <v>#N/A N/A</v>
        <stp/>
        <stp>BDP|10510430622018583538</stp>
        <tr r="D187" s="2"/>
      </tp>
      <tp t="s">
        <v>#N/A N/A</v>
        <stp/>
        <stp>BDP|11470193482127822456</stp>
        <tr r="D3199" s="2"/>
      </tp>
      <tp t="s">
        <v>#N/A N/A</v>
        <stp/>
        <stp>BDP|14776824303251521612</stp>
        <tr r="F9" s="2"/>
      </tp>
      <tp t="s">
        <v>#N/A N/A</v>
        <stp/>
        <stp>BDP|11119747000914198967</stp>
        <tr r="I2206" s="2"/>
      </tp>
      <tp t="s">
        <v>#N/A N/A</v>
        <stp/>
        <stp>BDP|12759407351031545916</stp>
        <tr r="F2925" s="2"/>
      </tp>
      <tp t="s">
        <v>#N/A N/A</v>
        <stp/>
        <stp>BDP|17569336787031276617</stp>
        <tr r="D4954" s="2"/>
      </tp>
      <tp t="s">
        <v>#N/A N/A</v>
        <stp/>
        <stp>BDP|12122341290107751407</stp>
        <tr r="F3827" s="2"/>
      </tp>
      <tp t="s">
        <v>#N/A N/A</v>
        <stp/>
        <stp>BDP|14935935476591609083</stp>
        <tr r="A3130" s="2"/>
      </tp>
      <tp t="s">
        <v>#N/A N/A</v>
        <stp/>
        <stp>BDP|16645290340473520882</stp>
        <tr r="B950" s="2"/>
      </tp>
      <tp t="s">
        <v>#N/A N/A</v>
        <stp/>
        <stp>BDP|14694644991835563544</stp>
        <tr r="G4211" s="2"/>
      </tp>
      <tp t="s">
        <v>#N/A N/A</v>
        <stp/>
        <stp>BDP|10354861439370769096</stp>
        <tr r="G2424" s="2"/>
      </tp>
      <tp t="s">
        <v>#N/A N/A</v>
        <stp/>
        <stp>BDP|13811933859072107615</stp>
        <tr r="B465" s="2"/>
      </tp>
      <tp t="s">
        <v>#N/A N/A</v>
        <stp/>
        <stp>BDP|16846890612417368321</stp>
        <tr r="D1638" s="2"/>
      </tp>
      <tp t="s">
        <v>#N/A N/A</v>
        <stp/>
        <stp>BDP|10345456093081618714</stp>
        <tr r="A1556" s="2"/>
      </tp>
      <tp t="s">
        <v>#N/A N/A</v>
        <stp/>
        <stp>BDP|10522237480226205760</stp>
        <tr r="I3642" s="2"/>
      </tp>
      <tp t="s">
        <v>#N/A N/A</v>
        <stp/>
        <stp>BDP|10674083157979831739</stp>
        <tr r="H100" s="2"/>
      </tp>
      <tp t="s">
        <v>#N/A N/A</v>
        <stp/>
        <stp>BDP|13874650609499323757</stp>
        <tr r="I4445" s="2"/>
      </tp>
      <tp t="s">
        <v>#N/A N/A</v>
        <stp/>
        <stp>BDP|17416685208099747316</stp>
        <tr r="I4022" s="2"/>
      </tp>
      <tp t="s">
        <v>#N/A N/A</v>
        <stp/>
        <stp>BDP|11421654425418041660</stp>
        <tr r="D1019" s="2"/>
      </tp>
      <tp t="s">
        <v>#N/A N/A</v>
        <stp/>
        <stp>BDP|13114066496804084531</stp>
        <tr r="B766" s="2"/>
      </tp>
      <tp t="s">
        <v>#N/A N/A</v>
        <stp/>
        <stp>BDP|14061651397645229526</stp>
        <tr r="B3650" s="2"/>
      </tp>
      <tp t="s">
        <v>#N/A N/A</v>
        <stp/>
        <stp>BDP|10978604583484830101</stp>
        <tr r="C842" s="2"/>
      </tp>
      <tp t="s">
        <v>#N/A N/A</v>
        <stp/>
        <stp>BDP|17942233613536222995</stp>
        <tr r="F1771" s="2"/>
      </tp>
      <tp t="s">
        <v>#N/A N/A</v>
        <stp/>
        <stp>BDP|12549106051975198877</stp>
        <tr r="G2257" s="2"/>
      </tp>
      <tp t="s">
        <v>#N/A N/A</v>
        <stp/>
        <stp>BDP|13710001501179633127</stp>
        <tr r="F3310" s="2"/>
      </tp>
      <tp t="s">
        <v>#N/A N/A</v>
        <stp/>
        <stp>BDP|10792295285825152484</stp>
        <tr r="D411" s="2"/>
      </tp>
      <tp t="s">
        <v>#N/A N/A</v>
        <stp/>
        <stp>BDP|17979811263140056296</stp>
        <tr r="G3393" s="2"/>
      </tp>
      <tp t="s">
        <v>#N/A N/A</v>
        <stp/>
        <stp>BDP|16011028812345485966</stp>
        <tr r="H3912" s="2"/>
      </tp>
      <tp t="s">
        <v>#N/A N/A</v>
        <stp/>
        <stp>BDP|18235109846811444722</stp>
        <tr r="C2803" s="2"/>
      </tp>
      <tp t="s">
        <v>#N/A N/A</v>
        <stp/>
        <stp>BDP|17713926913682216664</stp>
        <tr r="I4508" s="2"/>
      </tp>
      <tp t="s">
        <v>#N/A N/A</v>
        <stp/>
        <stp>BDP|16335075283543412616</stp>
        <tr r="C685" s="2"/>
      </tp>
      <tp t="s">
        <v>#N/A N/A</v>
        <stp/>
        <stp>BDP|14797175883543099514</stp>
        <tr r="I3268" s="2"/>
      </tp>
      <tp t="s">
        <v>#N/A N/A</v>
        <stp/>
        <stp>BDP|12869248491705973715</stp>
        <tr r="G331" s="2"/>
      </tp>
      <tp t="s">
        <v>#N/A N/A</v>
        <stp/>
        <stp>BDP|14904405999754201679</stp>
        <tr r="G2268" s="2"/>
      </tp>
      <tp t="s">
        <v>#N/A N/A</v>
        <stp/>
        <stp>BDP|12052511377989223214</stp>
        <tr r="D3301" s="2"/>
      </tp>
      <tp t="s">
        <v>#N/A N/A</v>
        <stp/>
        <stp>BDP|11818258554294944954</stp>
        <tr r="F2763" s="2"/>
      </tp>
      <tp t="s">
        <v>#N/A N/A</v>
        <stp/>
        <stp>BDP|11987512933055686988</stp>
        <tr r="G4104" s="2"/>
      </tp>
      <tp t="s">
        <v>#N/A N/A</v>
        <stp/>
        <stp>BDP|16596616659339118797</stp>
        <tr r="B2131" s="2"/>
      </tp>
      <tp t="s">
        <v>#N/A N/A</v>
        <stp/>
        <stp>BDP|11153173006532585901</stp>
        <tr r="F3134" s="2"/>
      </tp>
      <tp t="s">
        <v>#N/A N/A</v>
        <stp/>
        <stp>BDP|11390211993790775132</stp>
        <tr r="D2636" s="2"/>
      </tp>
      <tp t="s">
        <v>#N/A N/A</v>
        <stp/>
        <stp>BDP|16203265366780735908</stp>
        <tr r="A960" s="2"/>
      </tp>
      <tp t="s">
        <v>#N/A N/A</v>
        <stp/>
        <stp>BDP|16415487479786800888</stp>
        <tr r="C2191" s="2"/>
      </tp>
      <tp t="s">
        <v>#N/A N/A</v>
        <stp/>
        <stp>BDP|10071372341984402875</stp>
        <tr r="B835" s="2"/>
      </tp>
      <tp t="s">
        <v>#N/A N/A</v>
        <stp/>
        <stp>BDP|16728016780247361209</stp>
        <tr r="B3418" s="2"/>
      </tp>
      <tp t="s">
        <v>#N/A N/A</v>
        <stp/>
        <stp>BDP|17131549741619557440</stp>
        <tr r="H4491" s="2"/>
      </tp>
      <tp t="s">
        <v>#N/A N/A</v>
        <stp/>
        <stp>BDP|14107346402799206509</stp>
        <tr r="F2993" s="2"/>
      </tp>
      <tp t="s">
        <v>#N/A N/A</v>
        <stp/>
        <stp>BDP|17796279894882319521</stp>
        <tr r="C4315" s="2"/>
      </tp>
      <tp t="s">
        <v>#N/A N/A</v>
        <stp/>
        <stp>BDP|11187351397572556231</stp>
        <tr r="C4496" s="2"/>
      </tp>
      <tp t="s">
        <v>#N/A N/A</v>
        <stp/>
        <stp>BDP|13197245810512159914</stp>
        <tr r="I2092" s="2"/>
      </tp>
      <tp t="s">
        <v>#N/A N/A</v>
        <stp/>
        <stp>BDP|13838519285536878310</stp>
        <tr r="B3443" s="2"/>
      </tp>
      <tp t="s">
        <v>#N/A N/A</v>
        <stp/>
        <stp>BDP|14200503657318707778</stp>
        <tr r="B1876" s="2"/>
      </tp>
      <tp t="s">
        <v>#N/A N/A</v>
        <stp/>
        <stp>BDP|14303083389146224158</stp>
        <tr r="I738" s="2"/>
      </tp>
      <tp t="s">
        <v>#N/A N/A</v>
        <stp/>
        <stp>BDP|12470250510453193952</stp>
        <tr r="C3538" s="2"/>
      </tp>
      <tp t="s">
        <v>#N/A N/A</v>
        <stp/>
        <stp>BDP|13245759331358021433</stp>
        <tr r="F2163" s="2"/>
      </tp>
      <tp t="s">
        <v>#N/A N/A</v>
        <stp/>
        <stp>BDP|10642459787715169202</stp>
        <tr r="D394" s="2"/>
      </tp>
      <tp t="s">
        <v>#N/A N/A</v>
        <stp/>
        <stp>BDP|17250058904658355450</stp>
        <tr r="F2386" s="2"/>
      </tp>
      <tp t="s">
        <v>#N/A N/A</v>
        <stp/>
        <stp>BDP|15784860227431022530</stp>
        <tr r="C975" s="2"/>
      </tp>
      <tp t="s">
        <v>#N/A N/A</v>
        <stp/>
        <stp>BDP|12484301000952581846</stp>
        <tr r="A1097" s="2"/>
      </tp>
      <tp t="s">
        <v>#N/A N/A</v>
        <stp/>
        <stp>BDP|14416495329861223830</stp>
        <tr r="H2239" s="2"/>
      </tp>
      <tp t="s">
        <v>#N/A N/A</v>
        <stp/>
        <stp>BDP|17239677800263482943</stp>
        <tr r="D2505" s="2"/>
      </tp>
      <tp t="s">
        <v>#N/A N/A</v>
        <stp/>
        <stp>BDP|17494003274429160245</stp>
        <tr r="F3009" s="2"/>
      </tp>
      <tp t="s">
        <v>#N/A N/A</v>
        <stp/>
        <stp>BDP|14671799038638263303</stp>
        <tr r="B1084" s="2"/>
      </tp>
      <tp t="s">
        <v>#N/A N/A</v>
        <stp/>
        <stp>BDP|15255199099111544724</stp>
        <tr r="F4389" s="2"/>
      </tp>
      <tp t="s">
        <v>#N/A N/A</v>
        <stp/>
        <stp>BDP|10394009470439587530</stp>
        <tr r="D3822" s="2"/>
      </tp>
      <tp t="s">
        <v>#N/A N/A</v>
        <stp/>
        <stp>BDP|10287121041308020644</stp>
        <tr r="I3897" s="2"/>
      </tp>
      <tp t="s">
        <v>#N/A N/A</v>
        <stp/>
        <stp>BDP|12436805041816004302</stp>
        <tr r="A4649" s="2"/>
      </tp>
      <tp t="s">
        <v>#N/A N/A</v>
        <stp/>
        <stp>BDP|15087607906788345000</stp>
        <tr r="A1296" s="2"/>
      </tp>
      <tp t="s">
        <v>#N/A N/A</v>
        <stp/>
        <stp>BDP|16961791607182077822</stp>
        <tr r="B4452" s="2"/>
      </tp>
      <tp t="s">
        <v>#N/A N/A</v>
        <stp/>
        <stp>BDP|12072906087260489869</stp>
        <tr r="A2575" s="2"/>
      </tp>
      <tp t="s">
        <v>#N/A N/A</v>
        <stp/>
        <stp>BDP|11512173940608422734</stp>
        <tr r="A1543" s="2"/>
      </tp>
      <tp t="s">
        <v>#N/A N/A</v>
        <stp/>
        <stp>BDP|10065740943108678042</stp>
        <tr r="I4306" s="2"/>
      </tp>
      <tp t="s">
        <v>#N/A N/A</v>
        <stp/>
        <stp>BDP|15773535783392511171</stp>
        <tr r="I4650" s="2"/>
      </tp>
      <tp t="s">
        <v>#N/A N/A</v>
        <stp/>
        <stp>BDP|14096315113694781903</stp>
        <tr r="F1266" s="2"/>
      </tp>
      <tp t="s">
        <v>#N/A N/A</v>
        <stp/>
        <stp>BDP|16334596335103919834</stp>
        <tr r="F3781" s="2"/>
      </tp>
      <tp t="s">
        <v>#N/A N/A</v>
        <stp/>
        <stp>BDP|10693185282904858611</stp>
        <tr r="A2211" s="2"/>
      </tp>
      <tp t="s">
        <v>#N/A N/A</v>
        <stp/>
        <stp>BDP|12056509898874903145</stp>
        <tr r="I3324" s="2"/>
      </tp>
      <tp t="s">
        <v>#N/A N/A</v>
        <stp/>
        <stp>BDP|10719829531005989581</stp>
        <tr r="I777" s="2"/>
      </tp>
      <tp t="s">
        <v>#N/A N/A</v>
        <stp/>
        <stp>BDP|14976830047920092386</stp>
        <tr r="G1629" s="2"/>
      </tp>
      <tp t="s">
        <v>#N/A N/A</v>
        <stp/>
        <stp>BDP|18050435477273972384</stp>
        <tr r="I2166" s="2"/>
      </tp>
      <tp t="s">
        <v>#N/A N/A</v>
        <stp/>
        <stp>BDP|11875981583603222843</stp>
        <tr r="H4453" s="2"/>
      </tp>
      <tp t="s">
        <v>#N/A N/A</v>
        <stp/>
        <stp>BDP|14892708118320417913</stp>
        <tr r="B1772" s="2"/>
      </tp>
      <tp t="s">
        <v>#N/A N/A</v>
        <stp/>
        <stp>BDP|10091235015940744841</stp>
        <tr r="C1646" s="2"/>
      </tp>
      <tp t="s">
        <v>#N/A N/A</v>
        <stp/>
        <stp>BDP|13726901452192116614</stp>
        <tr r="G4829" s="2"/>
      </tp>
      <tp t="s">
        <v>#N/A N/A</v>
        <stp/>
        <stp>BDP|12268541191697148232</stp>
        <tr r="I1673" s="2"/>
      </tp>
      <tp t="s">
        <v>#N/A N/A</v>
        <stp/>
        <stp>BDP|11460927833733030302</stp>
        <tr r="D343" s="2"/>
      </tp>
      <tp t="s">
        <v>#N/A N/A</v>
        <stp/>
        <stp>BDP|14923753083717899728</stp>
        <tr r="I1344" s="2"/>
      </tp>
      <tp t="s">
        <v>#N/A N/A</v>
        <stp/>
        <stp>BDP|11333226757489606456</stp>
        <tr r="H3813" s="2"/>
      </tp>
      <tp t="s">
        <v>#N/A N/A</v>
        <stp/>
        <stp>BDP|17800535993784424497</stp>
        <tr r="F1290" s="2"/>
      </tp>
      <tp t="s">
        <v>#N/A N/A</v>
        <stp/>
        <stp>BDP|17935380070339251162</stp>
        <tr r="D2849" s="2"/>
      </tp>
      <tp t="s">
        <v>#N/A N/A</v>
        <stp/>
        <stp>BDP|12860025758005427936</stp>
        <tr r="D3952" s="2"/>
      </tp>
      <tp t="s">
        <v>#N/A N/A</v>
        <stp/>
        <stp>BDP|10658413143043091819</stp>
        <tr r="F4632" s="2"/>
      </tp>
      <tp t="s">
        <v>#N/A N/A</v>
        <stp/>
        <stp>BDP|11673754822339347672</stp>
        <tr r="I3404" s="2"/>
      </tp>
      <tp t="s">
        <v>#N/A N/A</v>
        <stp/>
        <stp>BDP|15179630611779707016</stp>
        <tr r="F159" s="2"/>
      </tp>
      <tp t="s">
        <v>#N/A N/A</v>
        <stp/>
        <stp>BDP|17626216283293367526</stp>
        <tr r="B3209" s="2"/>
      </tp>
      <tp t="s">
        <v>#N/A N/A</v>
        <stp/>
        <stp>BDP|14622793717430502983</stp>
        <tr r="I4166" s="2"/>
      </tp>
      <tp t="s">
        <v>#N/A N/A</v>
        <stp/>
        <stp>BDP|17964950376656964460</stp>
        <tr r="H1468" s="2"/>
      </tp>
      <tp t="s">
        <v>#N/A N/A</v>
        <stp/>
        <stp>BDP|12383934742913765705</stp>
        <tr r="I463" s="2"/>
      </tp>
      <tp t="s">
        <v>#N/A N/A</v>
        <stp/>
        <stp>BDP|14022362962139664372</stp>
        <tr r="H870" s="2"/>
      </tp>
      <tp t="s">
        <v>#N/A N/A</v>
        <stp/>
        <stp>BDP|10148740191605067011</stp>
        <tr r="C3030" s="2"/>
      </tp>
      <tp t="s">
        <v>#N/A N/A</v>
        <stp/>
        <stp>BDP|10203366296043604213</stp>
        <tr r="F2783" s="2"/>
      </tp>
      <tp t="s">
        <v>#N/A N/A</v>
        <stp/>
        <stp>BDP|11175446068311165991</stp>
        <tr r="B434" s="2"/>
      </tp>
      <tp t="s">
        <v>#N/A N/A</v>
        <stp/>
        <stp>BDP|11046045316998587324</stp>
        <tr r="F2564" s="2"/>
      </tp>
      <tp t="s">
        <v>#N/A N/A</v>
        <stp/>
        <stp>BDP|10909760337146524987</stp>
        <tr r="H1012" s="2"/>
      </tp>
      <tp t="s">
        <v>#N/A N/A</v>
        <stp/>
        <stp>BDP|14724047209966812979</stp>
        <tr r="C1238" s="2"/>
      </tp>
      <tp t="s">
        <v>#N/A N/A</v>
        <stp/>
        <stp>BDP|16523374190637153061</stp>
        <tr r="D577" s="2"/>
      </tp>
      <tp t="s">
        <v>#N/A N/A</v>
        <stp/>
        <stp>BDP|18091357186989580124</stp>
        <tr r="H4580" s="2"/>
      </tp>
      <tp t="s">
        <v>#N/A N/A</v>
        <stp/>
        <stp>BDP|13151274564819066564</stp>
        <tr r="B4773" s="2"/>
      </tp>
      <tp t="s">
        <v>#N/A N/A</v>
        <stp/>
        <stp>BDP|13844340884844445782</stp>
        <tr r="C3086" s="2"/>
      </tp>
      <tp t="s">
        <v>#N/A N/A</v>
        <stp/>
        <stp>BDP|16060710567604738859</stp>
        <tr r="D4397" s="2"/>
      </tp>
      <tp t="s">
        <v>#N/A N/A</v>
        <stp/>
        <stp>BDP|11567083013299842229</stp>
        <tr r="G3889" s="2"/>
      </tp>
      <tp t="s">
        <v>#N/A N/A</v>
        <stp/>
        <stp>BDP|15261699209029221147</stp>
        <tr r="I700" s="2"/>
      </tp>
      <tp t="s">
        <v>#N/A N/A</v>
        <stp/>
        <stp>BDP|15033940352936541474</stp>
        <tr r="I1359" s="2"/>
      </tp>
      <tp t="s">
        <v>#N/A N/A</v>
        <stp/>
        <stp>BDP|18266111434993105227</stp>
        <tr r="F3098" s="2"/>
      </tp>
      <tp t="s">
        <v>#N/A N/A</v>
        <stp/>
        <stp>BDP|14740933713994346303</stp>
        <tr r="G3567" s="2"/>
      </tp>
      <tp t="s">
        <v>#N/A N/A</v>
        <stp/>
        <stp>BDP|10649064332159014169</stp>
        <tr r="B3869" s="2"/>
      </tp>
      <tp t="s">
        <v>#N/A N/A</v>
        <stp/>
        <stp>BDP|11055839222632353266</stp>
        <tr r="C953" s="2"/>
      </tp>
      <tp t="s">
        <v>#N/A N/A</v>
        <stp/>
        <stp>BDP|13378024101689656129</stp>
        <tr r="D2503" s="2"/>
      </tp>
      <tp t="s">
        <v>#N/A N/A</v>
        <stp/>
        <stp>BDP|10406341694482058309</stp>
        <tr r="D1573" s="2"/>
      </tp>
      <tp t="s">
        <v>#N/A N/A</v>
        <stp/>
        <stp>BDP|17652940775857370503</stp>
        <tr r="A1387" s="2"/>
      </tp>
      <tp t="s">
        <v>#N/A N/A</v>
        <stp/>
        <stp>BDP|11168712202754494922</stp>
        <tr r="A184" s="2"/>
      </tp>
      <tp t="s">
        <v>#N/A N/A</v>
        <stp/>
        <stp>BDP|15467959406784240314</stp>
        <tr r="I2081" s="2"/>
      </tp>
      <tp t="s">
        <v>#N/A N/A</v>
        <stp/>
        <stp>BDP|14635339515545411806</stp>
        <tr r="I2791" s="2"/>
      </tp>
      <tp t="s">
        <v>#N/A N/A</v>
        <stp/>
        <stp>BDP|14388021143023637805</stp>
        <tr r="G2014" s="2"/>
      </tp>
      <tp t="s">
        <v>#N/A N/A</v>
        <stp/>
        <stp>BDP|11046944255884155242</stp>
        <tr r="G4751" s="2"/>
      </tp>
      <tp t="s">
        <v>#N/A N/A</v>
        <stp/>
        <stp>BDP|14830555308489992384</stp>
        <tr r="B1070" s="2"/>
      </tp>
      <tp t="s">
        <v>#N/A N/A</v>
        <stp/>
        <stp>BDP|14005664914850755817</stp>
        <tr r="I1074" s="2"/>
      </tp>
      <tp t="s">
        <v>#N/A N/A</v>
        <stp/>
        <stp>BDP|13038378386523689038</stp>
        <tr r="B1242" s="2"/>
      </tp>
      <tp t="s">
        <v>#N/A N/A</v>
        <stp/>
        <stp>BDP|13880684264650127816</stp>
        <tr r="D2774" s="2"/>
      </tp>
      <tp t="s">
        <v>#N/A N/A</v>
        <stp/>
        <stp>BDP|16538059283323628615</stp>
        <tr r="C3780" s="2"/>
      </tp>
      <tp t="s">
        <v>#N/A N/A</v>
        <stp/>
        <stp>BDP|14726773566849215706</stp>
        <tr r="I1844" s="2"/>
      </tp>
      <tp t="s">
        <v>#N/A N/A</v>
        <stp/>
        <stp>BDP|10982201332493785988</stp>
        <tr r="B778" s="2"/>
      </tp>
      <tp t="s">
        <v>#N/A N/A</v>
        <stp/>
        <stp>BDP|17425135828838805732</stp>
        <tr r="A1007" s="2"/>
      </tp>
      <tp t="s">
        <v>#N/A N/A</v>
        <stp/>
        <stp>BDP|15115802444396892494</stp>
        <tr r="B4898" s="2"/>
      </tp>
      <tp t="s">
        <v>#N/A N/A</v>
        <stp/>
        <stp>BDP|13967889009236584698</stp>
        <tr r="D95" s="2"/>
      </tp>
      <tp t="s">
        <v>#N/A N/A</v>
        <stp/>
        <stp>BDP|15179588390790420297</stp>
        <tr r="I3202" s="2"/>
      </tp>
      <tp t="s">
        <v>#N/A N/A</v>
        <stp/>
        <stp>BDP|16601596494994714582</stp>
        <tr r="G2782" s="2"/>
      </tp>
      <tp t="s">
        <v>#N/A N/A</v>
        <stp/>
        <stp>BDP|18383990899327711406</stp>
        <tr r="D1086" s="2"/>
      </tp>
      <tp t="s">
        <v>#N/A N/A</v>
        <stp/>
        <stp>BDP|14207092429155471828</stp>
        <tr r="H1460" s="2"/>
      </tp>
      <tp t="s">
        <v>#N/A N/A</v>
        <stp/>
        <stp>BDP|16869689951049591705</stp>
        <tr r="I1668" s="2"/>
      </tp>
      <tp t="s">
        <v>#N/A N/A</v>
        <stp/>
        <stp>BDP|17540956831292718423</stp>
        <tr r="D1108" s="2"/>
      </tp>
      <tp t="s">
        <v>#N/A N/A</v>
        <stp/>
        <stp>BDP|10224812289233731893</stp>
        <tr r="G4628" s="2"/>
      </tp>
      <tp t="s">
        <v>#N/A N/A</v>
        <stp/>
        <stp>BDP|11504939724142223348</stp>
        <tr r="B3535" s="2"/>
      </tp>
      <tp t="s">
        <v>#N/A N/A</v>
        <stp/>
        <stp>BDP|12906095394859762979</stp>
        <tr r="D3783" s="2"/>
      </tp>
      <tp t="s">
        <v>#N/A N/A</v>
        <stp/>
        <stp>BDP|18173125201703638107</stp>
        <tr r="I548" s="2"/>
      </tp>
      <tp t="s">
        <v>#N/A N/A</v>
        <stp/>
        <stp>BDP|13061304021211637832</stp>
        <tr r="I2821" s="2"/>
      </tp>
      <tp t="s">
        <v>#N/A N/A</v>
        <stp/>
        <stp>BDP|14646632647629725413</stp>
        <tr r="G4232" s="2"/>
      </tp>
      <tp t="s">
        <v>#N/A N/A</v>
        <stp/>
        <stp>BDP|10268230993733783318</stp>
        <tr r="H32" s="2"/>
      </tp>
      <tp t="s">
        <v>#N/A N/A</v>
        <stp/>
        <stp>BDP|16232560850638445541</stp>
        <tr r="A1263" s="2"/>
      </tp>
      <tp t="s">
        <v>#N/A N/A</v>
        <stp/>
        <stp>BDP|13796155793868662832</stp>
        <tr r="D88" s="2"/>
      </tp>
      <tp t="s">
        <v>#N/A N/A</v>
        <stp/>
        <stp>BDP|13702979740620776538</stp>
        <tr r="B4367" s="2"/>
      </tp>
      <tp t="s">
        <v>#N/A N/A</v>
        <stp/>
        <stp>BDP|14270659983778882986</stp>
        <tr r="C4725" s="2"/>
      </tp>
      <tp t="s">
        <v>#N/A N/A</v>
        <stp/>
        <stp>BDP|11406077573195655824</stp>
        <tr r="A116" s="2"/>
      </tp>
      <tp t="s">
        <v>#N/A N/A</v>
        <stp/>
        <stp>BDP|14358524845908869689</stp>
        <tr r="B3761" s="2"/>
      </tp>
      <tp t="s">
        <v>#N/A N/A</v>
        <stp/>
        <stp>BDP|13024924424092313110</stp>
        <tr r="A3248" s="2"/>
      </tp>
      <tp t="s">
        <v>#N/A N/A</v>
        <stp/>
        <stp>BDP|17338697006192932811</stp>
        <tr r="F2903" s="2"/>
      </tp>
      <tp t="s">
        <v>#N/A N/A</v>
        <stp/>
        <stp>BDP|14326418349906858970</stp>
        <tr r="F2100" s="2"/>
      </tp>
      <tp t="s">
        <v>#N/A N/A</v>
        <stp/>
        <stp>BDP|15143200796341369407</stp>
        <tr r="F3167" s="2"/>
      </tp>
      <tp t="s">
        <v>#N/A N/A</v>
        <stp/>
        <stp>BDP|11032238704298697056</stp>
        <tr r="C3572" s="2"/>
      </tp>
      <tp t="s">
        <v>#N/A N/A</v>
        <stp/>
        <stp>BDP|18405092140662148586</stp>
        <tr r="F2633" s="2"/>
      </tp>
      <tp t="s">
        <v>#N/A N/A</v>
        <stp/>
        <stp>BDP|11674907415466237451</stp>
        <tr r="B283" s="2"/>
      </tp>
      <tp t="s">
        <v>#N/A N/A</v>
        <stp/>
        <stp>BDP|17767386374861762988</stp>
        <tr r="D3083" s="2"/>
      </tp>
      <tp t="s">
        <v>#N/A N/A</v>
        <stp/>
        <stp>BDP|11664291249668243403</stp>
        <tr r="C875" s="2"/>
      </tp>
      <tp t="s">
        <v>#N/A N/A</v>
        <stp/>
        <stp>BDP|13248772586976583122</stp>
        <tr r="I4481" s="2"/>
      </tp>
      <tp t="s">
        <v>#N/A N/A</v>
        <stp/>
        <stp>BDP|17603467977576749943</stp>
        <tr r="I678" s="2"/>
      </tp>
      <tp t="s">
        <v>#N/A N/A</v>
        <stp/>
        <stp>BDP|17740544802390400916</stp>
        <tr r="I1376" s="2"/>
      </tp>
      <tp t="s">
        <v>#N/A N/A</v>
        <stp/>
        <stp>BDP|16344476421433113802</stp>
        <tr r="I1887" s="2"/>
      </tp>
      <tp t="s">
        <v>#N/A N/A</v>
        <stp/>
        <stp>BDP|12556303619768945310</stp>
        <tr r="C2275" s="2"/>
      </tp>
      <tp t="s">
        <v>#N/A N/A</v>
        <stp/>
        <stp>BDP|14861640834208884248</stp>
        <tr r="F2445" s="2"/>
      </tp>
      <tp t="s">
        <v>#N/A N/A</v>
        <stp/>
        <stp>BDP|15730910346485114652</stp>
        <tr r="G2946" s="2"/>
      </tp>
      <tp t="s">
        <v>#N/A N/A</v>
        <stp/>
        <stp>BDP|11508344520462055951</stp>
        <tr r="I2281" s="2"/>
      </tp>
      <tp t="s">
        <v>#N/A N/A</v>
        <stp/>
        <stp>BDP|13710431321278936685</stp>
        <tr r="D490" s="2"/>
      </tp>
      <tp t="s">
        <v>#N/A N/A</v>
        <stp/>
        <stp>BDP|15212609159359994466</stp>
        <tr r="C196" s="2"/>
      </tp>
      <tp t="s">
        <v>#N/A N/A</v>
        <stp/>
        <stp>BDP|13304841504599765939</stp>
        <tr r="C171" s="2"/>
      </tp>
      <tp t="s">
        <v>#N/A N/A</v>
        <stp/>
        <stp>BDP|17539513202091797862</stp>
        <tr r="H4843" s="2"/>
      </tp>
      <tp t="s">
        <v>#N/A N/A</v>
        <stp/>
        <stp>BDP|10117151742597974988</stp>
        <tr r="F2948" s="2"/>
      </tp>
      <tp t="s">
        <v>#N/A N/A</v>
        <stp/>
        <stp>BDP|17952157908069606458</stp>
        <tr r="I1753" s="2"/>
      </tp>
      <tp t="s">
        <v>#N/A N/A</v>
        <stp/>
        <stp>BDP|10039199726090806800</stp>
        <tr r="I4502" s="2"/>
      </tp>
      <tp t="s">
        <v>#N/A N/A</v>
        <stp/>
        <stp>BDP|14107625179216846859</stp>
        <tr r="C2137" s="2"/>
      </tp>
      <tp t="s">
        <v>#N/A N/A</v>
        <stp/>
        <stp>BDP|11233751609468850519</stp>
        <tr r="G316" s="2"/>
      </tp>
      <tp t="s">
        <v>#N/A N/A</v>
        <stp/>
        <stp>BDP|16637347432359395444</stp>
        <tr r="H4463" s="2"/>
      </tp>
      <tp t="s">
        <v>#N/A N/A</v>
        <stp/>
        <stp>BDP|18357545301875689379</stp>
        <tr r="C3752" s="2"/>
      </tp>
      <tp t="s">
        <v>#N/A N/A</v>
        <stp/>
        <stp>BDP|10203845826791597022</stp>
        <tr r="I4866" s="2"/>
      </tp>
      <tp t="s">
        <v>#N/A N/A</v>
        <stp/>
        <stp>BDP|17735142373039082370</stp>
        <tr r="A2243" s="2"/>
      </tp>
      <tp t="s">
        <v>#N/A N/A</v>
        <stp/>
        <stp>BDP|13374732361968567133</stp>
        <tr r="C1092" s="2"/>
      </tp>
      <tp t="s">
        <v>#N/A N/A</v>
        <stp/>
        <stp>BDP|16652934322664171219</stp>
        <tr r="A3482" s="2"/>
      </tp>
      <tp t="s">
        <v>#N/A N/A</v>
        <stp/>
        <stp>BDP|16557173058239495094</stp>
        <tr r="D4031" s="2"/>
      </tp>
      <tp t="s">
        <v>#N/A N/A</v>
        <stp/>
        <stp>BDP|13582007692712665367</stp>
        <tr r="C195" s="2"/>
      </tp>
      <tp t="s">
        <v>#N/A N/A</v>
        <stp/>
        <stp>BDP|17581845937620109702</stp>
        <tr r="F3840" s="2"/>
      </tp>
      <tp t="s">
        <v>#N/A N/A</v>
        <stp/>
        <stp>BDP|10272775723888906682</stp>
        <tr r="G1642" s="2"/>
      </tp>
      <tp t="s">
        <v>#N/A N/A</v>
        <stp/>
        <stp>BDP|10481803785693048861</stp>
        <tr r="F3802" s="2"/>
      </tp>
      <tp t="s">
        <v>#N/A N/A</v>
        <stp/>
        <stp>BDP|18249790178543784036</stp>
        <tr r="H4532" s="2"/>
      </tp>
      <tp t="s">
        <v>#N/A N/A</v>
        <stp/>
        <stp>BDP|14290575162725738977</stp>
        <tr r="F664" s="2"/>
      </tp>
      <tp t="s">
        <v>#N/A N/A</v>
        <stp/>
        <stp>BDP|11642989085113456886</stp>
        <tr r="C1071" s="2"/>
      </tp>
      <tp t="s">
        <v>#N/A N/A</v>
        <stp/>
        <stp>BDP|15333348453378204017</stp>
        <tr r="F3559" s="2"/>
      </tp>
      <tp t="s">
        <v>#N/A N/A</v>
        <stp/>
        <stp>BDP|16087938423541781702</stp>
        <tr r="C4823" s="2"/>
      </tp>
      <tp t="s">
        <v>#N/A N/A</v>
        <stp/>
        <stp>BDP|16960762588025735778</stp>
        <tr r="G99" s="2"/>
      </tp>
      <tp t="s">
        <v>#N/A N/A</v>
        <stp/>
        <stp>BDP|12252243423521358818</stp>
        <tr r="B1727" s="2"/>
      </tp>
      <tp t="s">
        <v>#N/A N/A</v>
        <stp/>
        <stp>BDP|13257502991851635522</stp>
        <tr r="G1225" s="2"/>
      </tp>
      <tp t="s">
        <v>#N/A N/A</v>
        <stp/>
        <stp>BDP|13089217056507762872</stp>
        <tr r="C4242" s="2"/>
      </tp>
      <tp t="s">
        <v>#N/A N/A</v>
        <stp/>
        <stp>BDP|15783923240805556678</stp>
        <tr r="G1292" s="2"/>
      </tp>
      <tp t="s">
        <v>#N/A N/A</v>
        <stp/>
        <stp>BDP|11095926982798359340</stp>
        <tr r="D240" s="2"/>
      </tp>
      <tp t="s">
        <v>#N/A N/A</v>
        <stp/>
        <stp>BDP|10101374413879108031</stp>
        <tr r="H2979" s="2"/>
      </tp>
      <tp t="s">
        <v>#N/A N/A</v>
        <stp/>
        <stp>BDP|16439244064689285014</stp>
        <tr r="A1739" s="2"/>
      </tp>
      <tp t="s">
        <v>#N/A N/A</v>
        <stp/>
        <stp>BDP|12248546728808108687</stp>
        <tr r="C2699" s="2"/>
      </tp>
      <tp t="s">
        <v>#N/A N/A</v>
        <stp/>
        <stp>BDP|14595645370678260641</stp>
        <tr r="H4356" s="2"/>
      </tp>
      <tp t="s">
        <v>#N/A N/A</v>
        <stp/>
        <stp>BDP|14871896011325083377</stp>
        <tr r="B3153" s="2"/>
      </tp>
      <tp t="s">
        <v>#N/A N/A</v>
        <stp/>
        <stp>BDP|16306065625258495732</stp>
        <tr r="C1052" s="2"/>
      </tp>
      <tp t="s">
        <v>#N/A N/A</v>
        <stp/>
        <stp>BDP|15979983300545653207</stp>
        <tr r="F1394" s="2"/>
      </tp>
      <tp t="s">
        <v>#N/A N/A</v>
        <stp/>
        <stp>BDP|14139914965047552771</stp>
        <tr r="D1756" s="2"/>
      </tp>
      <tp t="s">
        <v>#N/A N/A</v>
        <stp/>
        <stp>BDP|16432628110079018318</stp>
        <tr r="D284" s="2"/>
      </tp>
      <tp t="s">
        <v>#N/A N/A</v>
        <stp/>
        <stp>BDP|10646805033495160531</stp>
        <tr r="C325" s="2"/>
      </tp>
      <tp t="s">
        <v>#N/A N/A</v>
        <stp/>
        <stp>BDP|14116611585881093023</stp>
        <tr r="D4042" s="2"/>
      </tp>
      <tp t="s">
        <v>#N/A N/A</v>
        <stp/>
        <stp>BDP|11215175176065322974</stp>
        <tr r="C2956" s="2"/>
      </tp>
      <tp t="s">
        <v>#N/A N/A</v>
        <stp/>
        <stp>BDP|12522103297240636132</stp>
        <tr r="I4484" s="2"/>
      </tp>
      <tp t="s">
        <v>#N/A N/A</v>
        <stp/>
        <stp>BDP|15968927704705917216</stp>
        <tr r="B866" s="2"/>
      </tp>
      <tp t="s">
        <v>#N/A N/A</v>
        <stp/>
        <stp>BDP|18402348106067480751</stp>
        <tr r="C1194" s="2"/>
      </tp>
      <tp t="s">
        <v>#N/A N/A</v>
        <stp/>
        <stp>BDP|18295679419747372381</stp>
        <tr r="B4675" s="2"/>
      </tp>
      <tp t="s">
        <v>#N/A N/A</v>
        <stp/>
        <stp>BDP|16825890065402475170</stp>
        <tr r="H2545" s="2"/>
      </tp>
      <tp t="s">
        <v>#N/A N/A</v>
        <stp/>
        <stp>BDP|15018432961368360466</stp>
        <tr r="H362" s="2"/>
      </tp>
      <tp t="s">
        <v>#N/A N/A</v>
        <stp/>
        <stp>BDP|18234186826490223093</stp>
        <tr r="H167" s="2"/>
      </tp>
      <tp t="s">
        <v>#N/A N/A</v>
        <stp/>
        <stp>BDP|17002197562018417386</stp>
        <tr r="B1656" s="2"/>
      </tp>
      <tp t="s">
        <v>#N/A N/A</v>
        <stp/>
        <stp>BDP|16772511797022574331</stp>
        <tr r="I3824" s="2"/>
      </tp>
      <tp t="s">
        <v>#N/A N/A</v>
        <stp/>
        <stp>BDP|13770819915546395775</stp>
        <tr r="G3514" s="2"/>
      </tp>
      <tp t="s">
        <v>#N/A N/A</v>
        <stp/>
        <stp>BDP|16617014717998291452</stp>
        <tr r="A2907" s="2"/>
      </tp>
      <tp t="s">
        <v>#N/A N/A</v>
        <stp/>
        <stp>BDP|13127841840144100035</stp>
        <tr r="D2614" s="2"/>
      </tp>
      <tp t="s">
        <v>#N/A N/A</v>
        <stp/>
        <stp>BDP|17455944516041150503</stp>
        <tr r="G3132" s="2"/>
      </tp>
      <tp t="s">
        <v>#N/A N/A</v>
        <stp/>
        <stp>BDP|16577608559839246794</stp>
        <tr r="B2205" s="2"/>
      </tp>
      <tp t="s">
        <v>#N/A N/A</v>
        <stp/>
        <stp>BDP|12185229715722180809</stp>
        <tr r="B4627" s="2"/>
      </tp>
      <tp t="s">
        <v>#N/A N/A</v>
        <stp/>
        <stp>BDP|18383935991625685605</stp>
        <tr r="A109" s="2"/>
      </tp>
      <tp t="s">
        <v>#N/A N/A</v>
        <stp/>
        <stp>BDP|10696225359265298981</stp>
        <tr r="B3964" s="2"/>
      </tp>
      <tp t="s">
        <v>#N/A N/A</v>
        <stp/>
        <stp>BDP|14400772516509431062</stp>
        <tr r="B3593" s="2"/>
      </tp>
      <tp t="s">
        <v>#N/A N/A</v>
        <stp/>
        <stp>BDP|18174754355778154977</stp>
        <tr r="G3925" s="2"/>
      </tp>
      <tp t="s">
        <v>#N/A N/A</v>
        <stp/>
        <stp>BDP|16400933878103059081</stp>
        <tr r="B4348" s="2"/>
      </tp>
      <tp t="s">
        <v>#N/A N/A</v>
        <stp/>
        <stp>BDP|13464143386056121701</stp>
        <tr r="D3999" s="2"/>
      </tp>
      <tp t="s">
        <v>#N/A N/A</v>
        <stp/>
        <stp>BDP|17729857232661041672</stp>
        <tr r="D1903" s="2"/>
      </tp>
      <tp t="s">
        <v>#N/A N/A</v>
        <stp/>
        <stp>BDP|17157850986494109844</stp>
        <tr r="I2885" s="2"/>
      </tp>
      <tp t="s">
        <v>#N/A N/A</v>
        <stp/>
        <stp>BDP|13137956927150661327</stp>
        <tr r="I4352" s="2"/>
      </tp>
      <tp t="s">
        <v>#N/A N/A</v>
        <stp/>
        <stp>BDP|12045777152719392218</stp>
        <tr r="D4520" s="2"/>
      </tp>
      <tp t="s">
        <v>#N/A N/A</v>
        <stp/>
        <stp>BDP|17600817037856429139</stp>
        <tr r="F3079" s="2"/>
      </tp>
      <tp t="s">
        <v>#N/A N/A</v>
        <stp/>
        <stp>BDP|12472144340328308444</stp>
        <tr r="I1423" s="2"/>
      </tp>
      <tp t="s">
        <v>#N/A N/A</v>
        <stp/>
        <stp>BDP|13442625161341520954</stp>
        <tr r="D2049" s="2"/>
      </tp>
      <tp t="s">
        <v>#N/A N/A</v>
        <stp/>
        <stp>BDP|14320254664679306264</stp>
        <tr r="B3710" s="2"/>
      </tp>
      <tp t="s">
        <v>#N/A N/A</v>
        <stp/>
        <stp>BDP|12960788241209314349</stp>
        <tr r="F4115" s="2"/>
      </tp>
      <tp t="s">
        <v>#N/A N/A</v>
        <stp/>
        <stp>BDP|11500644307885727975</stp>
        <tr r="A1337" s="2"/>
      </tp>
      <tp t="s">
        <v>#N/A N/A</v>
        <stp/>
        <stp>BDP|16644916603640188437</stp>
        <tr r="A3814" s="2"/>
      </tp>
      <tp t="s">
        <v>#N/A N/A</v>
        <stp/>
        <stp>BDP|12220143947129523529</stp>
        <tr r="B2339" s="2"/>
      </tp>
      <tp t="s">
        <v>#N/A N/A</v>
        <stp/>
        <stp>BDP|10484061230018442006</stp>
        <tr r="F1438" s="2"/>
      </tp>
      <tp t="s">
        <v>#N/A N/A</v>
        <stp/>
        <stp>BDP|12146101596867641672</stp>
        <tr r="C4301" s="2"/>
      </tp>
      <tp t="s">
        <v>#N/A N/A</v>
        <stp/>
        <stp>BDP|16586110921356435872</stp>
        <tr r="H1868" s="2"/>
      </tp>
      <tp t="s">
        <v>#N/A N/A</v>
        <stp/>
        <stp>BDP|17828875879000357338</stp>
        <tr r="G982" s="2"/>
      </tp>
      <tp t="s">
        <v>#N/A N/A</v>
        <stp/>
        <stp>BDP|18117625275922927095</stp>
        <tr r="B547" s="2"/>
      </tp>
      <tp t="s">
        <v>#N/A N/A</v>
        <stp/>
        <stp>BDP|13308070822783576959</stp>
        <tr r="B4704" s="2"/>
      </tp>
      <tp t="s">
        <v>#N/A N/A</v>
        <stp/>
        <stp>BDP|10991995823612100243</stp>
        <tr r="B618" s="2"/>
      </tp>
      <tp t="s">
        <v>#N/A N/A</v>
        <stp/>
        <stp>BDP|10564416627624374968</stp>
        <tr r="I2148" s="2"/>
      </tp>
      <tp t="s">
        <v>#N/A N/A</v>
        <stp/>
        <stp>BDP|11047647659179882033</stp>
        <tr r="C4744" s="2"/>
      </tp>
      <tp t="s">
        <v>#N/A N/A</v>
        <stp/>
        <stp>BDP|12338264943409221628</stp>
        <tr r="D3773" s="2"/>
      </tp>
      <tp t="s">
        <v>#N/A N/A</v>
        <stp/>
        <stp>BDP|10081525404438505650</stp>
        <tr r="G2430" s="2"/>
      </tp>
      <tp t="s">
        <v>#N/A N/A</v>
        <stp/>
        <stp>BDP|17364844534664190345</stp>
        <tr r="D4082" s="2"/>
      </tp>
      <tp t="s">
        <v>#N/A N/A</v>
        <stp/>
        <stp>BDP|18141683481044991976</stp>
        <tr r="B2788" s="2"/>
      </tp>
      <tp t="s">
        <v>#N/A N/A</v>
        <stp/>
        <stp>BDP|17814634389205289760</stp>
        <tr r="I1900" s="2"/>
      </tp>
      <tp t="s">
        <v>#N/A N/A</v>
        <stp/>
        <stp>BDP|10069938725628758872</stp>
        <tr r="B4189" s="2"/>
      </tp>
      <tp t="s">
        <v>#N/A N/A</v>
        <stp/>
        <stp>BDP|16084064909875825818</stp>
        <tr r="G74" s="2"/>
      </tp>
      <tp t="s">
        <v>#N/A N/A</v>
        <stp/>
        <stp>BDP|15412182335269782587</stp>
        <tr r="C2312" s="2"/>
      </tp>
      <tp t="s">
        <v>#N/A N/A</v>
        <stp/>
        <stp>BDP|16946996644111586175</stp>
        <tr r="D4900" s="2"/>
      </tp>
      <tp t="s">
        <v>#N/A N/A</v>
        <stp/>
        <stp>BDP|10607141188104489684</stp>
        <tr r="D1551" s="2"/>
      </tp>
      <tp t="s">
        <v>#N/A N/A</v>
        <stp/>
        <stp>BDP|15267038246592543843</stp>
        <tr r="D3127" s="2"/>
      </tp>
      <tp t="s">
        <v>#N/A N/A</v>
        <stp/>
        <stp>BDP|16849014790133798784</stp>
        <tr r="C4012" s="2"/>
      </tp>
      <tp t="s">
        <v>#N/A N/A</v>
        <stp/>
        <stp>BDP|10264907514765124618</stp>
        <tr r="C4069" s="2"/>
      </tp>
      <tp t="s">
        <v>#N/A N/A</v>
        <stp/>
        <stp>BDP|14582225738586083893</stp>
        <tr r="H2099" s="2"/>
      </tp>
      <tp t="s">
        <v>#N/A N/A</v>
        <stp/>
        <stp>BDP|15308124631295746911</stp>
        <tr r="I2387" s="2"/>
      </tp>
      <tp t="s">
        <v>#N/A N/A</v>
        <stp/>
        <stp>BDP|16561140302784370864</stp>
        <tr r="C2620" s="2"/>
      </tp>
      <tp t="s">
        <v>#N/A N/A</v>
        <stp/>
        <stp>BDP|13573901847690554517</stp>
        <tr r="B1754" s="2"/>
      </tp>
      <tp t="s">
        <v>#N/A N/A</v>
        <stp/>
        <stp>BDP|15319027395850062729</stp>
        <tr r="A321" s="2"/>
      </tp>
      <tp t="s">
        <v>#N/A N/A</v>
        <stp/>
        <stp>BDP|13151845342351522540</stp>
        <tr r="B4780" s="2"/>
      </tp>
      <tp t="s">
        <v>#N/A N/A</v>
        <stp/>
        <stp>BDP|17090021137307636859</stp>
        <tr r="B4130" s="2"/>
      </tp>
      <tp t="s">
        <v>#N/A N/A</v>
        <stp/>
        <stp>BDP|16322121532837422818</stp>
        <tr r="G4164" s="2"/>
      </tp>
      <tp t="s">
        <v>#N/A N/A</v>
        <stp/>
        <stp>BDP|16962942553842192394</stp>
        <tr r="D4673" s="2"/>
      </tp>
      <tp t="s">
        <v>#N/A N/A</v>
        <stp/>
        <stp>BDP|18219712869994821648</stp>
        <tr r="F1786" s="2"/>
      </tp>
      <tp t="s">
        <v>#N/A N/A</v>
        <stp/>
        <stp>BDP|15945534818509575312</stp>
        <tr r="F1536" s="2"/>
      </tp>
      <tp t="s">
        <v>#N/A N/A</v>
        <stp/>
        <stp>BDP|14359443306302559920</stp>
        <tr r="C1174" s="2"/>
      </tp>
      <tp t="s">
        <v>#N/A N/A</v>
        <stp/>
        <stp>BDP|15760235799643810634</stp>
        <tr r="F3206" s="2"/>
      </tp>
      <tp t="s">
        <v>#N/A N/A</v>
        <stp/>
        <stp>BDP|14810998477954463546</stp>
        <tr r="G4600" s="2"/>
      </tp>
      <tp t="s">
        <v>#N/A N/A</v>
        <stp/>
        <stp>BDP|10122731922637009962</stp>
        <tr r="D4351" s="2"/>
      </tp>
      <tp t="s">
        <v>#N/A N/A</v>
        <stp/>
        <stp>BDP|11323812401524005652</stp>
        <tr r="A506" s="2"/>
      </tp>
      <tp t="s">
        <v>#N/A N/A</v>
        <stp/>
        <stp>BDP|11621126661804329908</stp>
        <tr r="B3827" s="2"/>
      </tp>
      <tp t="s">
        <v>#N/A N/A</v>
        <stp/>
        <stp>BDP|16153208670870722801</stp>
        <tr r="G498" s="2"/>
      </tp>
      <tp t="s">
        <v>#N/A N/A</v>
        <stp/>
        <stp>BDP|10572289486190582182</stp>
        <tr r="F4841" s="2"/>
      </tp>
      <tp t="s">
        <v>#N/A N/A</v>
        <stp/>
        <stp>BDP|16030826060155443605</stp>
        <tr r="H1923" s="2"/>
      </tp>
      <tp t="s">
        <v>#N/A N/A</v>
        <stp/>
        <stp>BDP|10136203984635023430</stp>
        <tr r="F2073" s="2"/>
      </tp>
      <tp t="s">
        <v>#N/A N/A</v>
        <stp/>
        <stp>BDP|16354296708556743936</stp>
        <tr r="D534" s="2"/>
      </tp>
      <tp t="s">
        <v>#N/A N/A</v>
        <stp/>
        <stp>BDP|11416829306031929001</stp>
        <tr r="H1826" s="2"/>
      </tp>
      <tp t="s">
        <v>#N/A N/A</v>
        <stp/>
        <stp>BDP|10927008720483026907</stp>
        <tr r="B1150" s="2"/>
      </tp>
      <tp t="s">
        <v>#N/A N/A</v>
        <stp/>
        <stp>BDP|15487603698427702524</stp>
        <tr r="G2080" s="2"/>
      </tp>
      <tp t="s">
        <v>#N/A N/A</v>
        <stp/>
        <stp>BDP|14980405312660496968</stp>
        <tr r="D288" s="2"/>
      </tp>
      <tp t="s">
        <v>#N/A N/A</v>
        <stp/>
        <stp>BDP|10673479045329858151</stp>
        <tr r="A2229" s="2"/>
      </tp>
      <tp t="s">
        <v>#N/A N/A</v>
        <stp/>
        <stp>BDP|12501881221476790625</stp>
        <tr r="B1016" s="2"/>
      </tp>
      <tp t="s">
        <v>#N/A N/A</v>
        <stp/>
        <stp>BDP|10787766146709996279</stp>
        <tr r="G3737" s="2"/>
      </tp>
      <tp t="s">
        <v>#N/A N/A</v>
        <stp/>
        <stp>BDP|17470955157233888070</stp>
        <tr r="B705" s="2"/>
      </tp>
      <tp t="s">
        <v>#N/A N/A</v>
        <stp/>
        <stp>BDP|12872205292498195920</stp>
        <tr r="I2050" s="2"/>
      </tp>
      <tp t="s">
        <v>#N/A N/A</v>
        <stp/>
        <stp>BDP|16980480981526104482</stp>
        <tr r="H4278" s="2"/>
      </tp>
      <tp t="s">
        <v>#N/A N/A</v>
        <stp/>
        <stp>BDP|13312359379418537730</stp>
        <tr r="B1013" s="2"/>
      </tp>
      <tp t="s">
        <v>#N/A N/A</v>
        <stp/>
        <stp>BDP|12879621853231020809</stp>
        <tr r="I2699" s="2"/>
      </tp>
      <tp t="s">
        <v>#N/A N/A</v>
        <stp/>
        <stp>BDP|11811943777891222606</stp>
        <tr r="H2411" s="2"/>
      </tp>
      <tp t="s">
        <v>#N/A N/A</v>
        <stp/>
        <stp>BDP|15343000400474894927</stp>
        <tr r="I4522" s="2"/>
      </tp>
      <tp t="s">
        <v>#N/A N/A</v>
        <stp/>
        <stp>BDP|16936065688140685681</stp>
        <tr r="A1742" s="2"/>
      </tp>
      <tp t="s">
        <v>#N/A N/A</v>
        <stp/>
        <stp>BDP|13377129268574028804</stp>
        <tr r="H3371" s="2"/>
      </tp>
      <tp t="s">
        <v>#N/A N/A</v>
        <stp/>
        <stp>BDP|16902386754540492887</stp>
        <tr r="H2898" s="2"/>
      </tp>
      <tp t="s">
        <v>#N/A N/A</v>
        <stp/>
        <stp>BDP|12214894227339637938</stp>
        <tr r="F1172" s="2"/>
      </tp>
      <tp t="s">
        <v>#N/A N/A</v>
        <stp/>
        <stp>BDP|12927170190997775500</stp>
        <tr r="I3206" s="2"/>
      </tp>
      <tp t="s">
        <v>#N/A N/A</v>
        <stp/>
        <stp>BDP|13984941171155425016</stp>
        <tr r="F3956" s="2"/>
      </tp>
      <tp t="s">
        <v>#N/A N/A</v>
        <stp/>
        <stp>BDP|17318982446204589615</stp>
        <tr r="D4416" s="2"/>
      </tp>
      <tp t="s">
        <v>#N/A N/A</v>
        <stp/>
        <stp>BDP|18083343955826998016</stp>
        <tr r="I1309" s="2"/>
      </tp>
      <tp t="s">
        <v>#N/A N/A</v>
        <stp/>
        <stp>BDP|10319316319552443865</stp>
        <tr r="D714" s="2"/>
      </tp>
      <tp t="s">
        <v>#N/A N/A</v>
        <stp/>
        <stp>BDP|13793806519286460438</stp>
        <tr r="I769" s="2"/>
      </tp>
      <tp t="s">
        <v>#N/A N/A</v>
        <stp/>
        <stp>BDP|18419444350901180087</stp>
        <tr r="F4307" s="2"/>
      </tp>
      <tp t="s">
        <v>#N/A N/A</v>
        <stp/>
        <stp>BDP|10003645289120374670</stp>
        <tr r="H1316" s="2"/>
      </tp>
      <tp t="s">
        <v>#N/A N/A</v>
        <stp/>
        <stp>BDP|10485598783063122661</stp>
        <tr r="C2626" s="2"/>
      </tp>
      <tp t="s">
        <v>#N/A N/A</v>
        <stp/>
        <stp>BDP|11343525273223985828</stp>
        <tr r="G532" s="2"/>
      </tp>
      <tp t="s">
        <v>#N/A N/A</v>
        <stp/>
        <stp>BDP|14462838173144456799</stp>
        <tr r="F3623" s="2"/>
      </tp>
      <tp t="s">
        <v>#N/A N/A</v>
        <stp/>
        <stp>BDP|17431151550072822903</stp>
        <tr r="A1541" s="2"/>
      </tp>
      <tp t="s">
        <v>#N/A N/A</v>
        <stp/>
        <stp>BDP|15472644365529833446</stp>
        <tr r="D4746" s="2"/>
      </tp>
      <tp t="s">
        <v>#N/A N/A</v>
        <stp/>
        <stp>BDP|16228040939044175976</stp>
        <tr r="G3266" s="2"/>
      </tp>
      <tp t="s">
        <v>#N/A N/A</v>
        <stp/>
        <stp>BDP|18044395932674678443</stp>
        <tr r="H2615" s="2"/>
      </tp>
      <tp t="s">
        <v>#N/A N/A</v>
        <stp/>
        <stp>BDP|17198601899949548947</stp>
        <tr r="G1863" s="2"/>
      </tp>
      <tp t="s">
        <v>#N/A N/A</v>
        <stp/>
        <stp>BDP|14817018342130688842</stp>
        <tr r="H680" s="2"/>
      </tp>
      <tp t="s">
        <v>#N/A N/A</v>
        <stp/>
        <stp>BDP|17933880519417379122</stp>
        <tr r="G742" s="2"/>
      </tp>
      <tp t="s">
        <v>#N/A N/A</v>
        <stp/>
        <stp>BDP|12763801935432360387</stp>
        <tr r="I3341" s="2"/>
      </tp>
      <tp t="s">
        <v>#N/A N/A</v>
        <stp/>
        <stp>BDP|10660847503189958917</stp>
        <tr r="D3916" s="2"/>
      </tp>
      <tp t="s">
        <v>#N/A N/A</v>
        <stp/>
        <stp>BDP|16343189772110193817</stp>
        <tr r="I4379" s="2"/>
      </tp>
      <tp t="s">
        <v>#N/A N/A</v>
        <stp/>
        <stp>BDP|17955830050316340403</stp>
        <tr r="A1278" s="2"/>
      </tp>
      <tp t="s">
        <v>#N/A N/A</v>
        <stp/>
        <stp>BDP|12248167494257954504</stp>
        <tr r="H4059" s="2"/>
      </tp>
      <tp t="s">
        <v>#N/A N/A</v>
        <stp/>
        <stp>BDP|14051284540413859990</stp>
        <tr r="C2780" s="2"/>
      </tp>
      <tp t="s">
        <v>#N/A N/A</v>
        <stp/>
        <stp>BDP|17964217185082771736</stp>
        <tr r="I2782" s="2"/>
      </tp>
      <tp t="s">
        <v>#N/A N/A</v>
        <stp/>
        <stp>BDP|14279893060321455362</stp>
        <tr r="G4265" s="2"/>
      </tp>
      <tp t="s">
        <v>#N/A N/A</v>
        <stp/>
        <stp>BDP|16866356992530636406</stp>
        <tr r="G3928" s="2"/>
      </tp>
      <tp t="s">
        <v>#N/A N/A</v>
        <stp/>
        <stp>BDP|10703787036315734977</stp>
        <tr r="B1576" s="2"/>
      </tp>
      <tp t="s">
        <v>#N/A N/A</v>
        <stp/>
        <stp>BDP|13613783370272207950</stp>
        <tr r="F4994" s="2"/>
      </tp>
      <tp t="s">
        <v>#N/A N/A</v>
        <stp/>
        <stp>BDP|13857737348839397193</stp>
        <tr r="F4327" s="2"/>
      </tp>
      <tp t="s">
        <v>#N/A N/A</v>
        <stp/>
        <stp>BDP|17748932368359265974</stp>
        <tr r="G397" s="2"/>
      </tp>
      <tp t="s">
        <v>#N/A N/A</v>
        <stp/>
        <stp>BDP|17532736592854437599</stp>
        <tr r="G3809" s="2"/>
      </tp>
      <tp t="s">
        <v>#N/A N/A</v>
        <stp/>
        <stp>BDP|16901854121207524313</stp>
        <tr r="B605" s="2"/>
      </tp>
      <tp t="s">
        <v>#N/A N/A</v>
        <stp/>
        <stp>BDP|17315161370368431187</stp>
        <tr r="H1098" s="2"/>
      </tp>
      <tp t="s">
        <v>#N/A N/A</v>
        <stp/>
        <stp>BDP|11442989168194589283</stp>
        <tr r="D611" s="2"/>
      </tp>
      <tp t="s">
        <v>#N/A N/A</v>
        <stp/>
        <stp>BDP|13780064152357286980</stp>
        <tr r="G1421" s="2"/>
      </tp>
      <tp t="s">
        <v>#N/A N/A</v>
        <stp/>
        <stp>BDP|18013770500264672383</stp>
        <tr r="D2352" s="2"/>
      </tp>
      <tp t="s">
        <v>#N/A N/A</v>
        <stp/>
        <stp>BDP|14371873808744555000</stp>
        <tr r="G3180" s="2"/>
      </tp>
      <tp t="s">
        <v>#N/A N/A</v>
        <stp/>
        <stp>BDP|17060447146299200695</stp>
        <tr r="H688" s="2"/>
      </tp>
      <tp t="s">
        <v>#N/A N/A</v>
        <stp/>
        <stp>BDP|15942820962507620465</stp>
        <tr r="B1882" s="2"/>
      </tp>
      <tp t="s">
        <v>#N/A N/A</v>
        <stp/>
        <stp>BDP|13552810527481265081</stp>
        <tr r="G568" s="2"/>
      </tp>
      <tp t="s">
        <v>#N/A N/A</v>
        <stp/>
        <stp>BDP|11046130191585268491</stp>
        <tr r="H1392" s="2"/>
      </tp>
      <tp t="s">
        <v>#N/A N/A</v>
        <stp/>
        <stp>BDP|14697034474832198998</stp>
        <tr r="I3832" s="2"/>
      </tp>
      <tp t="s">
        <v>#N/A N/A</v>
        <stp/>
        <stp>BDP|15988284421015105888</stp>
        <tr r="D4850" s="2"/>
      </tp>
      <tp t="s">
        <v>#N/A N/A</v>
        <stp/>
        <stp>BDP|10538612004788051688</stp>
        <tr r="C1701" s="2"/>
      </tp>
      <tp t="s">
        <v>#N/A N/A</v>
        <stp/>
        <stp>BDP|14080176770732844876</stp>
        <tr r="H2717" s="2"/>
      </tp>
      <tp t="s">
        <v>#N/A N/A</v>
        <stp/>
        <stp>BDP|12166246699943607222</stp>
        <tr r="H244" s="2"/>
      </tp>
      <tp t="s">
        <v>#N/A N/A</v>
        <stp/>
        <stp>BDP|12380421375380980958</stp>
        <tr r="A3816" s="2"/>
      </tp>
      <tp t="s">
        <v>#N/A N/A</v>
        <stp/>
        <stp>BDP|12520990431413491315</stp>
        <tr r="B4619" s="2"/>
      </tp>
      <tp t="s">
        <v>#N/A N/A</v>
        <stp/>
        <stp>BDP|17736995524920024424</stp>
        <tr r="D801" s="2"/>
      </tp>
      <tp t="s">
        <v>#N/A N/A</v>
        <stp/>
        <stp>BDP|14816658798950892350</stp>
        <tr r="F3320" s="2"/>
      </tp>
      <tp t="s">
        <v>#N/A N/A</v>
        <stp/>
        <stp>BDP|12773300065107273888</stp>
        <tr r="H4363" s="2"/>
      </tp>
      <tp t="s">
        <v>#N/A N/A</v>
        <stp/>
        <stp>BDP|16365692334963643800</stp>
        <tr r="F29" s="2"/>
      </tp>
      <tp t="s">
        <v>#N/A N/A</v>
        <stp/>
        <stp>BDP|15487280594036473046</stp>
        <tr r="H413" s="2"/>
      </tp>
      <tp t="s">
        <v>#N/A N/A</v>
        <stp/>
        <stp>BDP|11952873595931659952</stp>
        <tr r="A4511" s="2"/>
      </tp>
      <tp t="s">
        <v>#N/A N/A</v>
        <stp/>
        <stp>BDP|14527218444932138898</stp>
        <tr r="H2428" s="2"/>
      </tp>
      <tp t="s">
        <v>#N/A N/A</v>
        <stp/>
        <stp>BDP|16184654581139865953</stp>
        <tr r="G1022" s="2"/>
      </tp>
      <tp t="s">
        <v>#N/A N/A</v>
        <stp/>
        <stp>BDP|12534845693853336895</stp>
        <tr r="D2453" s="2"/>
      </tp>
      <tp t="s">
        <v>#N/A N/A</v>
        <stp/>
        <stp>BDP|13987332570277446864</stp>
        <tr r="C3298" s="2"/>
      </tp>
      <tp t="s">
        <v>#N/A N/A</v>
        <stp/>
        <stp>BDP|12732021195356998517</stp>
        <tr r="D3131" s="2"/>
      </tp>
      <tp t="s">
        <v>#N/A N/A</v>
        <stp/>
        <stp>BDP|15765753603962941807</stp>
        <tr r="B2682" s="2"/>
      </tp>
      <tp t="s">
        <v>#N/A N/A</v>
        <stp/>
        <stp>BDP|14212913903187095285</stp>
        <tr r="G1135" s="2"/>
      </tp>
      <tp t="s">
        <v>#N/A N/A</v>
        <stp/>
        <stp>BDP|18163364061842909774</stp>
        <tr r="C859" s="2"/>
      </tp>
      <tp t="s">
        <v>#N/A N/A</v>
        <stp/>
        <stp>BDP|12100789077582458827</stp>
        <tr r="F3219" s="2"/>
      </tp>
      <tp t="s">
        <v>#N/A N/A</v>
        <stp/>
        <stp>BDP|14775482044645180926</stp>
        <tr r="A4884" s="2"/>
      </tp>
      <tp t="s">
        <v>#N/A N/A</v>
        <stp/>
        <stp>BDP|17320558284687851525</stp>
        <tr r="B4515" s="2"/>
      </tp>
      <tp t="s">
        <v>#N/A N/A</v>
        <stp/>
        <stp>BDP|15965202747869173277</stp>
        <tr r="I3912" s="2"/>
      </tp>
      <tp t="s">
        <v>#N/A N/A</v>
        <stp/>
        <stp>BDP|18332374140160959750</stp>
        <tr r="I378" s="2"/>
      </tp>
      <tp t="s">
        <v>#N/A N/A</v>
        <stp/>
        <stp>BDP|17957986344485905744</stp>
        <tr r="C442" s="2"/>
      </tp>
      <tp t="s">
        <v>#N/A N/A</v>
        <stp/>
        <stp>BDP|16187651282937727791</stp>
        <tr r="A3149" s="2"/>
      </tp>
      <tp t="s">
        <v>#N/A N/A</v>
        <stp/>
        <stp>BDP|18175386282272434972</stp>
        <tr r="F3329" s="2"/>
      </tp>
      <tp t="s">
        <v>#N/A N/A</v>
        <stp/>
        <stp>BDP|13047394465139661725</stp>
        <tr r="C2011" s="2"/>
      </tp>
      <tp t="s">
        <v>#N/A N/A</v>
        <stp/>
        <stp>BDP|16869868601973504526</stp>
        <tr r="D1231" s="2"/>
      </tp>
      <tp t="s">
        <v>#N/A N/A</v>
        <stp/>
        <stp>BDP|15581898861296028551</stp>
        <tr r="C2674" s="2"/>
      </tp>
      <tp t="s">
        <v>#N/A N/A</v>
        <stp/>
        <stp>BDP|10103299553789774648</stp>
        <tr r="G4728" s="2"/>
      </tp>
      <tp t="s">
        <v>#N/A N/A</v>
        <stp/>
        <stp>BDP|10503097196976178739</stp>
        <tr r="I3215" s="2"/>
      </tp>
      <tp t="s">
        <v>#N/A N/A</v>
        <stp/>
        <stp>BDP|12890483669688995085</stp>
        <tr r="I3856" s="2"/>
      </tp>
      <tp t="s">
        <v>#N/A N/A</v>
        <stp/>
        <stp>BDP|11829157584590186008</stp>
        <tr r="A53" s="2"/>
      </tp>
      <tp t="s">
        <v>#N/A N/A</v>
        <stp/>
        <stp>BDP|12229082010472170934</stp>
        <tr r="H1715" s="2"/>
      </tp>
      <tp t="s">
        <v>#N/A N/A</v>
        <stp/>
        <stp>BDP|16502492542387624904</stp>
        <tr r="A3419" s="2"/>
      </tp>
      <tp t="s">
        <v>#N/A N/A</v>
        <stp/>
        <stp>BDP|10867634508526905820</stp>
        <tr r="C436" s="2"/>
      </tp>
      <tp t="s">
        <v>#N/A N/A</v>
        <stp/>
        <stp>BDP|15113586168218900602</stp>
        <tr r="C462" s="2"/>
      </tp>
      <tp t="s">
        <v>#N/A N/A</v>
        <stp/>
        <stp>BDP|13318968180532888853</stp>
        <tr r="F1923" s="2"/>
      </tp>
      <tp t="s">
        <v>#N/A N/A</v>
        <stp/>
        <stp>BDP|14465587232083523935</stp>
        <tr r="H656" s="2"/>
      </tp>
      <tp t="s">
        <v>#N/A N/A</v>
        <stp/>
        <stp>BDP|17417352110748166584</stp>
        <tr r="D3643" s="2"/>
      </tp>
      <tp t="s">
        <v>#N/A N/A</v>
        <stp/>
        <stp>BDP|13652696140610773904</stp>
        <tr r="D857" s="2"/>
      </tp>
      <tp t="s">
        <v>#N/A N/A</v>
        <stp/>
        <stp>BDP|14901272355648525360</stp>
        <tr r="A2323" s="2"/>
      </tp>
      <tp t="s">
        <v>#N/A N/A</v>
        <stp/>
        <stp>BDP|13217128785222969048</stp>
        <tr r="H239" s="2"/>
      </tp>
      <tp t="s">
        <v>#N/A N/A</v>
        <stp/>
        <stp>BDP|14307770700709407282</stp>
        <tr r="C294" s="2"/>
      </tp>
      <tp t="s">
        <v>#N/A N/A</v>
        <stp/>
        <stp>BDP|11401610044052058991</stp>
        <tr r="F4922" s="2"/>
      </tp>
      <tp t="s">
        <v>#N/A N/A</v>
        <stp/>
        <stp>BDP|11567065911541946936</stp>
        <tr r="I1240" s="2"/>
      </tp>
      <tp t="s">
        <v>#N/A N/A</v>
        <stp/>
        <stp>BDP|15897395800206829818</stp>
        <tr r="H3737" s="2"/>
      </tp>
      <tp t="s">
        <v>#N/A N/A</v>
        <stp/>
        <stp>BDP|18136329141833934435</stp>
        <tr r="I562" s="2"/>
      </tp>
      <tp t="s">
        <v>#N/A N/A</v>
        <stp/>
        <stp>BDP|16466692382878209867</stp>
        <tr r="H1512" s="2"/>
      </tp>
      <tp t="s">
        <v>#N/A N/A</v>
        <stp/>
        <stp>BDP|10851117182393021209</stp>
        <tr r="A1448" s="2"/>
      </tp>
      <tp t="s">
        <v>#N/A N/A</v>
        <stp/>
        <stp>BDP|14701948703271889438</stp>
        <tr r="C928" s="2"/>
      </tp>
      <tp t="s">
        <v>#N/A N/A</v>
        <stp/>
        <stp>BDP|12279393967429130669</stp>
        <tr r="I1609" s="2"/>
      </tp>
      <tp t="s">
        <v>#N/A N/A</v>
        <stp/>
        <stp>BDP|10629906306816911724</stp>
        <tr r="C1307" s="2"/>
      </tp>
      <tp t="s">
        <v>#N/A N/A</v>
        <stp/>
        <stp>BDP|16455749617168510095</stp>
        <tr r="I4332" s="2"/>
      </tp>
      <tp t="s">
        <v>#N/A N/A</v>
        <stp/>
        <stp>BDP|15860899779140712246</stp>
        <tr r="C125" s="2"/>
      </tp>
      <tp t="s">
        <v>#N/A N/A</v>
        <stp/>
        <stp>BDP|14238923271631876329</stp>
        <tr r="B4265" s="2"/>
      </tp>
      <tp t="s">
        <v>#N/A N/A</v>
        <stp/>
        <stp>BDP|11957417157080090843</stp>
        <tr r="G4555" s="2"/>
      </tp>
      <tp t="s">
        <v>#N/A N/A</v>
        <stp/>
        <stp>BDP|18099865567339327795</stp>
        <tr r="C3751" s="2"/>
      </tp>
      <tp t="s">
        <v>#N/A N/A</v>
        <stp/>
        <stp>BDP|18141134195948540095</stp>
        <tr r="B663" s="2"/>
      </tp>
      <tp t="s">
        <v>#N/A N/A</v>
        <stp/>
        <stp>BDP|16187486665729185569</stp>
        <tr r="C2461" s="2"/>
      </tp>
      <tp t="s">
        <v>#N/A N/A</v>
        <stp/>
        <stp>BDP|18336759008233618436</stp>
        <tr r="B489" s="2"/>
      </tp>
      <tp t="s">
        <v>#N/A N/A</v>
        <stp/>
        <stp>BDP|15453993858665673488</stp>
        <tr r="H1178" s="2"/>
      </tp>
      <tp t="s">
        <v>#N/A N/A</v>
        <stp/>
        <stp>BDP|17150141883533494596</stp>
        <tr r="H3041" s="2"/>
      </tp>
      <tp t="s">
        <v>#N/A N/A</v>
        <stp/>
        <stp>BDP|15227044889806527312</stp>
        <tr r="H3647" s="2"/>
      </tp>
      <tp t="s">
        <v>#N/A N/A</v>
        <stp/>
        <stp>BDP|18133452364890252292</stp>
        <tr r="B4217" s="2"/>
      </tp>
      <tp t="s">
        <v>#N/A N/A</v>
        <stp/>
        <stp>BDP|13813063724938558143</stp>
        <tr r="H693" s="2"/>
      </tp>
      <tp t="s">
        <v>#N/A N/A</v>
        <stp/>
        <stp>BDP|13661399680276779637</stp>
        <tr r="F2181" s="2"/>
      </tp>
      <tp t="s">
        <v>#N/A N/A</v>
        <stp/>
        <stp>BDP|16189935135764875040</stp>
        <tr r="H3897" s="2"/>
      </tp>
      <tp t="s">
        <v>#N/A N/A</v>
        <stp/>
        <stp>BDP|15417340700027880934</stp>
        <tr r="B2116" s="2"/>
      </tp>
      <tp t="s">
        <v>#N/A N/A</v>
        <stp/>
        <stp>BDP|16815305982951737462</stp>
        <tr r="D1034" s="2"/>
      </tp>
      <tp t="s">
        <v>#N/A N/A</v>
        <stp/>
        <stp>BDP|11254511281812093699</stp>
        <tr r="D2780" s="2"/>
      </tp>
      <tp t="s">
        <v>#N/A N/A</v>
        <stp/>
        <stp>BDP|10883460694204153103</stp>
        <tr r="D3336" s="2"/>
      </tp>
      <tp t="s">
        <v>#N/A N/A</v>
        <stp/>
        <stp>BDP|11624896201341437017</stp>
        <tr r="F3344" s="2"/>
      </tp>
      <tp t="s">
        <v>#N/A N/A</v>
        <stp/>
        <stp>BDP|10253944900132817353</stp>
        <tr r="H4815" s="2"/>
      </tp>
      <tp t="s">
        <v>#N/A N/A</v>
        <stp/>
        <stp>BDP|11821461491543027746</stp>
        <tr r="F2898" s="2"/>
      </tp>
      <tp t="s">
        <v>#N/A N/A</v>
        <stp/>
        <stp>BDP|17035025581590909711</stp>
        <tr r="C1566" s="2"/>
      </tp>
      <tp t="s">
        <v>#N/A N/A</v>
        <stp/>
        <stp>BDP|13071821631439161995</stp>
        <tr r="A493" s="2"/>
      </tp>
      <tp t="s">
        <v>#N/A N/A</v>
        <stp/>
        <stp>BDP|17532444381312921127</stp>
        <tr r="G3532" s="2"/>
      </tp>
      <tp t="s">
        <v>#N/A N/A</v>
        <stp/>
        <stp>BDP|15827803667992016149</stp>
        <tr r="C1505" s="2"/>
      </tp>
      <tp t="s">
        <v>#N/A N/A</v>
        <stp/>
        <stp>BDP|12975787689102607751</stp>
        <tr r="D3849" s="2"/>
      </tp>
      <tp t="s">
        <v>#N/A N/A</v>
        <stp/>
        <stp>BDP|10105303285133716083</stp>
        <tr r="G296" s="2"/>
      </tp>
      <tp t="s">
        <v>#N/A N/A</v>
        <stp/>
        <stp>BDP|18229627349497259502</stp>
        <tr r="I2279" s="2"/>
      </tp>
      <tp t="s">
        <v>#N/A N/A</v>
        <stp/>
        <stp>BDP|16125991271348166830</stp>
        <tr r="D943" s="2"/>
      </tp>
      <tp t="s">
        <v>#N/A N/A</v>
        <stp/>
        <stp>BDP|17386528013153010896</stp>
        <tr r="C4154" s="2"/>
      </tp>
      <tp t="s">
        <v>#N/A N/A</v>
        <stp/>
        <stp>BDP|12570511799875499322</stp>
        <tr r="G1070" s="2"/>
      </tp>
      <tp t="s">
        <v>#N/A N/A</v>
        <stp/>
        <stp>BDP|13530180790980267349</stp>
        <tr r="H1123" s="2"/>
      </tp>
      <tp t="s">
        <v>#N/A N/A</v>
        <stp/>
        <stp>BDP|16108117097260486688</stp>
        <tr r="C748" s="2"/>
      </tp>
      <tp t="s">
        <v>#N/A N/A</v>
        <stp/>
        <stp>BDP|13411131038780163954</stp>
        <tr r="F3857" s="2"/>
      </tp>
      <tp t="s">
        <v>#N/A N/A</v>
        <stp/>
        <stp>BDP|12080570983882905565</stp>
        <tr r="A343" s="2"/>
      </tp>
      <tp t="s">
        <v>#N/A N/A</v>
        <stp/>
        <stp>BDP|14984321692906616044</stp>
        <tr r="A2825" s="2"/>
      </tp>
      <tp t="s">
        <v>#N/A N/A</v>
        <stp/>
        <stp>BDP|14568410918859793003</stp>
        <tr r="B3370" s="2"/>
      </tp>
      <tp t="s">
        <v>#N/A N/A</v>
        <stp/>
        <stp>BDP|17971980338887589273</stp>
        <tr r="I2013" s="2"/>
      </tp>
      <tp t="s">
        <v>#N/A N/A</v>
        <stp/>
        <stp>BDP|10384396740788660764</stp>
        <tr r="A4892" s="2"/>
      </tp>
      <tp t="s">
        <v>#N/A N/A</v>
        <stp/>
        <stp>BDP|17397184927614495829</stp>
        <tr r="F632" s="2"/>
      </tp>
      <tp t="s">
        <v>#N/A N/A</v>
        <stp/>
        <stp>BDP|10953157400909712011</stp>
        <tr r="G2629" s="2"/>
      </tp>
      <tp t="s">
        <v>#N/A N/A</v>
        <stp/>
        <stp>BDP|17055443897193180184</stp>
        <tr r="D4093" s="2"/>
      </tp>
      <tp t="s">
        <v>#N/A N/A</v>
        <stp/>
        <stp>BDP|12604986441815568202</stp>
        <tr r="I1523" s="2"/>
      </tp>
      <tp t="s">
        <v>#N/A N/A</v>
        <stp/>
        <stp>BDP|11029779468369210173</stp>
        <tr r="B4399" s="2"/>
      </tp>
      <tp t="s">
        <v>#N/A N/A</v>
        <stp/>
        <stp>BDP|17842972930104241179</stp>
        <tr r="F285" s="2"/>
      </tp>
      <tp t="s">
        <v>#N/A N/A</v>
        <stp/>
        <stp>BDP|11464777954772465999</stp>
        <tr r="C1049" s="2"/>
      </tp>
      <tp t="s">
        <v>#N/A N/A</v>
        <stp/>
        <stp>BDP|12893027982257736556</stp>
        <tr r="I2273" s="2"/>
      </tp>
      <tp t="s">
        <v>#N/A N/A</v>
        <stp/>
        <stp>BDP|12457283297767094611</stp>
        <tr r="A2797" s="2"/>
      </tp>
      <tp t="s">
        <v>#N/A N/A</v>
        <stp/>
        <stp>BDP|13950814305621496237</stp>
        <tr r="B523" s="2"/>
      </tp>
      <tp t="s">
        <v>#N/A N/A</v>
        <stp/>
        <stp>BDP|16808690505988642084</stp>
        <tr r="H4572" s="2"/>
      </tp>
      <tp t="s">
        <v>#N/A N/A</v>
        <stp/>
        <stp>BDP|16640865078401743058</stp>
        <tr r="B4575" s="2"/>
      </tp>
      <tp t="s">
        <v>#N/A N/A</v>
        <stp/>
        <stp>BDP|11406142278978361714</stp>
        <tr r="C2260" s="2"/>
      </tp>
      <tp t="s">
        <v>#N/A N/A</v>
        <stp/>
        <stp>BDP|15142285470998300000</stp>
        <tr r="A4833" s="2"/>
      </tp>
      <tp t="s">
        <v>#N/A N/A</v>
        <stp/>
        <stp>BDP|10059152065459826629</stp>
        <tr r="G2811" s="2"/>
      </tp>
      <tp t="s">
        <v>#N/A N/A</v>
        <stp/>
        <stp>BDP|13536941552621925609</stp>
        <tr r="I2223" s="2"/>
      </tp>
      <tp t="s">
        <v>#N/A N/A</v>
        <stp/>
        <stp>BDP|15767974717944566182</stp>
        <tr r="I1980" s="2"/>
      </tp>
      <tp t="s">
        <v>#N/A N/A</v>
        <stp/>
        <stp>BDP|10705330681290753389</stp>
        <tr r="A1095" s="2"/>
      </tp>
      <tp t="s">
        <v>#N/A N/A</v>
        <stp/>
        <stp>BDP|15913909610257078233</stp>
        <tr r="C4059" s="2"/>
      </tp>
      <tp t="s">
        <v>#N/A N/A</v>
        <stp/>
        <stp>BDP|18410418462547428590</stp>
        <tr r="G4233" s="2"/>
      </tp>
      <tp t="s">
        <v>#N/A N/A</v>
        <stp/>
        <stp>BDP|17600759082729228992</stp>
        <tr r="F3837" s="2"/>
      </tp>
      <tp t="s">
        <v>#N/A N/A</v>
        <stp/>
        <stp>BDP|12726909449333376471</stp>
        <tr r="F778" s="2"/>
      </tp>
      <tp t="s">
        <v>#N/A N/A</v>
        <stp/>
        <stp>BDP|15284378434974209994</stp>
        <tr r="B1378" s="2"/>
      </tp>
      <tp t="s">
        <v>#N/A N/A</v>
        <stp/>
        <stp>BDP|10532244178249392401</stp>
        <tr r="C2380" s="2"/>
      </tp>
      <tp t="s">
        <v>#N/A N/A</v>
        <stp/>
        <stp>BDP|12969386808670487973</stp>
        <tr r="D2238" s="2"/>
      </tp>
      <tp t="s">
        <v>#N/A N/A</v>
        <stp/>
        <stp>BDP|14395892180244911895</stp>
        <tr r="I634" s="2"/>
      </tp>
      <tp t="s">
        <v>#N/A N/A</v>
        <stp/>
        <stp>BDP|11235989856647554235</stp>
        <tr r="C3275" s="2"/>
      </tp>
      <tp t="s">
        <v>#N/A N/A</v>
        <stp/>
        <stp>BDP|16258102125525962848</stp>
        <tr r="D4434" s="2"/>
      </tp>
      <tp t="s">
        <v>#N/A N/A</v>
        <stp/>
        <stp>BDP|13913268494954898495</stp>
        <tr r="A2902" s="2"/>
      </tp>
      <tp t="s">
        <v>#N/A N/A</v>
        <stp/>
        <stp>BDP|11876106182682102214</stp>
        <tr r="I570" s="2"/>
      </tp>
      <tp t="s">
        <v>#N/A N/A</v>
        <stp/>
        <stp>BDP|11171934562481962732</stp>
        <tr r="B3508" s="2"/>
      </tp>
      <tp t="s">
        <v>#N/A N/A</v>
        <stp/>
        <stp>BDP|17820757231988793316</stp>
        <tr r="C228" s="2"/>
      </tp>
      <tp t="s">
        <v>#N/A N/A</v>
        <stp/>
        <stp>BDP|15266799586184243659</stp>
        <tr r="B2141" s="2"/>
      </tp>
      <tp t="s">
        <v>#N/A N/A</v>
        <stp/>
        <stp>BDP|12790298990469335875</stp>
        <tr r="C1215" s="2"/>
      </tp>
      <tp t="s">
        <v>#N/A N/A</v>
        <stp/>
        <stp>BDP|11539842014165622590</stp>
        <tr r="C426" s="2"/>
      </tp>
      <tp t="s">
        <v>#N/A N/A</v>
        <stp/>
        <stp>BDP|12069044559406370943</stp>
        <tr r="H1003" s="2"/>
      </tp>
      <tp t="s">
        <v>#N/A N/A</v>
        <stp/>
        <stp>BDP|16245250055099923014</stp>
        <tr r="D1578" s="2"/>
      </tp>
      <tp t="s">
        <v>#N/A N/A</v>
        <stp/>
        <stp>BDP|12298805208864234625</stp>
        <tr r="I844" s="2"/>
      </tp>
      <tp t="s">
        <v>#N/A N/A</v>
        <stp/>
        <stp>BDP|10705255861719009590</stp>
        <tr r="G3051" s="2"/>
      </tp>
      <tp t="s">
        <v>#N/A N/A</v>
        <stp/>
        <stp>BDP|13479512348819585324</stp>
        <tr r="F658" s="2"/>
      </tp>
      <tp t="s">
        <v>#N/A N/A</v>
        <stp/>
        <stp>BDP|15848704417008355364</stp>
        <tr r="D858" s="2"/>
      </tp>
      <tp t="s">
        <v>#N/A N/A</v>
        <stp/>
        <stp>BDP|16101763487584239584</stp>
        <tr r="C160" s="2"/>
      </tp>
      <tp t="s">
        <v>#N/A N/A</v>
        <stp/>
        <stp>BDP|12423800681319732383</stp>
        <tr r="I941" s="2"/>
      </tp>
      <tp t="s">
        <v>#N/A N/A</v>
        <stp/>
        <stp>BDP|10944364245776163910</stp>
        <tr r="C4326" s="2"/>
      </tp>
      <tp t="s">
        <v>#N/A N/A</v>
        <stp/>
        <stp>BDP|16152889807902378473</stp>
        <tr r="D4429" s="2"/>
      </tp>
      <tp t="s">
        <v>#N/A N/A</v>
        <stp/>
        <stp>BDP|16698730121592742999</stp>
        <tr r="A2646" s="2"/>
      </tp>
      <tp t="s">
        <v>#N/A N/A</v>
        <stp/>
        <stp>BDP|17891314685811418524</stp>
        <tr r="D2035" s="2"/>
      </tp>
      <tp t="s">
        <v>#N/A N/A</v>
        <stp/>
        <stp>BDP|13540880326971853098</stp>
        <tr r="G4611" s="2"/>
      </tp>
      <tp t="s">
        <v>#N/A N/A</v>
        <stp/>
        <stp>BDP|12032551698137444137</stp>
        <tr r="C970" s="2"/>
      </tp>
      <tp t="s">
        <v>#N/A N/A</v>
        <stp/>
        <stp>BDP|15972110042570107812</stp>
        <tr r="F4966" s="2"/>
      </tp>
      <tp t="s">
        <v>#N/A N/A</v>
        <stp/>
        <stp>BDP|12198799879752289898</stp>
        <tr r="D102" s="2"/>
      </tp>
      <tp t="s">
        <v>#N/A N/A</v>
        <stp/>
        <stp>BDP|12195694799247393281</stp>
        <tr r="B1205" s="2"/>
      </tp>
      <tp t="s">
        <v>#N/A N/A</v>
        <stp/>
        <stp>BDP|13834236689347051684</stp>
        <tr r="D61" s="2"/>
      </tp>
      <tp t="s">
        <v>#N/A N/A</v>
        <stp/>
        <stp>BDP|15893502642755921999</stp>
        <tr r="A1954" s="2"/>
      </tp>
      <tp t="s">
        <v>#N/A N/A</v>
        <stp/>
        <stp>BDP|17677628393919565987</stp>
        <tr r="I2816" s="2"/>
      </tp>
      <tp t="s">
        <v>#N/A N/A</v>
        <stp/>
        <stp>BDP|12096802372806042381</stp>
        <tr r="F158" s="2"/>
      </tp>
      <tp t="s">
        <v>#N/A N/A</v>
        <stp/>
        <stp>BDP|15107093486460074546</stp>
        <tr r="I833" s="2"/>
      </tp>
      <tp t="s">
        <v>#N/A N/A</v>
        <stp/>
        <stp>BDP|11440991618292846376</stp>
        <tr r="I812" s="2"/>
      </tp>
      <tp t="s">
        <v>#N/A N/A</v>
        <stp/>
        <stp>BDP|17756336040589725191</stp>
        <tr r="B2806" s="2"/>
      </tp>
      <tp t="s">
        <v>#N/A N/A</v>
        <stp/>
        <stp>BDP|10926920671912285426</stp>
        <tr r="G2183" s="2"/>
      </tp>
      <tp t="s">
        <v>#N/A N/A</v>
        <stp/>
        <stp>BDP|15697371633984168992</stp>
        <tr r="A1896" s="2"/>
      </tp>
      <tp t="s">
        <v>#N/A N/A</v>
        <stp/>
        <stp>BDP|17631086182417740010</stp>
        <tr r="G2943" s="2"/>
      </tp>
      <tp t="s">
        <v>#N/A N/A</v>
        <stp/>
        <stp>BDP|11896949972982249569</stp>
        <tr r="A786" s="2"/>
      </tp>
      <tp t="s">
        <v>#N/A N/A</v>
        <stp/>
        <stp>BDP|17802966293296213951</stp>
        <tr r="D3169" s="2"/>
      </tp>
      <tp t="s">
        <v>#N/A N/A</v>
        <stp/>
        <stp>BDP|16334855048417015547</stp>
        <tr r="B3050" s="2"/>
      </tp>
      <tp t="s">
        <v>#N/A N/A</v>
        <stp/>
        <stp>BDP|14503049077262887947</stp>
        <tr r="F4547" s="2"/>
      </tp>
      <tp t="s">
        <v>#N/A N/A</v>
        <stp/>
        <stp>BDP|14946510466106677959</stp>
        <tr r="H3990" s="2"/>
      </tp>
      <tp t="s">
        <v>#N/A N/A</v>
        <stp/>
        <stp>BDP|11718891600753456278</stp>
        <tr r="C4304" s="2"/>
      </tp>
      <tp t="s">
        <v>#N/A N/A</v>
        <stp/>
        <stp>BDP|10866739326868759578</stp>
        <tr r="H943" s="2"/>
      </tp>
      <tp t="s">
        <v>#N/A N/A</v>
        <stp/>
        <stp>BDP|14719850348675357548</stp>
        <tr r="G1381" s="2"/>
      </tp>
      <tp t="s">
        <v>#N/A N/A</v>
        <stp/>
        <stp>BDP|10925997453885764192</stp>
        <tr r="A1297" s="2"/>
      </tp>
      <tp t="s">
        <v>#N/A N/A</v>
        <stp/>
        <stp>BDP|13207177702869278381</stp>
        <tr r="F2549" s="2"/>
      </tp>
      <tp t="s">
        <v>#N/A N/A</v>
        <stp/>
        <stp>BDP|14423472443985467996</stp>
        <tr r="D1806" s="2"/>
      </tp>
      <tp t="s">
        <v>#N/A N/A</v>
        <stp/>
        <stp>BDP|11847026347878136510</stp>
        <tr r="D2319" s="2"/>
      </tp>
      <tp t="s">
        <v>#N/A N/A</v>
        <stp/>
        <stp>BDP|16943805636853534673</stp>
        <tr r="G1177" s="2"/>
      </tp>
      <tp t="s">
        <v>#N/A N/A</v>
        <stp/>
        <stp>BDP|13071847808783770069</stp>
        <tr r="G2511" s="2"/>
      </tp>
      <tp t="s">
        <v>#N/A N/A</v>
        <stp/>
        <stp>BDP|14360247111809900620</stp>
        <tr r="C1332" s="2"/>
      </tp>
      <tp t="s">
        <v>#N/A N/A</v>
        <stp/>
        <stp>BDP|17091245765122867942</stp>
        <tr r="B4969" s="2"/>
      </tp>
      <tp t="s">
        <v>#N/A N/A</v>
        <stp/>
        <stp>BDP|12102312890780882055</stp>
        <tr r="F2856" s="2"/>
      </tp>
      <tp t="s">
        <v>#N/A N/A</v>
        <stp/>
        <stp>BDP|14070168641520308995</stp>
        <tr r="H2694" s="2"/>
      </tp>
      <tp t="s">
        <v>#N/A N/A</v>
        <stp/>
        <stp>BDP|14141330648103028878</stp>
        <tr r="A3828" s="2"/>
      </tp>
      <tp t="s">
        <v>#N/A N/A</v>
        <stp/>
        <stp>BDP|15690534927329790388</stp>
        <tr r="B1151" s="2"/>
      </tp>
      <tp t="s">
        <v>#N/A N/A</v>
        <stp/>
        <stp>BDP|14644326026934612995</stp>
        <tr r="A548" s="2"/>
      </tp>
      <tp t="s">
        <v>#N/A N/A</v>
        <stp/>
        <stp>BDP|14724947418927346356</stp>
        <tr r="G990" s="2"/>
      </tp>
      <tp t="s">
        <v>#N/A N/A</v>
        <stp/>
        <stp>BDP|18215486451123587230</stp>
        <tr r="A3538" s="2"/>
      </tp>
      <tp t="s">
        <v>#N/A N/A</v>
        <stp/>
        <stp>BDP|11784952406127069790</stp>
        <tr r="A2147" s="2"/>
      </tp>
      <tp t="s">
        <v>#N/A N/A</v>
        <stp/>
        <stp>BDP|14547343309516484917</stp>
        <tr r="D2217" s="2"/>
      </tp>
      <tp t="s">
        <v>#N/A N/A</v>
        <stp/>
        <stp>BDP|11767484581556685352</stp>
        <tr r="H2917" s="2"/>
      </tp>
      <tp t="s">
        <v>#N/A N/A</v>
        <stp/>
        <stp>BDP|16890385998035738122</stp>
        <tr r="A2680" s="2"/>
      </tp>
      <tp t="s">
        <v>#N/A N/A</v>
        <stp/>
        <stp>BDP|17940916203497586132</stp>
        <tr r="H2952" s="2"/>
      </tp>
      <tp t="s">
        <v>#N/A N/A</v>
        <stp/>
        <stp>BDP|11127098981715209461</stp>
        <tr r="D1483" s="2"/>
      </tp>
      <tp t="s">
        <v>#N/A N/A</v>
        <stp/>
        <stp>BDP|17800220611635123977</stp>
        <tr r="I4106" s="2"/>
      </tp>
      <tp t="s">
        <v>#N/A N/A</v>
        <stp/>
        <stp>BDP|10002757835694935840</stp>
        <tr r="G4480" s="2"/>
      </tp>
      <tp t="s">
        <v>#N/A N/A</v>
        <stp/>
        <stp>BDP|15722805634975642388</stp>
        <tr r="D3262" s="2"/>
      </tp>
      <tp t="s">
        <v>#N/A N/A</v>
        <stp/>
        <stp>BDP|16373473233539220081</stp>
        <tr r="F4614" s="2"/>
      </tp>
      <tp t="s">
        <v>#N/A N/A</v>
        <stp/>
        <stp>BDP|11974934263523119556</stp>
        <tr r="H224" s="2"/>
      </tp>
      <tp t="s">
        <v>#N/A N/A</v>
        <stp/>
        <stp>BDP|12307904381412749985</stp>
        <tr r="I1056" s="2"/>
      </tp>
      <tp t="s">
        <v>#N/A N/A</v>
        <stp/>
        <stp>BDP|14777544507701176882</stp>
        <tr r="B3384" s="2"/>
      </tp>
      <tp t="s">
        <v>#N/A N/A</v>
        <stp/>
        <stp>BDP|12602774028169127656</stp>
        <tr r="G3826" s="2"/>
      </tp>
      <tp t="s">
        <v>#N/A N/A</v>
        <stp/>
        <stp>BDP|11381914905020996035</stp>
        <tr r="F69" s="2"/>
      </tp>
      <tp t="s">
        <v>#N/A N/A</v>
        <stp/>
        <stp>BDP|12457678771912875973</stp>
        <tr r="G1413" s="2"/>
      </tp>
      <tp t="s">
        <v>#N/A N/A</v>
        <stp/>
        <stp>BDP|15692403234972741887</stp>
        <tr r="I1329" s="2"/>
      </tp>
      <tp t="s">
        <v>#N/A N/A</v>
        <stp/>
        <stp>BDP|12200856868016186239</stp>
        <tr r="A1918" s="2"/>
      </tp>
      <tp t="s">
        <v>#N/A N/A</v>
        <stp/>
        <stp>BDP|15059562165357862965</stp>
        <tr r="B4596" s="2"/>
      </tp>
      <tp t="s">
        <v>#N/A N/A</v>
        <stp/>
        <stp>BDP|15710717798852388101</stp>
        <tr r="A654" s="2"/>
      </tp>
      <tp t="s">
        <v>#N/A N/A</v>
        <stp/>
        <stp>BDP|12264331058988108459</stp>
        <tr r="I934" s="2"/>
      </tp>
      <tp t="s">
        <v>#N/A N/A</v>
        <stp/>
        <stp>BDP|10400444788081012553</stp>
        <tr r="C1714" s="2"/>
      </tp>
      <tp t="s">
        <v>#N/A N/A</v>
        <stp/>
        <stp>BDP|15043664652229848710</stp>
        <tr r="F2848" s="2"/>
      </tp>
      <tp t="s">
        <v>#N/A N/A</v>
        <stp/>
        <stp>BDP|10295966432847861537</stp>
        <tr r="B4939" s="2"/>
      </tp>
      <tp t="s">
        <v>#N/A N/A</v>
        <stp/>
        <stp>BDP|10078884791300370972</stp>
        <tr r="D4614" s="2"/>
      </tp>
      <tp t="s">
        <v>#N/A N/A</v>
        <stp/>
        <stp>BDP|11159832267075034281</stp>
        <tr r="G836" s="2"/>
      </tp>
      <tp t="s">
        <v>#N/A N/A</v>
        <stp/>
        <stp>BDP|13998632335676604848</stp>
        <tr r="D1943" s="2"/>
      </tp>
      <tp t="s">
        <v>#N/A N/A</v>
        <stp/>
        <stp>BDP|13960128007879422351</stp>
        <tr r="H562" s="2"/>
      </tp>
      <tp t="s">
        <v>#N/A N/A</v>
        <stp/>
        <stp>BDP|14390780895905317705</stp>
        <tr r="B1238" s="2"/>
      </tp>
      <tp t="s">
        <v>#N/A N/A</v>
        <stp/>
        <stp>BDP|15801903041675419500</stp>
        <tr r="D3578" s="2"/>
      </tp>
      <tp t="s">
        <v>#N/A N/A</v>
        <stp/>
        <stp>BDP|13880723284842660651</stp>
        <tr r="G4182" s="2"/>
      </tp>
      <tp t="s">
        <v>#N/A N/A</v>
        <stp/>
        <stp>BDP|15054622312718860252</stp>
        <tr r="B2031" s="2"/>
      </tp>
      <tp t="s">
        <v>#N/A N/A</v>
        <stp/>
        <stp>BDP|13830812271445684139</stp>
        <tr r="I3425" s="2"/>
      </tp>
      <tp t="s">
        <v>#N/A N/A</v>
        <stp/>
        <stp>BDP|14330122004148889513</stp>
        <tr r="B399" s="2"/>
      </tp>
      <tp t="s">
        <v>#N/A N/A</v>
        <stp/>
        <stp>BDP|11284593836128772766</stp>
        <tr r="B874" s="2"/>
      </tp>
      <tp t="s">
        <v>#N/A N/A</v>
        <stp/>
        <stp>BDP|18217113188969145065</stp>
        <tr r="I2993" s="2"/>
      </tp>
      <tp t="s">
        <v>#N/A N/A</v>
        <stp/>
        <stp>BDP|13515990570543872689</stp>
        <tr r="B4777" s="2"/>
      </tp>
      <tp t="s">
        <v>#N/A N/A</v>
        <stp/>
        <stp>BDP|15322985347609493942</stp>
        <tr r="A3002" s="2"/>
      </tp>
      <tp t="s">
        <v>#N/A N/A</v>
        <stp/>
        <stp>BDP|17761692696952420205</stp>
        <tr r="B3529" s="2"/>
      </tp>
      <tp t="s">
        <v>#N/A N/A</v>
        <stp/>
        <stp>BDP|12608699825918617608</stp>
        <tr r="D1874" s="2"/>
      </tp>
      <tp t="s">
        <v>#N/A N/A</v>
        <stp/>
        <stp>BDP|12697644149560571826</stp>
        <tr r="C2772" s="2"/>
      </tp>
      <tp t="s">
        <v>#N/A N/A</v>
        <stp/>
        <stp>BDP|10623904359326351209</stp>
        <tr r="B3119" s="2"/>
      </tp>
      <tp t="s">
        <v>#N/A N/A</v>
        <stp/>
        <stp>BDP|10658333038769306129</stp>
        <tr r="F3122" s="2"/>
      </tp>
      <tp t="s">
        <v>#N/A N/A</v>
        <stp/>
        <stp>BDP|16391936939366656231</stp>
        <tr r="H936" s="2"/>
      </tp>
      <tp t="s">
        <v>#N/A N/A</v>
        <stp/>
        <stp>BDP|16984350291174619077</stp>
        <tr r="C394" s="2"/>
      </tp>
      <tp t="s">
        <v>#N/A N/A</v>
        <stp/>
        <stp>BDP|18188002358645317062</stp>
        <tr r="C4380" s="2"/>
      </tp>
      <tp t="s">
        <v>#N/A N/A</v>
        <stp/>
        <stp>BDP|18100499539175456293</stp>
        <tr r="A999" s="2"/>
      </tp>
      <tp t="s">
        <v>#N/A N/A</v>
        <stp/>
        <stp>BDP|16972921865598794954</stp>
        <tr r="C2017" s="2"/>
      </tp>
      <tp t="s">
        <v>#N/A N/A</v>
        <stp/>
        <stp>BDP|17482190793364054320</stp>
        <tr r="I262" s="2"/>
      </tp>
      <tp t="s">
        <v>#N/A N/A</v>
        <stp/>
        <stp>BDP|12396803128007749702</stp>
        <tr r="H1064" s="2"/>
      </tp>
      <tp t="s">
        <v>#N/A N/A</v>
        <stp/>
        <stp>BDP|15408974478795180667</stp>
        <tr r="D642" s="2"/>
      </tp>
      <tp t="s">
        <v>#N/A N/A</v>
        <stp/>
        <stp>BDP|16388168239898546450</stp>
        <tr r="I1486" s="2"/>
      </tp>
      <tp t="s">
        <v>#N/A N/A</v>
        <stp/>
        <stp>BDP|12949813416930387315</stp>
        <tr r="D4956" s="2"/>
      </tp>
      <tp t="s">
        <v>#N/A N/A</v>
        <stp/>
        <stp>BDP|17929522077169925490</stp>
        <tr r="F4159" s="2"/>
      </tp>
      <tp t="s">
        <v>#N/A N/A</v>
        <stp/>
        <stp>BDP|17028866837266833256</stp>
        <tr r="G752" s="2"/>
      </tp>
      <tp t="s">
        <v>#N/A N/A</v>
        <stp/>
        <stp>BDP|11170582599354823147</stp>
        <tr r="F2627" s="2"/>
      </tp>
      <tp t="s">
        <v>#N/A N/A</v>
        <stp/>
        <stp>BDP|15406684014852291866</stp>
        <tr r="G2923" s="2"/>
      </tp>
      <tp t="s">
        <v>#N/A N/A</v>
        <stp/>
        <stp>BDP|12009094514082539945</stp>
        <tr r="C979" s="2"/>
      </tp>
      <tp t="s">
        <v>#N/A N/A</v>
        <stp/>
        <stp>BDP|13866867007097461415</stp>
        <tr r="A3420" s="2"/>
      </tp>
      <tp t="s">
        <v>#N/A N/A</v>
        <stp/>
        <stp>BDP|12564488580690490653</stp>
        <tr r="A781" s="2"/>
      </tp>
      <tp t="s">
        <v>#N/A N/A</v>
        <stp/>
        <stp>BDP|13066407118709442700</stp>
        <tr r="I1187" s="2"/>
      </tp>
      <tp t="s">
        <v>#N/A N/A</v>
        <stp/>
        <stp>BDP|12014382880734659523</stp>
        <tr r="G1085" s="2"/>
      </tp>
      <tp t="s">
        <v>#N/A N/A</v>
        <stp/>
        <stp>BDP|12491970110525982766</stp>
        <tr r="G1169" s="2"/>
      </tp>
      <tp t="s">
        <v>#N/A N/A</v>
        <stp/>
        <stp>BDP|13805675694194456030</stp>
        <tr r="I3692" s="2"/>
      </tp>
      <tp t="s">
        <v>#N/A N/A</v>
        <stp/>
        <stp>BDP|13428981499138130380</stp>
        <tr r="B4890" s="2"/>
      </tp>
      <tp t="s">
        <v>#N/A N/A</v>
        <stp/>
        <stp>BDP|18313890225523077932</stp>
        <tr r="I4619" s="2"/>
      </tp>
      <tp t="s">
        <v>#N/A N/A</v>
        <stp/>
        <stp>BDP|16928820475252234303</stp>
        <tr r="G2867" s="2"/>
      </tp>
      <tp t="s">
        <v>#N/A N/A</v>
        <stp/>
        <stp>BDP|18012110703399860864</stp>
        <tr r="B1867" s="2"/>
      </tp>
      <tp t="s">
        <v>#N/A N/A</v>
        <stp/>
        <stp>BDP|10171252829148862092</stp>
        <tr r="A3624" s="2"/>
      </tp>
      <tp t="s">
        <v>#N/A N/A</v>
        <stp/>
        <stp>BDP|17177521457787004881</stp>
        <tr r="G2437" s="2"/>
      </tp>
      <tp t="s">
        <v>#N/A N/A</v>
        <stp/>
        <stp>BDP|15747209982965940200</stp>
        <tr r="D1790" s="2"/>
      </tp>
      <tp t="s">
        <v>#N/A N/A</v>
        <stp/>
        <stp>BDP|10635484095131654413</stp>
        <tr r="B2698" s="2"/>
      </tp>
      <tp t="s">
        <v>#N/A N/A</v>
        <stp/>
        <stp>BDP|15178980066247453577</stp>
        <tr r="I1358" s="2"/>
      </tp>
      <tp t="s">
        <v>#N/A N/A</v>
        <stp/>
        <stp>BDP|12976678396373595612</stp>
        <tr r="F2146" s="2"/>
      </tp>
      <tp t="s">
        <v>#N/A N/A</v>
        <stp/>
        <stp>BDP|16055513193054926673</stp>
        <tr r="H4025" s="2"/>
      </tp>
      <tp t="s">
        <v>#N/A N/A</v>
        <stp/>
        <stp>BDP|12196532337414919808</stp>
        <tr r="A1494" s="2"/>
      </tp>
      <tp t="s">
        <v>#N/A N/A</v>
        <stp/>
        <stp>BDP|15257075688145318026</stp>
        <tr r="F3048" s="2"/>
      </tp>
      <tp t="s">
        <v>#N/A N/A</v>
        <stp/>
        <stp>BDP|13315948279897602247</stp>
        <tr r="A2798" s="2"/>
      </tp>
      <tp t="s">
        <v>#N/A N/A</v>
        <stp/>
        <stp>BDP|11398407683012801748</stp>
        <tr r="G3436" s="2"/>
      </tp>
      <tp t="s">
        <v>#N/A N/A</v>
        <stp/>
        <stp>BDP|16426333381824389197</stp>
        <tr r="B121" s="2"/>
      </tp>
      <tp t="s">
        <v>#N/A N/A</v>
        <stp/>
        <stp>BDP|16402610968827662978</stp>
        <tr r="D3178" s="2"/>
      </tp>
      <tp t="s">
        <v>#N/A N/A</v>
        <stp/>
        <stp>BDP|10827118003341469829</stp>
        <tr r="I3804" s="2"/>
      </tp>
      <tp t="s">
        <v>#N/A N/A</v>
        <stp/>
        <stp>BDP|12893583932885758991</stp>
        <tr r="D2343" s="2"/>
      </tp>
      <tp t="s">
        <v>#N/A N/A</v>
        <stp/>
        <stp>BDP|10395937698331096942</stp>
        <tr r="A866" s="2"/>
      </tp>
      <tp t="s">
        <v>#N/A N/A</v>
        <stp/>
        <stp>BDP|13515393640234752873</stp>
        <tr r="B2735" s="2"/>
      </tp>
      <tp t="s">
        <v>#N/A N/A</v>
        <stp/>
        <stp>BDP|10972933951702214657</stp>
        <tr r="G2762" s="2"/>
      </tp>
      <tp t="s">
        <v>#N/A N/A</v>
        <stp/>
        <stp>BDP|12521934650011879724</stp>
        <tr r="H3338" s="2"/>
      </tp>
      <tp t="s">
        <v>#N/A N/A</v>
        <stp/>
        <stp>BDP|14419869213481508489</stp>
        <tr r="F2457" s="2"/>
      </tp>
      <tp t="s">
        <v>#N/A N/A</v>
        <stp/>
        <stp>BDP|17007093694445921380</stp>
        <tr r="B3117" s="2"/>
      </tp>
      <tp t="s">
        <v>#N/A N/A</v>
        <stp/>
        <stp>BDP|13756140006843105988</stp>
        <tr r="D4441" s="2"/>
      </tp>
      <tp t="s">
        <v>#N/A N/A</v>
        <stp/>
        <stp>BDP|12631222029838643278</stp>
        <tr r="D492" s="2"/>
      </tp>
      <tp t="s">
        <v>#N/A N/A</v>
        <stp/>
        <stp>BDP|13671351279056257946</stp>
        <tr r="H4993" s="2"/>
      </tp>
      <tp t="s">
        <v>#N/A N/A</v>
        <stp/>
        <stp>BDP|12201060697710965364</stp>
        <tr r="D2231" s="2"/>
      </tp>
      <tp t="s">
        <v>#N/A N/A</v>
        <stp/>
        <stp>BDP|17434919494717485891</stp>
        <tr r="C2766" s="2"/>
      </tp>
      <tp t="s">
        <v>#N/A N/A</v>
        <stp/>
        <stp>BDP|13007291223238534334</stp>
        <tr r="H614" s="2"/>
      </tp>
      <tp t="s">
        <v>#N/A N/A</v>
        <stp/>
        <stp>BDP|16426087573679902098</stp>
        <tr r="A4750" s="2"/>
      </tp>
      <tp t="s">
        <v>#N/A N/A</v>
        <stp/>
        <stp>BDP|14300497580448613839</stp>
        <tr r="I1816" s="2"/>
      </tp>
      <tp t="s">
        <v>#N/A N/A</v>
        <stp/>
        <stp>BDP|12967406497863200432</stp>
        <tr r="B2217" s="2"/>
      </tp>
      <tp t="s">
        <v>#N/A N/A</v>
        <stp/>
        <stp>BDP|13133445039955263913</stp>
        <tr r="A3019" s="2"/>
      </tp>
      <tp t="s">
        <v>#N/A N/A</v>
        <stp/>
        <stp>BDP|17871698221539834273</stp>
        <tr r="I2675" s="2"/>
      </tp>
      <tp t="s">
        <v>#N/A N/A</v>
        <stp/>
        <stp>BDP|15074926655979999818</stp>
        <tr r="F2436" s="2"/>
      </tp>
      <tp t="s">
        <v>#N/A N/A</v>
        <stp/>
        <stp>BDP|12687797281476836391</stp>
        <tr r="A793" s="2"/>
      </tp>
      <tp t="s">
        <v>#N/A N/A</v>
        <stp/>
        <stp>BDP|17734753482821744185</stp>
        <tr r="G651" s="2"/>
      </tp>
      <tp t="s">
        <v>#N/A N/A</v>
        <stp/>
        <stp>BDP|12096678763968942224</stp>
        <tr r="H3026" s="2"/>
      </tp>
      <tp t="s">
        <v>#N/A N/A</v>
        <stp/>
        <stp>BDP|11880740380302155426</stp>
        <tr r="C3595" s="2"/>
      </tp>
      <tp t="s">
        <v>#N/A N/A</v>
        <stp/>
        <stp>BDP|11718387846329543739</stp>
        <tr r="C1901" s="2"/>
      </tp>
      <tp t="s">
        <v>#N/A N/A</v>
        <stp/>
        <stp>BDP|11531435092151880530</stp>
        <tr r="G1372" s="2"/>
      </tp>
      <tp t="s">
        <v>#N/A N/A</v>
        <stp/>
        <stp>BDP|11839324536891321802</stp>
        <tr r="C4844" s="2"/>
      </tp>
      <tp t="s">
        <v>#N/A N/A</v>
        <stp/>
        <stp>BDP|17967766094034592516</stp>
        <tr r="C4850" s="2"/>
      </tp>
      <tp t="s">
        <v>#N/A N/A</v>
        <stp/>
        <stp>BDP|16697808335036475389</stp>
        <tr r="C4427" s="2"/>
      </tp>
      <tp t="s">
        <v>#N/A N/A</v>
        <stp/>
        <stp>BDP|16537407769914406873</stp>
        <tr r="C2563" s="2"/>
      </tp>
      <tp t="s">
        <v>#N/A N/A</v>
        <stp/>
        <stp>BDP|11077623893927726192</stp>
        <tr r="C2200" s="2"/>
      </tp>
      <tp t="s">
        <v>#N/A N/A</v>
        <stp/>
        <stp>BDP|15401380902859126707</stp>
        <tr r="B4908" s="2"/>
      </tp>
      <tp t="s">
        <v>#N/A N/A</v>
        <stp/>
        <stp>BDP|12152091676605160809</stp>
        <tr r="H2521" s="2"/>
      </tp>
      <tp t="s">
        <v>#N/A N/A</v>
        <stp/>
        <stp>BDP|14209800915075993014</stp>
        <tr r="G4873" s="2"/>
      </tp>
      <tp t="s">
        <v>#N/A N/A</v>
        <stp/>
        <stp>BDP|13806655182280680563</stp>
        <tr r="F4043" s="2"/>
      </tp>
      <tp t="s">
        <v>#N/A N/A</v>
        <stp/>
        <stp>BDP|17933368101598604472</stp>
        <tr r="H4173" s="2"/>
      </tp>
      <tp t="s">
        <v>#N/A N/A</v>
        <stp/>
        <stp>BDP|17015438949357321864</stp>
        <tr r="B3346" s="2"/>
      </tp>
      <tp t="s">
        <v>#N/A N/A</v>
        <stp/>
        <stp>BDP|13300639559321670901</stp>
        <tr r="A2523" s="2"/>
      </tp>
      <tp t="s">
        <v>#N/A N/A</v>
        <stp/>
        <stp>BDP|17494013077118452092</stp>
        <tr r="G935" s="2"/>
      </tp>
      <tp t="s">
        <v>#N/A N/A</v>
        <stp/>
        <stp>BDP|15092543695317636686</stp>
        <tr r="G4131" s="2"/>
      </tp>
      <tp t="s">
        <v>#N/A N/A</v>
        <stp/>
        <stp>BDP|11088363409709582357</stp>
        <tr r="A4878" s="2"/>
      </tp>
      <tp t="s">
        <v>#N/A N/A</v>
        <stp/>
        <stp>BDP|12038701782130517581</stp>
        <tr r="I1712" s="2"/>
      </tp>
      <tp t="s">
        <v>#N/A N/A</v>
        <stp/>
        <stp>BDP|15976388618237095867</stp>
        <tr r="A4895" s="2"/>
      </tp>
      <tp t="s">
        <v>#N/A N/A</v>
        <stp/>
        <stp>BDP|14824008486523752769</stp>
        <tr r="A2051" s="2"/>
      </tp>
      <tp t="s">
        <v>#N/A N/A</v>
        <stp/>
        <stp>BDP|10154594668268727382</stp>
        <tr r="H2831" s="2"/>
      </tp>
      <tp t="s">
        <v>#N/A N/A</v>
        <stp/>
        <stp>BDP|11607015647005868871</stp>
        <tr r="G4770" s="2"/>
      </tp>
      <tp t="s">
        <v>#N/A N/A</v>
        <stp/>
        <stp>BDP|17112825061708486999</stp>
        <tr r="C166" s="2"/>
      </tp>
      <tp t="s">
        <v>#N/A N/A</v>
        <stp/>
        <stp>BDP|12502055685367238584</stp>
        <tr r="A3210" s="2"/>
      </tp>
      <tp t="s">
        <v>#N/A N/A</v>
        <stp/>
        <stp>BDP|13303766154619654084</stp>
        <tr r="D3182" s="2"/>
      </tp>
      <tp t="s">
        <v>#N/A N/A</v>
        <stp/>
        <stp>BDP|13963203016430510851</stp>
        <tr r="C4577" s="2"/>
      </tp>
      <tp t="s">
        <v>#N/A N/A</v>
        <stp/>
        <stp>BDP|14020676743658942627</stp>
        <tr r="C4522" s="2"/>
      </tp>
      <tp t="s">
        <v>#N/A N/A</v>
        <stp/>
        <stp>BDP|17997860322130314518</stp>
        <tr r="G561" s="2"/>
      </tp>
      <tp t="s">
        <v>#N/A N/A</v>
        <stp/>
        <stp>BDP|14990833451198628929</stp>
        <tr r="C4035" s="2"/>
      </tp>
      <tp t="s">
        <v>#N/A N/A</v>
        <stp/>
        <stp>BDP|11552913451506271384</stp>
        <tr r="B852" s="2"/>
      </tp>
      <tp t="s">
        <v>#N/A N/A</v>
        <stp/>
        <stp>BDP|11914886512089424982</stp>
        <tr r="H698" s="2"/>
      </tp>
      <tp t="s">
        <v>#N/A N/A</v>
        <stp/>
        <stp>BDP|13232843649555526250</stp>
        <tr r="A4130" s="2"/>
      </tp>
      <tp t="s">
        <v>#N/A N/A</v>
        <stp/>
        <stp>BDP|13519338286177690797</stp>
        <tr r="G781" s="2"/>
      </tp>
      <tp t="s">
        <v>#N/A N/A</v>
        <stp/>
        <stp>BDP|18346762400777258081</stp>
        <tr r="G3879" s="2"/>
      </tp>
      <tp t="s">
        <v>#N/A N/A</v>
        <stp/>
        <stp>BDP|15393394401909227763</stp>
        <tr r="A1981" s="2"/>
      </tp>
      <tp t="s">
        <v>#N/A N/A</v>
        <stp/>
        <stp>BDP|16138818118720703708</stp>
        <tr r="B4188" s="2"/>
      </tp>
      <tp t="s">
        <v>#N/A N/A</v>
        <stp/>
        <stp>BDP|12818055673925999880</stp>
        <tr r="I373" s="2"/>
      </tp>
      <tp t="s">
        <v>#N/A N/A</v>
        <stp/>
        <stp>BDP|16634611267668677688</stp>
        <tr r="F2006" s="2"/>
      </tp>
      <tp t="s">
        <v>#N/A N/A</v>
        <stp/>
        <stp>BDP|17832617137979872381</stp>
        <tr r="I3879" s="2"/>
      </tp>
      <tp t="s">
        <v>#N/A N/A</v>
        <stp/>
        <stp>BDP|13611162026921183999</stp>
        <tr r="H2883" s="2"/>
      </tp>
      <tp t="s">
        <v>#N/A N/A</v>
        <stp/>
        <stp>BDP|10264470496264987146</stp>
        <tr r="B4593" s="2"/>
      </tp>
      <tp t="s">
        <v>#N/A N/A</v>
        <stp/>
        <stp>BDP|11921040292819558946</stp>
        <tr r="B287" s="2"/>
      </tp>
      <tp t="s">
        <v>#N/A N/A</v>
        <stp/>
        <stp>BDP|15507865832935971363</stp>
        <tr r="F1617" s="2"/>
      </tp>
      <tp t="s">
        <v>#N/A N/A</v>
        <stp/>
        <stp>BDP|12250999668150476592</stp>
        <tr r="B3707" s="2"/>
      </tp>
      <tp t="s">
        <v>#N/A N/A</v>
        <stp/>
        <stp>BDP|17764882650047651579</stp>
        <tr r="D3003" s="2"/>
      </tp>
      <tp t="s">
        <v>#N/A N/A</v>
        <stp/>
        <stp>BDP|14165347585763786496</stp>
        <tr r="B2872" s="2"/>
      </tp>
      <tp t="s">
        <v>#N/A N/A</v>
        <stp/>
        <stp>BDP|15177088654991606959</stp>
        <tr r="I305" s="2"/>
      </tp>
      <tp t="s">
        <v>#N/A N/A</v>
        <stp/>
        <stp>BDP|16529741850939636596</stp>
        <tr r="B4963" s="2"/>
      </tp>
      <tp t="s">
        <v>#N/A N/A</v>
        <stp/>
        <stp>BDP|15939514890953497228</stp>
        <tr r="B2757" s="2"/>
      </tp>
      <tp t="s">
        <v>#N/A N/A</v>
        <stp/>
        <stp>BDP|12128541892216064099</stp>
        <tr r="G2087" s="2"/>
      </tp>
      <tp t="s">
        <v>#N/A N/A</v>
        <stp/>
        <stp>BDP|17429390922918354620</stp>
        <tr r="F864" s="2"/>
      </tp>
      <tp t="s">
        <v>#N/A N/A</v>
        <stp/>
        <stp>BDP|10615527194954656084</stp>
        <tr r="G1649" s="2"/>
      </tp>
      <tp t="s">
        <v>#N/A N/A</v>
        <stp/>
        <stp>BDP|11897890779647386159</stp>
        <tr r="D4023" s="2"/>
      </tp>
      <tp t="s">
        <v>#N/A N/A</v>
        <stp/>
        <stp>BDP|14280770599543794159</stp>
        <tr r="G848" s="2"/>
      </tp>
      <tp t="s">
        <v>#N/A N/A</v>
        <stp/>
        <stp>BDP|12702538488230432764</stp>
        <tr r="B2113" s="2"/>
      </tp>
      <tp t="s">
        <v>#N/A N/A</v>
        <stp/>
        <stp>BDP|10158196485532331309</stp>
        <tr r="A1811" s="2"/>
      </tp>
      <tp t="s">
        <v>#N/A N/A</v>
        <stp/>
        <stp>BDP|12552927322977907628</stp>
        <tr r="A3070" s="2"/>
      </tp>
      <tp t="s">
        <v>#N/A N/A</v>
        <stp/>
        <stp>BDP|18398205433900902177</stp>
        <tr r="I117" s="2"/>
      </tp>
      <tp t="s">
        <v>#N/A N/A</v>
        <stp/>
        <stp>BDP|12330231090529955870</stp>
        <tr r="B1661" s="2"/>
      </tp>
      <tp t="s">
        <v>#N/A N/A</v>
        <stp/>
        <stp>BDP|14779581838352032894</stp>
        <tr r="F3343" s="2"/>
      </tp>
      <tp t="s">
        <v>#N/A N/A</v>
        <stp/>
        <stp>BDP|10829668290395881283</stp>
        <tr r="B4359" s="2"/>
      </tp>
      <tp t="s">
        <v>#N/A N/A</v>
        <stp/>
        <stp>BDP|15143903868543701103</stp>
        <tr r="F2586" s="2"/>
      </tp>
      <tp t="s">
        <v>#N/A N/A</v>
        <stp/>
        <stp>BDP|17194760880900076096</stp>
        <tr r="F3065" s="2"/>
      </tp>
      <tp t="s">
        <v>#N/A N/A</v>
        <stp/>
        <stp>BDP|13266388527942323804</stp>
        <tr r="I2218" s="2"/>
      </tp>
      <tp t="s">
        <v>#N/A N/A</v>
        <stp/>
        <stp>BDP|11116032696753235386</stp>
        <tr r="C601" s="2"/>
      </tp>
      <tp t="s">
        <v>#N/A N/A</v>
        <stp/>
        <stp>BDP|11593394986833340171</stp>
        <tr r="C2639" s="2"/>
      </tp>
      <tp t="s">
        <v>#N/A N/A</v>
        <stp/>
        <stp>BDP|16608751718459107142</stp>
        <tr r="D2401" s="2"/>
      </tp>
      <tp t="s">
        <v>#N/A N/A</v>
        <stp/>
        <stp>BDP|17549534849156553843</stp>
        <tr r="D325" s="2"/>
      </tp>
      <tp t="s">
        <v>#N/A N/A</v>
        <stp/>
        <stp>BDP|16672540447078231793</stp>
        <tr r="B513" s="2"/>
      </tp>
      <tp t="s">
        <v>#N/A N/A</v>
        <stp/>
        <stp>BDP|17473625389242670371</stp>
        <tr r="D4772" s="2"/>
      </tp>
      <tp t="s">
        <v>#N/A N/A</v>
        <stp/>
        <stp>BDP|18030568824296882147</stp>
        <tr r="D1484" s="2"/>
      </tp>
      <tp t="s">
        <v>#N/A N/A</v>
        <stp/>
        <stp>BDP|12753531167181805850</stp>
        <tr r="I3364" s="2"/>
      </tp>
      <tp t="s">
        <v>#N/A N/A</v>
        <stp/>
        <stp>BDP|13126448888881249613</stp>
        <tr r="H379" s="2"/>
      </tp>
      <tp t="s">
        <v>#N/A N/A</v>
        <stp/>
        <stp>BDP|14741240423284934870</stp>
        <tr r="D3949" s="2"/>
      </tp>
      <tp t="s">
        <v>#N/A N/A</v>
        <stp/>
        <stp>BDP|16526011629398452470</stp>
        <tr r="F363" s="2"/>
      </tp>
      <tp t="s">
        <v>#N/A N/A</v>
        <stp/>
        <stp>BDP|10180494643438381065</stp>
        <tr r="H414" s="2"/>
      </tp>
      <tp t="s">
        <v>#N/A N/A</v>
        <stp/>
        <stp>BDP|14668674173488955556</stp>
        <tr r="C3518" s="2"/>
      </tp>
      <tp t="s">
        <v>#N/A N/A</v>
        <stp/>
        <stp>BDP|14993613606802318837</stp>
        <tr r="C138" s="2"/>
      </tp>
      <tp t="s">
        <v>#N/A N/A</v>
        <stp/>
        <stp>BDP|10884745198274839228</stp>
        <tr r="B3490" s="2"/>
      </tp>
      <tp t="s">
        <v>#N/A N/A</v>
        <stp/>
        <stp>BDP|11204765194013905471</stp>
        <tr r="I2160" s="2"/>
      </tp>
      <tp t="s">
        <v>#N/A N/A</v>
        <stp/>
        <stp>BDP|12147228915370038988</stp>
        <tr r="H1449" s="2"/>
      </tp>
      <tp t="s">
        <v>#N/A N/A</v>
        <stp/>
        <stp>BDP|15361961840445784530</stp>
        <tr r="H678" s="2"/>
      </tp>
      <tp t="s">
        <v>#N/A N/A</v>
        <stp/>
        <stp>BDP|18360744274802576276</stp>
        <tr r="B337" s="2"/>
      </tp>
      <tp t="s">
        <v>#N/A N/A</v>
        <stp/>
        <stp>BDP|14013619141456734864</stp>
        <tr r="G2568" s="2"/>
      </tp>
      <tp t="s">
        <v>#N/A N/A</v>
        <stp/>
        <stp>BDP|15283322415248051746</stp>
        <tr r="I845" s="2"/>
      </tp>
      <tp t="s">
        <v>#N/A N/A</v>
        <stp/>
        <stp>BDP|18440139875652162427</stp>
        <tr r="A1873" s="2"/>
      </tp>
      <tp t="s">
        <v>#N/A N/A</v>
        <stp/>
        <stp>BDP|10282041989731956171</stp>
        <tr r="B4944" s="2"/>
      </tp>
      <tp t="s">
        <v>#N/A N/A</v>
        <stp/>
        <stp>BDP|17184905461886260639</stp>
        <tr r="F2323" s="2"/>
      </tp>
      <tp t="s">
        <v>#N/A N/A</v>
        <stp/>
        <stp>BDP|11461234736940865887</stp>
        <tr r="I4338" s="2"/>
      </tp>
      <tp t="s">
        <v>#N/A N/A</v>
        <stp/>
        <stp>BDP|12057847610453497015</stp>
        <tr r="A59" s="2"/>
      </tp>
      <tp t="s">
        <v>#N/A N/A</v>
        <stp/>
        <stp>BDP|10017807211975909496</stp>
        <tr r="D1478" s="2"/>
      </tp>
      <tp t="s">
        <v>#N/A N/A</v>
        <stp/>
        <stp>BDP|17790754208881341988</stp>
        <tr r="F684" s="2"/>
      </tp>
      <tp t="s">
        <v>#N/A N/A</v>
        <stp/>
        <stp>BDP|16612175525308291577</stp>
        <tr r="F317" s="2"/>
      </tp>
      <tp t="s">
        <v>#N/A N/A</v>
        <stp/>
        <stp>BDP|18224709001337691048</stp>
        <tr r="A1430" s="2"/>
      </tp>
      <tp t="s">
        <v>#N/A N/A</v>
        <stp/>
        <stp>BDP|11298819869354937329</stp>
        <tr r="A4184" s="2"/>
      </tp>
      <tp t="s">
        <v>#N/A N/A</v>
        <stp/>
        <stp>BDP|10627811107988350827</stp>
        <tr r="A1484" s="2"/>
      </tp>
      <tp t="s">
        <v>#N/A N/A</v>
        <stp/>
        <stp>BDP|15643969818691177484</stp>
        <tr r="C2911" s="2"/>
      </tp>
      <tp t="s">
        <v>#N/A N/A</v>
        <stp/>
        <stp>BDP|14392612704003021971</stp>
        <tr r="I4835" s="2"/>
      </tp>
      <tp t="s">
        <v>#N/A N/A</v>
        <stp/>
        <stp>BDP|14534629181273085178</stp>
        <tr r="F4534" s="2"/>
      </tp>
      <tp t="s">
        <v>#N/A N/A</v>
        <stp/>
        <stp>BDP|14597115010839742528</stp>
        <tr r="A101" s="2"/>
      </tp>
      <tp t="s">
        <v>#N/A N/A</v>
        <stp/>
        <stp>BDP|10291820447783720713</stp>
        <tr r="H2281" s="2"/>
      </tp>
      <tp t="s">
        <v>#N/A N/A</v>
        <stp/>
        <stp>BDP|15089674583143467014</stp>
        <tr r="C4241" s="2"/>
      </tp>
      <tp t="s">
        <v>#N/A N/A</v>
        <stp/>
        <stp>BDP|12989694142521314907</stp>
        <tr r="A1497" s="2"/>
      </tp>
      <tp t="s">
        <v>#N/A N/A</v>
        <stp/>
        <stp>BDP|15175169896241250426</stp>
        <tr r="I87" s="2"/>
      </tp>
      <tp t="s">
        <v>#N/A N/A</v>
        <stp/>
        <stp>BDP|14995305889385861296</stp>
        <tr r="F4241" s="2"/>
      </tp>
      <tp t="s">
        <v>#N/A N/A</v>
        <stp/>
        <stp>BDP|10087663959578768397</stp>
        <tr r="A4564" s="2"/>
      </tp>
      <tp t="s">
        <v>#N/A N/A</v>
        <stp/>
        <stp>BDP|10078132882865667465</stp>
        <tr r="F3436" s="2"/>
      </tp>
      <tp t="s">
        <v>#N/A N/A</v>
        <stp/>
        <stp>BDP|14335158510448715400</stp>
        <tr r="B4862" s="2"/>
      </tp>
      <tp t="s">
        <v>#N/A N/A</v>
        <stp/>
        <stp>BDP|17030276641958072175</stp>
        <tr r="I333" s="2"/>
      </tp>
      <tp t="s">
        <v>#N/A N/A</v>
        <stp/>
        <stp>BDP|18345714902356199104</stp>
        <tr r="A4626" s="2"/>
      </tp>
      <tp t="s">
        <v>#N/A N/A</v>
        <stp/>
        <stp>BDP|11202859320475463626</stp>
        <tr r="I3014" s="2"/>
      </tp>
      <tp t="s">
        <v>#N/A N/A</v>
        <stp/>
        <stp>BDP|10506701695592104408</stp>
        <tr r="G2254" s="2"/>
      </tp>
      <tp t="s">
        <v>#N/A N/A</v>
        <stp/>
        <stp>BDP|12952384797427519728</stp>
        <tr r="D4667" s="2"/>
      </tp>
      <tp t="s">
        <v>#N/A N/A</v>
        <stp/>
        <stp>BDP|11512206995572168008</stp>
        <tr r="H3522" s="2"/>
      </tp>
      <tp t="s">
        <v>#N/A N/A</v>
        <stp/>
        <stp>BDP|15914835768495537660</stp>
        <tr r="D33" s="2"/>
      </tp>
      <tp t="s">
        <v>#N/A N/A</v>
        <stp/>
        <stp>BDP|10252712193142803495</stp>
        <tr r="F4953" s="2"/>
      </tp>
      <tp t="s">
        <v>#N/A N/A</v>
        <stp/>
        <stp>BDP|15418507887471360117</stp>
        <tr r="I4328" s="2"/>
      </tp>
      <tp t="s">
        <v>#N/A N/A</v>
        <stp/>
        <stp>BDP|11575501298233504697</stp>
        <tr r="C3826" s="2"/>
      </tp>
      <tp t="s">
        <v>#N/A N/A</v>
        <stp/>
        <stp>BDP|13686235137622697851</stp>
        <tr r="I4007" s="2"/>
      </tp>
      <tp t="s">
        <v>#N/A N/A</v>
        <stp/>
        <stp>BDP|15302547812109234067</stp>
        <tr r="F311" s="2"/>
      </tp>
      <tp t="s">
        <v>#N/A N/A</v>
        <stp/>
        <stp>BDP|16202952952062105050</stp>
        <tr r="H4740" s="2"/>
      </tp>
      <tp t="s">
        <v>#N/A N/A</v>
        <stp/>
        <stp>BDP|14787086157158096194</stp>
        <tr r="I4915" s="2"/>
      </tp>
      <tp t="s">
        <v>#N/A N/A</v>
        <stp/>
        <stp>BDP|12891408478250136902</stp>
        <tr r="B2294" s="2"/>
      </tp>
      <tp t="s">
        <v>#N/A N/A</v>
        <stp/>
        <stp>BDP|18390799096576446893</stp>
        <tr r="D2591" s="2"/>
      </tp>
      <tp t="s">
        <v>#N/A N/A</v>
        <stp/>
        <stp>BDP|17820762068189254755</stp>
        <tr r="C2972" s="2"/>
      </tp>
      <tp t="s">
        <v>#N/A N/A</v>
        <stp/>
        <stp>BDP|11547570487744272065</stp>
        <tr r="H2279" s="2"/>
      </tp>
      <tp t="s">
        <v>#N/A N/A</v>
        <stp/>
        <stp>BDP|13713654330856190825</stp>
        <tr r="C3724" s="2"/>
      </tp>
      <tp t="s">
        <v>#N/A N/A</v>
        <stp/>
        <stp>BDP|18272543704315244012</stp>
        <tr r="C4283" s="2"/>
      </tp>
      <tp t="s">
        <v>#N/A N/A</v>
        <stp/>
        <stp>BDP|12125931576861285572</stp>
        <tr r="A1227" s="2"/>
      </tp>
      <tp t="s">
        <v>#N/A N/A</v>
        <stp/>
        <stp>BDP|14018729493750374238</stp>
        <tr r="C2757" s="2"/>
      </tp>
      <tp t="s">
        <v>#N/A N/A</v>
        <stp/>
        <stp>BDP|15426917106775469164</stp>
        <tr r="F3430" s="2"/>
      </tp>
      <tp t="s">
        <v>#N/A N/A</v>
        <stp/>
        <stp>BDP|14923875614050208597</stp>
        <tr r="F2629" s="2"/>
      </tp>
      <tp t="s">
        <v>#N/A N/A</v>
        <stp/>
        <stp>BDP|10720696626194125887</stp>
        <tr r="F2201" s="2"/>
      </tp>
      <tp t="s">
        <v>#N/A N/A</v>
        <stp/>
        <stp>BDP|15633964671065214626</stp>
        <tr r="F1114" s="2"/>
      </tp>
      <tp t="s">
        <v>#N/A N/A</v>
        <stp/>
        <stp>BDP|17580449791040212230</stp>
        <tr r="C4373" s="2"/>
      </tp>
      <tp t="s">
        <v>#N/A N/A</v>
        <stp/>
        <stp>BDP|14142180359280114800</stp>
        <tr r="A1062" s="2"/>
      </tp>
      <tp t="s">
        <v>#N/A N/A</v>
        <stp/>
        <stp>BDP|15529436081146655707</stp>
        <tr r="H2374" s="2"/>
      </tp>
      <tp t="s">
        <v>#N/A N/A</v>
        <stp/>
        <stp>BDP|13018021805233369853</stp>
        <tr r="B4723" s="2"/>
      </tp>
      <tp t="s">
        <v>#N/A N/A</v>
        <stp/>
        <stp>BDP|15271190769588434276</stp>
        <tr r="I4377" s="2"/>
      </tp>
      <tp t="s">
        <v>#N/A N/A</v>
        <stp/>
        <stp>BDP|13303542754138442360</stp>
        <tr r="G2388" s="2"/>
      </tp>
      <tp t="s">
        <v>#N/A N/A</v>
        <stp/>
        <stp>BDP|10142571633528707637</stp>
        <tr r="I3534" s="2"/>
      </tp>
      <tp t="s">
        <v>#N/A N/A</v>
        <stp/>
        <stp>BDP|12436501030598621433</stp>
        <tr r="A1623" s="2"/>
      </tp>
      <tp t="s">
        <v>#N/A N/A</v>
        <stp/>
        <stp>BDP|16464955723887193224</stp>
        <tr r="A4945" s="2"/>
      </tp>
      <tp t="s">
        <v>#N/A N/A</v>
        <stp/>
        <stp>BDP|15042117183764443076</stp>
        <tr r="D3502" s="2"/>
      </tp>
      <tp t="s">
        <v>#N/A N/A</v>
        <stp/>
        <stp>BDP|12116277232349403213</stp>
        <tr r="F3215" s="2"/>
      </tp>
      <tp t="s">
        <v>#N/A N/A</v>
        <stp/>
        <stp>BDP|13242682218744346803</stp>
        <tr r="G2742" s="2"/>
      </tp>
      <tp t="s">
        <v>#N/A N/A</v>
        <stp/>
        <stp>BDP|11496113587269358908</stp>
        <tr r="A4082" s="2"/>
      </tp>
      <tp t="s">
        <v>#N/A N/A</v>
        <stp/>
        <stp>BDP|13011223921513710853</stp>
        <tr r="I4418" s="2"/>
      </tp>
      <tp t="s">
        <v>#N/A N/A</v>
        <stp/>
        <stp>BDP|11683992677856075190</stp>
        <tr r="C64" s="2"/>
      </tp>
      <tp t="s">
        <v>#N/A N/A</v>
        <stp/>
        <stp>BDP|12845389500661463858</stp>
        <tr r="B1609" s="2"/>
      </tp>
      <tp t="s">
        <v>#N/A N/A</v>
        <stp/>
        <stp>BDP|14580929510407131373</stp>
        <tr r="A1923" s="2"/>
      </tp>
      <tp t="s">
        <v>#N/A N/A</v>
        <stp/>
        <stp>BDP|10444216784612495048</stp>
        <tr r="B1702" s="2"/>
      </tp>
      <tp t="s">
        <v>#N/A N/A</v>
        <stp/>
        <stp>BDP|13985085897973549125</stp>
        <tr r="C3675" s="2"/>
      </tp>
      <tp t="s">
        <v>#N/A N/A</v>
        <stp/>
        <stp>BDP|13226314983476977681</stp>
        <tr r="G4397" s="2"/>
      </tp>
      <tp t="s">
        <v>#N/A N/A</v>
        <stp/>
        <stp>BDP|18130998191819905917</stp>
        <tr r="A927" s="2"/>
      </tp>
      <tp t="s">
        <v>#N/A N/A</v>
        <stp/>
        <stp>BDP|10842517581447037290</stp>
        <tr r="D2712" s="2"/>
      </tp>
      <tp t="s">
        <v>#N/A N/A</v>
        <stp/>
        <stp>BDP|14601373473518413073</stp>
        <tr r="B3417" s="2"/>
      </tp>
      <tp t="s">
        <v>#N/A N/A</v>
        <stp/>
        <stp>BDP|10170332641359675645</stp>
        <tr r="G4137" s="2"/>
      </tp>
      <tp t="s">
        <v>#N/A N/A</v>
        <stp/>
        <stp>BDP|18199854798498957948</stp>
        <tr r="H3612" s="2"/>
      </tp>
      <tp t="s">
        <v>#N/A N/A</v>
        <stp/>
        <stp>BDP|18328937995548315875</stp>
        <tr r="C3023" s="2"/>
      </tp>
      <tp t="s">
        <v>#N/A N/A</v>
        <stp/>
        <stp>BDP|18047388993873895936</stp>
        <tr r="C2491" s="2"/>
      </tp>
      <tp t="s">
        <v>#N/A N/A</v>
        <stp/>
        <stp>BDP|15320317777450727928</stp>
        <tr r="D995" s="2"/>
      </tp>
      <tp t="s">
        <v>#N/A N/A</v>
        <stp/>
        <stp>BDP|17061826626427571218</stp>
        <tr r="F518" s="2"/>
      </tp>
      <tp t="s">
        <v>#N/A N/A</v>
        <stp/>
        <stp>BDP|17692952561319406963</stp>
        <tr r="C2427" s="2"/>
      </tp>
      <tp t="s">
        <v>#N/A N/A</v>
        <stp/>
        <stp>BDP|17341251255110791846</stp>
        <tr r="I4994" s="2"/>
      </tp>
      <tp t="s">
        <v>#N/A N/A</v>
        <stp/>
        <stp>BDP|16813712689193610269</stp>
        <tr r="G672" s="2"/>
      </tp>
      <tp t="s">
        <v>#N/A N/A</v>
        <stp/>
        <stp>BDP|17923003225289406489</stp>
        <tr r="F1640" s="2"/>
      </tp>
      <tp t="s">
        <v>#N/A N/A</v>
        <stp/>
        <stp>BDP|12344379947779671454</stp>
        <tr r="D4053" s="2"/>
      </tp>
      <tp t="s">
        <v>#N/A N/A</v>
        <stp/>
        <stp>BDP|12791027503789657305</stp>
        <tr r="H1417" s="2"/>
      </tp>
      <tp t="s">
        <v>#N/A N/A</v>
        <stp/>
        <stp>BDP|12291892848361475776</stp>
        <tr r="F3688" s="2"/>
      </tp>
      <tp t="s">
        <v>#N/A N/A</v>
        <stp/>
        <stp>BDP|16759855973823016210</stp>
        <tr r="G329" s="2"/>
      </tp>
      <tp t="s">
        <v>#N/A N/A</v>
        <stp/>
        <stp>BDP|16687003580376524033</stp>
        <tr r="C353" s="2"/>
      </tp>
      <tp t="s">
        <v>#N/A N/A</v>
        <stp/>
        <stp>BDP|14849247077348381180</stp>
        <tr r="G340" s="2"/>
      </tp>
      <tp t="s">
        <v>#N/A N/A</v>
        <stp/>
        <stp>BDP|10770123570899023756</stp>
        <tr r="B2163" s="2"/>
      </tp>
      <tp t="s">
        <v>#N/A N/A</v>
        <stp/>
        <stp>BDP|12681527427258715544</stp>
        <tr r="I4363" s="2"/>
      </tp>
      <tp t="s">
        <v>#N/A N/A</v>
        <stp/>
        <stp>BDP|15488306931664685938</stp>
        <tr r="A627" s="2"/>
      </tp>
      <tp t="s">
        <v>#N/A N/A</v>
        <stp/>
        <stp>BDP|11077365185494307609</stp>
        <tr r="F1517" s="2"/>
      </tp>
      <tp t="s">
        <v>#N/A N/A</v>
        <stp/>
        <stp>BDP|10235649777728513143</stp>
        <tr r="F3715" s="2"/>
      </tp>
      <tp t="s">
        <v>#N/A N/A</v>
        <stp/>
        <stp>BDP|12041749670423768931</stp>
        <tr r="B684" s="2"/>
      </tp>
      <tp t="s">
        <v>#N/A N/A</v>
        <stp/>
        <stp>BDP|14170945075794923699</stp>
        <tr r="G1045" s="2"/>
      </tp>
      <tp t="s">
        <v>#N/A N/A</v>
        <stp/>
        <stp>BDP|13803751483034949078</stp>
        <tr r="F3086" s="2"/>
      </tp>
      <tp t="s">
        <v>#N/A N/A</v>
        <stp/>
        <stp>BDP|16641409393176702521</stp>
        <tr r="I1091" s="2"/>
      </tp>
      <tp t="s">
        <v>#N/A N/A</v>
        <stp/>
        <stp>BDP|14558479982604267421</stp>
        <tr r="H1118" s="2"/>
      </tp>
      <tp t="s">
        <v>#N/A N/A</v>
        <stp/>
        <stp>BDP|15963851776243291181</stp>
        <tr r="C158" s="2"/>
      </tp>
      <tp t="s">
        <v>#N/A N/A</v>
        <stp/>
        <stp>BDP|15007835425973242444</stp>
        <tr r="C3410" s="2"/>
      </tp>
      <tp t="s">
        <v>#N/A N/A</v>
        <stp/>
        <stp>BDP|11660280326258168191</stp>
        <tr r="A2782" s="2"/>
      </tp>
      <tp t="s">
        <v>#N/A N/A</v>
        <stp/>
        <stp>BDP|14015576986576602771</stp>
        <tr r="G2831" s="2"/>
      </tp>
      <tp t="s">
        <v>#N/A N/A</v>
        <stp/>
        <stp>BDP|14322818831252235518</stp>
        <tr r="B1745" s="2"/>
      </tp>
      <tp t="s">
        <v>#N/A N/A</v>
        <stp/>
        <stp>BDP|16756225445311766976</stp>
        <tr r="B2580" s="2"/>
      </tp>
      <tp t="s">
        <v>#N/A N/A</v>
        <stp/>
        <stp>BDP|10565279765545110968</stp>
        <tr r="D1930" s="2"/>
      </tp>
      <tp t="s">
        <v>#N/A N/A</v>
        <stp/>
        <stp>BDP|16927368652660861859</stp>
        <tr r="B1906" s="2"/>
      </tp>
      <tp t="s">
        <v>#N/A N/A</v>
        <stp/>
        <stp>BDP|10621057322969595346</stp>
        <tr r="H3434" s="2"/>
      </tp>
      <tp t="s">
        <v>#N/A N/A</v>
        <stp/>
        <stp>BDP|12537817026830296006</stp>
        <tr r="I865" s="2"/>
      </tp>
      <tp t="s">
        <v>#N/A N/A</v>
        <stp/>
        <stp>BDP|10799805567936977090</stp>
        <tr r="C802" s="2"/>
      </tp>
      <tp t="s">
        <v>#N/A N/A</v>
        <stp/>
        <stp>BDP|13064155625661530954</stp>
        <tr r="C3958" s="2"/>
      </tp>
      <tp t="s">
        <v>#N/A N/A</v>
        <stp/>
        <stp>BDP|17940809131995058183</stp>
        <tr r="C1392" s="2"/>
      </tp>
      <tp t="s">
        <v>#N/A N/A</v>
        <stp/>
        <stp>BDP|18361951856905995996</stp>
        <tr r="D1286" s="2"/>
      </tp>
      <tp t="s">
        <v>#N/A N/A</v>
        <stp/>
        <stp>BDP|10120766506298865791</stp>
        <tr r="F2314" s="2"/>
      </tp>
      <tp t="s">
        <v>#N/A N/A</v>
        <stp/>
        <stp>BDP|18277903394746777615</stp>
        <tr r="H2975" s="2"/>
      </tp>
      <tp t="s">
        <v>#N/A N/A</v>
        <stp/>
        <stp>BDP|14825289882827154136</stp>
        <tr r="I1207" s="2"/>
      </tp>
      <tp t="s">
        <v>#N/A N/A</v>
        <stp/>
        <stp>BDP|16551985379077431703</stp>
        <tr r="B4567" s="2"/>
      </tp>
      <tp t="s">
        <v>#N/A N/A</v>
        <stp/>
        <stp>BDP|12997641895280127598</stp>
        <tr r="D613" s="2"/>
      </tp>
      <tp t="s">
        <v>#N/A N/A</v>
        <stp/>
        <stp>BDP|11664431227187622843</stp>
        <tr r="A511" s="2"/>
      </tp>
      <tp t="s">
        <v>#N/A N/A</v>
        <stp/>
        <stp>BDP|11054812617188022863</stp>
        <tr r="H3636" s="2"/>
      </tp>
      <tp t="s">
        <v>#N/A N/A</v>
        <stp/>
        <stp>BDP|14271143287112769764</stp>
        <tr r="H4947" s="2"/>
      </tp>
      <tp t="s">
        <v>#N/A N/A</v>
        <stp/>
        <stp>BDP|16581617429089508388</stp>
        <tr r="H4615" s="2"/>
      </tp>
      <tp t="s">
        <v>#N/A N/A</v>
        <stp/>
        <stp>BDP|14789379911226965882</stp>
        <tr r="I2145" s="2"/>
      </tp>
      <tp t="s">
        <v>#N/A N/A</v>
        <stp/>
        <stp>BDP|16280723639643994903</stp>
        <tr r="C379" s="2"/>
      </tp>
      <tp t="s">
        <v>#N/A N/A</v>
        <stp/>
        <stp>BDP|12269414704469395749</stp>
        <tr r="C4002" s="2"/>
      </tp>
      <tp t="s">
        <v>#N/A N/A</v>
        <stp/>
        <stp>BDP|10162816544193220765</stp>
        <tr r="C503" s="2"/>
      </tp>
      <tp t="s">
        <v>#N/A N/A</v>
        <stp/>
        <stp>BDP|15339520591417883689</stp>
        <tr r="H1795" s="2"/>
      </tp>
      <tp t="s">
        <v>#N/A N/A</v>
        <stp/>
        <stp>BDP|18201341446371469642</stp>
        <tr r="A4772" s="2"/>
      </tp>
      <tp t="s">
        <v>#N/A N/A</v>
        <stp/>
        <stp>BDP|11059082171199104780</stp>
        <tr r="I1373" s="2"/>
      </tp>
      <tp t="s">
        <v>#N/A N/A</v>
        <stp/>
        <stp>BDP|15343563420609454312</stp>
        <tr r="G1438" s="2"/>
      </tp>
      <tp t="s">
        <v>#N/A N/A</v>
        <stp/>
        <stp>BDP|17978880843373014023</stp>
        <tr r="I1533" s="2"/>
      </tp>
      <tp t="s">
        <v>#N/A N/A</v>
        <stp/>
        <stp>BDP|15183999153391345083</stp>
        <tr r="F96" s="2"/>
      </tp>
      <tp t="s">
        <v>#N/A N/A</v>
        <stp/>
        <stp>BDP|15533803153083751310</stp>
        <tr r="A3753" s="2"/>
      </tp>
      <tp t="s">
        <v>#N/A N/A</v>
        <stp/>
        <stp>BDP|16153430504853789910</stp>
        <tr r="I3649" s="2"/>
      </tp>
      <tp t="s">
        <v>#N/A N/A</v>
        <stp/>
        <stp>BDP|14943385790172547441</stp>
        <tr r="F2487" s="2"/>
      </tp>
      <tp t="s">
        <v>#N/A N/A</v>
        <stp/>
        <stp>BDP|18395644326851467556</stp>
        <tr r="I3711" s="2"/>
      </tp>
      <tp t="s">
        <v>#N/A N/A</v>
        <stp/>
        <stp>BDP|14623436497006581779</stp>
        <tr r="I4364" s="2"/>
      </tp>
      <tp t="s">
        <v>#N/A N/A</v>
        <stp/>
        <stp>BDP|11858294150067800995</stp>
        <tr r="C3129" s="2"/>
      </tp>
      <tp t="s">
        <v>#N/A N/A</v>
        <stp/>
        <stp>BDP|10172532595673419736</stp>
        <tr r="D2344" s="2"/>
      </tp>
      <tp t="s">
        <v>#N/A N/A</v>
        <stp/>
        <stp>BDP|15415672144486434930</stp>
        <tr r="F416" s="2"/>
      </tp>
      <tp t="s">
        <v>#N/A N/A</v>
        <stp/>
        <stp>BDP|15537030403455751826</stp>
        <tr r="C4349" s="2"/>
      </tp>
      <tp t="s">
        <v>#N/A N/A</v>
        <stp/>
        <stp>BDP|11413505676702013926</stp>
        <tr r="H3891" s="2"/>
      </tp>
      <tp t="s">
        <v>#N/A N/A</v>
        <stp/>
        <stp>BDP|17754995230830953579</stp>
        <tr r="I1231" s="2"/>
      </tp>
      <tp t="s">
        <v>#N/A N/A</v>
        <stp/>
        <stp>BDP|13246496384094894340</stp>
        <tr r="C2869" s="2"/>
      </tp>
      <tp t="s">
        <v>#N/A N/A</v>
        <stp/>
        <stp>BDP|13651351112989700056</stp>
        <tr r="I1985" s="2"/>
      </tp>
      <tp t="s">
        <v>#N/A N/A</v>
        <stp/>
        <stp>BDP|13665530867560893891</stp>
        <tr r="G2645" s="2"/>
      </tp>
      <tp t="s">
        <v>#N/A N/A</v>
        <stp/>
        <stp>BDP|17053701653238843589</stp>
        <tr r="A3531" s="2"/>
      </tp>
      <tp t="s">
        <v>#N/A N/A</v>
        <stp/>
        <stp>BDP|17181015233275830987</stp>
        <tr r="D1183" s="2"/>
      </tp>
      <tp t="s">
        <v>#N/A N/A</v>
        <stp/>
        <stp>BDP|16267176025749754449</stp>
        <tr r="A1074" s="2"/>
      </tp>
      <tp t="s">
        <v>#N/A N/A</v>
        <stp/>
        <stp>BDP|14082880577114926750</stp>
        <tr r="C1845" s="2"/>
      </tp>
      <tp t="s">
        <v>#N/A N/A</v>
        <stp/>
        <stp>BDP|15604878637963594503</stp>
        <tr r="A2173" s="2"/>
      </tp>
      <tp t="s">
        <v>#N/A N/A</v>
        <stp/>
        <stp>BDP|10296650517229232613</stp>
        <tr r="A1777" s="2"/>
      </tp>
      <tp t="s">
        <v>#N/A N/A</v>
        <stp/>
        <stp>BDP|14321559278466578882</stp>
        <tr r="H517" s="2"/>
      </tp>
      <tp t="s">
        <v>#N/A N/A</v>
        <stp/>
        <stp>BDP|13005005194925444732</stp>
        <tr r="A3729" s="2"/>
      </tp>
      <tp t="s">
        <v>#N/A N/A</v>
        <stp/>
        <stp>BDP|16654970693366168809</stp>
        <tr r="B3880" s="2"/>
      </tp>
      <tp t="s">
        <v>#N/A N/A</v>
        <stp/>
        <stp>BDP|12484121983070725312</stp>
        <tr r="A2331" s="2"/>
      </tp>
      <tp t="s">
        <v>#N/A N/A</v>
        <stp/>
        <stp>BDP|12926113299197215508</stp>
        <tr r="C2760" s="2"/>
      </tp>
      <tp t="s">
        <v>#N/A N/A</v>
        <stp/>
        <stp>BDP|12381293437669868262</stp>
        <tr r="G2109" s="2"/>
      </tp>
      <tp t="s">
        <v>#N/A N/A</v>
        <stp/>
        <stp>BDP|14485843403927498342</stp>
        <tr r="C1407" s="2"/>
      </tp>
      <tp t="s">
        <v>#N/A N/A</v>
        <stp/>
        <stp>BDP|13752847433041287113</stp>
        <tr r="B1959" s="2"/>
      </tp>
      <tp t="s">
        <v>#N/A N/A</v>
        <stp/>
        <stp>BDP|16373443588777984552</stp>
        <tr r="A4518" s="2"/>
      </tp>
      <tp t="s">
        <v>#N/A N/A</v>
        <stp/>
        <stp>BDP|17094370185195028113</stp>
        <tr r="G2465" s="2"/>
      </tp>
      <tp t="s">
        <v>#N/A N/A</v>
        <stp/>
        <stp>BDP|10342299531030013985</stp>
        <tr r="B3291" s="2"/>
      </tp>
      <tp t="s">
        <v>#N/A N/A</v>
        <stp/>
        <stp>BDP|17397816154817471519</stp>
        <tr r="H154" s="2"/>
      </tp>
      <tp t="s">
        <v>#N/A N/A</v>
        <stp/>
        <stp>BDP|15334577286369380926</stp>
        <tr r="F707" s="2"/>
      </tp>
      <tp t="s">
        <v>#N/A N/A</v>
        <stp/>
        <stp>BDP|10793995926700852336</stp>
        <tr r="A2940" s="2"/>
      </tp>
      <tp t="s">
        <v>#N/A N/A</v>
        <stp/>
        <stp>BDP|10839903456656990247</stp>
        <tr r="B30" s="2"/>
      </tp>
      <tp t="s">
        <v>#N/A N/A</v>
        <stp/>
        <stp>BDP|15102156236787610878</stp>
        <tr r="C544" s="2"/>
      </tp>
      <tp t="s">
        <v>#N/A N/A</v>
        <stp/>
        <stp>BDP|17169439832168342002</stp>
        <tr r="G2947" s="2"/>
      </tp>
      <tp t="s">
        <v>#N/A N/A</v>
        <stp/>
        <stp>BDP|11608193446715220989</stp>
        <tr r="G4705" s="2"/>
      </tp>
      <tp t="s">
        <v>#N/A N/A</v>
        <stp/>
        <stp>BDP|17961557684717899530</stp>
        <tr r="D3967" s="2"/>
      </tp>
      <tp t="s">
        <v>#N/A N/A</v>
        <stp/>
        <stp>BDP|12280610681751398529</stp>
        <tr r="C2286" s="2"/>
      </tp>
      <tp t="s">
        <v>#N/A N/A</v>
        <stp/>
        <stp>BDP|14839746359687353959</stp>
        <tr r="H2939" s="2"/>
      </tp>
      <tp t="s">
        <v>#N/A N/A</v>
        <stp/>
        <stp>BDP|11740020498673840369</stp>
        <tr r="A4599" s="2"/>
      </tp>
      <tp t="s">
        <v>#N/A N/A</v>
        <stp/>
        <stp>BDP|17540228144171708873</stp>
        <tr r="G2295" s="2"/>
      </tp>
      <tp t="s">
        <v>#N/A N/A</v>
        <stp/>
        <stp>BDP|11819792096931322676</stp>
        <tr r="I2203" s="2"/>
      </tp>
      <tp t="s">
        <v>#N/A N/A</v>
        <stp/>
        <stp>BDP|16066078356953415868</stp>
        <tr r="A3497" s="2"/>
      </tp>
      <tp t="s">
        <v>#N/A N/A</v>
        <stp/>
        <stp>BDP|10292416342270541877</stp>
        <tr r="C4174" s="2"/>
      </tp>
      <tp t="s">
        <v>#N/A N/A</v>
        <stp/>
        <stp>BDP|11236134733123704868</stp>
        <tr r="C2615" s="2"/>
      </tp>
      <tp t="s">
        <v>#N/A N/A</v>
        <stp/>
        <stp>BDP|11772074329758292383</stp>
        <tr r="I2597" s="2"/>
      </tp>
      <tp t="s">
        <v>#N/A N/A</v>
        <stp/>
        <stp>BDP|15935549606288932016</stp>
        <tr r="I2236" s="2"/>
      </tp>
      <tp t="s">
        <v>#N/A N/A</v>
        <stp/>
        <stp>BDP|18403119933211610337</stp>
        <tr r="C1600" s="2"/>
      </tp>
      <tp t="s">
        <v>#N/A N/A</v>
        <stp/>
        <stp>BDP|15927478088731530003</stp>
        <tr r="B2385" s="2"/>
      </tp>
      <tp t="s">
        <v>#N/A N/A</v>
        <stp/>
        <stp>BDP|16381147033609015575</stp>
        <tr r="D89" s="2"/>
      </tp>
      <tp t="s">
        <v>#N/A N/A</v>
        <stp/>
        <stp>BDP|16142441235739782047</stp>
        <tr r="I1638" s="2"/>
      </tp>
      <tp t="s">
        <v>#N/A N/A</v>
        <stp/>
        <stp>BDP|14283825787259263564</stp>
        <tr r="G512" s="2"/>
      </tp>
      <tp t="s">
        <v>#N/A N/A</v>
        <stp/>
        <stp>BDP|10759839655361534470</stp>
        <tr r="G94" s="2"/>
      </tp>
      <tp t="s">
        <v>#N/A N/A</v>
        <stp/>
        <stp>BDP|10083241125211517976</stp>
        <tr r="F3334" s="2"/>
      </tp>
      <tp t="s">
        <v>#N/A N/A</v>
        <stp/>
        <stp>BDP|11815596532396851982</stp>
        <tr r="F1576" s="2"/>
      </tp>
      <tp t="s">
        <v>#N/A N/A</v>
        <stp/>
        <stp>BDP|14605943778197923503</stp>
        <tr r="I911" s="2"/>
      </tp>
      <tp t="s">
        <v>#N/A N/A</v>
        <stp/>
        <stp>BDP|15733723316599544253</stp>
        <tr r="H4936" s="2"/>
      </tp>
      <tp t="s">
        <v>#N/A N/A</v>
        <stp/>
        <stp>BDP|17978214509449121437</stp>
        <tr r="D532" s="2"/>
      </tp>
      <tp t="s">
        <v>#N/A N/A</v>
        <stp/>
        <stp>BDP|12310264155078623555</stp>
        <tr r="H306" s="2"/>
      </tp>
      <tp t="s">
        <v>#N/A N/A</v>
        <stp/>
        <stp>BDP|17716464148629322693</stp>
        <tr r="H2469" s="2"/>
      </tp>
      <tp t="s">
        <v>#N/A N/A</v>
        <stp/>
        <stp>BDP|14955195767972699921</stp>
        <tr r="I2944" s="2"/>
      </tp>
      <tp t="s">
        <v>#N/A N/A</v>
        <stp/>
        <stp>BDP|14455672290510168315</stp>
        <tr r="G3861" s="2"/>
      </tp>
      <tp t="s">
        <v>#N/A N/A</v>
        <stp/>
        <stp>BDP|16651060660071225916</stp>
        <tr r="A1582" s="2"/>
      </tp>
      <tp t="s">
        <v>#N/A N/A</v>
        <stp/>
        <stp>BDP|17835175471158961141</stp>
        <tr r="B2233" s="2"/>
      </tp>
      <tp t="s">
        <v>#N/A N/A</v>
        <stp/>
        <stp>BDP|12173758265923775851</stp>
        <tr r="I3422" s="2"/>
      </tp>
      <tp t="s">
        <v>#N/A N/A</v>
        <stp/>
        <stp>BDP|11920204238999282100</stp>
        <tr r="F600" s="2"/>
      </tp>
      <tp t="s">
        <v>#N/A N/A</v>
        <stp/>
        <stp>BDP|11578967436472621101</stp>
        <tr r="C4478" s="2"/>
      </tp>
      <tp t="s">
        <v>#N/A N/A</v>
        <stp/>
        <stp>BDP|15234644252096125862</stp>
        <tr r="D2100" s="2"/>
      </tp>
      <tp t="s">
        <v>#N/A N/A</v>
        <stp/>
        <stp>BDP|18130320320262710377</stp>
        <tr r="I159" s="2"/>
      </tp>
      <tp t="s">
        <v>#N/A N/A</v>
        <stp/>
        <stp>BDP|13473909496578386324</stp>
        <tr r="B3055" s="2"/>
      </tp>
      <tp t="s">
        <v>#N/A N/A</v>
        <stp/>
        <stp>BDP|11573859905874720512</stp>
        <tr r="H1032" s="2"/>
      </tp>
      <tp t="s">
        <v>#N/A N/A</v>
        <stp/>
        <stp>BDP|18257114511128019817</stp>
        <tr r="C1621" s="2"/>
      </tp>
      <tp t="s">
        <v>#N/A N/A</v>
        <stp/>
        <stp>BDP|15924234027319660485</stp>
        <tr r="H1473" s="2"/>
      </tp>
      <tp t="s">
        <v>#N/A N/A</v>
        <stp/>
        <stp>BDP|11423695217999925709</stp>
        <tr r="H2815" s="2"/>
      </tp>
      <tp t="s">
        <v>#N/A N/A</v>
        <stp/>
        <stp>BDP|10649010496001192038</stp>
        <tr r="F4468" s="2"/>
      </tp>
      <tp t="s">
        <v>#N/A N/A</v>
        <stp/>
        <stp>BDP|11171116437062171953</stp>
        <tr r="F1596" s="2"/>
      </tp>
      <tp t="s">
        <v>#N/A N/A</v>
        <stp/>
        <stp>BDP|12570543165270359947</stp>
        <tr r="B3239" s="2"/>
      </tp>
      <tp t="s">
        <v>#N/A N/A</v>
        <stp/>
        <stp>BDP|15717471903629836081</stp>
        <tr r="F4854" s="2"/>
      </tp>
      <tp t="s">
        <v>#N/A N/A</v>
        <stp/>
        <stp>BDP|13157967762104104068</stp>
        <tr r="H215" s="2"/>
      </tp>
      <tp t="s">
        <v>#N/A N/A</v>
        <stp/>
        <stp>BDP|15213076457389568159</stp>
        <tr r="B2161" s="2"/>
      </tp>
      <tp t="s">
        <v>#N/A N/A</v>
        <stp/>
        <stp>BDP|15319245892244252258</stp>
        <tr r="B3115" s="2"/>
      </tp>
      <tp t="s">
        <v>#N/A N/A</v>
        <stp/>
        <stp>BDP|16565981920844673192</stp>
        <tr r="F2111" s="2"/>
      </tp>
      <tp t="s">
        <v>#N/A N/A</v>
        <stp/>
        <stp>BDP|15888955213493405683</stp>
        <tr r="D4558" s="2"/>
      </tp>
      <tp t="s">
        <v>#N/A N/A</v>
        <stp/>
        <stp>BDP|12414127474205295924</stp>
        <tr r="I3112" s="2"/>
      </tp>
      <tp t="s">
        <v>#N/A N/A</v>
        <stp/>
        <stp>BDP|14749053559589987003</stp>
        <tr r="D920" s="2"/>
      </tp>
      <tp t="s">
        <v>#N/A N/A</v>
        <stp/>
        <stp>BDP|17841008623504134983</stp>
        <tr r="A4699" s="2"/>
      </tp>
      <tp t="s">
        <v>#N/A N/A</v>
        <stp/>
        <stp>BDP|18344532994005780916</stp>
        <tr r="A2858" s="2"/>
      </tp>
      <tp t="s">
        <v>#N/A N/A</v>
        <stp/>
        <stp>BDP|10041589034489917770</stp>
        <tr r="A671" s="2"/>
      </tp>
      <tp t="s">
        <v>#N/A N/A</v>
        <stp/>
        <stp>BDP|15416995714823244690</stp>
        <tr r="A1245" s="2"/>
      </tp>
      <tp t="s">
        <v>#N/A N/A</v>
        <stp/>
        <stp>BDP|15328865456725585547</stp>
        <tr r="A4537" s="2"/>
      </tp>
      <tp t="s">
        <v>#N/A N/A</v>
        <stp/>
        <stp>BDP|18206949706521219802</stp>
        <tr r="D3345" s="2"/>
      </tp>
      <tp t="s">
        <v>#N/A N/A</v>
        <stp/>
        <stp>BDP|14493136587667327214</stp>
        <tr r="B4338" s="2"/>
      </tp>
      <tp t="s">
        <v>#N/A N/A</v>
        <stp/>
        <stp>BDP|15072211341373595873</stp>
        <tr r="I2827" s="2"/>
      </tp>
      <tp t="s">
        <v>#N/A N/A</v>
        <stp/>
        <stp>BDP|12454925429278455999</stp>
        <tr r="H1328" s="2"/>
      </tp>
      <tp t="s">
        <v>#N/A N/A</v>
        <stp/>
        <stp>BDP|13058431362609060039</stp>
        <tr r="C2600" s="2"/>
      </tp>
      <tp t="s">
        <v>#N/A N/A</v>
        <stp/>
        <stp>BDP|15860136964208582287</stp>
        <tr r="C1828" s="2"/>
      </tp>
      <tp t="s">
        <v>#N/A N/A</v>
        <stp/>
        <stp>BDP|16612078190036166122</stp>
        <tr r="I1594" s="2"/>
      </tp>
      <tp t="s">
        <v>#N/A N/A</v>
        <stp/>
        <stp>BDP|13223738635396775912</stp>
        <tr r="D4849" s="2"/>
      </tp>
      <tp t="s">
        <v>#N/A N/A</v>
        <stp/>
        <stp>BDP|12667892027620370099</stp>
        <tr r="F3847" s="2"/>
      </tp>
      <tp t="s">
        <v>#N/A N/A</v>
        <stp/>
        <stp>BDP|14682360280734406363</stp>
        <tr r="A3722" s="2"/>
      </tp>
      <tp t="s">
        <v>#N/A N/A</v>
        <stp/>
        <stp>BDP|15012968742814029460</stp>
        <tr r="B1260" s="2"/>
      </tp>
      <tp t="s">
        <v>#N/A N/A</v>
        <stp/>
        <stp>BDP|18403242094298722311</stp>
        <tr r="A1664" s="2"/>
      </tp>
      <tp t="s">
        <v>#N/A N/A</v>
        <stp/>
        <stp>BDP|11086169380192666225</stp>
        <tr r="A1746" s="2"/>
      </tp>
      <tp t="s">
        <v>#N/A N/A</v>
        <stp/>
        <stp>BDP|17422418300772061978</stp>
        <tr r="A4762" s="2"/>
      </tp>
      <tp t="s">
        <v>#N/A N/A</v>
        <stp/>
        <stp>BDP|11306662282653650432</stp>
        <tr r="F1269" s="2"/>
      </tp>
      <tp t="s">
        <v>#N/A N/A</v>
        <stp/>
        <stp>BDP|12657697788537722326</stp>
        <tr r="C1466" s="2"/>
      </tp>
      <tp t="s">
        <v>#N/A N/A</v>
        <stp/>
        <stp>BDP|10207243994391824281</stp>
        <tr r="D3864" s="2"/>
      </tp>
      <tp t="s">
        <v>#N/A N/A</v>
        <stp/>
        <stp>BDP|11727803821234502711</stp>
        <tr r="C607" s="2"/>
      </tp>
      <tp t="s">
        <v>#N/A N/A</v>
        <stp/>
        <stp>BDP|16369160445532294908</stp>
        <tr r="F2335" s="2"/>
      </tp>
      <tp t="s">
        <v>#N/A N/A</v>
        <stp/>
        <stp>BDP|10750314090472274060</stp>
        <tr r="H672" s="2"/>
      </tp>
      <tp t="s">
        <v>#N/A N/A</v>
        <stp/>
        <stp>BDP|11879533548358166000</stp>
        <tr r="D3162" s="2"/>
      </tp>
      <tp t="s">
        <v>#N/A N/A</v>
        <stp/>
        <stp>BDP|15567277309296022990</stp>
        <tr r="C3494" s="2"/>
      </tp>
      <tp t="s">
        <v>#N/A N/A</v>
        <stp/>
        <stp>BDP|14057510761197200805</stp>
        <tr r="H836" s="2"/>
      </tp>
      <tp t="s">
        <v>#N/A N/A</v>
        <stp/>
        <stp>BDP|11934098653394303829</stp>
        <tr r="F304" s="2"/>
      </tp>
      <tp t="s">
        <v>#N/A N/A</v>
        <stp/>
        <stp>BDP|14731070896564615126</stp>
        <tr r="A1207" s="2"/>
      </tp>
      <tp t="s">
        <v>#N/A N/A</v>
        <stp/>
        <stp>BDP|11531463785414214164</stp>
        <tr r="F2289" s="2"/>
      </tp>
      <tp t="s">
        <v>#N/A N/A</v>
        <stp/>
        <stp>BDP|10404940642463456640</stp>
        <tr r="H4380" s="2"/>
      </tp>
      <tp t="s">
        <v>#N/A N/A</v>
        <stp/>
        <stp>BDP|11232855482631597828</stp>
        <tr r="G1534" s="2"/>
      </tp>
      <tp t="s">
        <v>#N/A N/A</v>
        <stp/>
        <stp>BDP|10099754710119681714</stp>
        <tr r="C1028" s="2"/>
      </tp>
      <tp t="s">
        <v>#N/A N/A</v>
        <stp/>
        <stp>BDP|11004978374711768669</stp>
        <tr r="F2361" s="2"/>
      </tp>
      <tp t="s">
        <v>#N/A N/A</v>
        <stp/>
        <stp>BDP|17448204513414126846</stp>
        <tr r="H4924" s="2"/>
      </tp>
      <tp t="s">
        <v>#N/A N/A</v>
        <stp/>
        <stp>BDP|11321385552277972822</stp>
        <tr r="F4091" s="2"/>
      </tp>
      <tp t="s">
        <v>#N/A N/A</v>
        <stp/>
        <stp>BDP|12355311965466523905</stp>
        <tr r="C2358" s="2"/>
      </tp>
      <tp t="s">
        <v>#N/A N/A</v>
        <stp/>
        <stp>BDP|15918896837097720122</stp>
        <tr r="D1060" s="2"/>
      </tp>
      <tp t="s">
        <v>#N/A N/A</v>
        <stp/>
        <stp>BDP|18238260246741805783</stp>
        <tr r="B4049" s="2"/>
      </tp>
      <tp t="s">
        <v>#N/A N/A</v>
        <stp/>
        <stp>BDP|12605247547479640510</stp>
        <tr r="F3387" s="2"/>
      </tp>
      <tp t="s">
        <v>#N/A N/A</v>
        <stp/>
        <stp>BDP|14931490694784633501</stp>
        <tr r="F4426" s="2"/>
      </tp>
      <tp t="s">
        <v>#N/A N/A</v>
        <stp/>
        <stp>BDP|14055259786957308123</stp>
        <tr r="C2300" s="2"/>
      </tp>
      <tp t="s">
        <v>#N/A N/A</v>
        <stp/>
        <stp>BDP|12803237316770872971</stp>
        <tr r="A3196" s="2"/>
      </tp>
      <tp t="s">
        <v>#N/A N/A</v>
        <stp/>
        <stp>BDP|11637300605979545348</stp>
        <tr r="F3611" s="2"/>
      </tp>
      <tp t="s">
        <v>#N/A N/A</v>
        <stp/>
        <stp>BDP|10934004427419843341</stp>
        <tr r="A206" s="2"/>
      </tp>
      <tp t="s">
        <v>#N/A N/A</v>
        <stp/>
        <stp>BDP|15739664283565950692</stp>
        <tr r="G1926" s="2"/>
      </tp>
      <tp t="s">
        <v>#N/A N/A</v>
        <stp/>
        <stp>BDP|14863247907446155885</stp>
        <tr r="H45" s="2"/>
      </tp>
      <tp t="s">
        <v>#N/A N/A</v>
        <stp/>
        <stp>BDP|10847791503038164716</stp>
        <tr r="C2381" s="2"/>
      </tp>
      <tp t="s">
        <v>#N/A N/A</v>
        <stp/>
        <stp>BDP|13691358606371637914</stp>
        <tr r="A1691" s="2"/>
      </tp>
      <tp t="s">
        <v>#N/A N/A</v>
        <stp/>
        <stp>BDP|15089716524161027979</stp>
        <tr r="B4819" s="2"/>
      </tp>
      <tp t="s">
        <v>#N/A N/A</v>
        <stp/>
        <stp>BDP|16205655082880610018</stp>
        <tr r="I1122" s="2"/>
      </tp>
      <tp t="s">
        <v>#N/A N/A</v>
        <stp/>
        <stp>BDP|14134266885864605269</stp>
        <tr r="D260" s="2"/>
      </tp>
      <tp t="s">
        <v>#N/A N/A</v>
        <stp/>
        <stp>BDP|10081035807988698009</stp>
        <tr r="C965" s="2"/>
      </tp>
      <tp t="s">
        <v>#N/A N/A</v>
        <stp/>
        <stp>BDP|14441276577359765013</stp>
        <tr r="F80" s="2"/>
      </tp>
      <tp t="s">
        <v>#N/A N/A</v>
        <stp/>
        <stp>BDP|10012731225538283569</stp>
        <tr r="H2016" s="2"/>
      </tp>
      <tp t="s">
        <v>#N/A N/A</v>
        <stp/>
        <stp>BDP|17005024105048453715</stp>
        <tr r="A1242" s="2"/>
      </tp>
      <tp t="s">
        <v>#N/A N/A</v>
        <stp/>
        <stp>BDP|18379737630095604144</stp>
        <tr r="G129" s="2"/>
      </tp>
      <tp t="s">
        <v>#N/A N/A</v>
        <stp/>
        <stp>BDP|10256549697207725337</stp>
        <tr r="B4887" s="2"/>
      </tp>
      <tp t="s">
        <v>#N/A N/A</v>
        <stp/>
        <stp>BDP|15951966120823381598</stp>
        <tr r="I167" s="2"/>
      </tp>
      <tp t="s">
        <v>#N/A N/A</v>
        <stp/>
        <stp>BDP|16390034845843191916</stp>
        <tr r="D334" s="2"/>
      </tp>
      <tp t="s">
        <v>#N/A N/A</v>
        <stp/>
        <stp>BDP|16902422308812742814</stp>
        <tr r="H22" s="2"/>
      </tp>
      <tp t="s">
        <v>#N/A N/A</v>
        <stp/>
        <stp>BDP|12295669980321594543</stp>
        <tr r="H4060" s="2"/>
      </tp>
      <tp t="s">
        <v>#N/A N/A</v>
        <stp/>
        <stp>BDP|13476845014950146206</stp>
        <tr r="A1851" s="2"/>
      </tp>
      <tp t="s">
        <v>#N/A N/A</v>
        <stp/>
        <stp>BDP|17094022465141327811</stp>
        <tr r="I851" s="2"/>
      </tp>
      <tp t="s">
        <v>#N/A N/A</v>
        <stp/>
        <stp>BDP|11387175963246103837</stp>
        <tr r="C1948" s="2"/>
      </tp>
      <tp t="s">
        <v>#N/A N/A</v>
        <stp/>
        <stp>BDP|16719589781255971625</stp>
        <tr r="G2727" s="2"/>
      </tp>
      <tp t="s">
        <v>#N/A N/A</v>
        <stp/>
        <stp>BDP|13609925155101536618</stp>
        <tr r="C3146" s="2"/>
      </tp>
      <tp t="s">
        <v>#N/A N/A</v>
        <stp/>
        <stp>BDP|14318275253628252308</stp>
        <tr r="I4700" s="2"/>
      </tp>
      <tp t="s">
        <v>#N/A N/A</v>
        <stp/>
        <stp>BDP|17495457635071690978</stp>
        <tr r="I3724" s="2"/>
      </tp>
      <tp t="s">
        <v>#N/A N/A</v>
        <stp/>
        <stp>BDP|12632388046334830954</stp>
        <tr r="B3921" s="2"/>
      </tp>
      <tp t="s">
        <v>#N/A N/A</v>
        <stp/>
        <stp>BDP|15554326573451014819</stp>
        <tr r="G3727" s="2"/>
      </tp>
      <tp t="s">
        <v>#N/A N/A</v>
        <stp/>
        <stp>BDP|12887878329739604958</stp>
        <tr r="F4243" s="2"/>
      </tp>
      <tp t="s">
        <v>#N/A N/A</v>
        <stp/>
        <stp>BDP|14469108603808401568</stp>
        <tr r="D2596" s="2"/>
      </tp>
      <tp t="s">
        <v>#N/A N/A</v>
        <stp/>
        <stp>BDP|12931404802278989673</stp>
        <tr r="G4364" s="2"/>
      </tp>
      <tp t="s">
        <v>#N/A N/A</v>
        <stp/>
        <stp>BDP|13485369593356583714</stp>
        <tr r="H1634" s="2"/>
      </tp>
      <tp t="s">
        <v>#N/A N/A</v>
        <stp/>
        <stp>BDP|15231938513650447537</stp>
        <tr r="G76" s="2"/>
      </tp>
      <tp t="s">
        <v>#N/A N/A</v>
        <stp/>
        <stp>BDP|12296987272313524781</stp>
        <tr r="I3543" s="2"/>
      </tp>
      <tp t="s">
        <v>#N/A N/A</v>
        <stp/>
        <stp>BDP|15320744650026707958</stp>
        <tr r="A1715" s="2"/>
      </tp>
      <tp t="s">
        <v>#N/A N/A</v>
        <stp/>
        <stp>BDP|18251633024642687666</stp>
        <tr r="D1777" s="2"/>
      </tp>
      <tp t="s">
        <v>#N/A N/A</v>
        <stp/>
        <stp>BDP|11699716897507445013</stp>
        <tr r="I4272" s="2"/>
      </tp>
      <tp t="s">
        <v>#N/A N/A</v>
        <stp/>
        <stp>BDP|10375528611608504404</stp>
        <tr r="I683" s="2"/>
      </tp>
      <tp t="s">
        <v>#N/A N/A</v>
        <stp/>
        <stp>BDP|10823170710440227889</stp>
        <tr r="B2472" s="2"/>
      </tp>
      <tp t="s">
        <v>#N/A N/A</v>
        <stp/>
        <stp>BDP|16412559612132247840</stp>
        <tr r="D3641" s="2"/>
      </tp>
      <tp t="s">
        <v>#N/A N/A</v>
        <stp/>
        <stp>BDP|12777696980934252091</stp>
        <tr r="A1928" s="2"/>
      </tp>
      <tp t="s">
        <v>#N/A N/A</v>
        <stp/>
        <stp>BDP|17793675981079682828</stp>
        <tr r="C4335" s="2"/>
      </tp>
      <tp t="s">
        <v>#N/A N/A</v>
        <stp/>
        <stp>BDP|10039886010930553185</stp>
        <tr r="D3274" s="2"/>
      </tp>
      <tp t="s">
        <v>#N/A N/A</v>
        <stp/>
        <stp>BDP|17453624181096183735</stp>
        <tr r="C824" s="2"/>
      </tp>
      <tp t="s">
        <v>#N/A N/A</v>
        <stp/>
        <stp>BDP|13058975623887323726</stp>
        <tr r="A1609" s="2"/>
      </tp>
      <tp t="s">
        <v>#N/A N/A</v>
        <stp/>
        <stp>BDP|13965811325805047487</stp>
        <tr r="F2801" s="2"/>
      </tp>
      <tp t="s">
        <v>#N/A N/A</v>
        <stp/>
        <stp>BDP|12694904800276143528</stp>
        <tr r="A1205" s="2"/>
      </tp>
      <tp t="s">
        <v>#N/A N/A</v>
        <stp/>
        <stp>BDP|16563727111918637058</stp>
        <tr r="B1860" s="2"/>
      </tp>
      <tp t="s">
        <v>#N/A N/A</v>
        <stp/>
        <stp>BDP|10944663332575073886</stp>
        <tr r="A453" s="2"/>
      </tp>
      <tp t="s">
        <v>#N/A N/A</v>
        <stp/>
        <stp>BDP|17030357281596138201</stp>
        <tr r="A1864" s="2"/>
      </tp>
      <tp t="s">
        <v>#N/A N/A</v>
        <stp/>
        <stp>BDP|13205934957380456771</stp>
        <tr r="A4809" s="2"/>
      </tp>
      <tp t="s">
        <v>#N/A N/A</v>
        <stp/>
        <stp>BDP|13800001084395831613</stp>
        <tr r="B2013" s="2"/>
      </tp>
      <tp t="s">
        <v>#N/A N/A</v>
        <stp/>
        <stp>BDP|12044728515919210506</stp>
        <tr r="F3391" s="2"/>
      </tp>
      <tp t="s">
        <v>#N/A N/A</v>
        <stp/>
        <stp>BDP|14463727865549020467</stp>
        <tr r="C152" s="2"/>
      </tp>
      <tp t="s">
        <v>#N/A N/A</v>
        <stp/>
        <stp>BDP|10321174295724674427</stp>
        <tr r="A463" s="2"/>
      </tp>
      <tp t="s">
        <v>#N/A N/A</v>
        <stp/>
        <stp>BDP|13159505491626118146</stp>
        <tr r="F4906" s="2"/>
      </tp>
      <tp t="s">
        <v>#N/A N/A</v>
        <stp/>
        <stp>BDP|15069755616692500934</stp>
        <tr r="D4002" s="2"/>
      </tp>
      <tp t="s">
        <v>#N/A N/A</v>
        <stp/>
        <stp>BDP|17548684751445107984</stp>
        <tr r="C4778" s="2"/>
      </tp>
      <tp t="s">
        <v>#N/A N/A</v>
        <stp/>
        <stp>BDP|11563678992450397663</stp>
        <tr r="D1232" s="2"/>
      </tp>
      <tp t="s">
        <v>#N/A N/A</v>
        <stp/>
        <stp>BDP|16110950892376744846</stp>
        <tr r="I2372" s="2"/>
      </tp>
      <tp t="s">
        <v>#N/A N/A</v>
        <stp/>
        <stp>BDP|11741959029834947671</stp>
        <tr r="H109" s="2"/>
      </tp>
      <tp t="s">
        <v>#N/A N/A</v>
        <stp/>
        <stp>BDP|18304070660945698377</stp>
        <tr r="I2069" s="2"/>
      </tp>
      <tp t="s">
        <v>#N/A N/A</v>
        <stp/>
        <stp>BDP|10968276892434819712</stp>
        <tr r="C189" s="2"/>
      </tp>
      <tp t="s">
        <v>#N/A N/A</v>
        <stp/>
        <stp>BDP|14469901357446709614</stp>
        <tr r="G4833" s="2"/>
      </tp>
      <tp t="s">
        <v>#N/A N/A</v>
        <stp/>
        <stp>BDP|18299498394718927532</stp>
        <tr r="B3633" s="2"/>
      </tp>
      <tp t="s">
        <v>#N/A N/A</v>
        <stp/>
        <stp>BDP|16323497393282550194</stp>
        <tr r="B4895" s="2"/>
      </tp>
      <tp t="s">
        <v>#N/A N/A</v>
        <stp/>
        <stp>BDP|10090548512268668453</stp>
        <tr r="B3512" s="2"/>
      </tp>
      <tp t="s">
        <v>#N/A N/A</v>
        <stp/>
        <stp>BDP|11125206576328508471</stp>
        <tr r="I4716" s="2"/>
      </tp>
      <tp t="s">
        <v>#N/A N/A</v>
        <stp/>
        <stp>BDP|11979724519398660710</stp>
        <tr r="A4087" s="2"/>
      </tp>
      <tp t="s">
        <v>#N/A N/A</v>
        <stp/>
        <stp>BDP|11220003617388269022</stp>
        <tr r="F1753" s="2"/>
      </tp>
      <tp t="s">
        <v>#N/A N/A</v>
        <stp/>
        <stp>BDP|10501469496577221228</stp>
        <tr r="C1056" s="2"/>
      </tp>
      <tp t="s">
        <v>#N/A N/A</v>
        <stp/>
        <stp>BDP|12763127261548957587</stp>
        <tr r="G4626" s="2"/>
      </tp>
      <tp t="s">
        <v>#N/A N/A</v>
        <stp/>
        <stp>BDP|12579886148752810482</stp>
        <tr r="C2157" s="2"/>
      </tp>
      <tp t="s">
        <v>#N/A N/A</v>
        <stp/>
        <stp>BDP|12469937149656352187</stp>
        <tr r="F4282" s="2"/>
      </tp>
      <tp t="s">
        <v>#N/A N/A</v>
        <stp/>
        <stp>BDP|11739903752292609767</stp>
        <tr r="D3689" s="2"/>
      </tp>
      <tp t="s">
        <v>#N/A N/A</v>
        <stp/>
        <stp>BDP|11501337713748927397</stp>
        <tr r="H3789" s="2"/>
      </tp>
      <tp t="s">
        <v>#N/A N/A</v>
        <stp/>
        <stp>BDP|17510817302422674550</stp>
        <tr r="H2065" s="2"/>
      </tp>
      <tp t="s">
        <v>#N/A N/A</v>
        <stp/>
        <stp>BDP|17950141486530872663</stp>
        <tr r="F1905" s="2"/>
      </tp>
      <tp t="s">
        <v>#N/A N/A</v>
        <stp/>
        <stp>BDP|12497933761646792340</stp>
        <tr r="H2013" s="2"/>
      </tp>
      <tp t="s">
        <v>#N/A N/A</v>
        <stp/>
        <stp>BDP|17501405600413206824</stp>
        <tr r="D1719" s="2"/>
      </tp>
      <tp t="s">
        <v>#N/A N/A</v>
        <stp/>
        <stp>BDP|17770707456535515811</stp>
        <tr r="D111" s="2"/>
      </tp>
      <tp t="s">
        <v>#N/A N/A</v>
        <stp/>
        <stp>BDP|12669580327654875943</stp>
        <tr r="I1617" s="2"/>
      </tp>
      <tp t="s">
        <v>#N/A N/A</v>
        <stp/>
        <stp>BDP|15764956165826482464</stp>
        <tr r="D2087" s="2"/>
      </tp>
      <tp t="s">
        <v>#N/A N/A</v>
        <stp/>
        <stp>BDP|10157035593459611821</stp>
        <tr r="A2894" s="2"/>
      </tp>
      <tp t="s">
        <v>#N/A N/A</v>
        <stp/>
        <stp>BDP|12190371844184483935</stp>
        <tr r="A873" s="2"/>
      </tp>
      <tp t="s">
        <v>#N/A N/A</v>
        <stp/>
        <stp>BDP|10433580138097296921</stp>
        <tr r="H3470" s="2"/>
      </tp>
      <tp t="s">
        <v>#N/A N/A</v>
        <stp/>
        <stp>BDP|18201375270970379420</stp>
        <tr r="I4170" s="2"/>
      </tp>
      <tp t="s">
        <v>#N/A N/A</v>
        <stp/>
        <stp>BDP|11007405995214181004</stp>
        <tr r="B2105" s="2"/>
      </tp>
      <tp t="s">
        <v>#N/A N/A</v>
        <stp/>
        <stp>BDP|14519803701951121512</stp>
        <tr r="I1206" s="2"/>
      </tp>
      <tp t="s">
        <v>#N/A N/A</v>
        <stp/>
        <stp>BDP|13195299798602591214</stp>
        <tr r="B3969" s="2"/>
      </tp>
      <tp t="s">
        <v>#N/A N/A</v>
        <stp/>
        <stp>BDP|15019415008511593882</stp>
        <tr r="B2547" s="2"/>
      </tp>
      <tp t="s">
        <v>#N/A N/A</v>
        <stp/>
        <stp>BDP|17684696795756770694</stp>
        <tr r="F2695" s="2"/>
      </tp>
      <tp t="s">
        <v>#N/A N/A</v>
        <stp/>
        <stp>BDP|17416073642978057354</stp>
        <tr r="C2559" s="2"/>
      </tp>
      <tp t="s">
        <v>#N/A N/A</v>
        <stp/>
        <stp>BDP|14743756026370186913</stp>
        <tr r="H3326" s="2"/>
      </tp>
      <tp t="s">
        <v>#N/A N/A</v>
        <stp/>
        <stp>BDP|18140639351103746001</stp>
        <tr r="A2625" s="2"/>
      </tp>
      <tp t="s">
        <v>#N/A N/A</v>
        <stp/>
        <stp>BDP|13585143719803434889</stp>
        <tr r="D1338" s="2"/>
      </tp>
      <tp t="s">
        <v>#N/A N/A</v>
        <stp/>
        <stp>BDP|10751119372627843987</stp>
        <tr r="F3755" s="2"/>
      </tp>
      <tp t="s">
        <v>#N/A N/A</v>
        <stp/>
        <stp>BDP|14520176604989547471</stp>
        <tr r="G1368" s="2"/>
      </tp>
      <tp t="s">
        <v>#N/A N/A</v>
        <stp/>
        <stp>BDP|12283337007521369814</stp>
        <tr r="C1640" s="2"/>
      </tp>
      <tp t="s">
        <v>#N/A N/A</v>
        <stp/>
        <stp>BDP|18222204844967717156</stp>
        <tr r="B4894" s="2"/>
      </tp>
      <tp t="s">
        <v>#N/A N/A</v>
        <stp/>
        <stp>BDP|10908060986304836458</stp>
        <tr r="A1818" s="2"/>
      </tp>
      <tp t="s">
        <v>#N/A N/A</v>
        <stp/>
        <stp>BDP|12406614739778195792</stp>
        <tr r="I291" s="2"/>
      </tp>
      <tp t="s">
        <v>#N/A N/A</v>
        <stp/>
        <stp>BDP|10282285992104869742</stp>
        <tr r="I3476" s="2"/>
      </tp>
      <tp t="s">
        <v>#N/A N/A</v>
        <stp/>
        <stp>BDP|14717804665416476429</stp>
        <tr r="H2356" s="2"/>
      </tp>
      <tp t="s">
        <v>#N/A N/A</v>
        <stp/>
        <stp>BDP|15730836352387413769</stp>
        <tr r="B2768" s="2"/>
      </tp>
      <tp t="s">
        <v>#N/A N/A</v>
        <stp/>
        <stp>BDP|15333846996845575904</stp>
        <tr r="H2528" s="2"/>
      </tp>
      <tp t="s">
        <v>#N/A N/A</v>
        <stp/>
        <stp>BDP|18080132339331875360</stp>
        <tr r="A656" s="2"/>
      </tp>
      <tp t="s">
        <v>#N/A N/A</v>
        <stp/>
        <stp>BDP|10485361292401327371</stp>
        <tr r="A403" s="2"/>
      </tp>
      <tp t="s">
        <v>#N/A N/A</v>
        <stp/>
        <stp>BDP|15707047601675365859</stp>
        <tr r="G2657" s="2"/>
      </tp>
      <tp t="s">
        <v>#N/A N/A</v>
        <stp/>
        <stp>BDP|12286658235087587835</stp>
        <tr r="D2501" s="2"/>
      </tp>
      <tp t="s">
        <v>#N/A N/A</v>
        <stp/>
        <stp>BDP|14242836216707505268</stp>
        <tr r="A4701" s="2"/>
      </tp>
      <tp t="s">
        <v>#N/A N/A</v>
        <stp/>
        <stp>BDP|17009517530400669938</stp>
        <tr r="B1870" s="2"/>
      </tp>
      <tp t="s">
        <v>#N/A N/A</v>
        <stp/>
        <stp>BDP|18226925607788697155</stp>
        <tr r="B336" s="2"/>
      </tp>
      <tp t="s">
        <v>#N/A N/A</v>
        <stp/>
        <stp>BDP|14611614457877189859</stp>
        <tr r="G3634" s="2"/>
      </tp>
      <tp t="s">
        <v>#N/A N/A</v>
        <stp/>
        <stp>BDP|17398816392958289662</stp>
        <tr r="B1458" s="2"/>
      </tp>
      <tp t="s">
        <v>#N/A N/A</v>
        <stp/>
        <stp>BDP|11017948951193901684</stp>
        <tr r="A2648" s="2"/>
      </tp>
      <tp t="s">
        <v>#N/A N/A</v>
        <stp/>
        <stp>BDP|16194551186557182479</stp>
        <tr r="D4599" s="2"/>
      </tp>
      <tp t="s">
        <v>#N/A N/A</v>
        <stp/>
        <stp>BDP|12764628606089642519</stp>
        <tr r="F4235" s="2"/>
      </tp>
      <tp t="s">
        <v>#N/A N/A</v>
        <stp/>
        <stp>BDP|10500025743919393536</stp>
        <tr r="I1642" s="2"/>
      </tp>
      <tp t="s">
        <v>#N/A N/A</v>
        <stp/>
        <stp>BDP|10547543076868187224</stp>
        <tr r="F394" s="2"/>
      </tp>
      <tp t="s">
        <v>#N/A N/A</v>
        <stp/>
        <stp>BDP|13468356902431418937</stp>
        <tr r="D3529" s="2"/>
      </tp>
      <tp t="s">
        <v>#N/A N/A</v>
        <stp/>
        <stp>BDP|16226262044758309075</stp>
        <tr r="C392" s="2"/>
      </tp>
      <tp t="s">
        <v>#N/A N/A</v>
        <stp/>
        <stp>BDP|10332461580044576047</stp>
        <tr r="D2542" s="2"/>
      </tp>
      <tp t="s">
        <v>#N/A N/A</v>
        <stp/>
        <stp>BDP|15035195619125004845</stp>
        <tr r="D3333" s="2"/>
      </tp>
      <tp t="s">
        <v>#N/A N/A</v>
        <stp/>
        <stp>BDP|13442840146217226006</stp>
        <tr r="F678" s="2"/>
      </tp>
      <tp t="s">
        <v>#N/A N/A</v>
        <stp/>
        <stp>BDP|16529107687124409326</stp>
        <tr r="H1555" s="2"/>
      </tp>
      <tp t="s">
        <v>#N/A N/A</v>
        <stp/>
        <stp>BDP|11425837147795715032</stp>
        <tr r="C4819" s="2"/>
      </tp>
      <tp t="s">
        <v>#N/A N/A</v>
        <stp/>
        <stp>BDP|11579661451279042361</stp>
        <tr r="B1449" s="2"/>
      </tp>
      <tp t="s">
        <v>#N/A N/A</v>
        <stp/>
        <stp>BDP|12662178957899362711</stp>
        <tr r="D3823" s="2"/>
      </tp>
      <tp t="s">
        <v>#N/A N/A</v>
        <stp/>
        <stp>BDP|10104862516128257976</stp>
        <tr r="D4856" s="2"/>
      </tp>
      <tp t="s">
        <v>#N/A N/A</v>
        <stp/>
        <stp>BDP|11290821701998549905</stp>
        <tr r="B1761" s="2"/>
      </tp>
      <tp t="s">
        <v>#N/A N/A</v>
        <stp/>
        <stp>BDP|18066349147906300146</stp>
        <tr r="G503" s="2"/>
      </tp>
      <tp t="s">
        <v>#N/A N/A</v>
        <stp/>
        <stp>BDP|11791640685635782257</stp>
        <tr r="A4044" s="2"/>
      </tp>
      <tp t="s">
        <v>#N/A N/A</v>
        <stp/>
        <stp>BDP|12012612232226254954</stp>
        <tr r="I1581" s="2"/>
      </tp>
      <tp t="s">
        <v>#N/A N/A</v>
        <stp/>
        <stp>BDP|10521447252871447839</stp>
        <tr r="A176" s="2"/>
      </tp>
      <tp t="s">
        <v>#N/A N/A</v>
        <stp/>
        <stp>BDP|16568621980653067337</stp>
        <tr r="G1899" s="2"/>
      </tp>
      <tp t="s">
        <v>#N/A N/A</v>
        <stp/>
        <stp>BDP|12565337341029378401</stp>
        <tr r="A2445" s="2"/>
      </tp>
      <tp t="s">
        <v>#N/A N/A</v>
        <stp/>
        <stp>BDP|11155936937370470350</stp>
        <tr r="C416" s="2"/>
      </tp>
      <tp t="s">
        <v>#N/A N/A</v>
        <stp/>
        <stp>BDP|15871511318868302169</stp>
        <tr r="B35" s="2"/>
      </tp>
      <tp t="s">
        <v>#N/A N/A</v>
        <stp/>
        <stp>BDP|15422964675010371307</stp>
        <tr r="C964" s="2"/>
      </tp>
      <tp t="s">
        <v>#N/A N/A</v>
        <stp/>
        <stp>BDP|14990655288675844788</stp>
        <tr r="A1756" s="2"/>
      </tp>
      <tp t="s">
        <v>#N/A N/A</v>
        <stp/>
        <stp>BDP|13276751476432071953</stp>
        <tr r="F202" s="2"/>
      </tp>
      <tp t="s">
        <v>#N/A N/A</v>
        <stp/>
        <stp>BDP|12628012832629700060</stp>
        <tr r="D1809" s="2"/>
      </tp>
      <tp t="s">
        <v>#N/A N/A</v>
        <stp/>
        <stp>BDP|13346808240034589321</stp>
        <tr r="G4313" s="2"/>
      </tp>
      <tp t="s">
        <v>#N/A N/A</v>
        <stp/>
        <stp>BDP|14714443085047659742</stp>
        <tr r="C3499" s="2"/>
      </tp>
      <tp t="s">
        <v>#N/A N/A</v>
        <stp/>
        <stp>BDP|13347904716312664170</stp>
        <tr r="D4288" s="2"/>
      </tp>
      <tp t="s">
        <v>#N/A N/A</v>
        <stp/>
        <stp>BDP|10370798931399996560</stp>
        <tr r="G3511" s="2"/>
      </tp>
      <tp t="s">
        <v>#N/A N/A</v>
        <stp/>
        <stp>BDP|14292860034220096747</stp>
        <tr r="B2637" s="2"/>
      </tp>
      <tp t="s">
        <v>#N/A N/A</v>
        <stp/>
        <stp>BDP|15255442754638471423</stp>
        <tr r="F3216" s="2"/>
      </tp>
      <tp t="s">
        <v>#N/A N/A</v>
        <stp/>
        <stp>BDP|16334074511707443851</stp>
        <tr r="D2071" s="2"/>
      </tp>
      <tp t="s">
        <v>#N/A N/A</v>
        <stp/>
        <stp>BDP|15675136706295331944</stp>
        <tr r="I1866" s="2"/>
      </tp>
      <tp t="s">
        <v>#N/A N/A</v>
        <stp/>
        <stp>BDP|11892564168969063326</stp>
        <tr r="A2437" s="2"/>
      </tp>
      <tp t="s">
        <v>#N/A N/A</v>
        <stp/>
        <stp>BDP|18423165457170522440</stp>
        <tr r="G1687" s="2"/>
      </tp>
      <tp t="s">
        <v>#N/A N/A</v>
        <stp/>
        <stp>BDP|10825964064105458299</stp>
        <tr r="H3342" s="2"/>
      </tp>
      <tp t="s">
        <v>#N/A N/A</v>
        <stp/>
        <stp>BDP|11568993402240084094</stp>
        <tr r="H117" s="2"/>
      </tp>
      <tp t="s">
        <v>#N/A N/A</v>
        <stp/>
        <stp>BDP|15870903277876871500</stp>
        <tr r="F1237" s="2"/>
      </tp>
      <tp t="s">
        <v>#N/A N/A</v>
        <stp/>
        <stp>BDP|13700726548871815924</stp>
        <tr r="I2229" s="2"/>
      </tp>
      <tp t="s">
        <v>#N/A N/A</v>
        <stp/>
        <stp>BDP|16507095857172898946</stp>
        <tr r="C3413" s="2"/>
      </tp>
      <tp t="s">
        <v>#N/A N/A</v>
        <stp/>
        <stp>BDP|17373219455118755071</stp>
        <tr r="D4829" s="2"/>
      </tp>
      <tp t="s">
        <v>#N/A N/A</v>
        <stp/>
        <stp>BDP|18152081074064276388</stp>
        <tr r="A3241" s="2"/>
      </tp>
      <tp t="s">
        <v>#N/A N/A</v>
        <stp/>
        <stp>BDP|18088945434352705804</stp>
        <tr r="H1349" s="2"/>
      </tp>
      <tp t="s">
        <v>#N/A N/A</v>
        <stp/>
        <stp>BDP|18010344601985415667</stp>
        <tr r="A899" s="2"/>
      </tp>
      <tp t="s">
        <v>#N/A N/A</v>
        <stp/>
        <stp>BDP|14380101696893380710</stp>
        <tr r="F2187" s="2"/>
      </tp>
      <tp t="s">
        <v>#N/A N/A</v>
        <stp/>
        <stp>BDP|15763253849352480987</stp>
        <tr r="A3354" s="2"/>
      </tp>
      <tp t="s">
        <v>#N/A N/A</v>
        <stp/>
        <stp>BDP|17196844721441482478</stp>
        <tr r="I2698" s="2"/>
      </tp>
      <tp t="s">
        <v>#N/A N/A</v>
        <stp/>
        <stp>BDP|17535808574186239640</stp>
        <tr r="C613" s="2"/>
      </tp>
      <tp t="s">
        <v>#N/A N/A</v>
        <stp/>
        <stp>BDP|12190525972928757018</stp>
        <tr r="D2514" s="2"/>
      </tp>
      <tp t="s">
        <v>#N/A N/A</v>
        <stp/>
        <stp>BDP|12006739262243059866</stp>
        <tr r="C1954" s="2"/>
      </tp>
      <tp t="s">
        <v>#N/A N/A</v>
        <stp/>
        <stp>BDP|17882464609368538354</stp>
        <tr r="G4899" s="2"/>
      </tp>
      <tp t="s">
        <v>#N/A N/A</v>
        <stp/>
        <stp>BDP|18028580700810814573</stp>
        <tr r="C674" s="2"/>
      </tp>
      <tp t="s">
        <v>#N/A N/A</v>
        <stp/>
        <stp>BDP|15420093346411853848</stp>
        <tr r="D1652" s="2"/>
      </tp>
      <tp t="s">
        <v>#N/A N/A</v>
        <stp/>
        <stp>BDP|11897672021029115482</stp>
        <tr r="B4821" s="2"/>
      </tp>
      <tp t="s">
        <v>#N/A N/A</v>
        <stp/>
        <stp>BDP|11549431175548389277</stp>
        <tr r="I3852" s="2"/>
      </tp>
      <tp t="s">
        <v>#N/A N/A</v>
        <stp/>
        <stp>BDP|11761149493717605617</stp>
        <tr r="G1599" s="2"/>
      </tp>
      <tp t="s">
        <v>#N/A N/A</v>
        <stp/>
        <stp>BDP|13122369435122374962</stp>
        <tr r="I4609" s="2"/>
      </tp>
      <tp t="s">
        <v>#N/A N/A</v>
        <stp/>
        <stp>BDP|11678196698985474440</stp>
        <tr r="G3052" s="2"/>
      </tp>
      <tp t="s">
        <v>#N/A N/A</v>
        <stp/>
        <stp>BDP|10109828601720682039</stp>
        <tr r="A1023" s="2"/>
      </tp>
      <tp t="s">
        <v>#N/A N/A</v>
        <stp/>
        <stp>BDP|13489571262220510834</stp>
        <tr r="G1446" s="2"/>
      </tp>
      <tp t="s">
        <v>#N/A N/A</v>
        <stp/>
        <stp>BDP|16997082795803349409</stp>
        <tr r="F4135" s="2"/>
      </tp>
      <tp t="s">
        <v>#N/A N/A</v>
        <stp/>
        <stp>BDP|17080999808063287547</stp>
        <tr r="D3800" s="2"/>
      </tp>
      <tp t="s">
        <v>#N/A N/A</v>
        <stp/>
        <stp>BDP|13410043622988649131</stp>
        <tr r="G252" s="2"/>
      </tp>
      <tp t="s">
        <v>#N/A N/A</v>
        <stp/>
        <stp>BDP|14010725503833130871</stp>
        <tr r="C2920" s="2"/>
      </tp>
      <tp t="s">
        <v>#N/A N/A</v>
        <stp/>
        <stp>BDP|11006338125481671976</stp>
        <tr r="I1196" s="2"/>
      </tp>
      <tp t="s">
        <v>#N/A N/A</v>
        <stp/>
        <stp>BDP|18408026922103488172</stp>
        <tr r="C4125" s="2"/>
      </tp>
      <tp t="s">
        <v>#N/A N/A</v>
        <stp/>
        <stp>BDP|10402858923580796229</stp>
        <tr r="A4512" s="2"/>
      </tp>
      <tp t="s">
        <v>#N/A N/A</v>
        <stp/>
        <stp>BDP|15119509600369568130</stp>
        <tr r="B4853" s="2"/>
      </tp>
      <tp t="s">
        <v>#N/A N/A</v>
        <stp/>
        <stp>BDP|15285924034072052534</stp>
        <tr r="B4392" s="2"/>
      </tp>
      <tp t="s">
        <v>#N/A N/A</v>
        <stp/>
        <stp>BDP|18142101576921777776</stp>
        <tr r="B615" s="2"/>
      </tp>
      <tp t="s">
        <v>#N/A N/A</v>
        <stp/>
        <stp>BDP|17051774112988504174</stp>
        <tr r="I4648" s="2"/>
      </tp>
      <tp t="s">
        <v>#N/A N/A</v>
        <stp/>
        <stp>BDP|15094678979148992405</stp>
        <tr r="B4858" s="2"/>
      </tp>
      <tp t="s">
        <v>#N/A N/A</v>
        <stp/>
        <stp>BDP|13893790244038258000</stp>
        <tr r="H2783" s="2"/>
      </tp>
      <tp t="s">
        <v>#N/A N/A</v>
        <stp/>
        <stp>BDP|11595157404230311801</stp>
        <tr r="D3481" s="2"/>
      </tp>
      <tp t="s">
        <v>#N/A N/A</v>
        <stp/>
        <stp>BDP|17186044503447174803</stp>
        <tr r="D3977" s="2"/>
      </tp>
      <tp t="s">
        <v>#N/A N/A</v>
        <stp/>
        <stp>BDP|16686383237746962876</stp>
        <tr r="A1737" s="2"/>
      </tp>
      <tp t="s">
        <v>#N/A N/A</v>
        <stp/>
        <stp>BDP|11624044460689362665</stp>
        <tr r="D2473" s="2"/>
      </tp>
      <tp t="s">
        <v>#N/A N/A</v>
        <stp/>
        <stp>BDP|16325727414311054920</stp>
        <tr r="I4956" s="2"/>
      </tp>
      <tp t="s">
        <v>#N/A N/A</v>
        <stp/>
        <stp>BDP|14343866612310943596</stp>
        <tr r="G4024" s="2"/>
      </tp>
      <tp t="s">
        <v>#N/A N/A</v>
        <stp/>
        <stp>BDP|14576434783081087129</stp>
        <tr r="A4816" s="2"/>
      </tp>
      <tp t="s">
        <v>#N/A N/A</v>
        <stp/>
        <stp>BDP|16444843500422726403</stp>
        <tr r="H3760" s="2"/>
      </tp>
      <tp t="s">
        <v>#N/A N/A</v>
        <stp/>
        <stp>BDP|18443812384475571537</stp>
        <tr r="F4116" s="2"/>
      </tp>
      <tp t="s">
        <v>#N/A N/A</v>
        <stp/>
        <stp>BDP|14744475183612165253</stp>
        <tr r="C3968" s="2"/>
      </tp>
      <tp t="s">
        <v>#N/A N/A</v>
        <stp/>
        <stp>BDP|12204420506579705767</stp>
        <tr r="A990" s="2"/>
      </tp>
      <tp t="s">
        <v>#N/A N/A</v>
        <stp/>
        <stp>BDP|15552602992452763074</stp>
        <tr r="F937" s="2"/>
      </tp>
      <tp t="s">
        <v>#N/A N/A</v>
        <stp/>
        <stp>BDP|13107208197470898094</stp>
        <tr r="B4142" s="2"/>
      </tp>
      <tp t="s">
        <v>#N/A N/A</v>
        <stp/>
        <stp>BDP|11210355491050419354</stp>
        <tr r="F3291" s="2"/>
      </tp>
      <tp t="s">
        <v>#N/A N/A</v>
        <stp/>
        <stp>BDP|14121695959139533634</stp>
        <tr r="H1072" s="2"/>
      </tp>
      <tp t="s">
        <v>#N/A N/A</v>
        <stp/>
        <stp>BDP|16205892529433413716</stp>
        <tr r="B1357" s="2"/>
      </tp>
      <tp t="s">
        <v>#N/A N/A</v>
        <stp/>
        <stp>BDP|17700504297382641113</stp>
        <tr r="F4326" s="2"/>
      </tp>
      <tp t="s">
        <v>#N/A N/A</v>
        <stp/>
        <stp>BDP|12361967034041521133</stp>
        <tr r="A195" s="2"/>
      </tp>
      <tp t="s">
        <v>#N/A N/A</v>
        <stp/>
        <stp>BDP|14514396107078905757</stp>
        <tr r="F4616" s="2"/>
      </tp>
      <tp t="s">
        <v>#N/A N/A</v>
        <stp/>
        <stp>BDP|17359052140579068214</stp>
        <tr r="F3981" s="2"/>
      </tp>
      <tp t="s">
        <v>#N/A N/A</v>
        <stp/>
        <stp>BDP|15047184289847001368</stp>
        <tr r="F1733" s="2"/>
      </tp>
      <tp t="s">
        <v>#N/A N/A</v>
        <stp/>
        <stp>BDP|17478883147081863242</stp>
        <tr r="G4097" s="2"/>
      </tp>
      <tp t="s">
        <v>#N/A N/A</v>
        <stp/>
        <stp>BDP|11030511164698571274</stp>
        <tr r="G276" s="2"/>
      </tp>
      <tp t="s">
        <v>#N/A N/A</v>
        <stp/>
        <stp>BDP|14153883758121451025</stp>
        <tr r="D3794" s="2"/>
      </tp>
      <tp t="s">
        <v>#N/A N/A</v>
        <stp/>
        <stp>BDP|17864805927091075483</stp>
        <tr r="H2325" s="2"/>
      </tp>
      <tp t="s">
        <v>#N/A N/A</v>
        <stp/>
        <stp>BDP|13674075992530695228</stp>
        <tr r="I908" s="2"/>
      </tp>
      <tp t="s">
        <v>#N/A N/A</v>
        <stp/>
        <stp>BDP|16549071203036503833</stp>
        <tr r="G1778" s="2"/>
      </tp>
      <tp t="s">
        <v>#N/A N/A</v>
        <stp/>
        <stp>BDP|17148841932467432344</stp>
        <tr r="G3569" s="2"/>
      </tp>
      <tp t="s">
        <v>#N/A N/A</v>
        <stp/>
        <stp>BDP|15362351714519750621</stp>
        <tr r="I143" s="2"/>
      </tp>
      <tp t="s">
        <v>#N/A N/A</v>
        <stp/>
        <stp>BDP|17891169278758580149</stp>
        <tr r="H474" s="2"/>
      </tp>
      <tp t="s">
        <v>#N/A N/A</v>
        <stp/>
        <stp>BDP|12166935300280276373</stp>
        <tr r="H4825" s="2"/>
      </tp>
      <tp t="s">
        <v>#N/A N/A</v>
        <stp/>
        <stp>BDP|17312563346407402903</stp>
        <tr r="G997" s="2"/>
      </tp>
      <tp t="s">
        <v>#N/A N/A</v>
        <stp/>
        <stp>BDP|10825751188181550673</stp>
        <tr r="I3761" s="2"/>
      </tp>
      <tp t="s">
        <v>#N/A N/A</v>
        <stp/>
        <stp>BDP|15529710670839493477</stp>
        <tr r="H872" s="2"/>
      </tp>
      <tp t="s">
        <v>#N/A N/A</v>
        <stp/>
        <stp>BDP|16970190303249121653</stp>
        <tr r="G3860" s="2"/>
      </tp>
      <tp t="s">
        <v>#N/A N/A</v>
        <stp/>
        <stp>BDP|16577742757909811599</stp>
        <tr r="G588" s="2"/>
      </tp>
      <tp t="s">
        <v>#N/A N/A</v>
        <stp/>
        <stp>BDP|15579277603917366844</stp>
        <tr r="C2390" s="2"/>
      </tp>
      <tp t="s">
        <v>#N/A N/A</v>
        <stp/>
        <stp>BDP|10007580285312300788</stp>
        <tr r="F3690" s="2"/>
      </tp>
      <tp t="s">
        <v>#N/A N/A</v>
        <stp/>
        <stp>BDP|14632468117208934181</stp>
        <tr r="B3887" s="2"/>
      </tp>
      <tp t="s">
        <v>#N/A N/A</v>
        <stp/>
        <stp>BDP|14826594548948871573</stp>
        <tr r="F4138" s="2"/>
      </tp>
      <tp t="s">
        <v>#N/A N/A</v>
        <stp/>
        <stp>BDP|17780155720255169953</stp>
        <tr r="D1714" s="2"/>
      </tp>
      <tp t="s">
        <v>#N/A N/A</v>
        <stp/>
        <stp>BDP|12881126755457979907</stp>
        <tr r="F4167" s="2"/>
      </tp>
      <tp t="s">
        <v>#N/A N/A</v>
        <stp/>
        <stp>BDP|15789935132472535550</stp>
        <tr r="F3423" s="2"/>
      </tp>
      <tp t="s">
        <v>#N/A N/A</v>
        <stp/>
        <stp>BDP|13092963472537670242</stp>
        <tr r="H293" s="2"/>
      </tp>
      <tp t="s">
        <v>#N/A N/A</v>
        <stp/>
        <stp>BDP|16940809228307614315</stp>
        <tr r="D1102" s="2"/>
      </tp>
      <tp t="s">
        <v>#N/A N/A</v>
        <stp/>
        <stp>BDP|11159042903260981994</stp>
        <tr r="F4554" s="2"/>
      </tp>
      <tp t="s">
        <v>#N/A N/A</v>
        <stp/>
        <stp>BDP|10318893775283886411</stp>
        <tr r="G2738" s="2"/>
      </tp>
      <tp t="s">
        <v>#N/A N/A</v>
        <stp/>
        <stp>BDP|16297551294211607333</stp>
        <tr r="C4495" s="2"/>
      </tp>
      <tp t="s">
        <v>#N/A N/A</v>
        <stp/>
        <stp>BDP|18426335462771686451</stp>
        <tr r="C3131" s="2"/>
      </tp>
      <tp t="s">
        <v>#N/A N/A</v>
        <stp/>
        <stp>BDP|15585735296797453427</stp>
        <tr r="B1728" s="2"/>
      </tp>
      <tp t="s">
        <v>#N/A N/A</v>
        <stp/>
        <stp>BDP|17914540539618565179</stp>
        <tr r="I2740" s="2"/>
      </tp>
      <tp t="s">
        <v>#N/A N/A</v>
        <stp/>
        <stp>BDP|18375206371827491208</stp>
        <tr r="B2606" s="2"/>
      </tp>
      <tp t="s">
        <v>#N/A N/A</v>
        <stp/>
        <stp>BDP|17275820972822403200</stp>
        <tr r="A1083" s="2"/>
      </tp>
      <tp t="s">
        <v>#N/A N/A</v>
        <stp/>
        <stp>BDP|16752611493635089435</stp>
        <tr r="G3505" s="2"/>
      </tp>
      <tp t="s">
        <v>#N/A N/A</v>
        <stp/>
        <stp>BDP|17241777984401086170</stp>
        <tr r="I1841" s="2"/>
      </tp>
      <tp t="s">
        <v>#N/A N/A</v>
        <stp/>
        <stp>BDP|12715261496514629578</stp>
        <tr r="A2023" s="2"/>
      </tp>
      <tp t="s">
        <v>#N/A N/A</v>
        <stp/>
        <stp>BDP|16895180482703789439</stp>
        <tr r="A394" s="2"/>
      </tp>
      <tp t="s">
        <v>#N/A N/A</v>
        <stp/>
        <stp>BDP|13238053185334142759</stp>
        <tr r="B2726" s="2"/>
      </tp>
      <tp t="s">
        <v>#N/A N/A</v>
        <stp/>
        <stp>BDP|14857422564819018780</stp>
        <tr r="C3395" s="2"/>
      </tp>
      <tp t="s">
        <v>#N/A N/A</v>
        <stp/>
        <stp>BDP|16343069098002976524</stp>
        <tr r="D3284" s="2"/>
      </tp>
      <tp t="s">
        <v>#N/A N/A</v>
        <stp/>
        <stp>BDP|16053445417778500309</stp>
        <tr r="C1100" s="2"/>
      </tp>
      <tp t="s">
        <v>#N/A N/A</v>
        <stp/>
        <stp>BDP|15228098807394325996</stp>
        <tr r="C624" s="2"/>
      </tp>
      <tp t="s">
        <v>#N/A N/A</v>
        <stp/>
        <stp>BDP|13358322605050381812</stp>
        <tr r="H1983" s="2"/>
      </tp>
      <tp t="s">
        <v>#N/A N/A</v>
        <stp/>
        <stp>BDP|17803278687640615582</stp>
        <tr r="H1030" s="2"/>
      </tp>
      <tp t="s">
        <v>#N/A N/A</v>
        <stp/>
        <stp>BDP|15596973345661572146</stp>
        <tr r="F4658" s="2"/>
      </tp>
      <tp t="s">
        <v>#N/A N/A</v>
        <stp/>
        <stp>BDP|16531101042939540242</stp>
        <tr r="C4278" s="2"/>
      </tp>
      <tp t="s">
        <v>#N/A N/A</v>
        <stp/>
        <stp>BDP|10013083307839806116</stp>
        <tr r="I3684" s="2"/>
      </tp>
      <tp t="s">
        <v>#N/A N/A</v>
        <stp/>
        <stp>BDP|16107855956893692028</stp>
        <tr r="B3883" s="2"/>
      </tp>
      <tp t="s">
        <v>#N/A N/A</v>
        <stp/>
        <stp>BDP|12917599615319119729</stp>
        <tr r="D3080" s="2"/>
      </tp>
      <tp t="s">
        <v>#N/A N/A</v>
        <stp/>
        <stp>BDP|16066941543011344220</stp>
        <tr r="F330" s="2"/>
      </tp>
      <tp t="s">
        <v>#N/A N/A</v>
        <stp/>
        <stp>BDP|17319243945039122053</stp>
        <tr r="C3827" s="2"/>
      </tp>
      <tp t="s">
        <v>#N/A N/A</v>
        <stp/>
        <stp>BDP|11940257298450528277</stp>
        <tr r="C4319" s="2"/>
      </tp>
      <tp t="s">
        <v>#N/A N/A</v>
        <stp/>
        <stp>BDP|14594900655741449128</stp>
        <tr r="G1638" s="2"/>
      </tp>
      <tp t="s">
        <v>#N/A N/A</v>
        <stp/>
        <stp>BDP|15014250853578145212</stp>
        <tr r="I1799" s="2"/>
      </tp>
      <tp t="s">
        <v>#N/A N/A</v>
        <stp/>
        <stp>BDP|13232623781756419334</stp>
        <tr r="H3148" s="2"/>
      </tp>
      <tp t="s">
        <v>#N/A N/A</v>
        <stp/>
        <stp>BDP|11216142199145844414</stp>
        <tr r="I45" s="2"/>
      </tp>
      <tp t="s">
        <v>#N/A N/A</v>
        <stp/>
        <stp>BDP|18328250568831833508</stp>
        <tr r="H1779" s="2"/>
      </tp>
      <tp t="s">
        <v>#N/A N/A</v>
        <stp/>
        <stp>BDP|15133860937034145276</stp>
        <tr r="A3656" s="2"/>
      </tp>
      <tp t="s">
        <v>#N/A N/A</v>
        <stp/>
        <stp>BDP|11630500249699113185</stp>
        <tr r="F4100" s="2"/>
      </tp>
      <tp t="s">
        <v>#N/A N/A</v>
        <stp/>
        <stp>BDP|13690320007298781022</stp>
        <tr r="G980" s="2"/>
      </tp>
      <tp t="s">
        <v>#N/A N/A</v>
        <stp/>
        <stp>BDP|10246578200615233818</stp>
        <tr r="G788" s="2"/>
      </tp>
      <tp t="s">
        <v>#N/A N/A</v>
        <stp/>
        <stp>BDP|10964701658672233853</stp>
        <tr r="B1557" s="2"/>
      </tp>
      <tp t="s">
        <v>#N/A N/A</v>
        <stp/>
        <stp>BDP|14101587318660795809</stp>
        <tr r="A2135" s="2"/>
      </tp>
      <tp t="s">
        <v>#N/A N/A</v>
        <stp/>
        <stp>BDP|15767687788190598348</stp>
        <tr r="B478" s="2"/>
      </tp>
      <tp t="s">
        <v>#N/A N/A</v>
        <stp/>
        <stp>BDP|14347075647341218973</stp>
        <tr r="C4413" s="2"/>
      </tp>
      <tp t="s">
        <v>#N/A N/A</v>
        <stp/>
        <stp>BDP|14887360997560695694</stp>
        <tr r="H4969" s="2"/>
      </tp>
      <tp t="s">
        <v>#N/A N/A</v>
        <stp/>
        <stp>BDP|12896969465566868353</stp>
        <tr r="A3155" s="2"/>
      </tp>
      <tp t="s">
        <v>#N/A N/A</v>
        <stp/>
        <stp>BDP|10380571073589948388</stp>
        <tr r="I4367" s="2"/>
      </tp>
      <tp t="s">
        <v>#N/A N/A</v>
        <stp/>
        <stp>BDP|15283241744869332272</stp>
        <tr r="D4106" s="2"/>
      </tp>
      <tp t="s">
        <v>#N/A N/A</v>
        <stp/>
        <stp>BDP|18026881011271808876</stp>
        <tr r="B2063" s="2"/>
      </tp>
      <tp t="s">
        <v>#N/A N/A</v>
        <stp/>
        <stp>BDP|17176259239958399689</stp>
        <tr r="A21" s="2"/>
      </tp>
      <tp t="s">
        <v>#N/A N/A</v>
        <stp/>
        <stp>BDP|11239029366887478842</stp>
        <tr r="C3774" s="2"/>
      </tp>
      <tp t="s">
        <v>#N/A N/A</v>
        <stp/>
        <stp>BDP|10721636710038742757</stp>
        <tr r="B4042" s="2"/>
      </tp>
      <tp t="s">
        <v>#N/A N/A</v>
        <stp/>
        <stp>BDP|12900094393225680639</stp>
        <tr r="G1347" s="2"/>
      </tp>
      <tp t="s">
        <v>#N/A N/A</v>
        <stp/>
        <stp>BDP|12214272763959689764</stp>
        <tr r="B4250" s="2"/>
      </tp>
      <tp t="s">
        <v>#N/A N/A</v>
        <stp/>
        <stp>BDP|14882821843587927768</stp>
        <tr r="H2682" s="2"/>
      </tp>
      <tp t="s">
        <v>#N/A N/A</v>
        <stp/>
        <stp>BDP|13811649178852473861</stp>
        <tr r="A641" s="2"/>
      </tp>
      <tp t="s">
        <v>#N/A N/A</v>
        <stp/>
        <stp>BDP|13765101622200413872</stp>
        <tr r="B1377" s="2"/>
      </tp>
      <tp t="s">
        <v>#N/A N/A</v>
        <stp/>
        <stp>BDP|15272479243554761978</stp>
        <tr r="H1374" s="2"/>
      </tp>
      <tp t="s">
        <v>#N/A N/A</v>
        <stp/>
        <stp>BDP|17893930768389698936</stp>
        <tr r="D2685" s="2"/>
      </tp>
      <tp t="s">
        <v>#N/A N/A</v>
        <stp/>
        <stp>BDP|17812885843752269170</stp>
        <tr r="B4525" s="2"/>
      </tp>
      <tp t="s">
        <v>#N/A N/A</v>
        <stp/>
        <stp>BDP|10659573857221350934</stp>
        <tr r="C1589" s="2"/>
      </tp>
      <tp t="s">
        <v>#N/A N/A</v>
        <stp/>
        <stp>BDP|12745401625334272864</stp>
        <tr r="H3274" s="2"/>
      </tp>
      <tp t="s">
        <v>#N/A N/A</v>
        <stp/>
        <stp>BDP|14550233254062246967</stp>
        <tr r="F3941" s="2"/>
      </tp>
      <tp t="s">
        <v>#N/A N/A</v>
        <stp/>
        <stp>BDP|14723120345899465028</stp>
        <tr r="I312" s="2"/>
      </tp>
      <tp t="s">
        <v>#N/A N/A</v>
        <stp/>
        <stp>BDP|14687508088577888609</stp>
        <tr r="A2834" s="2"/>
      </tp>
      <tp t="s">
        <v>#N/A N/A</v>
        <stp/>
        <stp>BDP|18211041100958791874</stp>
        <tr r="B4089" s="2"/>
      </tp>
      <tp t="s">
        <v>#N/A N/A</v>
        <stp/>
        <stp>BDP|11748434648768157049</stp>
        <tr r="D2104" s="2"/>
      </tp>
      <tp t="s">
        <v>#N/A N/A</v>
        <stp/>
        <stp>BDP|16888931120456013227</stp>
        <tr r="A2754" s="2"/>
      </tp>
      <tp t="s">
        <v>#N/A N/A</v>
        <stp/>
        <stp>BDP|10587787962048434027</stp>
        <tr r="G2462" s="2"/>
      </tp>
      <tp t="s">
        <v>#N/A N/A</v>
        <stp/>
        <stp>BDP|11853956666650586776</stp>
        <tr r="D3946" s="2"/>
      </tp>
      <tp t="s">
        <v>#N/A N/A</v>
        <stp/>
        <stp>BDP|17811095733218956528</stp>
        <tr r="B4460" s="2"/>
      </tp>
      <tp t="s">
        <v>#N/A N/A</v>
        <stp/>
        <stp>BDP|11940768341399048270</stp>
        <tr r="B1073" s="2"/>
      </tp>
      <tp t="s">
        <v>#N/A N/A</v>
        <stp/>
        <stp>BDP|16950913147967765512</stp>
        <tr r="D2837" s="2"/>
      </tp>
      <tp t="s">
        <v>#N/A N/A</v>
        <stp/>
        <stp>BDP|16144080815948304664</stp>
        <tr r="B1770" s="2"/>
      </tp>
      <tp t="s">
        <v>#N/A N/A</v>
        <stp/>
        <stp>BDP|13297523146203738882</stp>
        <tr r="G4452" s="2"/>
      </tp>
      <tp t="s">
        <v>#N/A N/A</v>
        <stp/>
        <stp>BDP|16881360846560155801</stp>
        <tr r="A764" s="2"/>
      </tp>
      <tp t="s">
        <v>#N/A N/A</v>
        <stp/>
        <stp>BDP|10239140387577889707</stp>
        <tr r="A307" s="2"/>
      </tp>
      <tp t="s">
        <v>#N/A N/A</v>
        <stp/>
        <stp>BDP|10849098048295063801</stp>
        <tr r="H3992" s="2"/>
      </tp>
      <tp t="s">
        <v>#N/A N/A</v>
        <stp/>
        <stp>BDP|13288847478963680616</stp>
        <tr r="D2334" s="2"/>
      </tp>
      <tp t="s">
        <v>#N/A N/A</v>
        <stp/>
        <stp>BDP|13601648089631774551</stp>
        <tr r="D1139" s="2"/>
      </tp>
      <tp t="s">
        <v>#N/A N/A</v>
        <stp/>
        <stp>BDP|16935944501962737425</stp>
        <tr r="H2033" s="2"/>
      </tp>
      <tp t="s">
        <v>#N/A N/A</v>
        <stp/>
        <stp>BDP|11583512937039945731</stp>
        <tr r="G3097" s="2"/>
      </tp>
      <tp t="s">
        <v>#N/A N/A</v>
        <stp/>
        <stp>BDP|13746538918729673733</stp>
        <tr r="G3362" s="2"/>
      </tp>
      <tp t="s">
        <v>#N/A N/A</v>
        <stp/>
        <stp>BDP|11574482402505596936</stp>
        <tr r="G1097" s="2"/>
      </tp>
      <tp t="s">
        <v>#N/A N/A</v>
        <stp/>
        <stp>BDP|13532640777873674893</stp>
        <tr r="I3011" s="2"/>
      </tp>
      <tp t="s">
        <v>#N/A N/A</v>
        <stp/>
        <stp>BDP|17534600842288762498</stp>
        <tr r="B3879" s="2"/>
      </tp>
      <tp t="s">
        <v>#N/A N/A</v>
        <stp/>
        <stp>BDP|18245197082481295920</stp>
        <tr r="B4241" s="2"/>
      </tp>
      <tp t="s">
        <v>#N/A N/A</v>
        <stp/>
        <stp>BDP|11787070554744401991</stp>
        <tr r="I4804" s="2"/>
      </tp>
      <tp t="s">
        <v>#N/A N/A</v>
        <stp/>
        <stp>BDP|18386322933880396185</stp>
        <tr r="G1915" s="2"/>
      </tp>
      <tp t="s">
        <v>#N/A N/A</v>
        <stp/>
        <stp>BDP|15390949517827865310</stp>
        <tr r="F1730" s="2"/>
      </tp>
      <tp t="s">
        <v>#N/A N/A</v>
        <stp/>
        <stp>BDP|10866966614409217818</stp>
        <tr r="I3510" s="2"/>
      </tp>
      <tp t="s">
        <v>#N/A N/A</v>
        <stp/>
        <stp>BDP|10181730412406126983</stp>
        <tr r="D423" s="2"/>
      </tp>
      <tp t="s">
        <v>#N/A N/A</v>
        <stp/>
        <stp>BDP|16758528095002845115</stp>
        <tr r="D1423" s="2"/>
      </tp>
      <tp t="s">
        <v>#N/A N/A</v>
        <stp/>
        <stp>BDP|10019863419393040369</stp>
        <tr r="B2360" s="2"/>
      </tp>
      <tp t="s">
        <v>#N/A N/A</v>
        <stp/>
        <stp>BDP|10006824793848837003</stp>
        <tr r="C102" s="2"/>
      </tp>
      <tp t="s">
        <v>#N/A N/A</v>
        <stp/>
        <stp>BDP|14601297696845071304</stp>
        <tr r="F2507" s="2"/>
      </tp>
      <tp t="s">
        <v>#N/A N/A</v>
        <stp/>
        <stp>BDP|18369397831231499069</stp>
        <tr r="G4641" s="2"/>
      </tp>
      <tp t="s">
        <v>#N/A N/A</v>
        <stp/>
        <stp>BDP|16495499496227415560</stp>
        <tr r="G4699" s="2"/>
      </tp>
      <tp t="s">
        <v>#N/A N/A</v>
        <stp/>
        <stp>BDP|11806482296660632594</stp>
        <tr r="C2946" s="2"/>
      </tp>
      <tp t="s">
        <v>#N/A N/A</v>
        <stp/>
        <stp>BDP|14534046589411650477</stp>
        <tr r="F4029" s="2"/>
      </tp>
      <tp t="s">
        <v>#N/A N/A</v>
        <stp/>
        <stp>BDP|14061131278773366815</stp>
        <tr r="B4285" s="2"/>
      </tp>
      <tp t="s">
        <v>#N/A N/A</v>
        <stp/>
        <stp>BDP|11780996742112649739</stp>
        <tr r="C3189" s="2"/>
      </tp>
      <tp t="s">
        <v>#N/A N/A</v>
        <stp/>
        <stp>BDP|12675605817645946912</stp>
        <tr r="C806" s="2"/>
      </tp>
      <tp t="s">
        <v>#N/A N/A</v>
        <stp/>
        <stp>BDP|16825701651245073804</stp>
        <tr r="B1144" s="2"/>
      </tp>
      <tp t="s">
        <v>#N/A N/A</v>
        <stp/>
        <stp>BDP|17694789047335217820</stp>
        <tr r="I2876" s="2"/>
      </tp>
      <tp t="s">
        <v>#N/A N/A</v>
        <stp/>
        <stp>BDP|12750721647910985827</stp>
        <tr r="A3245" s="2"/>
      </tp>
      <tp t="s">
        <v>#N/A N/A</v>
        <stp/>
        <stp>BDP|16213655032918560299</stp>
        <tr r="B2429" s="2"/>
      </tp>
      <tp t="s">
        <v>#N/A N/A</v>
        <stp/>
        <stp>BDP|17289950168312090363</stp>
        <tr r="G1503" s="2"/>
      </tp>
      <tp t="s">
        <v>#N/A N/A</v>
        <stp/>
        <stp>BDP|11709980470766640002</stp>
        <tr r="F1035" s="2"/>
      </tp>
      <tp t="s">
        <v>#N/A N/A</v>
        <stp/>
        <stp>BDP|14532729048009197772</stp>
        <tr r="H4104" s="2"/>
      </tp>
      <tp t="s">
        <v>#N/A N/A</v>
        <stp/>
        <stp>BDP|16823878355547478578</stp>
        <tr r="A3523" s="2"/>
      </tp>
      <tp t="s">
        <v>#N/A N/A</v>
        <stp/>
        <stp>BDP|10919408723609671658</stp>
        <tr r="G2812" s="2"/>
      </tp>
      <tp t="s">
        <v>#N/A N/A</v>
        <stp/>
        <stp>BDP|14014201815267832941</stp>
        <tr r="H2877" s="2"/>
      </tp>
      <tp t="s">
        <v>#N/A N/A</v>
        <stp/>
        <stp>BDP|14947171983455443105</stp>
        <tr r="A268" s="2"/>
      </tp>
      <tp t="s">
        <v>#N/A N/A</v>
        <stp/>
        <stp>BDP|15477592264557648864</stp>
        <tr r="C3066" s="2"/>
      </tp>
      <tp t="s">
        <v>#N/A N/A</v>
        <stp/>
        <stp>BDP|14759519087226882601</stp>
        <tr r="H598" s="2"/>
      </tp>
      <tp t="s">
        <v>#N/A N/A</v>
        <stp/>
        <stp>BDP|18137387347473542523</stp>
        <tr r="F300" s="2"/>
      </tp>
      <tp t="s">
        <v>#N/A N/A</v>
        <stp/>
        <stp>BDP|14730995486554162802</stp>
        <tr r="C1201" s="2"/>
      </tp>
      <tp t="s">
        <v>#N/A N/A</v>
        <stp/>
        <stp>BDP|14037577466059834700</stp>
        <tr r="B1925" s="2"/>
      </tp>
      <tp t="s">
        <v>#N/A N/A</v>
        <stp/>
        <stp>BDP|13983209087693440335</stp>
        <tr r="H2043" s="2"/>
      </tp>
      <tp t="s">
        <v>#N/A N/A</v>
        <stp/>
        <stp>BDP|17266378205548087595</stp>
        <tr r="G4110" s="2"/>
      </tp>
      <tp t="s">
        <v>#N/A N/A</v>
        <stp/>
        <stp>BDP|14251543787039063986</stp>
        <tr r="B1967" s="2"/>
      </tp>
      <tp t="s">
        <v>#N/A N/A</v>
        <stp/>
        <stp>BDP|11472286190546009551</stp>
        <tr r="H1427" s="2"/>
      </tp>
      <tp t="s">
        <v>#N/A N/A</v>
        <stp/>
        <stp>BDP|11297260187806841420</stp>
        <tr r="B2843" s="2"/>
      </tp>
      <tp t="s">
        <v>#N/A N/A</v>
        <stp/>
        <stp>BDP|11550641380266062085</stp>
        <tr r="C1359" s="2"/>
      </tp>
      <tp t="s">
        <v>#N/A N/A</v>
        <stp/>
        <stp>BDP|15516520287236030795</stp>
        <tr r="G4633" s="2"/>
      </tp>
      <tp t="s">
        <v>#N/A N/A</v>
        <stp/>
        <stp>BDP|10250817328066435564</stp>
        <tr r="H2269" s="2"/>
      </tp>
      <tp t="s">
        <v>#N/A N/A</v>
        <stp/>
        <stp>BDP|16261455979784109860</stp>
        <tr r="I4094" s="2"/>
      </tp>
      <tp t="s">
        <v>#N/A N/A</v>
        <stp/>
        <stp>BDP|12534139646397116993</stp>
        <tr r="H3003" s="2"/>
      </tp>
      <tp t="s">
        <v>#N/A N/A</v>
        <stp/>
        <stp>BDP|14924368043039751334</stp>
        <tr r="I2894" s="2"/>
      </tp>
      <tp t="s">
        <v>#N/A N/A</v>
        <stp/>
        <stp>BDP|14132848364031102280</stp>
        <tr r="B710" s="2"/>
      </tp>
      <tp t="s">
        <v>#N/A N/A</v>
        <stp/>
        <stp>BDP|17980535174139542533</stp>
        <tr r="I4514" s="2"/>
      </tp>
      <tp t="s">
        <v>#N/A N/A</v>
        <stp/>
        <stp>BDP|15101270976570871908</stp>
        <tr r="C129" s="2"/>
      </tp>
      <tp t="s">
        <v>#N/A N/A</v>
        <stp/>
        <stp>BDP|16248561394803901017</stp>
        <tr r="F990" s="2"/>
      </tp>
      <tp t="s">
        <v>#N/A N/A</v>
        <stp/>
        <stp>BDP|18286784446434163654</stp>
        <tr r="I1833" s="2"/>
      </tp>
      <tp t="s">
        <v>#N/A N/A</v>
        <stp/>
        <stp>BDP|14561322982970801654</stp>
        <tr r="D3814" s="2"/>
      </tp>
      <tp t="s">
        <v>#N/A N/A</v>
        <stp/>
        <stp>BDP|10395183470327680858</stp>
        <tr r="C1074" s="2"/>
      </tp>
      <tp t="s">
        <v>#N/A N/A</v>
        <stp/>
        <stp>BDP|13082187807418649316</stp>
        <tr r="B2471" s="2"/>
      </tp>
      <tp t="s">
        <v>#N/A N/A</v>
        <stp/>
        <stp>BDP|17585098921064502808</stp>
        <tr r="H1314" s="2"/>
      </tp>
      <tp t="s">
        <v>#N/A N/A</v>
        <stp/>
        <stp>BDP|11424186375507392920</stp>
        <tr r="A2990" s="2"/>
      </tp>
      <tp t="s">
        <v>#N/A N/A</v>
        <stp/>
        <stp>BDP|14188503539983933899</stp>
        <tr r="H1860" s="2"/>
      </tp>
      <tp t="s">
        <v>#N/A N/A</v>
        <stp/>
        <stp>BDP|15812305113348267619</stp>
        <tr r="B3283" s="2"/>
      </tp>
      <tp t="s">
        <v>#N/A N/A</v>
        <stp/>
        <stp>BDP|11746535169923579800</stp>
        <tr r="A1869" s="2"/>
      </tp>
      <tp t="s">
        <v>#N/A N/A</v>
        <stp/>
        <stp>BDP|17530529257379149792</stp>
        <tr r="C3889" s="2"/>
      </tp>
      <tp t="s">
        <v>#N/A N/A</v>
        <stp/>
        <stp>BDP|15361679669318227471</stp>
        <tr r="D21" s="2"/>
      </tp>
      <tp t="s">
        <v>#N/A N/A</v>
        <stp/>
        <stp>BDP|10586239458157178979</stp>
        <tr r="C1806" s="2"/>
      </tp>
      <tp t="s">
        <v>#N/A N/A</v>
        <stp/>
        <stp>BDP|14181270720244948970</stp>
        <tr r="H1559" s="2"/>
      </tp>
      <tp t="s">
        <v>#N/A N/A</v>
        <stp/>
        <stp>BDP|18291811141345913834</stp>
        <tr r="I1995" s="2"/>
      </tp>
      <tp t="s">
        <v>#N/A N/A</v>
        <stp/>
        <stp>BDP|13039671855770820929</stp>
        <tr r="G565" s="2"/>
      </tp>
      <tp t="s">
        <v>#N/A N/A</v>
        <stp/>
        <stp>BDP|13484933617015912714</stp>
        <tr r="G287" s="2"/>
      </tp>
      <tp t="s">
        <v>#N/A N/A</v>
        <stp/>
        <stp>BDP|17688472121750874807</stp>
        <tr r="F546" s="2"/>
      </tp>
      <tp t="s">
        <v>#N/A N/A</v>
        <stp/>
        <stp>BDP|18128195922520199236</stp>
        <tr r="F948" s="2"/>
      </tp>
      <tp t="s">
        <v>#N/A N/A</v>
        <stp/>
        <stp>BDP|16093966777061002092</stp>
        <tr r="H2903" s="2"/>
      </tp>
      <tp t="s">
        <v>#N/A N/A</v>
        <stp/>
        <stp>BDP|10536258372618997439</stp>
        <tr r="H1843" s="2"/>
      </tp>
      <tp t="s">
        <v>#N/A N/A</v>
        <stp/>
        <stp>BDP|17682702735492220890</stp>
        <tr r="F1410" s="2"/>
      </tp>
      <tp t="s">
        <v>#N/A N/A</v>
        <stp/>
        <stp>BDP|12380849335323368398</stp>
        <tr r="I1997" s="2"/>
      </tp>
      <tp t="s">
        <v>#N/A N/A</v>
        <stp/>
        <stp>BDP|10028812594970470892</stp>
        <tr r="F2674" s="2"/>
      </tp>
      <tp t="s">
        <v>#N/A N/A</v>
        <stp/>
        <stp>BDP|12529863879064449066</stp>
        <tr r="A2483" s="2"/>
      </tp>
      <tp t="s">
        <v>#N/A N/A</v>
        <stp/>
        <stp>BDP|17122574570268604487</stp>
        <tr r="G2722" s="2"/>
      </tp>
      <tp t="s">
        <v>#N/A N/A</v>
        <stp/>
        <stp>BDP|10147471585051933425</stp>
        <tr r="C2140" s="2"/>
      </tp>
      <tp t="s">
        <v>#N/A N/A</v>
        <stp/>
        <stp>BDP|15884464141869626517</stp>
        <tr r="D4800" s="2"/>
      </tp>
      <tp t="s">
        <v>#N/A N/A</v>
        <stp/>
        <stp>BDP|12221945267373940701</stp>
        <tr r="G4995" s="2"/>
      </tp>
      <tp t="s">
        <v>#N/A N/A</v>
        <stp/>
        <stp>BDP|18403898217430341819</stp>
        <tr r="B7" s="2"/>
      </tp>
      <tp t="s">
        <v>#N/A N/A</v>
        <stp/>
        <stp>BDP|18030126257291952442</stp>
        <tr r="F3289" s="2"/>
      </tp>
      <tp t="s">
        <v>#N/A N/A</v>
        <stp/>
        <stp>BDP|13535560762371090899</stp>
        <tr r="A236" s="2"/>
      </tp>
      <tp t="s">
        <v>#N/A N/A</v>
        <stp/>
        <stp>BDP|16633801399267021972</stp>
        <tr r="G2192" s="2"/>
      </tp>
      <tp t="s">
        <v>#N/A N/A</v>
        <stp/>
        <stp>BDP|13193979652806883040</stp>
        <tr r="A3585" s="2"/>
      </tp>
      <tp t="s">
        <v>#N/A N/A</v>
        <stp/>
        <stp>BDP|10220186322808893285</stp>
        <tr r="A3875" s="2"/>
      </tp>
      <tp t="s">
        <v>#N/A N/A</v>
        <stp/>
        <stp>BDP|13649933300650409396</stp>
        <tr r="I883" s="2"/>
      </tp>
      <tp t="s">
        <v>#N/A N/A</v>
        <stp/>
        <stp>BDP|12493345258928901592</stp>
        <tr r="C4579" s="2"/>
      </tp>
      <tp t="s">
        <v>#N/A N/A</v>
        <stp/>
        <stp>BDP|13513282484267228735</stp>
        <tr r="G3909" s="2"/>
      </tp>
      <tp t="s">
        <v>#N/A N/A</v>
        <stp/>
        <stp>BDP|14581850089839202436</stp>
        <tr r="I344" s="2"/>
      </tp>
      <tp t="s">
        <v>#N/A N/A</v>
        <stp/>
        <stp>BDP|11699985927994995789</stp>
        <tr r="H605" s="2"/>
      </tp>
      <tp t="s">
        <v>#N/A N/A</v>
        <stp/>
        <stp>BDP|13132963509481114270</stp>
        <tr r="C804" s="2"/>
      </tp>
      <tp t="s">
        <v>#N/A N/A</v>
        <stp/>
        <stp>BDP|15994649594510047314</stp>
        <tr r="G762" s="2"/>
      </tp>
      <tp t="s">
        <v>#N/A N/A</v>
        <stp/>
        <stp>BDP|10115715419297029811</stp>
        <tr r="B1069" s="2"/>
      </tp>
      <tp t="s">
        <v>#N/A N/A</v>
        <stp/>
        <stp>BDP|18331320658707866097</stp>
        <tr r="I1627" s="2"/>
      </tp>
      <tp t="s">
        <v>#N/A N/A</v>
        <stp/>
        <stp>BDP|15434301791053815556</stp>
        <tr r="H4216" s="2"/>
      </tp>
      <tp t="s">
        <v>#N/A N/A</v>
        <stp/>
        <stp>BDP|13941255353348664511</stp>
        <tr r="I4442" s="2"/>
      </tp>
      <tp t="s">
        <v>#N/A N/A</v>
        <stp/>
        <stp>BDP|16572419529548371169</stp>
        <tr r="A1789" s="2"/>
      </tp>
      <tp t="s">
        <v>#N/A N/A</v>
        <stp/>
        <stp>BDP|11019851431691459287</stp>
        <tr r="F270" s="2"/>
      </tp>
      <tp t="s">
        <v>#N/A N/A</v>
        <stp/>
        <stp>BDP|12783805899949179377</stp>
        <tr r="C1513" s="2"/>
      </tp>
      <tp t="s">
        <v>#N/A N/A</v>
        <stp/>
        <stp>BDP|12407645775548621289</stp>
        <tr r="G1971" s="2"/>
      </tp>
      <tp t="s">
        <v>#N/A N/A</v>
        <stp/>
        <stp>BDP|16296030069509770040</stp>
        <tr r="H4225" s="2"/>
      </tp>
      <tp t="s">
        <v>#N/A N/A</v>
        <stp/>
        <stp>BDP|13633260770646268999</stp>
        <tr r="C3200" s="2"/>
      </tp>
      <tp t="s">
        <v>#N/A N/A</v>
        <stp/>
        <stp>BDP|15300231485867647187</stp>
        <tr r="B674" s="2"/>
      </tp>
      <tp t="s">
        <v>#N/A N/A</v>
        <stp/>
        <stp>BDP|11225819355013440695</stp>
        <tr r="H2818" s="2"/>
      </tp>
      <tp t="s">
        <v>#N/A N/A</v>
        <stp/>
        <stp>BDP|10921888849496457372</stp>
        <tr r="F567" s="2"/>
      </tp>
      <tp t="s">
        <v>#N/A N/A</v>
        <stp/>
        <stp>BDP|11474414925149239798</stp>
        <tr r="C2676" s="2"/>
      </tp>
      <tp t="s">
        <v>#N/A N/A</v>
        <stp/>
        <stp>BDP|18283077679090031674</stp>
        <tr r="H4357" s="2"/>
      </tp>
      <tp t="s">
        <v>#N/A N/A</v>
        <stp/>
        <stp>BDP|12744633188015668019</stp>
        <tr r="G1457" s="2"/>
      </tp>
      <tp t="s">
        <v>#N/A N/A</v>
        <stp/>
        <stp>BDP|12624084003652218949</stp>
        <tr r="A3444" s="2"/>
      </tp>
      <tp t="s">
        <v>#N/A N/A</v>
        <stp/>
        <stp>BDP|13792962457713412595</stp>
        <tr r="D486" s="2"/>
      </tp>
      <tp t="s">
        <v>#N/A N/A</v>
        <stp/>
        <stp>BDP|13146511983981076683</stp>
        <tr r="D4990" s="2"/>
      </tp>
      <tp t="s">
        <v>#N/A N/A</v>
        <stp/>
        <stp>BDP|12113836733097911739</stp>
        <tr r="B4441" s="2"/>
      </tp>
      <tp t="s">
        <v>#N/A N/A</v>
        <stp/>
        <stp>BDP|10656587740519319169</stp>
        <tr r="G4856" s="2"/>
      </tp>
      <tp t="s">
        <v>#N/A N/A</v>
        <stp/>
        <stp>BDP|13139128676128827467</stp>
        <tr r="I4543" s="2"/>
      </tp>
      <tp t="s">
        <v>#N/A N/A</v>
        <stp/>
        <stp>BDP|15137332694950466691</stp>
        <tr r="G2564" s="2"/>
      </tp>
      <tp t="s">
        <v>#N/A N/A</v>
        <stp/>
        <stp>BDP|16962980902103989510</stp>
        <tr r="C4545" s="2"/>
      </tp>
      <tp t="s">
        <v>#N/A N/A</v>
        <stp/>
        <stp>BDP|12791812368421421413</stp>
        <tr r="G3441" s="2"/>
      </tp>
      <tp t="s">
        <v>#N/A N/A</v>
        <stp/>
        <stp>BDP|16875476476349569579</stp>
        <tr r="G236" s="2"/>
      </tp>
      <tp t="s">
        <v>#N/A N/A</v>
        <stp/>
        <stp>BDP|13196309927638929349</stp>
        <tr r="D1758" s="2"/>
      </tp>
      <tp t="s">
        <v>#N/A N/A</v>
        <stp/>
        <stp>BDP|15431275259968138300</stp>
        <tr r="A2685" s="2"/>
      </tp>
      <tp t="s">
        <v>#N/A N/A</v>
        <stp/>
        <stp>BDP|11992871452271217457</stp>
        <tr r="F672" s="2"/>
      </tp>
      <tp t="s">
        <v>#N/A N/A</v>
        <stp/>
        <stp>BDP|13031917346906513190</stp>
        <tr r="I353" s="2"/>
      </tp>
      <tp t="s">
        <v>#N/A N/A</v>
        <stp/>
        <stp>BDP|13030937478880571458</stp>
        <tr r="I1825" s="2"/>
      </tp>
      <tp t="s">
        <v>#N/A N/A</v>
        <stp/>
        <stp>BDP|14630104040590803851</stp>
        <tr r="B3603" s="2"/>
      </tp>
      <tp t="s">
        <v>#N/A N/A</v>
        <stp/>
        <stp>BDP|13942812415870386355</stp>
        <tr r="A2253" s="2"/>
      </tp>
      <tp t="s">
        <v>#N/A N/A</v>
        <stp/>
        <stp>BDP|12013033927248848177</stp>
        <tr r="C3636" s="2"/>
      </tp>
      <tp t="s">
        <v>#N/A N/A</v>
        <stp/>
        <stp>BDP|12801073294307041507</stp>
        <tr r="H4103" s="2"/>
      </tp>
      <tp t="s">
        <v>#N/A N/A</v>
        <stp/>
        <stp>BDP|10459832019551114141</stp>
        <tr r="I2014" s="2"/>
      </tp>
      <tp t="s">
        <v>#N/A N/A</v>
        <stp/>
        <stp>BDP|10149640256532112892</stp>
        <tr r="D2397" s="2"/>
      </tp>
      <tp t="s">
        <v>#N/A N/A</v>
        <stp/>
        <stp>BDP|17566487568054712892</stp>
        <tr r="G774" s="2"/>
      </tp>
      <tp t="s">
        <v>#N/A N/A</v>
        <stp/>
        <stp>BDP|11927974725951378239</stp>
        <tr r="C2904" s="2"/>
      </tp>
      <tp t="s">
        <v>#N/A N/A</v>
        <stp/>
        <stp>BDP|11657444689142350634</stp>
        <tr r="D2855" s="2"/>
      </tp>
      <tp t="s">
        <v>#N/A N/A</v>
        <stp/>
        <stp>BDP|17609718370807451985</stp>
        <tr r="I4341" s="2"/>
      </tp>
      <tp t="s">
        <v>#N/A N/A</v>
        <stp/>
        <stp>BDP|13178323621428016396</stp>
        <tr r="I3089" s="2"/>
      </tp>
      <tp t="s">
        <v>#N/A N/A</v>
        <stp/>
        <stp>BDP|11245096064476644825</stp>
        <tr r="C1919" s="2"/>
      </tp>
      <tp t="s">
        <v>#N/A N/A</v>
        <stp/>
        <stp>BDP|14331780797157132466</stp>
        <tr r="G3331" s="2"/>
      </tp>
      <tp t="s">
        <v>#N/A N/A</v>
        <stp/>
        <stp>BDP|12742545152269206284</stp>
        <tr r="G874" s="2"/>
      </tp>
      <tp t="s">
        <v>#N/A N/A</v>
        <stp/>
        <stp>BDP|15416890729232730487</stp>
        <tr r="I2395" s="2"/>
      </tp>
      <tp t="s">
        <v>#N/A N/A</v>
        <stp/>
        <stp>BDP|14498142758170746948</stp>
        <tr r="H48" s="2"/>
      </tp>
      <tp t="s">
        <v>#N/A N/A</v>
        <stp/>
        <stp>BDP|10078065544654133981</stp>
        <tr r="H2473" s="2"/>
      </tp>
      <tp t="s">
        <v>#N/A N/A</v>
        <stp/>
        <stp>BDP|15544863954795431485</stp>
        <tr r="C1678" s="2"/>
      </tp>
      <tp t="s">
        <v>#N/A N/A</v>
        <stp/>
        <stp>BDP|17623095559469955240</stp>
        <tr r="G4261" s="2"/>
      </tp>
      <tp t="s">
        <v>#N/A N/A</v>
        <stp/>
        <stp>BDP|14512885273237673537</stp>
        <tr r="H1113" s="2"/>
      </tp>
      <tp t="s">
        <v>#N/A N/A</v>
        <stp/>
        <stp>BDP|15362887237880747708</stp>
        <tr r="G437" s="2"/>
      </tp>
      <tp t="s">
        <v>#N/A N/A</v>
        <stp/>
        <stp>BDP|18367055426101225295</stp>
        <tr r="B1993" s="2"/>
      </tp>
      <tp t="s">
        <v>#N/A N/A</v>
        <stp/>
        <stp>BDP|11455265671224810906</stp>
        <tr r="G3353" s="2"/>
      </tp>
      <tp t="s">
        <v>#N/A N/A</v>
        <stp/>
        <stp>BDP|15522060876708647385</stp>
        <tr r="B2531" s="2"/>
      </tp>
      <tp t="s">
        <v>#N/A N/A</v>
        <stp/>
        <stp>BDP|17666271179588643352</stp>
        <tr r="A3364" s="2"/>
      </tp>
      <tp t="s">
        <v>#N/A N/A</v>
        <stp/>
        <stp>BDP|13939937743636302116</stp>
        <tr r="G2344" s="2"/>
      </tp>
      <tp t="s">
        <v>#N/A N/A</v>
        <stp/>
        <stp>BDP|11379843393621900866</stp>
        <tr r="I3800" s="2"/>
      </tp>
      <tp t="s">
        <v>#N/A N/A</v>
        <stp/>
        <stp>BDP|10938596195792877761</stp>
        <tr r="C586" s="2"/>
      </tp>
      <tp t="s">
        <v>#N/A N/A</v>
        <stp/>
        <stp>BDP|11243473579883429839</stp>
        <tr r="C730" s="2"/>
      </tp>
      <tp t="s">
        <v>#N/A N/A</v>
        <stp/>
        <stp>BDP|15336264148502044862</stp>
        <tr r="G2909" s="2"/>
      </tp>
      <tp t="s">
        <v>#N/A N/A</v>
        <stp/>
        <stp>BDP|10129540592476883355</stp>
        <tr r="D4928" s="2"/>
      </tp>
      <tp t="s">
        <v>#N/A N/A</v>
        <stp/>
        <stp>BDP|17504225542858753083</stp>
        <tr r="H2856" s="2"/>
      </tp>
      <tp t="s">
        <v>#N/A N/A</v>
        <stp/>
        <stp>BDP|14307841343199990873</stp>
        <tr r="I4096" s="2"/>
      </tp>
      <tp t="s">
        <v>#N/A N/A</v>
        <stp/>
        <stp>BDP|18364094716164300459</stp>
        <tr r="B2250" s="2"/>
      </tp>
      <tp t="s">
        <v>#N/A N/A</v>
        <stp/>
        <stp>BDP|12819451113046598813</stp>
        <tr r="B4163" s="2"/>
      </tp>
      <tp t="s">
        <v>#N/A N/A</v>
        <stp/>
        <stp>BDP|14018192686006131249</stp>
        <tr r="G1125" s="2"/>
      </tp>
      <tp t="s">
        <v>#N/A N/A</v>
        <stp/>
        <stp>BDP|12689376982266016694</stp>
        <tr r="D1976" s="2"/>
      </tp>
      <tp t="s">
        <v>#N/A N/A</v>
        <stp/>
        <stp>BDP|14583007889710519530</stp>
        <tr r="A4996" s="2"/>
      </tp>
      <tp t="s">
        <v>#N/A N/A</v>
        <stp/>
        <stp>BDP|12220824639929421975</stp>
        <tr r="A2397" s="2"/>
      </tp>
      <tp t="s">
        <v>#N/A N/A</v>
        <stp/>
        <stp>BDP|10087456283316943351</stp>
        <tr r="G3510" s="2"/>
      </tp>
      <tp t="s">
        <v>#N/A N/A</v>
        <stp/>
        <stp>BDP|17955654415479297014</stp>
        <tr r="G2150" s="2"/>
      </tp>
      <tp t="s">
        <v>#N/A N/A</v>
        <stp/>
        <stp>BDP|16517495386101786275</stp>
        <tr r="C4772" s="2"/>
      </tp>
      <tp t="s">
        <v>#N/A N/A</v>
        <stp/>
        <stp>BDP|10426805349795397046</stp>
        <tr r="F4625" s="2"/>
      </tp>
      <tp t="s">
        <v>#N/A N/A</v>
        <stp/>
        <stp>BDP|16905318922616539852</stp>
        <tr r="F621" s="2"/>
      </tp>
      <tp t="s">
        <v>#N/A N/A</v>
        <stp/>
        <stp>BDP|10993694588567646043</stp>
        <tr r="B4357" s="2"/>
      </tp>
      <tp t="s">
        <v>#N/A N/A</v>
        <stp/>
        <stp>BDP|12261651849779381076</stp>
        <tr r="I2560" s="2"/>
      </tp>
      <tp t="s">
        <v>#N/A N/A</v>
        <stp/>
        <stp>BDP|14875273904908404753</stp>
        <tr r="C597" s="2"/>
      </tp>
      <tp t="s">
        <v>#N/A N/A</v>
        <stp/>
        <stp>BDP|16856974861845242563</stp>
        <tr r="H885" s="2"/>
      </tp>
      <tp t="s">
        <v>#N/A N/A</v>
        <stp/>
        <stp>BDP|10484480806098511557</stp>
        <tr r="C72" s="2"/>
      </tp>
      <tp t="s">
        <v>#N/A N/A</v>
        <stp/>
        <stp>BDP|13050249798039775815</stp>
        <tr r="I3941" s="2"/>
      </tp>
      <tp t="s">
        <v>#N/A N/A</v>
        <stp/>
        <stp>BDP|10279619078488063012</stp>
        <tr r="G1026" s="2"/>
      </tp>
      <tp t="s">
        <v>#N/A N/A</v>
        <stp/>
        <stp>BDP|14994585096731950043</stp>
        <tr r="G3383" s="2"/>
      </tp>
      <tp t="s">
        <v>#N/A N/A</v>
        <stp/>
        <stp>BDP|15639582873569090770</stp>
        <tr r="H969" s="2"/>
      </tp>
      <tp t="s">
        <v>#N/A N/A</v>
        <stp/>
        <stp>BDP|13930400260901213916</stp>
        <tr r="A2059" s="2"/>
      </tp>
      <tp t="s">
        <v>#N/A N/A</v>
        <stp/>
        <stp>BDP|15425195841589475028</stp>
        <tr r="A4547" s="2"/>
      </tp>
      <tp t="s">
        <v>#N/A N/A</v>
        <stp/>
        <stp>BDP|16738723771157899865</stp>
        <tr r="B176" s="2"/>
      </tp>
      <tp t="s">
        <v>#N/A N/A</v>
        <stp/>
        <stp>BDP|15869254555019498267</stp>
        <tr r="A2471" s="2"/>
      </tp>
      <tp t="s">
        <v>#N/A N/A</v>
        <stp/>
        <stp>BDP|14094886302876994392</stp>
        <tr r="G4332" s="2"/>
      </tp>
      <tp t="s">
        <v>#N/A N/A</v>
        <stp/>
        <stp>BDP|10382964542181559584</stp>
        <tr r="D2267" s="2"/>
      </tp>
      <tp t="s">
        <v>#N/A N/A</v>
        <stp/>
        <stp>BDP|17547640349765481967</stp>
        <tr r="F3021" s="2"/>
      </tp>
      <tp t="s">
        <v>#N/A N/A</v>
        <stp/>
        <stp>BDP|12328187092940270318</stp>
        <tr r="B493" s="2"/>
      </tp>
      <tp t="s">
        <v>#N/A N/A</v>
        <stp/>
        <stp>BDP|17448404002408914256</stp>
        <tr r="F4093" s="2"/>
      </tp>
      <tp t="s">
        <v>#N/A N/A</v>
        <stp/>
        <stp>BDP|11043673998427333063</stp>
        <tr r="G2485" s="2"/>
      </tp>
      <tp t="s">
        <v>#N/A N/A</v>
        <stp/>
        <stp>BDP|11262684404838586611</stp>
        <tr r="I123" s="2"/>
      </tp>
      <tp t="s">
        <v>#N/A N/A</v>
        <stp/>
        <stp>BDP|18238047253512771684</stp>
        <tr r="G1810" s="2"/>
      </tp>
      <tp t="s">
        <v>#N/A N/A</v>
        <stp/>
        <stp>BDP|14916763399914813748</stp>
        <tr r="F2448" s="2"/>
      </tp>
      <tp t="s">
        <v>#N/A N/A</v>
        <stp/>
        <stp>BDP|15621379448558542368</stp>
        <tr r="A818" s="2"/>
      </tp>
      <tp t="s">
        <v>#N/A N/A</v>
        <stp/>
        <stp>BDP|12441403839664676817</stp>
        <tr r="A4795" s="2"/>
      </tp>
      <tp t="s">
        <v>#N/A N/A</v>
        <stp/>
        <stp>BDP|11429299556058291733</stp>
        <tr r="D2041" s="2"/>
      </tp>
      <tp t="s">
        <v>#N/A N/A</v>
        <stp/>
        <stp>BDP|13964220090685486459</stp>
        <tr r="G251" s="2"/>
      </tp>
      <tp t="s">
        <v>#N/A N/A</v>
        <stp/>
        <stp>BDP|12795489421469440401</stp>
        <tr r="A1016" s="2"/>
      </tp>
      <tp t="s">
        <v>#N/A N/A</v>
        <stp/>
        <stp>BDP|17483408202729434385</stp>
        <tr r="C4802" s="2"/>
      </tp>
      <tp t="s">
        <v>#N/A N/A</v>
        <stp/>
        <stp>BDP|16402949578581090025</stp>
        <tr r="H4376" s="2"/>
      </tp>
      <tp t="s">
        <v>#N/A N/A</v>
        <stp/>
        <stp>BDP|16761143171128909114</stp>
        <tr r="G2678" s="2"/>
      </tp>
      <tp t="s">
        <v>#N/A N/A</v>
        <stp/>
        <stp>BDP|17515955218363040523</stp>
        <tr r="H1312" s="2"/>
      </tp>
      <tp t="s">
        <v>#N/A N/A</v>
        <stp/>
        <stp>BDP|12901357839629968267</stp>
        <tr r="G1099" s="2"/>
      </tp>
      <tp t="s">
        <v>#N/A N/A</v>
        <stp/>
        <stp>BDP|13350711992230956434</stp>
        <tr r="F3428" s="2"/>
      </tp>
      <tp t="s">
        <v>#N/A N/A</v>
        <stp/>
        <stp>BDP|16133998374465389450</stp>
        <tr r="C82" s="2"/>
      </tp>
      <tp t="s">
        <v>#N/A N/A</v>
        <stp/>
        <stp>BDP|12067325266927789995</stp>
        <tr r="D4481" s="2"/>
      </tp>
      <tp t="s">
        <v>#N/A N/A</v>
        <stp/>
        <stp>BDP|12068556789717526132</stp>
        <tr r="F4139" s="2"/>
      </tp>
      <tp t="s">
        <v>#N/A N/A</v>
        <stp/>
        <stp>BDP|16015958502316554088</stp>
        <tr r="G2934" s="2"/>
      </tp>
      <tp t="s">
        <v>#N/A N/A</v>
        <stp/>
        <stp>BDP|18208708848751393331</stp>
        <tr r="H2671" s="2"/>
      </tp>
      <tp t="s">
        <v>#N/A N/A</v>
        <stp/>
        <stp>BDP|13169318598803418361</stp>
        <tr r="F4455" s="2"/>
      </tp>
      <tp t="s">
        <v>#N/A N/A</v>
        <stp/>
        <stp>BDP|12714490002207654800</stp>
        <tr r="G1807" s="2"/>
      </tp>
      <tp t="s">
        <v>#N/A N/A</v>
        <stp/>
        <stp>BDP|13037960351242444490</stp>
        <tr r="B2958" s="2"/>
      </tp>
      <tp t="s">
        <v>#N/A N/A</v>
        <stp/>
        <stp>BDP|13686186644886579954</stp>
        <tr r="A235" s="2"/>
      </tp>
      <tp t="s">
        <v>#N/A N/A</v>
        <stp/>
        <stp>BDP|16681862418403534579</stp>
        <tr r="I2722" s="2"/>
      </tp>
      <tp t="s">
        <v>#N/A N/A</v>
        <stp/>
        <stp>BDP|13050488787144713229</stp>
        <tr r="H1173" s="2"/>
      </tp>
      <tp t="s">
        <v>#N/A N/A</v>
        <stp/>
        <stp>BDP|10672092496857190720</stp>
        <tr r="G197" s="2"/>
      </tp>
      <tp t="s">
        <v>#N/A N/A</v>
        <stp/>
        <stp>BDP|13424428392065869217</stp>
        <tr r="A2954" s="2"/>
      </tp>
      <tp t="s">
        <v>#N/A N/A</v>
        <stp/>
        <stp>BDP|11437884510851323026</stp>
        <tr r="B2486" s="2"/>
      </tp>
      <tp t="s">
        <v>#N/A N/A</v>
        <stp/>
        <stp>BDP|10911839632344531603</stp>
        <tr r="F3360" s="2"/>
      </tp>
      <tp t="s">
        <v>#N/A N/A</v>
        <stp/>
        <stp>BDP|17812316176079459368</stp>
        <tr r="D2583" s="2"/>
      </tp>
      <tp t="s">
        <v>#N/A N/A</v>
        <stp/>
        <stp>BDP|14262592491559339848</stp>
        <tr r="I430" s="2"/>
      </tp>
      <tp t="s">
        <v>#N/A N/A</v>
        <stp/>
        <stp>BDP|12584118767235994971</stp>
        <tr r="G4812" s="2"/>
      </tp>
      <tp t="s">
        <v>#N/A N/A</v>
        <stp/>
        <stp>BDP|17677967537266290281</stp>
        <tr r="B4961" s="2"/>
      </tp>
      <tp t="s">
        <v>#N/A N/A</v>
        <stp/>
        <stp>BDP|12035669588070021532</stp>
        <tr r="H4157" s="2"/>
      </tp>
      <tp t="s">
        <v>#N/A N/A</v>
        <stp/>
        <stp>BDP|14852628985751620241</stp>
        <tr r="A1610" s="2"/>
      </tp>
      <tp t="s">
        <v>#N/A N/A</v>
        <stp/>
        <stp>BDP|17050948608813859499</stp>
        <tr r="A1092" s="2"/>
      </tp>
      <tp t="s">
        <v>#N/A N/A</v>
        <stp/>
        <stp>BDP|17048833579201791004</stp>
        <tr r="C1395" s="2"/>
      </tp>
      <tp t="s">
        <v>#N/A N/A</v>
        <stp/>
        <stp>BDP|16728532278965288839</stp>
        <tr r="B1318" s="2"/>
      </tp>
      <tp t="s">
        <v>#N/A N/A</v>
        <stp/>
        <stp>BDP|15310961285698916548</stp>
        <tr r="G829" s="2"/>
      </tp>
      <tp t="s">
        <v>#N/A N/A</v>
        <stp/>
        <stp>BDP|11951676870878702144</stp>
        <tr r="B1647" s="2"/>
      </tp>
      <tp t="s">
        <v>#N/A N/A</v>
        <stp/>
        <stp>BDP|12942555820485320928</stp>
        <tr r="B3515" s="2"/>
      </tp>
      <tp t="s">
        <v>#N/A N/A</v>
        <stp/>
        <stp>BDP|11289861378350667772</stp>
        <tr r="F1687" s="2"/>
      </tp>
      <tp t="s">
        <v>#N/A N/A</v>
        <stp/>
        <stp>BDP|11830754556413585935</stp>
        <tr r="D3660" s="2"/>
      </tp>
      <tp t="s">
        <v>#N/A N/A</v>
        <stp/>
        <stp>BDP|14950870005906443326</stp>
        <tr r="G2537" s="2"/>
      </tp>
      <tp t="s">
        <v>#N/A N/A</v>
        <stp/>
        <stp>BDP|18006407948827346666</stp>
        <tr r="F3543" s="2"/>
      </tp>
      <tp t="s">
        <v>#N/A N/A</v>
        <stp/>
        <stp>BDP|14471118290546042383</stp>
        <tr r="A1025" s="2"/>
      </tp>
      <tp t="s">
        <v>#N/A N/A</v>
        <stp/>
        <stp>BDP|14678267497855849321</stp>
        <tr r="B3429" s="2"/>
      </tp>
      <tp t="s">
        <v>#N/A N/A</v>
        <stp/>
        <stp>BDP|15083994738036515090</stp>
        <tr r="C1153" s="2"/>
      </tp>
      <tp t="s">
        <v>#N/A N/A</v>
        <stp/>
        <stp>BDP|11022961736414539688</stp>
        <tr r="G2224" s="2"/>
      </tp>
      <tp t="s">
        <v>#N/A N/A</v>
        <stp/>
        <stp>BDP|13389643597747454295</stp>
        <tr r="H4354" s="2"/>
      </tp>
      <tp t="s">
        <v>#N/A N/A</v>
        <stp/>
        <stp>BDP|14734799170888082536</stp>
        <tr r="H3024" s="2"/>
      </tp>
      <tp t="s">
        <v>#N/A N/A</v>
        <stp/>
        <stp>BDP|15848636217523096812</stp>
        <tr r="H1040" s="2"/>
      </tp>
      <tp t="s">
        <v>#N/A N/A</v>
        <stp/>
        <stp>BDP|14677930058854453546</stp>
        <tr r="F458" s="2"/>
      </tp>
      <tp t="s">
        <v>#N/A N/A</v>
        <stp/>
        <stp>BDP|12994200760088326778</stp>
        <tr r="F3305" s="2"/>
      </tp>
      <tp t="s">
        <v>#N/A N/A</v>
        <stp/>
        <stp>BDP|13602255804229355191</stp>
        <tr r="A1088" s="2"/>
      </tp>
      <tp t="s">
        <v>#N/A N/A</v>
        <stp/>
        <stp>BDP|15511544808338237166</stp>
        <tr r="D4469" s="2"/>
      </tp>
      <tp t="s">
        <v>#N/A N/A</v>
        <stp/>
        <stp>BDP|17593573263548558599</stp>
        <tr r="I2439" s="2"/>
      </tp>
      <tp t="s">
        <v>#N/A N/A</v>
        <stp/>
        <stp>BDP|13337047735061619896</stp>
        <tr r="B2675" s="2"/>
      </tp>
      <tp t="s">
        <v>#N/A N/A</v>
        <stp/>
        <stp>BDP|16776746739499112267</stp>
        <tr r="C2929" s="2"/>
      </tp>
      <tp t="s">
        <v>#N/A N/A</v>
        <stp/>
        <stp>BDP|15853723440677425831</stp>
        <tr r="F4448" s="2"/>
      </tp>
      <tp t="s">
        <v>#N/A N/A</v>
        <stp/>
        <stp>BDP|16780490826380014959</stp>
        <tr r="C255" s="2"/>
      </tp>
      <tp t="s">
        <v>#N/A N/A</v>
        <stp/>
        <stp>BDP|12223567497512606583</stp>
        <tr r="F4804" s="2"/>
      </tp>
      <tp t="s">
        <v>#N/A N/A</v>
        <stp/>
        <stp>BDP|10748740856342078982</stp>
        <tr r="A2251" s="2"/>
      </tp>
      <tp t="s">
        <v>#N/A N/A</v>
        <stp/>
        <stp>BDP|15600987711652539670</stp>
        <tr r="B4370" s="2"/>
      </tp>
      <tp t="s">
        <v>#N/A N/A</v>
        <stp/>
        <stp>BDP|12928342232589558272</stp>
        <tr r="C3830" s="2"/>
      </tp>
      <tp t="s">
        <v>#N/A N/A</v>
        <stp/>
        <stp>BDP|11672313288566121531</stp>
        <tr r="D3032" s="2"/>
      </tp>
      <tp t="s">
        <v>#N/A N/A</v>
        <stp/>
        <stp>BDP|15284989614866422279</stp>
        <tr r="F4979" s="2"/>
      </tp>
      <tp t="s">
        <v>#N/A N/A</v>
        <stp/>
        <stp>BDP|17808488860918422491</stp>
        <tr r="I4138" s="2"/>
      </tp>
      <tp t="s">
        <v>#N/A N/A</v>
        <stp/>
        <stp>BDP|18324876799419520950</stp>
        <tr r="A2077" s="2"/>
      </tp>
      <tp t="s">
        <v>#N/A N/A</v>
        <stp/>
        <stp>BDP|14122176392177149281</stp>
        <tr r="A1127" s="2"/>
      </tp>
      <tp t="s">
        <v>#N/A N/A</v>
        <stp/>
        <stp>BDP|10048084867818088720</stp>
        <tr r="I4991" s="2"/>
      </tp>
      <tp t="s">
        <v>#N/A N/A</v>
        <stp/>
        <stp>BDP|12073942328192210235</stp>
        <tr r="C2330" s="2"/>
      </tp>
      <tp t="s">
        <v>#N/A N/A</v>
        <stp/>
        <stp>BDP|10950902404565406542</stp>
        <tr r="B4906" s="2"/>
      </tp>
      <tp t="s">
        <v>#N/A N/A</v>
        <stp/>
        <stp>BDP|13460722740870994925</stp>
        <tr r="A3202" s="2"/>
      </tp>
      <tp t="s">
        <v>#N/A N/A</v>
        <stp/>
        <stp>BDP|14192086570513243969</stp>
        <tr r="I2195" s="2"/>
      </tp>
      <tp t="s">
        <v>#N/A N/A</v>
        <stp/>
        <stp>BDP|13647138469475067819</stp>
        <tr r="F4787" s="2"/>
      </tp>
      <tp t="s">
        <v>#N/A N/A</v>
        <stp/>
        <stp>BDP|18281180862186272079</stp>
        <tr r="C3304" s="2"/>
      </tp>
      <tp t="s">
        <v>#N/A N/A</v>
        <stp/>
        <stp>BDP|11933633159352655981</stp>
        <tr r="I2700" s="2"/>
      </tp>
      <tp t="s">
        <v>#N/A N/A</v>
        <stp/>
        <stp>BDP|15102592740438543504</stp>
        <tr r="B2746" s="2"/>
      </tp>
      <tp t="s">
        <v>#N/A N/A</v>
        <stp/>
        <stp>BDP|15025993924886370138</stp>
        <tr r="I1555" s="2"/>
      </tp>
      <tp t="s">
        <v>#N/A N/A</v>
        <stp/>
        <stp>BDP|17973835269564613480</stp>
        <tr r="B334" s="2"/>
      </tp>
      <tp t="s">
        <v>#N/A N/A</v>
        <stp/>
        <stp>BDP|14864304040109505305</stp>
        <tr r="C3447" s="2"/>
      </tp>
      <tp t="s">
        <v>#N/A N/A</v>
        <stp/>
        <stp>BDP|10173574110985848838</stp>
        <tr r="A4409" s="2"/>
      </tp>
      <tp t="s">
        <v>#N/A N/A</v>
        <stp/>
        <stp>BDP|12196971960854367083</stp>
        <tr r="H2956" s="2"/>
      </tp>
      <tp t="s">
        <v>#N/A N/A</v>
        <stp/>
        <stp>BDP|17772278865473084986</stp>
        <tr r="A2660" s="2"/>
      </tp>
      <tp t="s">
        <v>#N/A N/A</v>
        <stp/>
        <stp>BDP|10834791032228733596</stp>
        <tr r="F1215" s="2"/>
      </tp>
      <tp t="s">
        <v>#N/A N/A</v>
        <stp/>
        <stp>BDP|15313483023673011950</stp>
        <tr r="C302" s="2"/>
      </tp>
      <tp t="s">
        <v>#N/A N/A</v>
        <stp/>
        <stp>BDP|13076796781520315560</stp>
        <tr r="B4061" s="2"/>
      </tp>
      <tp t="s">
        <v>#N/A N/A</v>
        <stp/>
        <stp>BDP|10272951188518170031</stp>
        <tr r="C3631" s="2"/>
      </tp>
      <tp t="s">
        <v>#N/A N/A</v>
        <stp/>
        <stp>BDP|18130507259727039654</stp>
        <tr r="B354" s="2"/>
      </tp>
      <tp t="s">
        <v>#N/A N/A</v>
        <stp/>
        <stp>BDP|13767563302768936775</stp>
        <tr r="A2007" s="2"/>
      </tp>
      <tp t="s">
        <v>#N/A N/A</v>
        <stp/>
        <stp>BDP|11714508083913873613</stp>
        <tr r="G3806" s="2"/>
      </tp>
      <tp t="s">
        <v>#N/A N/A</v>
        <stp/>
        <stp>BDP|16551069905149961630</stp>
        <tr r="D1084" s="2"/>
      </tp>
      <tp t="s">
        <v>#N/A N/A</v>
        <stp/>
        <stp>BDP|13655256589530798014</stp>
        <tr r="I1550" s="2"/>
      </tp>
      <tp t="s">
        <v>#N/A N/A</v>
        <stp/>
        <stp>BDP|17126855336144697184</stp>
        <tr r="B473" s="2"/>
      </tp>
      <tp t="s">
        <v>#N/A N/A</v>
        <stp/>
        <stp>BDP|12886251492616353601</stp>
        <tr r="A451" s="2"/>
      </tp>
      <tp t="s">
        <v>#N/A N/A</v>
        <stp/>
        <stp>BDP|14876863562814863780</stp>
        <tr r="D3033" s="2"/>
      </tp>
      <tp t="s">
        <v>#N/A N/A</v>
        <stp/>
        <stp>BDP|17772117279451066938</stp>
        <tr r="C1544" s="2"/>
      </tp>
      <tp t="s">
        <v>#N/A N/A</v>
        <stp/>
        <stp>BDP|16391172007096622890</stp>
        <tr r="C1242" s="2"/>
      </tp>
      <tp t="s">
        <v>#N/A N/A</v>
        <stp/>
        <stp>BDP|17331086695094042329</stp>
        <tr r="A377" s="2"/>
      </tp>
      <tp t="s">
        <v>#N/A N/A</v>
        <stp/>
        <stp>BDP|16752412126910431985</stp>
        <tr r="A77" s="2"/>
      </tp>
      <tp t="s">
        <v>#N/A N/A</v>
        <stp/>
        <stp>BDP|17697608949945328902</stp>
        <tr r="D658" s="2"/>
      </tp>
      <tp t="s">
        <v>#N/A N/A</v>
        <stp/>
        <stp>BDP|18249283249954660397</stp>
        <tr r="D4948" s="2"/>
      </tp>
      <tp t="s">
        <v>#N/A N/A</v>
        <stp/>
        <stp>BDP|17492675636748849310</stp>
        <tr r="B1220" s="2"/>
      </tp>
      <tp t="s">
        <v>#N/A N/A</v>
        <stp/>
        <stp>BDP|17306037842833836962</stp>
        <tr r="H3689" s="2"/>
      </tp>
      <tp t="s">
        <v>#N/A N/A</v>
        <stp/>
        <stp>BDP|10262333918859538200</stp>
        <tr r="B4273" s="2"/>
      </tp>
      <tp t="s">
        <v>#N/A N/A</v>
        <stp/>
        <stp>BDP|14070737504903303987</stp>
        <tr r="I3722" s="2"/>
      </tp>
      <tp t="s">
        <v>#N/A N/A</v>
        <stp/>
        <stp>BDP|15265062315189815459</stp>
        <tr r="I3842" s="2"/>
      </tp>
      <tp t="s">
        <v>#N/A N/A</v>
        <stp/>
        <stp>BDP|14849478704918528125</stp>
        <tr r="H345" s="2"/>
      </tp>
      <tp t="s">
        <v>#N/A N/A</v>
        <stp/>
        <stp>BDP|14273459218901062933</stp>
        <tr r="C987" s="2"/>
      </tp>
      <tp t="s">
        <v>#N/A N/A</v>
        <stp/>
        <stp>BDP|11002065080623872326</stp>
        <tr r="F4754" s="2"/>
      </tp>
      <tp t="s">
        <v>#N/A N/A</v>
        <stp/>
        <stp>BDP|13748909431370386097</stp>
        <tr r="B4360" s="2"/>
      </tp>
      <tp t="s">
        <v>#N/A N/A</v>
        <stp/>
        <stp>BDP|11114780517077279907</stp>
        <tr r="H640" s="2"/>
      </tp>
      <tp t="s">
        <v>#N/A N/A</v>
        <stp/>
        <stp>BDP|10154223026691157884</stp>
        <tr r="A3263" s="2"/>
      </tp>
      <tp t="s">
        <v>#N/A N/A</v>
        <stp/>
        <stp>BDP|18420892384629541803</stp>
        <tr r="B2685" s="2"/>
      </tp>
      <tp t="s">
        <v>#N/A N/A</v>
        <stp/>
        <stp>BDP|17953533094782544075</stp>
        <tr r="I4221" s="2"/>
      </tp>
      <tp t="s">
        <v>#N/A N/A</v>
        <stp/>
        <stp>BDP|17593656169456183844</stp>
        <tr r="H1680" s="2"/>
      </tp>
      <tp t="s">
        <v>#N/A N/A</v>
        <stp/>
        <stp>BDP|13961754320219924695</stp>
        <tr r="I1328" s="2"/>
      </tp>
      <tp t="s">
        <v>#N/A N/A</v>
        <stp/>
        <stp>BDP|16167880240936695531</stp>
        <tr r="C1670" s="2"/>
      </tp>
      <tp t="s">
        <v>#N/A N/A</v>
        <stp/>
        <stp>BDP|16829048381397678078</stp>
        <tr r="I1107" s="2"/>
      </tp>
      <tp t="s">
        <v>#N/A N/A</v>
        <stp/>
        <stp>BDP|11389595135098534668</stp>
        <tr r="A1160" s="2"/>
      </tp>
      <tp t="s">
        <v>#N/A N/A</v>
        <stp/>
        <stp>BDP|11866036026059605376</stp>
        <tr r="H4526" s="2"/>
      </tp>
      <tp t="s">
        <v>#N/A N/A</v>
        <stp/>
        <stp>BDP|14993943260022568049</stp>
        <tr r="I3332" s="2"/>
      </tp>
      <tp t="s">
        <v>#N/A N/A</v>
        <stp/>
        <stp>BDP|11257494282242006656</stp>
        <tr r="G574" s="2"/>
      </tp>
      <tp t="s">
        <v>#N/A N/A</v>
        <stp/>
        <stp>BDP|17145642417438826164</stp>
        <tr r="A1835" s="2"/>
      </tp>
      <tp t="s">
        <v>#N/A N/A</v>
        <stp/>
        <stp>BDP|11962135301041562821</stp>
        <tr r="H4906" s="2"/>
      </tp>
      <tp t="s">
        <v>#N/A N/A</v>
        <stp/>
        <stp>BDP|17993145966391384843</stp>
        <tr r="B2706" s="2"/>
      </tp>
      <tp t="s">
        <v>#N/A N/A</v>
        <stp/>
        <stp>BDP|12993732133207309852</stp>
        <tr r="F1618" s="2"/>
      </tp>
      <tp t="s">
        <v>#N/A N/A</v>
        <stp/>
        <stp>BDP|16916281199842753606</stp>
        <tr r="H3622" s="2"/>
      </tp>
      <tp t="s">
        <v>#N/A N/A</v>
        <stp/>
        <stp>BDP|13143920577320993424</stp>
        <tr r="C2552" s="2"/>
      </tp>
      <tp t="s">
        <v>#N/A N/A</v>
        <stp/>
        <stp>BDP|16994889750667698586</stp>
        <tr r="F4338" s="2"/>
      </tp>
      <tp t="s">
        <v>#N/A N/A</v>
        <stp/>
        <stp>BDP|13262810611376952549</stp>
        <tr r="B1810" s="2"/>
      </tp>
      <tp t="s">
        <v>#N/A N/A</v>
        <stp/>
        <stp>BDP|10729209715098935241</stp>
        <tr r="B1192" s="2"/>
      </tp>
      <tp t="s">
        <v>#N/A N/A</v>
        <stp/>
        <stp>BDP|14118486663998441712</stp>
        <tr r="F2033" s="2"/>
      </tp>
      <tp t="s">
        <v>#N/A N/A</v>
        <stp/>
        <stp>BDP|11728457997325892027</stp>
        <tr r="I3070" s="2"/>
      </tp>
      <tp t="s">
        <v>#N/A N/A</v>
        <stp/>
        <stp>BDP|17259218878192112952</stp>
        <tr r="G1677" s="2"/>
      </tp>
      <tp t="s">
        <v>#N/A N/A</v>
        <stp/>
        <stp>BDP|13762087693506536568</stp>
        <tr r="A2696" s="2"/>
      </tp>
      <tp t="s">
        <v>#N/A N/A</v>
        <stp/>
        <stp>BDP|15941699883207942555</stp>
        <tr r="I2926" s="2"/>
      </tp>
      <tp t="s">
        <v>#N/A N/A</v>
        <stp/>
        <stp>BDP|18178518208850590423</stp>
        <tr r="I2790" s="2"/>
      </tp>
      <tp t="s">
        <v>#N/A N/A</v>
        <stp/>
        <stp>BDP|17992986367702904305</stp>
        <tr r="C787" s="2"/>
      </tp>
      <tp t="s">
        <v>#N/A N/A</v>
        <stp/>
        <stp>BDP|11444124414769821158</stp>
        <tr r="I523" s="2"/>
      </tp>
      <tp t="s">
        <v>#N/A N/A</v>
        <stp/>
        <stp>BDP|12619661390885641191</stp>
        <tr r="D4035" s="2"/>
      </tp>
      <tp t="s">
        <v>#N/A N/A</v>
        <stp/>
        <stp>BDP|15806427333158398353</stp>
        <tr r="B2817" s="2"/>
      </tp>
      <tp t="s">
        <v>#N/A N/A</v>
        <stp/>
        <stp>BDP|12829288867678955715</stp>
        <tr r="B784" s="2"/>
      </tp>
      <tp t="s">
        <v>#N/A N/A</v>
        <stp/>
        <stp>BDP|17965757488842976322</stp>
        <tr r="F1044" s="2"/>
      </tp>
      <tp t="s">
        <v>#N/A N/A</v>
        <stp/>
        <stp>BDP|10710297087646696505</stp>
        <tr r="A257" s="2"/>
      </tp>
      <tp t="s">
        <v>#N/A N/A</v>
        <stp/>
        <stp>BDP|13222890604491864383</stp>
        <tr r="D3816" s="2"/>
      </tp>
      <tp t="s">
        <v>#N/A N/A</v>
        <stp/>
        <stp>BDP|11099098996329603861</stp>
        <tr r="F4182" s="2"/>
      </tp>
      <tp t="s">
        <v>#N/A N/A</v>
        <stp/>
        <stp>BDP|10745986341226146207</stp>
        <tr r="B4605" s="2"/>
      </tp>
      <tp t="s">
        <v>#N/A N/A</v>
        <stp/>
        <stp>BDP|12624995538398915917</stp>
        <tr r="B2880" s="2"/>
      </tp>
      <tp t="s">
        <v>#N/A N/A</v>
        <stp/>
        <stp>BDP|17966935862250675114</stp>
        <tr r="I4237" s="2"/>
      </tp>
      <tp t="s">
        <v>#N/A N/A</v>
        <stp/>
        <stp>BDP|12035315815910394984</stp>
        <tr r="A1490" s="2"/>
      </tp>
      <tp t="s">
        <v>#N/A N/A</v>
        <stp/>
        <stp>BDP|17692899827492322644</stp>
        <tr r="C1480" s="2"/>
      </tp>
      <tp t="s">
        <v>#N/A N/A</v>
        <stp/>
        <stp>BDP|16882776591971540041</stp>
        <tr r="F3985" s="2"/>
      </tp>
      <tp t="s">
        <v>#N/A N/A</v>
        <stp/>
        <stp>BDP|12983136992983210054</stp>
        <tr r="D2662" s="2"/>
      </tp>
      <tp t="s">
        <v>#N/A N/A</v>
        <stp/>
        <stp>BDP|12436219089801522061</stp>
        <tr r="A4885" s="2"/>
      </tp>
      <tp t="s">
        <v>#N/A N/A</v>
        <stp/>
        <stp>BDP|10744387086343510130</stp>
        <tr r="F4126" s="2"/>
      </tp>
      <tp t="s">
        <v>#N/A N/A</v>
        <stp/>
        <stp>BDP|11823214790043642003</stp>
        <tr r="F927" s="2"/>
      </tp>
      <tp t="s">
        <v>#N/A N/A</v>
        <stp/>
        <stp>BDP|14044947039421764650</stp>
        <tr r="G464" s="2"/>
      </tp>
      <tp t="s">
        <v>#N/A N/A</v>
        <stp/>
        <stp>BDP|10518975789570741835</stp>
        <tr r="G4516" s="2"/>
      </tp>
      <tp t="s">
        <v>#N/A N/A</v>
        <stp/>
        <stp>BDP|18277798232981791418</stp>
        <tr r="B1215" s="2"/>
      </tp>
      <tp t="s">
        <v>#N/A N/A</v>
        <stp/>
        <stp>BDP|15079175446159766092</stp>
        <tr r="A4943" s="2"/>
      </tp>
      <tp t="s">
        <v>#N/A N/A</v>
        <stp/>
        <stp>BDP|14408350230888792596</stp>
        <tr r="G216" s="2"/>
      </tp>
      <tp t="s">
        <v>#N/A N/A</v>
        <stp/>
        <stp>BDP|11899269193895262609</stp>
        <tr r="A4990" s="2"/>
      </tp>
      <tp t="s">
        <v>#N/A N/A</v>
        <stp/>
        <stp>BDP|16401852709013664412</stp>
        <tr r="A2922" s="2"/>
      </tp>
      <tp t="s">
        <v>#N/A N/A</v>
        <stp/>
        <stp>BDP|18007916188730756012</stp>
        <tr r="F2315" s="2"/>
      </tp>
      <tp t="s">
        <v>#N/A N/A</v>
        <stp/>
        <stp>BDP|16355784674547655867</stp>
        <tr r="H4832" s="2"/>
      </tp>
      <tp t="s">
        <v>#N/A N/A</v>
        <stp/>
        <stp>BDP|17656986334792385669</stp>
        <tr r="H2092" s="2"/>
      </tp>
      <tp t="s">
        <v>#N/A N/A</v>
        <stp/>
        <stp>BDP|14600085064083343864</stp>
        <tr r="G590" s="2"/>
      </tp>
      <tp t="s">
        <v>#N/A N/A</v>
        <stp/>
        <stp>BDP|15254012700259920552</stp>
        <tr r="G1624" s="2"/>
      </tp>
      <tp t="s">
        <v>#N/A N/A</v>
        <stp/>
        <stp>BDP|10764105208109804187</stp>
        <tr r="I3474" s="2"/>
      </tp>
      <tp t="s">
        <v>#N/A N/A</v>
        <stp/>
        <stp>BDP|12749816009125959693</stp>
        <tr r="B3065" s="2"/>
      </tp>
      <tp t="s">
        <v>#N/A N/A</v>
        <stp/>
        <stp>BDP|11254540934279967745</stp>
        <tr r="I3132" s="2"/>
      </tp>
      <tp t="s">
        <v>#N/A N/A</v>
        <stp/>
        <stp>BDP|16995850581886234906</stp>
        <tr r="D3109" s="2"/>
      </tp>
      <tp t="s">
        <v>#N/A N/A</v>
        <stp/>
        <stp>BDP|15396158409125125816</stp>
        <tr r="B2180" s="2"/>
      </tp>
      <tp t="s">
        <v>#N/A N/A</v>
        <stp/>
        <stp>BDP|10285314566934884829</stp>
        <tr r="H2607" s="2"/>
      </tp>
      <tp t="s">
        <v>#N/A N/A</v>
        <stp/>
        <stp>BDP|11889853855122680716</stp>
        <tr r="G3350" s="2"/>
      </tp>
      <tp t="s">
        <v>#N/A N/A</v>
        <stp/>
        <stp>BDP|12446686464153292841</stp>
        <tr r="A2760" s="2"/>
      </tp>
      <tp t="s">
        <v>#N/A N/A</v>
        <stp/>
        <stp>BDP|15384506286706974725</stp>
        <tr r="G3126" s="2"/>
      </tp>
      <tp t="s">
        <v>#N/A N/A</v>
        <stp/>
        <stp>BDP|15442899000421776544</stp>
        <tr r="B4446" s="2"/>
      </tp>
      <tp t="s">
        <v>#N/A N/A</v>
        <stp/>
        <stp>BDP|18446509173627864417</stp>
        <tr r="B110" s="2"/>
      </tp>
      <tp t="s">
        <v>#N/A N/A</v>
        <stp/>
        <stp>BDP|12773514789732597447</stp>
        <tr r="D2754" s="2"/>
      </tp>
      <tp t="s">
        <v>#N/A N/A</v>
        <stp/>
        <stp>BDP|11420959401047882669</stp>
        <tr r="G2426" s="2"/>
      </tp>
      <tp t="s">
        <v>#N/A N/A</v>
        <stp/>
        <stp>BDP|10888920554770436545</stp>
        <tr r="B1588" s="2"/>
      </tp>
      <tp t="s">
        <v>#N/A N/A</v>
        <stp/>
        <stp>BDP|13685891215273100052</stp>
        <tr r="H1125" s="2"/>
      </tp>
      <tp t="s">
        <v>#N/A N/A</v>
        <stp/>
        <stp>BDP|17147913866875148492</stp>
        <tr r="F329" s="2"/>
      </tp>
      <tp t="s">
        <v>#N/A N/A</v>
        <stp/>
        <stp>BDP|14307983052595180466</stp>
        <tr r="I2507" s="2"/>
      </tp>
      <tp t="s">
        <v>#N/A N/A</v>
        <stp/>
        <stp>BDP|14093939239835257265</stp>
        <tr r="B3654" s="2"/>
      </tp>
      <tp t="s">
        <v>#N/A N/A</v>
        <stp/>
        <stp>BDP|18048284575193511768</stp>
        <tr r="A2406" s="2"/>
      </tp>
      <tp t="s">
        <v>#N/A N/A</v>
        <stp/>
        <stp>BDP|14962434393069081972</stp>
        <tr r="H3681" s="2"/>
      </tp>
      <tp t="s">
        <v>#N/A N/A</v>
        <stp/>
        <stp>BDP|11866644856949034247</stp>
        <tr r="F54" s="2"/>
      </tp>
      <tp t="s">
        <v>#N/A N/A</v>
        <stp/>
        <stp>BDP|14331928106850141488</stp>
        <tr r="B2204" s="2"/>
      </tp>
      <tp t="s">
        <v>#N/A N/A</v>
        <stp/>
        <stp>BDP|14874895489424386951</stp>
        <tr r="B3003" s="2"/>
      </tp>
      <tp t="s">
        <v>#N/A N/A</v>
        <stp/>
        <stp>BDP|16581012375339650193</stp>
        <tr r="F2579" s="2"/>
      </tp>
      <tp t="s">
        <v>#N/A N/A</v>
        <stp/>
        <stp>BDP|17106001354873316886</stp>
        <tr r="D1703" s="2"/>
      </tp>
      <tp t="s">
        <v>#N/A N/A</v>
        <stp/>
        <stp>BDP|13471422707668668698</stp>
        <tr r="F3260" s="2"/>
      </tp>
      <tp t="s">
        <v>#N/A N/A</v>
        <stp/>
        <stp>BDP|16893072290414344226</stp>
        <tr r="C4546" s="2"/>
      </tp>
      <tp t="s">
        <v>#N/A N/A</v>
        <stp/>
        <stp>BDP|13954552630498779459</stp>
        <tr r="B2388" s="2"/>
      </tp>
      <tp t="s">
        <v>#N/A N/A</v>
        <stp/>
        <stp>BDP|17099966704135971255</stp>
        <tr r="A657" s="2"/>
      </tp>
      <tp t="s">
        <v>#N/A N/A</v>
        <stp/>
        <stp>BDP|16934272130179858789</stp>
        <tr r="C3383" s="2"/>
      </tp>
      <tp t="s">
        <v>#N/A N/A</v>
        <stp/>
        <stp>BDP|11035366234241826946</stp>
        <tr r="B2238" s="2"/>
      </tp>
      <tp t="s">
        <v>#N/A N/A</v>
        <stp/>
        <stp>BDP|13935160643409372613</stp>
        <tr r="C3848" s="2"/>
      </tp>
      <tp t="s">
        <v>#N/A N/A</v>
        <stp/>
        <stp>BDP|17802551643679052601</stp>
        <tr r="D3059" s="2"/>
      </tp>
      <tp t="s">
        <v>#N/A N/A</v>
        <stp/>
        <stp>BDP|10832047396676042644</stp>
        <tr r="I3451" s="2"/>
      </tp>
      <tp t="s">
        <v>#N/A N/A</v>
        <stp/>
        <stp>BDP|11294146548748793573</stp>
        <tr r="A328" s="2"/>
      </tp>
      <tp t="s">
        <v>#N/A N/A</v>
        <stp/>
        <stp>BDP|12182182743789651729</stp>
        <tr r="F1371" s="2"/>
      </tp>
      <tp t="s">
        <v>#N/A N/A</v>
        <stp/>
        <stp>BDP|17220399873442195877</stp>
        <tr r="D2612" s="2"/>
      </tp>
      <tp t="s">
        <v>#N/A N/A</v>
        <stp/>
        <stp>BDP|13039810922278402890</stp>
        <tr r="I15" s="2"/>
      </tp>
      <tp t="s">
        <v>#N/A N/A</v>
        <stp/>
        <stp>BDP|18362668824512688792</stp>
        <tr r="H2075" s="2"/>
      </tp>
      <tp t="s">
        <v>#N/A N/A</v>
        <stp/>
        <stp>BDP|13700013113059856237</stp>
        <tr r="I2249" s="2"/>
      </tp>
      <tp t="s">
        <v>#N/A N/A</v>
        <stp/>
        <stp>BDP|13971724663388352355</stp>
        <tr r="D4647" s="2"/>
      </tp>
      <tp t="s">
        <v>#N/A N/A</v>
        <stp/>
        <stp>BDP|18273004439927781522</stp>
        <tr r="B3876" s="2"/>
      </tp>
      <tp t="s">
        <v>#N/A N/A</v>
        <stp/>
        <stp>BDP|11422812519664471561</stp>
        <tr r="C4392" s="2"/>
      </tp>
      <tp t="s">
        <v>#N/A N/A</v>
        <stp/>
        <stp>BDP|12184279388400765173</stp>
        <tr r="A1528" s="2"/>
      </tp>
      <tp t="s">
        <v>#N/A N/A</v>
        <stp/>
        <stp>BDP|17252130960449646092</stp>
        <tr r="H538" s="2"/>
      </tp>
      <tp t="s">
        <v>#N/A N/A</v>
        <stp/>
        <stp>BDP|13916453425305059973</stp>
        <tr r="A1795" s="2"/>
      </tp>
      <tp t="s">
        <v>#N/A N/A</v>
        <stp/>
        <stp>BDP|12781050799195499717</stp>
        <tr r="F2802" s="2"/>
      </tp>
      <tp t="s">
        <v>#N/A N/A</v>
        <stp/>
        <stp>BDP|12540242099729113977</stp>
        <tr r="F2338" s="2"/>
      </tp>
      <tp t="s">
        <v>#N/A N/A</v>
        <stp/>
        <stp>BDP|14920110582150703434</stp>
        <tr r="G2881" s="2"/>
      </tp>
      <tp t="s">
        <v>#N/A N/A</v>
        <stp/>
        <stp>BDP|14729683551767627962</stp>
        <tr r="H4002" s="2"/>
      </tp>
      <tp t="s">
        <v>#N/A N/A</v>
        <stp/>
        <stp>BDP|16350683992668275851</stp>
        <tr r="D3939" s="2"/>
      </tp>
      <tp t="s">
        <v>#N/A N/A</v>
        <stp/>
        <stp>BDP|12037133398731323263</stp>
        <tr r="H4227" s="2"/>
      </tp>
      <tp t="s">
        <v>#N/A N/A</v>
        <stp/>
        <stp>BDP|14405227171058186089</stp>
        <tr r="C4552" s="2"/>
      </tp>
      <tp t="s">
        <v>#N/A N/A</v>
        <stp/>
        <stp>BDP|18223133954682232792</stp>
        <tr r="H3818" s="2"/>
      </tp>
      <tp t="s">
        <v>#N/A N/A</v>
        <stp/>
        <stp>BDP|13283164461425986826</stp>
        <tr r="G3508" s="2"/>
      </tp>
      <tp t="s">
        <v>#N/A N/A</v>
        <stp/>
        <stp>BDP|14154082750198389048</stp>
        <tr r="F4072" s="2"/>
      </tp>
      <tp t="s">
        <v>#N/A N/A</v>
        <stp/>
        <stp>BDP|15020306908798112774</stp>
        <tr r="A4463" s="2"/>
      </tp>
      <tp t="s">
        <v>#N/A N/A</v>
        <stp/>
        <stp>BDP|16771046082976964168</stp>
        <tr r="B1360" s="2"/>
      </tp>
      <tp t="s">
        <v>#N/A N/A</v>
        <stp/>
        <stp>BDP|10133867719915699561</stp>
        <tr r="H2405" s="2"/>
      </tp>
      <tp t="s">
        <v>#N/A N/A</v>
        <stp/>
        <stp>BDP|10910455187475078052</stp>
        <tr r="G2319" s="2"/>
      </tp>
      <tp t="s">
        <v>#N/A N/A</v>
        <stp/>
        <stp>BDP|14137762718413124802</stp>
        <tr r="B1446" s="2"/>
      </tp>
      <tp t="s">
        <v>#N/A N/A</v>
        <stp/>
        <stp>BDP|17970748191826452667</stp>
        <tr r="B118" s="2"/>
      </tp>
      <tp t="s">
        <v>#N/A N/A</v>
        <stp/>
        <stp>BDP|16213092359449451386</stp>
        <tr r="G538" s="2"/>
      </tp>
      <tp t="s">
        <v>#N/A N/A</v>
        <stp/>
        <stp>BDP|14905681119438533232</stp>
        <tr r="I2106" s="2"/>
      </tp>
      <tp t="s">
        <v>#N/A N/A</v>
        <stp/>
        <stp>BDP|17148954775389973960</stp>
        <tr r="H2693" s="2"/>
      </tp>
      <tp t="s">
        <v>#N/A N/A</v>
        <stp/>
        <stp>BDP|16212176279010261905</stp>
        <tr r="B4069" s="2"/>
      </tp>
      <tp t="s">
        <v>#N/A N/A</v>
        <stp/>
        <stp>BDP|13476691110355040835</stp>
        <tr r="I1513" s="2"/>
      </tp>
      <tp t="s">
        <v>#N/A N/A</v>
        <stp/>
        <stp>BDP|15264840729831882792</stp>
        <tr r="G4803" s="2"/>
      </tp>
      <tp t="s">
        <v>#N/A N/A</v>
        <stp/>
        <stp>BDP|14380171603514353852</stp>
        <tr r="F715" s="2"/>
      </tp>
      <tp t="s">
        <v>#N/A N/A</v>
        <stp/>
        <stp>BDP|13051493885432807458</stp>
        <tr r="B1117" s="2"/>
      </tp>
      <tp t="s">
        <v>#N/A N/A</v>
        <stp/>
        <stp>BDP|17933314719084950898</stp>
        <tr r="B2645" s="2"/>
      </tp>
      <tp t="s">
        <v>#N/A N/A</v>
        <stp/>
        <stp>BDP|14650856351296235618</stp>
        <tr r="D772" s="2"/>
      </tp>
      <tp t="s">
        <v>#N/A N/A</v>
        <stp/>
        <stp>BDP|13283406596550323763</stp>
        <tr r="F4998" s="2"/>
      </tp>
      <tp t="s">
        <v>#N/A N/A</v>
        <stp/>
        <stp>BDP|16202850802947773037</stp>
        <tr r="D437" s="2"/>
      </tp>
      <tp t="s">
        <v>#N/A N/A</v>
        <stp/>
        <stp>BDP|10728857640801371403</stp>
        <tr r="H3564" s="2"/>
      </tp>
      <tp t="s">
        <v>#N/A N/A</v>
        <stp/>
        <stp>BDP|11123001202968469065</stp>
        <tr r="D2069" s="2"/>
      </tp>
      <tp t="s">
        <v>#N/A N/A</v>
        <stp/>
        <stp>BDP|17580018742593650919</stp>
        <tr r="H3692" s="2"/>
      </tp>
      <tp t="s">
        <v>#N/A N/A</v>
        <stp/>
        <stp>BDP|13796366167667628812</stp>
        <tr r="G3731" s="2"/>
      </tp>
      <tp t="s">
        <v>#N/A N/A</v>
        <stp/>
        <stp>BDP|16406735043745287973</stp>
        <tr r="A4928" s="2"/>
      </tp>
      <tp t="s">
        <v>#N/A N/A</v>
        <stp/>
        <stp>BDP|11348518872332315827</stp>
        <tr r="I826" s="2"/>
      </tp>
      <tp t="s">
        <v>#N/A N/A</v>
        <stp/>
        <stp>BDP|11044620614436390940</stp>
        <tr r="D3730" s="2"/>
      </tp>
      <tp t="s">
        <v>#N/A N/A</v>
        <stp/>
        <stp>BDP|15553876012824872195</stp>
        <tr r="I1243" s="2"/>
      </tp>
      <tp t="s">
        <v>#N/A N/A</v>
        <stp/>
        <stp>BDP|13659545935855407921</stp>
        <tr r="D573" s="2"/>
      </tp>
      <tp t="s">
        <v>#N/A N/A</v>
        <stp/>
        <stp>BDP|14439736113403100849</stp>
        <tr r="G4792" s="2"/>
      </tp>
      <tp t="s">
        <v>#N/A N/A</v>
        <stp/>
        <stp>BDP|16295676717289142121</stp>
        <tr r="H2186" s="2"/>
      </tp>
      <tp t="s">
        <v>#N/A N/A</v>
        <stp/>
        <stp>BDP|10212047380329158868</stp>
        <tr r="D2733" s="2"/>
      </tp>
      <tp t="s">
        <v>#N/A N/A</v>
        <stp/>
        <stp>BDP|12064415184170783732</stp>
        <tr r="F3221" s="2"/>
      </tp>
      <tp t="s">
        <v>#N/A N/A</v>
        <stp/>
        <stp>BDP|14509677348586257998</stp>
        <tr r="F3013" s="2"/>
      </tp>
      <tp t="s">
        <v>#N/A N/A</v>
        <stp/>
        <stp>BDP|17930783699856047693</stp>
        <tr r="A1273" s="2"/>
      </tp>
      <tp t="s">
        <v>#N/A N/A</v>
        <stp/>
        <stp>BDP|14190144637727471873</stp>
        <tr r="A985" s="2"/>
      </tp>
      <tp t="s">
        <v>#N/A N/A</v>
        <stp/>
        <stp>BDP|17725923012721317759</stp>
        <tr r="I2829" s="2"/>
      </tp>
      <tp t="s">
        <v>#N/A N/A</v>
        <stp/>
        <stp>BDP|18260353662417048348</stp>
        <tr r="B1456" s="2"/>
      </tp>
      <tp t="s">
        <v>#N/A N/A</v>
        <stp/>
        <stp>BDP|18408698291646440897</stp>
        <tr r="D4905" s="2"/>
      </tp>
      <tp t="s">
        <v>#N/A N/A</v>
        <stp/>
        <stp>BDP|13641332170219490700</stp>
        <tr r="A4226" s="2"/>
      </tp>
      <tp t="s">
        <v>#N/A N/A</v>
        <stp/>
        <stp>BDP|11183677805367192939</stp>
        <tr r="F4088" s="2"/>
      </tp>
      <tp t="s">
        <v>#N/A N/A</v>
        <stp/>
        <stp>BDP|16605863578370159089</stp>
        <tr r="B1328" s="2"/>
      </tp>
      <tp t="s">
        <v>#N/A N/A</v>
        <stp/>
        <stp>BDP|17696837430221729432</stp>
        <tr r="C3219" s="2"/>
      </tp>
      <tp t="s">
        <v>#N/A N/A</v>
        <stp/>
        <stp>BDP|11398183777768521683</stp>
        <tr r="A1284" s="2"/>
      </tp>
      <tp t="s">
        <v>#N/A N/A</v>
        <stp/>
        <stp>BDP|18071672667996944784</stp>
        <tr r="I1467" s="2"/>
      </tp>
      <tp t="s">
        <v>#N/A N/A</v>
        <stp/>
        <stp>BDP|15020489697583858267</stp>
        <tr r="I269" s="2"/>
      </tp>
      <tp t="s">
        <v>#N/A N/A</v>
        <stp/>
        <stp>BDP|12452805390502112848</stp>
        <tr r="H1153" s="2"/>
      </tp>
      <tp t="s">
        <v>#N/A N/A</v>
        <stp/>
        <stp>BDP|17937887201161481751</stp>
        <tr r="D3125" s="2"/>
      </tp>
      <tp t="s">
        <v>#N/A N/A</v>
        <stp/>
        <stp>BDP|15272966262291580228</stp>
        <tr r="G4769" s="2"/>
      </tp>
      <tp t="s">
        <v>#N/A N/A</v>
        <stp/>
        <stp>BDP|12769818038633780383</stp>
        <tr r="F2310" s="2"/>
      </tp>
      <tp t="s">
        <v>#N/A N/A</v>
        <stp/>
        <stp>BDP|16519376185570515430</stp>
        <tr r="B2097" s="2"/>
      </tp>
      <tp t="s">
        <v>#N/A N/A</v>
        <stp/>
        <stp>BDP|16343323706659204542</stp>
        <tr r="B2599" s="2"/>
      </tp>
      <tp t="s">
        <v>#N/A N/A</v>
        <stp/>
        <stp>BDP|11433783771619842141</stp>
        <tr r="H4946" s="2"/>
      </tp>
      <tp t="s">
        <v>#N/A N/A</v>
        <stp/>
        <stp>BDP|15075101593534471067</stp>
        <tr r="F3639" s="2"/>
      </tp>
      <tp t="s">
        <v>#N/A N/A</v>
        <stp/>
        <stp>BDP|17480378487476275371</stp>
        <tr r="D179" s="2"/>
      </tp>
      <tp t="s">
        <v>#N/A N/A</v>
        <stp/>
        <stp>BDP|13382726780100079509</stp>
        <tr r="I406" s="2"/>
      </tp>
      <tp t="s">
        <v>#N/A N/A</v>
        <stp/>
        <stp>BDP|12544055211063938993</stp>
        <tr r="A965" s="2"/>
      </tp>
      <tp t="s">
        <v>#N/A N/A</v>
        <stp/>
        <stp>BDP|14337551031912234949</stp>
        <tr r="G202" s="2"/>
      </tp>
      <tp t="s">
        <v>#N/A N/A</v>
        <stp/>
        <stp>BDP|10389476327889343612</stp>
        <tr r="F1075" s="2"/>
      </tp>
      <tp t="s">
        <v>#N/A N/A</v>
        <stp/>
        <stp>BDP|12161423297442679431</stp>
        <tr r="D2138" s="2"/>
      </tp>
      <tp t="s">
        <v>#N/A N/A</v>
        <stp/>
        <stp>BDP|13768995678280650413</stp>
        <tr r="A1825" s="2"/>
      </tp>
      <tp t="s">
        <v>#N/A N/A</v>
        <stp/>
        <stp>BDP|14849789824980369865</stp>
        <tr r="D1961" s="2"/>
      </tp>
      <tp t="s">
        <v>#N/A N/A</v>
        <stp/>
        <stp>BDP|10775803915286146625</stp>
        <tr r="F140" s="2"/>
      </tp>
      <tp t="s">
        <v>#N/A N/A</v>
        <stp/>
        <stp>BDP|15672963177520224245</stp>
        <tr r="C3556" s="2"/>
      </tp>
      <tp t="s">
        <v>#N/A N/A</v>
        <stp/>
        <stp>BDP|15810560100229737086</stp>
        <tr r="A2761" s="2"/>
      </tp>
      <tp t="s">
        <v>#N/A N/A</v>
        <stp/>
        <stp>BDP|13218330981379305824</stp>
        <tr r="A42" s="2"/>
      </tp>
      <tp t="s">
        <v>#N/A N/A</v>
        <stp/>
        <stp>BDP|17289800016050182745</stp>
        <tr r="C2732" s="2"/>
      </tp>
      <tp t="s">
        <v>#N/A N/A</v>
        <stp/>
        <stp>BDP|12210172984327863583</stp>
        <tr r="G944" s="2"/>
      </tp>
      <tp t="s">
        <v>#N/A N/A</v>
        <stp/>
        <stp>BDP|10317347097256165507</stp>
        <tr r="H4611" s="2"/>
      </tp>
      <tp t="s">
        <v>#N/A N/A</v>
        <stp/>
        <stp>BDP|12613025617749372311</stp>
        <tr r="A417" s="2"/>
      </tp>
      <tp t="s">
        <v>#N/A N/A</v>
        <stp/>
        <stp>BDP|10455624722548128542</stp>
        <tr r="H2399" s="2"/>
      </tp>
      <tp t="s">
        <v>#N/A N/A</v>
        <stp/>
        <stp>BDP|18131327007684619637</stp>
        <tr r="G1982" s="2"/>
      </tp>
      <tp t="s">
        <v>#N/A N/A</v>
        <stp/>
        <stp>BDP|12683520455042191915</stp>
        <tr r="G214" s="2"/>
      </tp>
      <tp t="s">
        <v>#N/A N/A</v>
        <stp/>
        <stp>BDP|16654426594991321333</stp>
        <tr r="A4279" s="2"/>
      </tp>
      <tp t="s">
        <v>#N/A N/A</v>
        <stp/>
        <stp>BDP|17838748158905491900</stp>
        <tr r="F2861" s="2"/>
      </tp>
      <tp t="s">
        <v>#N/A N/A</v>
        <stp/>
        <stp>BDP|12886869178316583231</stp>
        <tr r="I102" s="2"/>
      </tp>
      <tp t="s">
        <v>#N/A N/A</v>
        <stp/>
        <stp>BDP|17654521583331495235</stp>
        <tr r="D22" s="2"/>
      </tp>
      <tp t="s">
        <v>#N/A N/A</v>
        <stp/>
        <stp>BDP|16680386240650854866</stp>
        <tr r="G1359" s="2"/>
      </tp>
      <tp t="s">
        <v>#N/A N/A</v>
        <stp/>
        <stp>BDP|11864702972890969830</stp>
        <tr r="A611" s="2"/>
      </tp>
      <tp t="s">
        <v>#N/A N/A</v>
        <stp/>
        <stp>BDP|14420964584694523838</stp>
        <tr r="I4390" s="2"/>
      </tp>
      <tp t="s">
        <v>#N/A N/A</v>
        <stp/>
        <stp>BDP|15917745069479220468</stp>
        <tr r="C2091" s="2"/>
      </tp>
      <tp t="s">
        <v>#N/A N/A</v>
        <stp/>
        <stp>BDP|14111021903929728471</stp>
        <tr r="C3798" s="2"/>
      </tp>
      <tp t="s">
        <v>#N/A N/A</v>
        <stp/>
        <stp>BDP|14789701902709665331</stp>
        <tr r="B4599" s="2"/>
      </tp>
      <tp t="s">
        <v>#N/A N/A</v>
        <stp/>
        <stp>BDP|17576901470477535708</stp>
        <tr r="D4004" s="2"/>
      </tp>
      <tp t="s">
        <v>#N/A N/A</v>
        <stp/>
        <stp>BDP|10718910112705085446</stp>
        <tr r="I2556" s="2"/>
      </tp>
      <tp t="s">
        <v>#N/A N/A</v>
        <stp/>
        <stp>BDP|14307141140519686114</stp>
        <tr r="B3773" s="2"/>
      </tp>
      <tp t="s">
        <v>#N/A N/A</v>
        <stp/>
        <stp>BDP|13686649024017384951</stp>
        <tr r="H4905" s="2"/>
      </tp>
      <tp t="s">
        <v>#N/A N/A</v>
        <stp/>
        <stp>BDP|16768234632977677903</stp>
        <tr r="I1905" s="2"/>
      </tp>
      <tp t="s">
        <v>#N/A N/A</v>
        <stp/>
        <stp>BDP|14172824657439782930</stp>
        <tr r="H658" s="2"/>
      </tp>
      <tp t="s">
        <v>#N/A N/A</v>
        <stp/>
        <stp>BDP|15286454531132067964</stp>
        <tr r="H2958" s="2"/>
      </tp>
      <tp t="s">
        <v>#N/A N/A</v>
        <stp/>
        <stp>BDP|17913919218647852184</stp>
        <tr r="C2959" s="2"/>
      </tp>
      <tp t="s">
        <v>#N/A N/A</v>
        <stp/>
        <stp>BDP|11517189743039762491</stp>
        <tr r="C688" s="2"/>
      </tp>
      <tp t="s">
        <v>#N/A N/A</v>
        <stp/>
        <stp>BDP|17789193807027968803</stp>
        <tr r="D3449" s="2"/>
      </tp>
      <tp t="s">
        <v>#N/A N/A</v>
        <stp/>
        <stp>BDP|17855619088880810098</stp>
        <tr r="B3155" s="2"/>
      </tp>
      <tp t="s">
        <v>#N/A N/A</v>
        <stp/>
        <stp>BDP|16603269330436439843</stp>
        <tr r="G2900" s="2"/>
      </tp>
      <tp t="s">
        <v>#N/A N/A</v>
        <stp/>
        <stp>BDP|17684867670407576651</stp>
        <tr r="G740" s="2"/>
      </tp>
      <tp t="s">
        <v>#N/A N/A</v>
        <stp/>
        <stp>BDP|11343208817088466306</stp>
        <tr r="G1254" s="2"/>
      </tp>
      <tp t="s">
        <v>#N/A N/A</v>
        <stp/>
        <stp>BDP|13762911829586865778</stp>
        <tr r="C2941" s="2"/>
      </tp>
      <tp t="s">
        <v>#N/A N/A</v>
        <stp/>
        <stp>BDP|14824354181292950452</stp>
        <tr r="F254" s="2"/>
      </tp>
      <tp t="s">
        <v>#N/A N/A</v>
        <stp/>
        <stp>BDP|10420322526920698863</stp>
        <tr r="D227" s="2"/>
      </tp>
      <tp t="s">
        <v>#N/A N/A</v>
        <stp/>
        <stp>BDP|10605963934565714634</stp>
        <tr r="B4490" s="2"/>
      </tp>
      <tp t="s">
        <v>#N/A N/A</v>
        <stp/>
        <stp>BDP|17570881886278335684</stp>
        <tr r="D965" s="2"/>
      </tp>
      <tp t="s">
        <v>#N/A N/A</v>
        <stp/>
        <stp>BDP|11275291578438247515</stp>
        <tr r="A3058" s="2"/>
      </tp>
      <tp t="s">
        <v>#N/A N/A</v>
        <stp/>
        <stp>BDP|10825418620749961608</stp>
        <tr r="G3348" s="2"/>
      </tp>
      <tp t="s">
        <v>#N/A N/A</v>
        <stp/>
        <stp>BDP|11328574141271305866</stp>
        <tr r="D3164" s="2"/>
      </tp>
      <tp t="s">
        <v>#N/A N/A</v>
        <stp/>
        <stp>BDP|12582794993794719188</stp>
        <tr r="F11" s="2"/>
      </tp>
      <tp t="s">
        <v>#N/A N/A</v>
        <stp/>
        <stp>BDP|11472347482145557676</stp>
        <tr r="G3498" s="2"/>
      </tp>
      <tp t="s">
        <v>#N/A N/A</v>
        <stp/>
        <stp>BDP|12296298273987188992</stp>
        <tr r="H2677" s="2"/>
      </tp>
      <tp t="s">
        <v>#N/A N/A</v>
        <stp/>
        <stp>BDP|14251764347396555866</stp>
        <tr r="C1722" s="2"/>
      </tp>
      <tp t="s">
        <v>#N/A N/A</v>
        <stp/>
        <stp>BDP|15249682089645443775</stp>
        <tr r="B1006" s="2"/>
      </tp>
      <tp t="s">
        <v>#N/A N/A</v>
        <stp/>
        <stp>BDP|15903984960300120304</stp>
        <tr r="I3564" s="2"/>
      </tp>
      <tp t="s">
        <v>#N/A N/A</v>
        <stp/>
        <stp>BDP|15725293897192161587</stp>
        <tr r="G3497" s="2"/>
      </tp>
      <tp t="s">
        <v>#N/A N/A</v>
        <stp/>
        <stp>BDP|18117967440519213553</stp>
        <tr r="H2852" s="2"/>
      </tp>
      <tp t="s">
        <v>#N/A N/A</v>
        <stp/>
        <stp>BDP|11120740690310597609</stp>
        <tr r="G546" s="2"/>
      </tp>
      <tp t="s">
        <v>#N/A N/A</v>
        <stp/>
        <stp>BDP|10040569506355993996</stp>
        <tr r="G4210" s="2"/>
      </tp>
      <tp t="s">
        <v>#N/A N/A</v>
        <stp/>
        <stp>BDP|17150375862542075942</stp>
        <tr r="A4128" s="2"/>
      </tp>
      <tp t="s">
        <v>#N/A N/A</v>
        <stp/>
        <stp>BDP|17773460426779308140</stp>
        <tr r="G1414" s="2"/>
      </tp>
      <tp t="s">
        <v>#N/A N/A</v>
        <stp/>
        <stp>BDP|14729438520819268264</stp>
        <tr r="I2311" s="2"/>
      </tp>
      <tp t="s">
        <v>#N/A N/A</v>
        <stp/>
        <stp>BDP|14624211407726014905</stp>
        <tr r="D1927" s="2"/>
      </tp>
      <tp t="s">
        <v>#N/A N/A</v>
        <stp/>
        <stp>BDP|10451802546315477063</stp>
        <tr r="I565" s="2"/>
      </tp>
      <tp t="s">
        <v>#N/A N/A</v>
        <stp/>
        <stp>BDP|13167977812775225763</stp>
        <tr r="D103" s="2"/>
      </tp>
      <tp t="s">
        <v>#N/A N/A</v>
        <stp/>
        <stp>BDP|15960197482590620541</stp>
        <tr r="F3238" s="2"/>
      </tp>
      <tp t="s">
        <v>#N/A N/A</v>
        <stp/>
        <stp>BDP|15469703942477718817</stp>
        <tr r="F2607" s="2"/>
      </tp>
      <tp t="s">
        <v>#N/A N/A</v>
        <stp/>
        <stp>BDP|10141676793081420717</stp>
        <tr r="G2054" s="2"/>
      </tp>
      <tp t="s">
        <v>#N/A N/A</v>
        <stp/>
        <stp>BDP|10163411120727878880</stp>
        <tr r="F2381" s="2"/>
      </tp>
      <tp t="s">
        <v>#N/A N/A</v>
        <stp/>
        <stp>BDP|12796522799793934459</stp>
        <tr r="I710" s="2"/>
      </tp>
      <tp t="s">
        <v>#N/A N/A</v>
        <stp/>
        <stp>BDP|13992232198632234308</stp>
        <tr r="F2502" s="2"/>
      </tp>
      <tp t="s">
        <v>#N/A N/A</v>
        <stp/>
        <stp>BDP|10396840473595297360</stp>
        <tr r="D522" s="2"/>
      </tp>
      <tp t="s">
        <v>#N/A N/A</v>
        <stp/>
        <stp>BDP|14185389123498218481</stp>
        <tr r="G4223" s="2"/>
      </tp>
      <tp t="s">
        <v>#N/A N/A</v>
        <stp/>
        <stp>BDP|10756757199411857636</stp>
        <tr r="D120" s="2"/>
      </tp>
      <tp t="s">
        <v>#N/A N/A</v>
        <stp/>
        <stp>BDP|11776115791659085979</stp>
        <tr r="B1695" s="2"/>
      </tp>
      <tp t="s">
        <v>#N/A N/A</v>
        <stp/>
        <stp>BDP|11385447849941616983</stp>
        <tr r="I4811" s="2"/>
      </tp>
      <tp t="s">
        <v>#N/A N/A</v>
        <stp/>
        <stp>BDP|16634755818161354886</stp>
        <tr r="H3272" s="2"/>
      </tp>
      <tp t="s">
        <v>#N/A N/A</v>
        <stp/>
        <stp>BDP|11738813351961424400</stp>
        <tr r="F1155" s="2"/>
      </tp>
      <tp t="s">
        <v>#N/A N/A</v>
        <stp/>
        <stp>BDP|10489041869676921936</stp>
        <tr r="B4623" s="2"/>
      </tp>
      <tp t="s">
        <v>#N/A N/A</v>
        <stp/>
        <stp>BDP|12305993158053592441</stp>
        <tr r="D2398" s="2"/>
      </tp>
      <tp t="s">
        <v>#N/A N/A</v>
        <stp/>
        <stp>BDP|13599909643812765527</stp>
        <tr r="D1695" s="2"/>
      </tp>
      <tp t="s">
        <v>#N/A N/A</v>
        <stp/>
        <stp>BDP|10914069296593955331</stp>
        <tr r="C1516" s="2"/>
      </tp>
      <tp t="s">
        <v>#N/A N/A</v>
        <stp/>
        <stp>BDP|15819380922174407959</stp>
        <tr r="F501" s="2"/>
      </tp>
      <tp t="s">
        <v>#N/A N/A</v>
        <stp/>
        <stp>BDP|12720226986629132819</stp>
        <tr r="C3356" s="2"/>
      </tp>
      <tp t="s">
        <v>#N/A N/A</v>
        <stp/>
        <stp>BDP|14143362593880638715</stp>
        <tr r="C3153" s="2"/>
      </tp>
      <tp t="s">
        <v>#N/A N/A</v>
        <stp/>
        <stp>BDP|17051795696107401789</stp>
        <tr r="B2585" s="2"/>
      </tp>
      <tp t="s">
        <v>#N/A N/A</v>
        <stp/>
        <stp>BDP|10403791849709102369</stp>
        <tr r="A1913" s="2"/>
      </tp>
      <tp t="s">
        <v>#N/A N/A</v>
        <stp/>
        <stp>BDP|15612924310446590227</stp>
        <tr r="B4945" s="2"/>
      </tp>
      <tp t="s">
        <v>#N/A N/A</v>
        <stp/>
        <stp>BDP|11286469568452891873</stp>
        <tr r="C3804" s="2"/>
      </tp>
      <tp t="s">
        <v>#N/A N/A</v>
        <stp/>
        <stp>BDP|14597468741538684573</stp>
        <tr r="H1899" s="2"/>
      </tp>
      <tp t="s">
        <v>#N/A N/A</v>
        <stp/>
        <stp>BDP|11832978400592934353</stp>
        <tr r="F4871" s="2"/>
      </tp>
      <tp t="s">
        <v>#N/A N/A</v>
        <stp/>
        <stp>BDP|10399225986260161356</stp>
        <tr r="C2725" s="2"/>
      </tp>
      <tp t="s">
        <v>#N/A N/A</v>
        <stp/>
        <stp>BDP|13229372694907463762</stp>
        <tr r="C4431" s="2"/>
      </tp>
      <tp t="s">
        <v>#N/A N/A</v>
        <stp/>
        <stp>BDP|12173516282647583142</stp>
        <tr r="B2489" s="2"/>
      </tp>
      <tp t="s">
        <v>#N/A N/A</v>
        <stp/>
        <stp>BDP|10974241985445379688</stp>
        <tr r="C1669" s="2"/>
      </tp>
      <tp t="s">
        <v>#N/A N/A</v>
        <stp/>
        <stp>BDP|11560930910839704922</stp>
        <tr r="D1909" s="2"/>
      </tp>
      <tp t="s">
        <v>#N/A N/A</v>
        <stp/>
        <stp>BDP|18257489021155139292</stp>
        <tr r="H620" s="2"/>
      </tp>
      <tp t="s">
        <v>#N/A N/A</v>
        <stp/>
        <stp>BDP|12090170337078551160</stp>
        <tr r="I1463" s="2"/>
      </tp>
      <tp t="s">
        <v>#N/A N/A</v>
        <stp/>
        <stp>BDP|10366876666572690570</stp>
        <tr r="A4080" s="2"/>
      </tp>
      <tp t="s">
        <v>#N/A N/A</v>
        <stp/>
        <stp>BDP|11437468657900697907</stp>
        <tr r="I1765" s="2"/>
      </tp>
      <tp t="s">
        <v>#N/A N/A</v>
        <stp/>
        <stp>BDP|16640959585439520707</stp>
        <tr r="H714" s="2"/>
      </tp>
      <tp t="s">
        <v>#N/A N/A</v>
        <stp/>
        <stp>BDP|15532908125343624456</stp>
        <tr r="H374" s="2"/>
      </tp>
      <tp t="s">
        <v>#N/A N/A</v>
        <stp/>
        <stp>BDP|17694269305364399859</stp>
        <tr r="H703" s="2"/>
      </tp>
      <tp t="s">
        <v>#N/A N/A</v>
        <stp/>
        <stp>BDP|11428527857321478962</stp>
        <tr r="A1081" s="2"/>
      </tp>
      <tp t="s">
        <v>#N/A N/A</v>
        <stp/>
        <stp>BDP|13800238198462962399</stp>
        <tr r="C3261" s="2"/>
      </tp>
      <tp t="s">
        <v>#N/A N/A</v>
        <stp/>
        <stp>BDP|12807499041903023831</stp>
        <tr r="D1111" s="2"/>
      </tp>
      <tp t="s">
        <v>#N/A N/A</v>
        <stp/>
        <stp>BDP|10979017949305501870</stp>
        <tr r="C2242" s="2"/>
      </tp>
      <tp t="s">
        <v>#N/A N/A</v>
        <stp/>
        <stp>BDP|11440692434304247982</stp>
        <tr r="H3278" s="2"/>
      </tp>
      <tp t="s">
        <v>#N/A N/A</v>
        <stp/>
        <stp>BDP|14568104953789056052</stp>
        <tr r="G3251" s="2"/>
      </tp>
      <tp t="s">
        <v>#N/A N/A</v>
        <stp/>
        <stp>BDP|11749857500645446553</stp>
        <tr r="F1997" s="2"/>
      </tp>
      <tp t="s">
        <v>#N/A N/A</v>
        <stp/>
        <stp>BDP|18165961666668250606</stp>
        <tr r="I2562" s="2"/>
      </tp>
      <tp t="s">
        <v>#N/A N/A</v>
        <stp/>
        <stp>BDP|16024569903219081360</stp>
        <tr r="H3478" s="2"/>
      </tp>
      <tp t="s">
        <v>#N/A N/A</v>
        <stp/>
        <stp>BDP|17584820277481047039</stp>
        <tr r="G1619" s="2"/>
      </tp>
      <tp t="s">
        <v>#N/A N/A</v>
        <stp/>
        <stp>BDP|16033326856998586125</stp>
        <tr r="G616" s="2"/>
      </tp>
      <tp t="s">
        <v>#N/A N/A</v>
        <stp/>
        <stp>BDP|15157378800269564609</stp>
        <tr r="B207" s="2"/>
      </tp>
      <tp t="s">
        <v>#N/A N/A</v>
        <stp/>
        <stp>BDP|13633667801218143432</stp>
        <tr r="F1458" s="2"/>
      </tp>
      <tp t="s">
        <v>#N/A N/A</v>
        <stp/>
        <stp>BDP|16713839047960212320</stp>
        <tr r="F4228" s="2"/>
      </tp>
      <tp t="s">
        <v>#N/A N/A</v>
        <stp/>
        <stp>BDP|11323723207386409912</stp>
        <tr r="A1726" s="2"/>
      </tp>
      <tp t="s">
        <v>#N/A N/A</v>
        <stp/>
        <stp>BDP|12248126088842290094</stp>
        <tr r="A587" s="2"/>
      </tp>
      <tp t="s">
        <v>#N/A N/A</v>
        <stp/>
        <stp>BDP|12787386855858162587</stp>
        <tr r="D3427" s="2"/>
      </tp>
      <tp t="s">
        <v>#N/A N/A</v>
        <stp/>
        <stp>BDP|12263819819280039299</stp>
        <tr r="B4679" s="2"/>
      </tp>
      <tp t="s">
        <v>#N/A N/A</v>
        <stp/>
        <stp>BDP|13206844551161045646</stp>
        <tr r="H1502" s="2"/>
      </tp>
      <tp t="s">
        <v>#N/A N/A</v>
        <stp/>
        <stp>BDP|10348311601403050902</stp>
        <tr r="I2204" s="2"/>
      </tp>
      <tp t="s">
        <v>#N/A N/A</v>
        <stp/>
        <stp>BDP|15937394342159839293</stp>
        <tr r="F4545" s="2"/>
      </tp>
      <tp t="s">
        <v>#N/A N/A</v>
        <stp/>
        <stp>BDP|16161423887797708404</stp>
        <tr r="G1925" s="2"/>
      </tp>
      <tp t="s">
        <v>#N/A N/A</v>
        <stp/>
        <stp>BDP|14487420632632511829</stp>
        <tr r="C4651" s="2"/>
      </tp>
      <tp t="s">
        <v>#N/A N/A</v>
        <stp/>
        <stp>BDP|17223560586846778568</stp>
        <tr r="F4937" s="2"/>
      </tp>
      <tp t="s">
        <v>#N/A N/A</v>
        <stp/>
        <stp>BDP|16114111117388109756</stp>
        <tr r="H1254" s="2"/>
      </tp>
      <tp t="s">
        <v>#N/A N/A</v>
        <stp/>
        <stp>BDP|12332847035929311929</stp>
        <tr r="G2449" s="2"/>
      </tp>
      <tp t="s">
        <v>#N/A N/A</v>
        <stp/>
        <stp>BDP|10721020097600443055</stp>
        <tr r="D2794" s="2"/>
      </tp>
      <tp t="s">
        <v>#N/A N/A</v>
        <stp/>
        <stp>BDP|13325042518222419987</stp>
        <tr r="G4591" s="2"/>
      </tp>
      <tp t="s">
        <v>#N/A N/A</v>
        <stp/>
        <stp>BDP|11286811250101293425</stp>
        <tr r="A2811" s="2"/>
      </tp>
      <tp t="s">
        <v>#N/A N/A</v>
        <stp/>
        <stp>BDP|18220714485917027959</stp>
        <tr r="F3207" s="2"/>
      </tp>
      <tp t="s">
        <v>#N/A N/A</v>
        <stp/>
        <stp>BDP|12023958143644568211</stp>
        <tr r="F3050" s="2"/>
      </tp>
      <tp t="s">
        <v>#N/A N/A</v>
        <stp/>
        <stp>BDP|18094508889464391887</stp>
        <tr r="B376" s="2"/>
      </tp>
      <tp t="s">
        <v>#N/A N/A</v>
        <stp/>
        <stp>BDP|15468083828929456722</stp>
        <tr r="D4752" s="2"/>
      </tp>
      <tp t="s">
        <v>#N/A N/A</v>
        <stp/>
        <stp>BDP|17736038451568553320</stp>
        <tr r="D576" s="2"/>
      </tp>
      <tp t="s">
        <v>#N/A N/A</v>
        <stp/>
        <stp>BDP|11347061268178991666</stp>
        <tr r="I4148" s="2"/>
      </tp>
      <tp t="s">
        <v>#N/A N/A</v>
        <stp/>
        <stp>BDP|12412863942415593275</stp>
        <tr r="D2098" s="2"/>
      </tp>
      <tp t="s">
        <v>#N/A N/A</v>
        <stp/>
        <stp>BDP|18407158263491056703</stp>
        <tr r="A4671" s="2"/>
      </tp>
      <tp t="s">
        <v>#N/A N/A</v>
        <stp/>
        <stp>BDP|10804552480771672598</stp>
        <tr r="F3254" s="2"/>
      </tp>
      <tp t="s">
        <v>#N/A N/A</v>
        <stp/>
        <stp>BDP|12502213776126091801</stp>
        <tr r="I3676" s="2"/>
      </tp>
      <tp t="s">
        <v>#N/A N/A</v>
        <stp/>
        <stp>BDP|13817833332304222599</stp>
        <tr r="B3431" s="2"/>
      </tp>
      <tp t="s">
        <v>#N/A N/A</v>
        <stp/>
        <stp>BDP|13548220908691536988</stp>
        <tr r="F3383" s="2"/>
      </tp>
      <tp t="s">
        <v>#N/A N/A</v>
        <stp/>
        <stp>BDP|18215444963565780601</stp>
        <tr r="C2543" s="2"/>
      </tp>
      <tp t="s">
        <v>#N/A N/A</v>
        <stp/>
        <stp>BDP|18234493250179104988</stp>
        <tr r="D106" s="2"/>
      </tp>
      <tp t="s">
        <v>#N/A N/A</v>
        <stp/>
        <stp>BDP|12125881636580497097</stp>
        <tr r="B1981" s="2"/>
      </tp>
      <tp t="s">
        <v>#N/A N/A</v>
        <stp/>
        <stp>BDP|10104645815266385817</stp>
        <tr r="H952" s="2"/>
      </tp>
      <tp t="s">
        <v>#N/A N/A</v>
        <stp/>
        <stp>BDP|13441819022882287275</stp>
        <tr r="A2640" s="2"/>
      </tp>
      <tp t="s">
        <v>#N/A N/A</v>
        <stp/>
        <stp>BDP|13695292811529431085</stp>
        <tr r="I2907" s="2"/>
      </tp>
      <tp t="s">
        <v>#N/A N/A</v>
        <stp/>
        <stp>BDP|12068918326873099357</stp>
        <tr r="I2721" s="2"/>
      </tp>
      <tp t="s">
        <v>#N/A N/A</v>
        <stp/>
        <stp>BDP|16418557901648590271</stp>
        <tr r="A3763" s="2"/>
      </tp>
      <tp t="s">
        <v>#N/A N/A</v>
        <stp/>
        <stp>BDP|14230195493695399091</stp>
        <tr r="A4127" s="2"/>
      </tp>
      <tp t="s">
        <v>#N/A N/A</v>
        <stp/>
        <stp>BDP|10568345948528985626</stp>
        <tr r="F3301" s="2"/>
      </tp>
      <tp t="s">
        <v>#N/A N/A</v>
        <stp/>
        <stp>BDP|13316787564508495392</stp>
        <tr r="C3671" s="2"/>
      </tp>
      <tp t="s">
        <v>#N/A N/A</v>
        <stp/>
        <stp>BDP|13782684535737824801</stp>
        <tr r="D2534" s="2"/>
      </tp>
      <tp t="s">
        <v>#N/A N/A</v>
        <stp/>
        <stp>BDP|12900906542017986106</stp>
        <tr r="C505" s="2"/>
      </tp>
      <tp t="s">
        <v>#N/A N/A</v>
        <stp/>
        <stp>BDP|14437427699808456896</stp>
        <tr r="G3882" s="2"/>
      </tp>
      <tp t="s">
        <v>#N/A N/A</v>
        <stp/>
        <stp>BDP|18041826275379074759</stp>
        <tr r="A3433" s="2"/>
      </tp>
      <tp t="s">
        <v>#N/A N/A</v>
        <stp/>
        <stp>BDP|14199348661141576939</stp>
        <tr r="H2462" s="2"/>
      </tp>
      <tp t="s">
        <v>#N/A N/A</v>
        <stp/>
        <stp>BDP|18080330580798480259</stp>
        <tr r="C4128" s="2"/>
      </tp>
      <tp t="s">
        <v>#N/A N/A</v>
        <stp/>
        <stp>BDP|11295246691063141045</stp>
        <tr r="D3239" s="2"/>
      </tp>
      <tp t="s">
        <v>#N/A N/A</v>
        <stp/>
        <stp>BDP|10888485848748325196</stp>
        <tr r="I2673" s="2"/>
      </tp>
      <tp t="s">
        <v>#N/A N/A</v>
        <stp/>
        <stp>BDP|11914552408908530537</stp>
        <tr r="F1162" s="2"/>
      </tp>
      <tp t="s">
        <v>#N/A N/A</v>
        <stp/>
        <stp>BDP|12354503725804280868</stp>
        <tr r="F180" s="2"/>
      </tp>
      <tp t="s">
        <v>#N/A N/A</v>
        <stp/>
        <stp>BDP|12118395875119783683</stp>
        <tr r="H3641" s="2"/>
      </tp>
      <tp t="s">
        <v>#N/A N/A</v>
        <stp/>
        <stp>BDP|12356267513698013048</stp>
        <tr r="A4355" s="2"/>
      </tp>
      <tp t="s">
        <v>#N/A N/A</v>
        <stp/>
        <stp>BDP|18026780937412927749</stp>
        <tr r="A3401" s="2"/>
      </tp>
      <tp t="s">
        <v>#N/A N/A</v>
        <stp/>
        <stp>BDP|14420308814788481768</stp>
        <tr r="C4290" s="2"/>
      </tp>
      <tp t="s">
        <v>#N/A N/A</v>
        <stp/>
        <stp>BDP|12504883869110764518</stp>
        <tr r="F1815" s="2"/>
      </tp>
      <tp t="s">
        <v>#N/A N/A</v>
        <stp/>
        <stp>BDP|16608286530536866849</stp>
        <tr r="F3322" s="2"/>
      </tp>
      <tp t="s">
        <v>#N/A N/A</v>
        <stp/>
        <stp>BDP|15776245591687802087</stp>
        <tr r="A2656" s="2"/>
      </tp>
      <tp t="s">
        <v>#N/A N/A</v>
        <stp/>
        <stp>BDP|12774978230631721058</stp>
        <tr r="A3071" s="2"/>
      </tp>
      <tp t="s">
        <v>#N/A N/A</v>
        <stp/>
        <stp>BDP|10606191337602263982</stp>
        <tr r="D2994" s="2"/>
      </tp>
      <tp t="s">
        <v>#N/A N/A</v>
        <stp/>
        <stp>BDP|12596417528538716599</stp>
        <tr r="H3930" s="2"/>
      </tp>
      <tp t="s">
        <v>#N/A N/A</v>
        <stp/>
        <stp>BDP|14200557644278232435</stp>
        <tr r="A1122" s="2"/>
      </tp>
      <tp t="s">
        <v>#N/A N/A</v>
        <stp/>
        <stp>BDP|15126624565109051541</stp>
        <tr r="G3759" s="2"/>
      </tp>
      <tp t="s">
        <v>#N/A N/A</v>
        <stp/>
        <stp>BDP|10482407532207788937</stp>
        <tr r="B4464" s="2"/>
      </tp>
      <tp t="s">
        <v>#N/A N/A</v>
        <stp/>
        <stp>BDP|17001938774168328869</stp>
        <tr r="I2004" s="2"/>
      </tp>
      <tp t="s">
        <v>#N/A N/A</v>
        <stp/>
        <stp>BDP|13698894913795713699</stp>
        <tr r="I4464" s="2"/>
      </tp>
      <tp t="s">
        <v>#N/A N/A</v>
        <stp/>
        <stp>BDP|17531114688042836566</stp>
        <tr r="B3560" s="2"/>
      </tp>
      <tp t="s">
        <v>#N/A N/A</v>
        <stp/>
        <stp>BDP|12926538399137616078</stp>
        <tr r="C3701" s="2"/>
      </tp>
      <tp t="s">
        <v>#N/A N/A</v>
        <stp/>
        <stp>BDP|13468062123309761140</stp>
        <tr r="C4024" s="2"/>
      </tp>
      <tp t="s">
        <v>#N/A N/A</v>
        <stp/>
        <stp>BDP|17773400745689754775</stp>
        <tr r="B4792" s="2"/>
      </tp>
      <tp t="s">
        <v>#N/A N/A</v>
        <stp/>
        <stp>BDP|12056671862049740201</stp>
        <tr r="C1641" s="2"/>
      </tp>
      <tp t="s">
        <v>#N/A N/A</v>
        <stp/>
        <stp>BDP|11757447360443625975</stp>
        <tr r="C2259" s="2"/>
      </tp>
      <tp t="s">
        <v>#N/A N/A</v>
        <stp/>
        <stp>BDP|12593978375883399661</stp>
        <tr r="H3001" s="2"/>
      </tp>
      <tp t="s">
        <v>#N/A N/A</v>
        <stp/>
        <stp>BDP|16761972152321712277</stp>
        <tr r="F2011" s="2"/>
      </tp>
      <tp t="s">
        <v>#N/A N/A</v>
        <stp/>
        <stp>BDP|18331153050025327072</stp>
        <tr r="B1457" s="2"/>
      </tp>
      <tp t="s">
        <v>#N/A N/A</v>
        <stp/>
        <stp>BDP|16341824066313607233</stp>
        <tr r="F4825" s="2"/>
      </tp>
      <tp t="s">
        <v>#N/A N/A</v>
        <stp/>
        <stp>BDP|13175079672408335559</stp>
        <tr r="A2179" s="2"/>
      </tp>
      <tp t="s">
        <v>#N/A N/A</v>
        <stp/>
        <stp>BDP|10811106758114167930</stp>
        <tr r="A2264" s="2"/>
      </tp>
      <tp t="s">
        <v>#N/A N/A</v>
        <stp/>
        <stp>BDP|11689976717511096145</stp>
        <tr r="H2364" s="2"/>
      </tp>
      <tp t="s">
        <v>#N/A N/A</v>
        <stp/>
        <stp>BDP|10644082383042788389</stp>
        <tr r="B4486" s="2"/>
      </tp>
      <tp t="s">
        <v>#N/A N/A</v>
        <stp/>
        <stp>BDP|10480421281494231179</stp>
        <tr r="D162" s="2"/>
      </tp>
      <tp t="s">
        <v>#N/A N/A</v>
        <stp/>
        <stp>BDP|18117320701405725770</stp>
        <tr r="D2750" s="2"/>
      </tp>
      <tp t="s">
        <v>#N/A N/A</v>
        <stp/>
        <stp>BDP|17292363663723322868</stp>
        <tr r="A4004" s="2"/>
      </tp>
      <tp t="s">
        <v>#N/A N/A</v>
        <stp/>
        <stp>BDP|15042396089547667046</stp>
        <tr r="B2862" s="2"/>
      </tp>
      <tp t="s">
        <v>#N/A N/A</v>
        <stp/>
        <stp>BDP|18282316799972883908</stp>
        <tr r="C2650" s="2"/>
      </tp>
      <tp t="s">
        <v>#N/A N/A</v>
        <stp/>
        <stp>BDP|15851436223572357894</stp>
        <tr r="F3855" s="2"/>
      </tp>
      <tp t="s">
        <v>#N/A N/A</v>
        <stp/>
        <stp>BDP|15906224777868795192</stp>
        <tr r="D2827" s="2"/>
      </tp>
      <tp t="s">
        <v>#N/A N/A</v>
        <stp/>
        <stp>BDP|11535835351235229070</stp>
        <tr r="B1282" s="2"/>
      </tp>
      <tp t="s">
        <v>#N/A N/A</v>
        <stp/>
        <stp>BDP|15392248365168558053</stp>
        <tr r="H3782" s="2"/>
      </tp>
      <tp t="s">
        <v>#N/A N/A</v>
        <stp/>
        <stp>BDP|14448821037395339303</stp>
        <tr r="H781" s="2"/>
      </tp>
      <tp t="s">
        <v>#N/A N/A</v>
        <stp/>
        <stp>BDP|15858890214855137068</stp>
        <tr r="G2454" s="2"/>
      </tp>
      <tp t="s">
        <v>#N/A N/A</v>
        <stp/>
        <stp>BDP|16234513817718016360</stp>
        <tr r="B1046" s="2"/>
      </tp>
      <tp t="s">
        <v>#N/A N/A</v>
        <stp/>
        <stp>BDP|16617470782830176308</stp>
        <tr r="A14" s="2"/>
      </tp>
      <tp t="s">
        <v>#N/A N/A</v>
        <stp/>
        <stp>BDP|12481922333870071173</stp>
        <tr r="I4213" s="2"/>
      </tp>
      <tp t="s">
        <v>#N/A N/A</v>
        <stp/>
        <stp>BDP|17133442455937693847</stp>
        <tr r="C3754" s="2"/>
      </tp>
      <tp t="s">
        <v>#N/A N/A</v>
        <stp/>
        <stp>BDP|11205925543256964387</stp>
        <tr r="H2586" s="2"/>
      </tp>
      <tp t="s">
        <v>#N/A N/A</v>
        <stp/>
        <stp>BDP|12010613254221454930</stp>
        <tr r="A4789" s="2"/>
      </tp>
      <tp t="s">
        <v>#N/A N/A</v>
        <stp/>
        <stp>BDP|12830337483389378995</stp>
        <tr r="C521" s="2"/>
      </tp>
      <tp t="s">
        <v>#N/A N/A</v>
        <stp/>
        <stp>BDP|11035914014760374042</stp>
        <tr r="F4266" s="2"/>
      </tp>
      <tp t="s">
        <v>#N/A N/A</v>
        <stp/>
        <stp>BDP|10648753061838388032</stp>
        <tr r="I4202" s="2"/>
      </tp>
      <tp t="s">
        <v>#N/A N/A</v>
        <stp/>
        <stp>BDP|10763844735004667621</stp>
        <tr r="A4452" s="2"/>
      </tp>
      <tp t="s">
        <v>#N/A N/A</v>
        <stp/>
        <stp>BDP|11865072728418138247</stp>
        <tr r="C1721" s="2"/>
      </tp>
      <tp t="s">
        <v>#N/A N/A</v>
        <stp/>
        <stp>BDP|16948650397409636988</stp>
        <tr r="B2839" s="2"/>
      </tp>
      <tp t="s">
        <v>#N/A N/A</v>
        <stp/>
        <stp>BDP|10180567397346526305</stp>
        <tr r="I2497" s="2"/>
      </tp>
      <tp t="s">
        <v>#N/A N/A</v>
        <stp/>
        <stp>BDP|15913383011068715628</stp>
        <tr r="B1258" s="2"/>
      </tp>
      <tp t="s">
        <v>#N/A N/A</v>
        <stp/>
        <stp>BDP|14000302931309796432</stp>
        <tr r="C1870" s="2"/>
      </tp>
      <tp t="s">
        <v>#N/A N/A</v>
        <stp/>
        <stp>BDP|12387198598183733008</stp>
        <tr r="G2125" s="2"/>
      </tp>
      <tp t="s">
        <v>#N/A N/A</v>
        <stp/>
        <stp>BDP|11061159681568572947</stp>
        <tr r="B1478" s="2"/>
      </tp>
      <tp t="s">
        <v>#N/A N/A</v>
        <stp/>
        <stp>BDP|12030816511870305264</stp>
        <tr r="F349" s="2"/>
      </tp>
      <tp t="s">
        <v>#N/A N/A</v>
        <stp/>
        <stp>BDP|10016167324203186965</stp>
        <tr r="H3574" s="2"/>
      </tp>
      <tp t="s">
        <v>#N/A N/A</v>
        <stp/>
        <stp>BDP|13232327482523516229</stp>
        <tr r="I1251" s="2"/>
      </tp>
      <tp t="s">
        <v>#N/A N/A</v>
        <stp/>
        <stp>BDP|14726409632043446946</stp>
        <tr r="H230" s="2"/>
      </tp>
      <tp t="s">
        <v>#N/A N/A</v>
        <stp/>
        <stp>BDP|16531796841409180591</stp>
        <tr r="G4256" s="2"/>
      </tp>
      <tp t="s">
        <v>#N/A N/A</v>
        <stp/>
        <stp>BDP|14269926912081099471</stp>
        <tr r="C4230" s="2"/>
      </tp>
      <tp t="s">
        <v>#N/A N/A</v>
        <stp/>
        <stp>BDP|18003411146538740958</stp>
        <tr r="C2255" s="2"/>
      </tp>
      <tp t="s">
        <v>#N/A N/A</v>
        <stp/>
        <stp>BDP|17499055624438101417</stp>
        <tr r="H219" s="2"/>
      </tp>
      <tp t="s">
        <v>#N/A N/A</v>
        <stp/>
        <stp>BDP|15914098970329734226</stp>
        <tr r="F3250" s="2"/>
      </tp>
      <tp t="s">
        <v>#N/A N/A</v>
        <stp/>
        <stp>BDP|11211543792940826496</stp>
        <tr r="G4191" s="2"/>
      </tp>
      <tp t="s">
        <v>#N/A N/A</v>
        <stp/>
        <stp>BDP|12427429651303320915</stp>
        <tr r="G3752" s="2"/>
      </tp>
      <tp t="s">
        <v>#N/A N/A</v>
        <stp/>
        <stp>BDP|13639383726959928244</stp>
        <tr r="D3456" s="2"/>
      </tp>
      <tp t="s">
        <v>#N/A N/A</v>
        <stp/>
        <stp>BDP|14127237382141728628</stp>
        <tr r="G1791" s="2"/>
      </tp>
      <tp t="s">
        <v>#N/A N/A</v>
        <stp/>
        <stp>BDP|13841483065798262028</stp>
        <tr r="B4054" s="2"/>
      </tp>
      <tp t="s">
        <v>#N/A N/A</v>
        <stp/>
        <stp>BDP|15404622981714115639</stp>
        <tr r="A2157" s="2"/>
      </tp>
      <tp t="s">
        <v>#N/A N/A</v>
        <stp/>
        <stp>BDP|16372951058100892333</stp>
        <tr r="D4117" s="2"/>
      </tp>
      <tp t="s">
        <v>#N/A N/A</v>
        <stp/>
        <stp>BDP|15911291617768192733</stp>
        <tr r="A1801" s="2"/>
      </tp>
      <tp t="s">
        <v>#N/A N/A</v>
        <stp/>
        <stp>BDP|11436349596981179329</stp>
        <tr r="F1548" s="2"/>
      </tp>
      <tp t="s">
        <v>#N/A N/A</v>
        <stp/>
        <stp>BDP|17259853302924854286</stp>
        <tr r="D1953" s="2"/>
      </tp>
      <tp t="s">
        <v>#N/A N/A</v>
        <stp/>
        <stp>BDP|16699106691413517476</stp>
        <tr r="G2637" s="2"/>
      </tp>
      <tp t="s">
        <v>#N/A N/A</v>
        <stp/>
        <stp>BDP|11360903144745792057</stp>
        <tr r="C1010" s="2"/>
      </tp>
      <tp t="s">
        <v>#N/A N/A</v>
        <stp/>
        <stp>BDP|14154850256565650519</stp>
        <tr r="B1542" s="2"/>
      </tp>
      <tp t="s">
        <v>#N/A N/A</v>
        <stp/>
        <stp>BDP|12855586914619431655</stp>
        <tr r="C684" s="2"/>
      </tp>
      <tp t="s">
        <v>#N/A N/A</v>
        <stp/>
        <stp>BDP|15139871607541065542</stp>
        <tr r="G2263" s="2"/>
      </tp>
      <tp t="s">
        <v>#N/A N/A</v>
        <stp/>
        <stp>BDP|15550816415035069046</stp>
        <tr r="I2706" s="2"/>
      </tp>
      <tp t="s">
        <v>#N/A N/A</v>
        <stp/>
        <stp>BDP|16799922107531195764</stp>
        <tr r="H3575" s="2"/>
      </tp>
      <tp t="s">
        <v>#N/A N/A</v>
        <stp/>
        <stp>BDP|10201884461432809562</stp>
        <tr r="A2116" s="2"/>
      </tp>
      <tp t="s">
        <v>#N/A N/A</v>
        <stp/>
        <stp>BDP|14637960327254667245</stp>
        <tr r="H4590" s="2"/>
      </tp>
      <tp t="s">
        <v>#N/A N/A</v>
        <stp/>
        <stp>BDP|16224606492775021553</stp>
        <tr r="H2328" s="2"/>
      </tp>
      <tp t="s">
        <v>#N/A N/A</v>
        <stp/>
        <stp>BDP|18149021801559212853</stp>
        <tr r="D2247" s="2"/>
      </tp>
      <tp t="s">
        <v>#N/A N/A</v>
        <stp/>
        <stp>BDP|11954174588635322407</stp>
        <tr r="H2961" s="2"/>
      </tp>
      <tp t="s">
        <v>#N/A N/A</v>
        <stp/>
        <stp>BDP|18257264370067241337</stp>
        <tr r="B3605" s="2"/>
      </tp>
      <tp t="s">
        <v>#N/A N/A</v>
        <stp/>
        <stp>BDP|11693019211621021836</stp>
        <tr r="H4981" s="2"/>
      </tp>
      <tp t="s">
        <v>#N/A N/A</v>
        <stp/>
        <stp>BDP|11448651216658160734</stp>
        <tr r="F1136" s="2"/>
      </tp>
      <tp t="s">
        <v>#N/A N/A</v>
        <stp/>
        <stp>BDP|13189953911164629669</stp>
        <tr r="D3472" s="2"/>
      </tp>
      <tp t="s">
        <v>#N/A N/A</v>
        <stp/>
        <stp>BDP|13660684122376009890</stp>
        <tr r="B2203" s="2"/>
      </tp>
      <tp t="s">
        <v>#N/A N/A</v>
        <stp/>
        <stp>BDP|10459367195646657540</stp>
        <tr r="G4216" s="2"/>
      </tp>
      <tp t="s">
        <v>#N/A N/A</v>
        <stp/>
        <stp>BDP|16758017521074759956</stp>
        <tr r="C858" s="2"/>
      </tp>
      <tp t="s">
        <v>#N/A N/A</v>
        <stp/>
        <stp>BDP|18348470400405192009</stp>
        <tr r="C2492" s="2"/>
      </tp>
      <tp t="s">
        <v>#N/A N/A</v>
        <stp/>
        <stp>BDP|16189723543388401418</stp>
        <tr r="I4446" s="2"/>
      </tp>
      <tp t="s">
        <v>#N/A N/A</v>
        <stp/>
        <stp>BDP|12522966545135500365</stp>
        <tr r="H3835" s="2"/>
      </tp>
      <tp t="s">
        <v>#N/A N/A</v>
        <stp/>
        <stp>BDP|12926731199664220147</stp>
        <tr r="I4072" s="2"/>
      </tp>
      <tp t="s">
        <v>#N/A N/A</v>
        <stp/>
        <stp>BDP|16290603705939445067</stp>
        <tr r="C4627" s="2"/>
      </tp>
      <tp t="s">
        <v>#N/A N/A</v>
        <stp/>
        <stp>BDP|14495033025458583726</stp>
        <tr r="A2130" s="2"/>
      </tp>
      <tp t="s">
        <v>#N/A N/A</v>
        <stp/>
        <stp>BDP|16382102508289980777</stp>
        <tr r="G4170" s="2"/>
      </tp>
      <tp t="s">
        <v>#N/A N/A</v>
        <stp/>
        <stp>BDP|15404313880046540150</stp>
        <tr r="B388" s="2"/>
      </tp>
      <tp t="s">
        <v>#N/A N/A</v>
        <stp/>
        <stp>BDP|16492963715850018724</stp>
        <tr r="F2765" s="2"/>
      </tp>
      <tp t="s">
        <v>#N/A N/A</v>
        <stp/>
        <stp>BDP|13454653494422018704</stp>
        <tr r="D2140" s="2"/>
      </tp>
      <tp t="s">
        <v>#N/A N/A</v>
        <stp/>
        <stp>BDP|12171390687258937831</stp>
        <tr r="A2119" s="2"/>
      </tp>
      <tp t="s">
        <v>#N/A N/A</v>
        <stp/>
        <stp>BDP|17826141248092308924</stp>
        <tr r="F1255" s="2"/>
      </tp>
      <tp t="s">
        <v>#N/A N/A</v>
        <stp/>
        <stp>BDP|12116194342357969966</stp>
        <tr r="C4608" s="2"/>
      </tp>
      <tp t="s">
        <v>#N/A N/A</v>
        <stp/>
        <stp>BDP|13895242559928659561</stp>
        <tr r="B2551" s="2"/>
      </tp>
      <tp t="s">
        <v>#N/A N/A</v>
        <stp/>
        <stp>BDP|12724763699615409091</stp>
        <tr r="A2456" s="2"/>
      </tp>
      <tp t="s">
        <v>#N/A N/A</v>
        <stp/>
        <stp>BDP|10461699966089695080</stp>
        <tr r="H4284" s="2"/>
      </tp>
      <tp t="s">
        <v>#N/A N/A</v>
        <stp/>
        <stp>BDP|16921194214169951684</stp>
        <tr r="B3838" s="2"/>
      </tp>
      <tp t="s">
        <v>#N/A N/A</v>
        <stp/>
        <stp>BDP|14938896564337109400</stp>
        <tr r="F4099" s="2"/>
      </tp>
      <tp t="s">
        <v>#N/A N/A</v>
        <stp/>
        <stp>BDP|14551402340235017802</stp>
        <tr r="I2126" s="2"/>
      </tp>
      <tp t="s">
        <v>#N/A N/A</v>
        <stp/>
        <stp>BDP|18225043871696142035</stp>
        <tr r="B1618" s="2"/>
      </tp>
      <tp t="s">
        <v>#N/A N/A</v>
        <stp/>
        <stp>BDP|13992591430418085452</stp>
        <tr r="D3112" s="2"/>
      </tp>
      <tp t="s">
        <v>#N/A N/A</v>
        <stp/>
        <stp>BDP|18155767147692482019</stp>
        <tr r="B799" s="2"/>
      </tp>
      <tp t="s">
        <v>#N/A N/A</v>
        <stp/>
        <stp>BDP|16368777474346346963</stp>
        <tr r="F4214" s="2"/>
      </tp>
      <tp t="s">
        <v>#N/A N/A</v>
        <stp/>
        <stp>BDP|16199012630915267971</stp>
        <tr r="C925" s="2"/>
      </tp>
      <tp t="s">
        <v>#N/A N/A</v>
        <stp/>
        <stp>BDP|18345581223355439390</stp>
        <tr r="I4963" s="2"/>
      </tp>
      <tp t="s">
        <v>#N/A N/A</v>
        <stp/>
        <stp>BDP|18079355710741149214</stp>
        <tr r="H2989" s="2"/>
      </tp>
      <tp t="s">
        <v>#N/A N/A</v>
        <stp/>
        <stp>BDP|10865793695745049212</stp>
        <tr r="F699" s="2"/>
      </tp>
      <tp t="s">
        <v>#N/A N/A</v>
        <stp/>
        <stp>BDP|10431532701995156929</stp>
        <tr r="F597" s="2"/>
      </tp>
      <tp t="s">
        <v>#N/A N/A</v>
        <stp/>
        <stp>BDP|10948992242492756603</stp>
        <tr r="D3619" s="2"/>
      </tp>
      <tp t="s">
        <v>#N/A N/A</v>
        <stp/>
        <stp>BDP|15623898942507814715</stp>
        <tr r="I2668" s="2"/>
      </tp>
      <tp t="s">
        <v>#N/A N/A</v>
        <stp/>
        <stp>BDP|11279863743143463779</stp>
        <tr r="D344" s="2"/>
      </tp>
      <tp t="s">
        <v>#N/A N/A</v>
        <stp/>
        <stp>BDP|16542865164414271518</stp>
        <tr r="I2040" s="2"/>
      </tp>
      <tp t="s">
        <v>#N/A N/A</v>
        <stp/>
        <stp>BDP|10402932840755243118</stp>
        <tr r="F3678" s="2"/>
      </tp>
      <tp t="s">
        <v>#N/A N/A</v>
        <stp/>
        <stp>BDP|12361155093450898397</stp>
        <tr r="H4883" s="2"/>
      </tp>
      <tp t="s">
        <v>#N/A N/A</v>
        <stp/>
        <stp>BDP|13206960424887214660</stp>
        <tr r="D4197" s="2"/>
      </tp>
      <tp t="s">
        <v>#N/A N/A</v>
        <stp/>
        <stp>BDP|11017370544398180762</stp>
        <tr r="G968" s="2"/>
      </tp>
      <tp t="s">
        <v>#N/A N/A</v>
        <stp/>
        <stp>BDP|12869585125289614578</stp>
        <tr r="H4624" s="2"/>
      </tp>
      <tp t="s">
        <v>#N/A N/A</v>
        <stp/>
        <stp>BDP|17093207738346566993</stp>
        <tr r="F4503" s="2"/>
      </tp>
      <tp t="s">
        <v>#N/A N/A</v>
        <stp/>
        <stp>BDP|15427873902915420115</stp>
        <tr r="H2731" s="2"/>
      </tp>
      <tp t="s">
        <v>#N/A N/A</v>
        <stp/>
        <stp>BDP|15297819943103390377</stp>
        <tr r="F2766" s="2"/>
      </tp>
      <tp t="s">
        <v>#N/A N/A</v>
        <stp/>
        <stp>BDP|15982391434755927993</stp>
        <tr r="B1798" s="2"/>
      </tp>
      <tp t="s">
        <v>#N/A N/A</v>
        <stp/>
        <stp>BDP|10177619934295661965</stp>
        <tr r="A2031" s="2"/>
      </tp>
      <tp t="s">
        <v>#N/A N/A</v>
        <stp/>
        <stp>BDP|15088918074687001519</stp>
        <tr r="C4869" s="2"/>
      </tp>
      <tp t="s">
        <v>#N/A N/A</v>
        <stp/>
        <stp>BDP|16280082129739631411</stp>
        <tr r="I16" s="2"/>
      </tp>
      <tp t="s">
        <v>#N/A N/A</v>
        <stp/>
        <stp>BDP|12983381478868963748</stp>
        <tr r="G542" s="2"/>
      </tp>
      <tp t="s">
        <v>#N/A N/A</v>
        <stp/>
        <stp>BDP|17470839911030097729</stp>
        <tr r="B4749" s="2"/>
      </tp>
      <tp t="s">
        <v>#N/A N/A</v>
        <stp/>
        <stp>BDP|12384709652381545808</stp>
        <tr r="A4736" s="2"/>
      </tp>
      <tp t="s">
        <v>#N/A N/A</v>
        <stp/>
        <stp>BDP|12148979969133947726</stp>
        <tr r="G132" s="2"/>
      </tp>
      <tp t="s">
        <v>#N/A N/A</v>
        <stp/>
        <stp>BDP|16561220174412644818</stp>
        <tr r="F195" s="2"/>
      </tp>
      <tp t="s">
        <v>#N/A N/A</v>
        <stp/>
        <stp>BDP|12796430094601611720</stp>
        <tr r="A224" s="2"/>
      </tp>
      <tp t="s">
        <v>#N/A N/A</v>
        <stp/>
        <stp>BDP|16010417387847571477</stp>
        <tr r="B4573" s="2"/>
      </tp>
      <tp t="s">
        <v>#N/A N/A</v>
        <stp/>
        <stp>BDP|10406139997404317571</stp>
        <tr r="D1539" s="2"/>
      </tp>
      <tp t="s">
        <v>#N/A N/A</v>
        <stp/>
        <stp>BDP|17592920813323453542</stp>
        <tr r="G2124" s="2"/>
      </tp>
      <tp t="s">
        <v>#N/A N/A</v>
        <stp/>
        <stp>BDP|17550026448119975328</stp>
        <tr r="H2509" s="2"/>
      </tp>
      <tp t="s">
        <v>#N/A N/A</v>
        <stp/>
        <stp>BDP|11991544459848613069</stp>
        <tr r="A1352" s="2"/>
      </tp>
      <tp t="s">
        <v>#N/A N/A</v>
        <stp/>
        <stp>BDP|15906476988909753956</stp>
        <tr r="H1723" s="2"/>
      </tp>
      <tp t="s">
        <v>#N/A N/A</v>
        <stp/>
        <stp>BDP|12446569921545473933</stp>
        <tr r="G2871" s="2"/>
      </tp>
      <tp t="s">
        <v>#N/A N/A</v>
        <stp/>
        <stp>BDP|12444280098223791373</stp>
        <tr r="H451" s="2"/>
      </tp>
      <tp t="s">
        <v>#N/A N/A</v>
        <stp/>
        <stp>BDP|12877773287195836145</stp>
        <tr r="D2572" s="2"/>
      </tp>
      <tp t="s">
        <v>#N/A N/A</v>
        <stp/>
        <stp>BDP|13914155329869072018</stp>
        <tr r="D1896" s="2"/>
      </tp>
      <tp t="s">
        <v>#N/A N/A</v>
        <stp/>
        <stp>BDP|12101669897073093742</stp>
        <tr r="H2251" s="2"/>
      </tp>
      <tp t="s">
        <v>#N/A N/A</v>
        <stp/>
        <stp>BDP|14168763192757983488</stp>
        <tr r="G3168" s="2"/>
      </tp>
      <tp t="s">
        <v>#N/A N/A</v>
        <stp/>
        <stp>BDP|16303171005517319967</stp>
        <tr r="I1519" s="2"/>
      </tp>
      <tp t="s">
        <v>#N/A N/A</v>
        <stp/>
        <stp>BDP|13215292717408124197</stp>
        <tr r="B460" s="2"/>
      </tp>
      <tp t="s">
        <v>#N/A N/A</v>
        <stp/>
        <stp>BDP|12710848065921301412</stp>
        <tr r="D4102" s="2"/>
      </tp>
      <tp t="s">
        <v>#N/A N/A</v>
        <stp/>
        <stp>BDP|15421912983035728850</stp>
        <tr r="F3783" s="2"/>
      </tp>
      <tp t="s">
        <v>#N/A N/A</v>
        <stp/>
        <stp>BDP|18122539968021795393</stp>
        <tr r="G4257" s="2"/>
      </tp>
      <tp t="s">
        <v>#N/A N/A</v>
        <stp/>
        <stp>BDP|16272660619580009893</stp>
        <tr r="B2216" s="2"/>
      </tp>
      <tp t="s">
        <v>#N/A N/A</v>
        <stp/>
        <stp>BDP|17830082571678056153</stp>
        <tr r="F2580" s="2"/>
      </tp>
      <tp t="s">
        <v>#N/A N/A</v>
        <stp/>
        <stp>BDP|15306444170548493779</stp>
        <tr r="A775" s="2"/>
      </tp>
      <tp t="s">
        <v>#N/A N/A</v>
        <stp/>
        <stp>BDP|15752942622027029055</stp>
        <tr r="B1121" s="2"/>
      </tp>
      <tp t="s">
        <v>#N/A N/A</v>
        <stp/>
        <stp>BDP|11197679975688618117</stp>
        <tr r="B1760" s="2"/>
      </tp>
      <tp t="s">
        <v>#N/A N/A</v>
        <stp/>
        <stp>BDP|11715638521808436452</stp>
        <tr r="I3652" s="2"/>
      </tp>
      <tp t="s">
        <v>#N/A N/A</v>
        <stp/>
        <stp>BDP|12072573601626366814</stp>
        <tr r="H180" s="2"/>
      </tp>
      <tp t="s">
        <v>#N/A N/A</v>
        <stp/>
        <stp>BDP|16493183848922439840</stp>
        <tr r="D3497" s="2"/>
      </tp>
      <tp t="s">
        <v>#N/A N/A</v>
        <stp/>
        <stp>BDP|13186658699377968202</stp>
        <tr r="D2110" s="2"/>
      </tp>
      <tp t="s">
        <v>#N/A N/A</v>
        <stp/>
        <stp>BDP|16156601549899580493</stp>
        <tr r="C420" s="2"/>
      </tp>
      <tp t="s">
        <v>#N/A N/A</v>
        <stp/>
        <stp>BDP|17755807562235559542</stp>
        <tr r="H4048" s="2"/>
      </tp>
      <tp t="s">
        <v>#N/A N/A</v>
        <stp/>
        <stp>BDP|11190915478032892442</stp>
        <tr r="C1755" s="2"/>
      </tp>
      <tp t="s">
        <v>#N/A N/A</v>
        <stp/>
        <stp>BDP|10061394375415925813</stp>
        <tr r="B1505" s="2"/>
      </tp>
      <tp t="s">
        <v>#N/A N/A</v>
        <stp/>
        <stp>BDP|15846458224958520280</stp>
        <tr r="F662" s="2"/>
      </tp>
      <tp t="s">
        <v>#N/A N/A</v>
        <stp/>
        <stp>BDP|11501387214573566983</stp>
        <tr r="D4189" s="2"/>
      </tp>
      <tp t="s">
        <v>#N/A N/A</v>
        <stp/>
        <stp>BDP|10996904478092337568</stp>
        <tr r="I1466" s="2"/>
      </tp>
      <tp t="s">
        <v>#N/A N/A</v>
        <stp/>
        <stp>BDP|15979395447312255912</stp>
        <tr r="F2960" s="2"/>
      </tp>
      <tp t="s">
        <v>#N/A N/A</v>
        <stp/>
        <stp>BDP|17052977715944648209</stp>
        <tr r="G3262" s="2"/>
      </tp>
      <tp t="s">
        <v>#N/A N/A</v>
        <stp/>
        <stp>BDP|12118666682034776166</stp>
        <tr r="G1411" s="2"/>
      </tp>
      <tp t="s">
        <v>#N/A N/A</v>
        <stp/>
        <stp>BDP|17773030743472548861</stp>
        <tr r="G4929" s="2"/>
      </tp>
      <tp t="s">
        <v>#N/A N/A</v>
        <stp/>
        <stp>BDP|12527112855688240774</stp>
        <tr r="G4549" s="2"/>
      </tp>
      <tp t="s">
        <v>#N/A N/A</v>
        <stp/>
        <stp>BDP|12649532871860716979</stp>
        <tr r="H4548" s="2"/>
      </tp>
      <tp t="s">
        <v>#N/A N/A</v>
        <stp/>
        <stp>BDP|12775010199752261090</stp>
        <tr r="G3087" s="2"/>
      </tp>
      <tp t="s">
        <v>#N/A N/A</v>
        <stp/>
        <stp>BDP|13624130381632634161</stp>
        <tr r="F2752" s="2"/>
      </tp>
      <tp t="s">
        <v>#N/A N/A</v>
        <stp/>
        <stp>BDP|16073919721542540619</stp>
        <tr r="I3165" s="2"/>
      </tp>
      <tp t="s">
        <v>#N/A N/A</v>
        <stp/>
        <stp>BDP|14306930057410444176</stp>
        <tr r="D2649" s="2"/>
      </tp>
      <tp t="s">
        <v>#N/A N/A</v>
        <stp/>
        <stp>BDP|11989957046654681184</stp>
        <tr r="H3234" s="2"/>
      </tp>
      <tp t="s">
        <v>#N/A N/A</v>
        <stp/>
        <stp>BDP|14724242589397877061</stp>
        <tr r="H4577" s="2"/>
      </tp>
      <tp t="s">
        <v>#N/A N/A</v>
        <stp/>
        <stp>BDP|16882485887515484675</stp>
        <tr r="B1290" s="2"/>
      </tp>
      <tp t="s">
        <v>#N/A N/A</v>
        <stp/>
        <stp>BDP|15144566162658959784</stp>
        <tr r="A437" s="2"/>
      </tp>
      <tp t="s">
        <v>#N/A N/A</v>
        <stp/>
        <stp>BDP|11028400745778092019</stp>
        <tr r="F4965" s="2"/>
      </tp>
      <tp t="s">
        <v>#N/A N/A</v>
        <stp/>
        <stp>BDP|17010781722142977973</stp>
        <tr r="G846" s="2"/>
      </tp>
      <tp t="s">
        <v>#N/A N/A</v>
        <stp/>
        <stp>BDP|16809389887561684551</stp>
        <tr r="H2610" s="2"/>
      </tp>
      <tp t="s">
        <v>#N/A N/A</v>
        <stp/>
        <stp>BDP|17097295579012708938</stp>
        <tr r="H4411" s="2"/>
      </tp>
      <tp t="s">
        <v>#N/A N/A</v>
        <stp/>
        <stp>BDP|12547613534219784739</stp>
        <tr r="A249" s="2"/>
      </tp>
      <tp t="s">
        <v>#N/A N/A</v>
        <stp/>
        <stp>BDP|14418217535634709834</stp>
        <tr r="F3369" s="2"/>
      </tp>
      <tp t="s">
        <v>#N/A N/A</v>
        <stp/>
        <stp>BDP|11091306641888669735</stp>
        <tr r="B1434" s="2"/>
      </tp>
      <tp t="s">
        <v>#N/A N/A</v>
        <stp/>
        <stp>BDP|12842861978036319210</stp>
        <tr r="G942" s="2"/>
      </tp>
      <tp t="s">
        <v>#N/A N/A</v>
        <stp/>
        <stp>BDP|14640967093579204452</stp>
        <tr r="G4862" s="2"/>
      </tp>
      <tp t="s">
        <v>#N/A N/A</v>
        <stp/>
        <stp>BDP|14492441791208178876</stp>
        <tr r="H1929" s="2"/>
      </tp>
      <tp t="s">
        <v>#N/A N/A</v>
        <stp/>
        <stp>BDP|16548443363715437818</stp>
        <tr r="I220" s="2"/>
      </tp>
      <tp t="s">
        <v>#N/A N/A</v>
        <stp/>
        <stp>BDP|15126906404855321015</stp>
        <tr r="I40" s="2"/>
      </tp>
      <tp t="s">
        <v>#N/A N/A</v>
        <stp/>
        <stp>BDP|18222960507819715130</stp>
        <tr r="G1724" s="2"/>
      </tp>
      <tp t="s">
        <v>#N/A N/A</v>
        <stp/>
        <stp>BDP|14237152901978515443</stp>
        <tr r="F3564" s="2"/>
      </tp>
      <tp t="s">
        <v>#N/A N/A</v>
        <stp/>
        <stp>BDP|11192049693392716368</stp>
        <tr r="C4506" s="2"/>
      </tp>
      <tp t="s">
        <v>#N/A N/A</v>
        <stp/>
        <stp>BDP|10589505290717150235</stp>
        <tr r="C757" s="2"/>
      </tp>
      <tp t="s">
        <v>#N/A N/A</v>
        <stp/>
        <stp>BDP|17245960604520634718</stp>
        <tr r="A3964" s="2"/>
      </tp>
      <tp t="s">
        <v>#N/A N/A</v>
        <stp/>
        <stp>BDP|16113971814792343569</stp>
        <tr r="H4856" s="2"/>
      </tp>
      <tp t="s">
        <v>#N/A N/A</v>
        <stp/>
        <stp>BDP|10697447197464142034</stp>
        <tr r="G4193" s="2"/>
      </tp>
      <tp t="s">
        <v>#N/A N/A</v>
        <stp/>
        <stp>BDP|17727803630856146317</stp>
        <tr r="G1029" s="2"/>
      </tp>
      <tp t="s">
        <v>#N/A N/A</v>
        <stp/>
        <stp>BDP|12974372209589180111</stp>
        <tr r="I4626" s="2"/>
      </tp>
      <tp t="s">
        <v>#N/A N/A</v>
        <stp/>
        <stp>BDP|16086520272375429830</stp>
        <tr r="A1019" s="2"/>
      </tp>
      <tp t="s">
        <v>#N/A N/A</v>
        <stp/>
        <stp>BDP|17667092816889900675</stp>
        <tr r="F3529" s="2"/>
      </tp>
      <tp t="s">
        <v>#N/A N/A</v>
        <stp/>
        <stp>BDP|11696578418865649985</stp>
        <tr r="I4954" s="2"/>
      </tp>
      <tp t="s">
        <v>#N/A N/A</v>
        <stp/>
        <stp>BDP|13650955420041709038</stp>
        <tr r="G4159" s="2"/>
      </tp>
      <tp t="s">
        <v>#N/A N/A</v>
        <stp/>
        <stp>BDP|12832106448137491935</stp>
        <tr r="F4020" s="2"/>
      </tp>
      <tp t="s">
        <v>#N/A N/A</v>
        <stp/>
        <stp>BDP|17542848571723612212</stp>
        <tr r="A4022" s="2"/>
      </tp>
      <tp t="s">
        <v>#N/A N/A</v>
        <stp/>
        <stp>BDP|13038377194919475905</stp>
        <tr r="H2536" s="2"/>
      </tp>
      <tp t="s">
        <v>#N/A N/A</v>
        <stp/>
        <stp>BDP|17745987170785130598</stp>
        <tr r="D4556" s="2"/>
      </tp>
      <tp t="s">
        <v>#N/A N/A</v>
        <stp/>
        <stp>BDP|15312078782783373726</stp>
        <tr r="D2052" s="2"/>
      </tp>
      <tp t="s">
        <v>#N/A N/A</v>
        <stp/>
        <stp>BDP|11799882850972983715</stp>
        <tr r="C217" s="2"/>
      </tp>
      <tp t="s">
        <v>#N/A N/A</v>
        <stp/>
        <stp>BDP|14623462095851242103</stp>
        <tr r="I3055" s="2"/>
      </tp>
      <tp t="s">
        <v>#N/A N/A</v>
        <stp/>
        <stp>BDP|17981418490377893475</stp>
        <tr r="F236" s="2"/>
      </tp>
      <tp t="s">
        <v>#N/A N/A</v>
        <stp/>
        <stp>BDP|10894831620020870340</stp>
        <tr r="C4339" s="2"/>
      </tp>
      <tp t="s">
        <v>#N/A N/A</v>
        <stp/>
        <stp>BDP|12904819628730183169</stp>
        <tr r="G3113" s="2"/>
      </tp>
      <tp t="s">
        <v>#N/A N/A</v>
        <stp/>
        <stp>BDP|13206218722968598236</stp>
        <tr r="A662" s="2"/>
      </tp>
      <tp t="s">
        <v>#N/A N/A</v>
        <stp/>
        <stp>BDP|17743984924754596190</stp>
        <tr r="D4636" s="2"/>
      </tp>
      <tp t="s">
        <v>#N/A N/A</v>
        <stp/>
        <stp>BDP|11494607142502033816</stp>
        <tr r="F2854" s="2"/>
      </tp>
      <tp t="s">
        <v>#N/A N/A</v>
        <stp/>
        <stp>BDP|17312114702526676919</stp>
        <tr r="F4511" s="2"/>
      </tp>
      <tp t="s">
        <v>#N/A N/A</v>
        <stp/>
        <stp>BDP|11005128760287574800</stp>
        <tr r="G3588" s="2"/>
      </tp>
      <tp t="s">
        <v>#N/A N/A</v>
        <stp/>
        <stp>BDP|15679869179824794792</stp>
        <tr r="I3148" s="2"/>
      </tp>
      <tp t="s">
        <v>#N/A N/A</v>
        <stp/>
        <stp>BDP|11604599661622179985</stp>
        <tr r="D3695" s="2"/>
      </tp>
      <tp t="s">
        <v>#N/A N/A</v>
        <stp/>
        <stp>BDP|17262841090926011912</stp>
        <tr r="D511" s="2"/>
      </tp>
      <tp t="s">
        <v>#N/A N/A</v>
        <stp/>
        <stp>BDP|14217102994972054713</stp>
        <tr r="I4116" s="2"/>
      </tp>
      <tp t="s">
        <v>#N/A N/A</v>
        <stp/>
        <stp>BDP|11548688837018448594</stp>
        <tr r="G3074" s="2"/>
      </tp>
      <tp t="s">
        <v>#N/A N/A</v>
        <stp/>
        <stp>BDP|11923863137825875672</stp>
        <tr r="A3067" s="2"/>
      </tp>
      <tp t="s">
        <v>#N/A N/A</v>
        <stp/>
        <stp>BDP|11640661861849638102</stp>
        <tr r="A4951" s="2"/>
      </tp>
      <tp t="s">
        <v>#N/A N/A</v>
        <stp/>
        <stp>BDP|12300968501366650452</stp>
        <tr r="I273" s="2"/>
      </tp>
      <tp t="s">
        <v>#N/A N/A</v>
        <stp/>
        <stp>BDP|15340814256391334003</stp>
        <tr r="D1229" s="2"/>
      </tp>
      <tp t="s">
        <v>#N/A N/A</v>
        <stp/>
        <stp>BDP|14971927919494704127</stp>
        <tr r="H3581" s="2"/>
      </tp>
      <tp t="s">
        <v>#N/A N/A</v>
        <stp/>
        <stp>BDP|11894425379853646823</stp>
        <tr r="A3049" s="2"/>
      </tp>
      <tp t="s">
        <v>#N/A N/A</v>
        <stp/>
        <stp>BDP|15560411474246374941</stp>
        <tr r="G2740" s="2"/>
      </tp>
      <tp t="s">
        <v>#N/A N/A</v>
        <stp/>
        <stp>BDP|15445366586441443671</stp>
        <tr r="B4375" s="2"/>
      </tp>
      <tp t="s">
        <v>#N/A N/A</v>
        <stp/>
        <stp>BDP|14742409421563986883</stp>
        <tr r="G3329" s="2"/>
      </tp>
      <tp t="s">
        <v>#N/A N/A</v>
        <stp/>
        <stp>BDP|17524558485865107631</stp>
        <tr r="G2730" s="2"/>
      </tp>
      <tp t="s">
        <v>#N/A N/A</v>
        <stp/>
        <stp>BDP|12420974722167012765</stp>
        <tr r="H2854" s="2"/>
      </tp>
      <tp t="s">
        <v>#N/A N/A</v>
        <stp/>
        <stp>BDP|12273556402759447760</stp>
        <tr r="C2377" s="2"/>
      </tp>
      <tp t="s">
        <v>#N/A N/A</v>
        <stp/>
        <stp>BDP|10786375022760281870</stp>
        <tr r="D1021" s="2"/>
      </tp>
      <tp t="s">
        <v>#N/A N/A</v>
        <stp/>
        <stp>BDP|10354801602456167774</stp>
        <tr r="B521" s="2"/>
      </tp>
      <tp t="s">
        <v>#N/A N/A</v>
        <stp/>
        <stp>BDP|11778157303369302052</stp>
        <tr r="A1120" s="2"/>
      </tp>
      <tp t="s">
        <v>#N/A N/A</v>
        <stp/>
        <stp>BDP|16699688782805997421</stp>
        <tr r="B3266" s="2"/>
      </tp>
      <tp t="s">
        <v>#N/A N/A</v>
        <stp/>
        <stp>BDP|11672920710685308500</stp>
        <tr r="H4708" s="2"/>
      </tp>
      <tp t="s">
        <v>#N/A N/A</v>
        <stp/>
        <stp>BDP|14017761406142090879</stp>
        <tr r="I3322" s="2"/>
      </tp>
      <tp t="s">
        <v>#N/A N/A</v>
        <stp/>
        <stp>BDP|10356993979275409205</stp>
        <tr r="F988" s="2"/>
      </tp>
      <tp t="s">
        <v>#N/A N/A</v>
        <stp/>
        <stp>BDP|17243288025857844901</stp>
        <tr r="H3613" s="2"/>
      </tp>
      <tp t="s">
        <v>#N/A N/A</v>
        <stp/>
        <stp>BDP|12120647585213108667</stp>
        <tr r="H3662" s="2"/>
      </tp>
      <tp t="s">
        <v>#N/A N/A</v>
        <stp/>
        <stp>BDP|17355758498231868119</stp>
        <tr r="I583" s="2"/>
      </tp>
      <tp t="s">
        <v>#N/A N/A</v>
        <stp/>
        <stp>BDP|13691389523163365897</stp>
        <tr r="A4289" s="2"/>
      </tp>
      <tp t="s">
        <v>#N/A N/A</v>
        <stp/>
        <stp>BDP|15140727104758176313</stp>
        <tr r="I1602" s="2"/>
      </tp>
      <tp t="s">
        <v>#N/A N/A</v>
        <stp/>
        <stp>BDP|17171283984822296682</stp>
        <tr r="I4028" s="2"/>
      </tp>
      <tp t="s">
        <v>#N/A N/A</v>
        <stp/>
        <stp>BDP|15804378898135386336</stp>
        <tr r="I2591" s="2"/>
      </tp>
      <tp t="s">
        <v>#N/A N/A</v>
        <stp/>
        <stp>BDP|17766785529693953887</stp>
        <tr r="H2270" s="2"/>
      </tp>
      <tp t="s">
        <v>#N/A N/A</v>
        <stp/>
        <stp>BDP|13691948501365007645</stp>
        <tr r="G1369" s="2"/>
      </tp>
      <tp t="s">
        <v>#N/A N/A</v>
        <stp/>
        <stp>BDP|10886380680421384343</stp>
        <tr r="D1439" s="2"/>
      </tp>
      <tp t="s">
        <v>#N/A N/A</v>
        <stp/>
        <stp>BDP|17888247197681490487</stp>
        <tr r="B1653" s="2"/>
      </tp>
      <tp t="s">
        <v>#N/A N/A</v>
        <stp/>
        <stp>BDP|17103857405677135174</stp>
        <tr r="B1341" s="2"/>
      </tp>
      <tp t="s">
        <v>#N/A N/A</v>
        <stp/>
        <stp>BDP|10256129603578760039</stp>
        <tr r="I2769" s="2"/>
      </tp>
      <tp t="s">
        <v>#N/A N/A</v>
        <stp/>
        <stp>BDP|11355261554279631600</stp>
        <tr r="F1219" s="2"/>
      </tp>
      <tp t="s">
        <v>#N/A N/A</v>
        <stp/>
        <stp>BDP|12282791232429681680</stp>
        <tr r="H1562" s="2"/>
      </tp>
      <tp t="s">
        <v>#N/A N/A</v>
        <stp/>
        <stp>BDP|13104555627134512910</stp>
        <tr r="I2068" s="2"/>
      </tp>
      <tp t="s">
        <v>#N/A N/A</v>
        <stp/>
        <stp>BDP|11476977951931687535</stp>
        <tr r="C4311" s="2"/>
      </tp>
      <tp t="s">
        <v>#N/A N/A</v>
        <stp/>
        <stp>BDP|13130485624955989933</stp>
        <tr r="F2175" s="2"/>
      </tp>
      <tp t="s">
        <v>#N/A N/A</v>
        <stp/>
        <stp>BDP|15879894372690634322</stp>
        <tr r="B2567" s="2"/>
      </tp>
      <tp t="s">
        <v>#N/A N/A</v>
        <stp/>
        <stp>BDP|15390483983600908068</stp>
        <tr r="C2105" s="2"/>
      </tp>
      <tp t="s">
        <v>#N/A N/A</v>
        <stp/>
        <stp>BDP|13399839668394825075</stp>
        <tr r="G4897" s="2"/>
      </tp>
      <tp t="s">
        <v>#N/A N/A</v>
        <stp/>
        <stp>BDP|13406634797990447522</stp>
        <tr r="G3702" s="2"/>
      </tp>
      <tp t="s">
        <v>#N/A N/A</v>
        <stp/>
        <stp>BDP|13500613130149382611</stp>
        <tr r="A2597" s="2"/>
      </tp>
      <tp t="s">
        <v>#N/A N/A</v>
        <stp/>
        <stp>BDP|14114061351801750976</stp>
        <tr r="C2579" s="2"/>
      </tp>
      <tp t="s">
        <v>#N/A N/A</v>
        <stp/>
        <stp>BDP|11705741986342508569</stp>
        <tr r="C1029" s="2"/>
      </tp>
      <tp t="s">
        <v>#N/A N/A</v>
        <stp/>
        <stp>BDP|10297819016926037631</stp>
        <tr r="B3804" s="2"/>
      </tp>
      <tp t="s">
        <v>#N/A N/A</v>
        <stp/>
        <stp>BDP|16422361323046718808</stp>
        <tr r="B74" s="2"/>
      </tp>
      <tp t="s">
        <v>#N/A N/A</v>
        <stp/>
        <stp>BDP|10000868954253677727</stp>
        <tr r="B1678" s="2"/>
      </tp>
      <tp t="s">
        <v>#N/A N/A</v>
        <stp/>
        <stp>BDP|16793057223904694914</stp>
        <tr r="H3337" s="2"/>
      </tp>
      <tp t="s">
        <v>#N/A N/A</v>
        <stp/>
        <stp>BDP|17500748366008575745</stp>
        <tr r="A4350" s="2"/>
      </tp>
      <tp t="s">
        <v>#N/A N/A</v>
        <stp/>
        <stp>BDP|13168681789776489222</stp>
        <tr r="C725" s="2"/>
      </tp>
      <tp t="s">
        <v>#N/A N/A</v>
        <stp/>
        <stp>BDP|11089265527569380149</stp>
        <tr r="I3825" s="2"/>
      </tp>
      <tp t="s">
        <v>#N/A N/A</v>
        <stp/>
        <stp>BDP|11711326295957302557</stp>
        <tr r="C2219" s="2"/>
      </tp>
      <tp t="s">
        <v>#N/A N/A</v>
        <stp/>
        <stp>BDP|10234987777796329188</stp>
        <tr r="C2627" s="2"/>
      </tp>
      <tp t="s">
        <v>#N/A N/A</v>
        <stp/>
        <stp>BDP|13543761205918978593</stp>
        <tr r="C411" s="2"/>
      </tp>
      <tp t="s">
        <v>#N/A N/A</v>
        <stp/>
        <stp>BDP|18311857720888774371</stp>
        <tr r="B3647" s="2"/>
      </tp>
      <tp t="s">
        <v>#N/A N/A</v>
        <stp/>
        <stp>BDP|11111855693970646971</stp>
        <tr r="B2206" s="2"/>
      </tp>
      <tp t="s">
        <v>#N/A N/A</v>
        <stp/>
        <stp>BDP|17467898405497719193</stp>
        <tr r="H1346" s="2"/>
      </tp>
      <tp t="s">
        <v>#N/A N/A</v>
        <stp/>
        <stp>BDP|12143247439643991934</stp>
        <tr r="I4104" s="2"/>
      </tp>
      <tp t="s">
        <v>#N/A N/A</v>
        <stp/>
        <stp>BDP|13621859942321746703</stp>
        <tr r="G998" s="2"/>
      </tp>
      <tp t="s">
        <v>#N/A N/A</v>
        <stp/>
        <stp>BDP|10250677750563012939</stp>
        <tr r="A4218" s="2"/>
      </tp>
      <tp t="s">
        <v>#N/A N/A</v>
        <stp/>
        <stp>BDP|12408248486539263825</stp>
        <tr r="A763" s="2"/>
      </tp>
      <tp t="s">
        <v>#N/A N/A</v>
        <stp/>
        <stp>BDP|16942999914377323012</stp>
        <tr r="A4998" s="2"/>
      </tp>
      <tp t="s">
        <v>#N/A N/A</v>
        <stp/>
        <stp>BDP|18263933851829456426</stp>
        <tr r="D1721" s="2"/>
      </tp>
      <tp t="s">
        <v>#N/A N/A</v>
        <stp/>
        <stp>BDP|13713896964251421589</stp>
        <tr r="G669" s="2"/>
      </tp>
      <tp t="s">
        <v>#N/A N/A</v>
        <stp/>
        <stp>BDP|15347707281071557218</stp>
        <tr r="B1001" s="2"/>
      </tp>
      <tp t="s">
        <v>#N/A N/A</v>
        <stp/>
        <stp>BDP|15880905633622431496</stp>
        <tr r="F4247" s="2"/>
      </tp>
      <tp t="s">
        <v>#N/A N/A</v>
        <stp/>
        <stp>BDP|18446448573157476514</stp>
        <tr r="I3872" s="2"/>
      </tp>
      <tp t="s">
        <v>#N/A N/A</v>
        <stp/>
        <stp>BDP|14684303650598356336</stp>
        <tr r="H3911" s="2"/>
      </tp>
      <tp t="s">
        <v>#N/A N/A</v>
        <stp/>
        <stp>BDP|16539380292815846012</stp>
        <tr r="B3149" s="2"/>
      </tp>
      <tp t="s">
        <v>#N/A N/A</v>
        <stp/>
        <stp>BDP|15691203167301549920</stp>
        <tr r="B4020" s="2"/>
      </tp>
      <tp t="s">
        <v>#N/A N/A</v>
        <stp/>
        <stp>BDP|16079162109987959904</stp>
        <tr r="F4366" s="2"/>
      </tp>
      <tp t="s">
        <v>#N/A N/A</v>
        <stp/>
        <stp>BDP|13125939153397016174</stp>
        <tr r="I3648" s="2"/>
      </tp>
      <tp t="s">
        <v>#N/A N/A</v>
        <stp/>
        <stp>BDP|15173071940341615969</stp>
        <tr r="D1307" s="2"/>
      </tp>
      <tp t="s">
        <v>#N/A N/A</v>
        <stp/>
        <stp>BDP|12667027710613185933</stp>
        <tr r="C2776" s="2"/>
      </tp>
      <tp t="s">
        <v>#N/A N/A</v>
        <stp/>
        <stp>BDP|10555556512995259863</stp>
        <tr r="B4391" s="2"/>
      </tp>
      <tp t="s">
        <v>#N/A N/A</v>
        <stp/>
        <stp>BDP|13502654895451161425</stp>
        <tr r="B2950" s="2"/>
      </tp>
      <tp t="s">
        <v>#N/A N/A</v>
        <stp/>
        <stp>BDP|14300277884272341552</stp>
        <tr r="F1023" s="2"/>
      </tp>
      <tp t="s">
        <v>#N/A N/A</v>
        <stp/>
        <stp>BDP|15345122190270629415</stp>
        <tr r="C4153" s="2"/>
      </tp>
      <tp t="s">
        <v>#N/A N/A</v>
        <stp/>
        <stp>BDP|17624527407179145243</stp>
        <tr r="I1484" s="2"/>
      </tp>
      <tp t="s">
        <v>#N/A N/A</v>
        <stp/>
        <stp>BDP|15540518684405128478</stp>
        <tr r="A541" s="2"/>
      </tp>
      <tp t="s">
        <v>#N/A N/A</v>
        <stp/>
        <stp>BDP|12624261730298151276</stp>
        <tr r="A7" s="2"/>
      </tp>
      <tp t="s">
        <v>#N/A N/A</v>
        <stp/>
        <stp>BDP|10954562997211629485</stp>
        <tr r="G3073" s="2"/>
      </tp>
      <tp t="s">
        <v>#N/A N/A</v>
        <stp/>
        <stp>BDP|18412332231207617662</stp>
        <tr r="C3424" s="2"/>
      </tp>
      <tp t="s">
        <v>#N/A N/A</v>
        <stp/>
        <stp>BDP|10250111260319472712</stp>
        <tr r="B808" s="2"/>
      </tp>
      <tp t="s">
        <v>#N/A N/A</v>
        <stp/>
        <stp>BDP|10464708520845414965</stp>
        <tr r="C3567" s="2"/>
      </tp>
      <tp t="s">
        <v>#N/A N/A</v>
        <stp/>
        <stp>BDP|10244822269875742288</stp>
        <tr r="G2863" s="2"/>
      </tp>
      <tp t="s">
        <v>#N/A N/A</v>
        <stp/>
        <stp>BDP|13764936694369327353</stp>
        <tr r="I4205" s="2"/>
      </tp>
      <tp t="s">
        <v>#N/A N/A</v>
        <stp/>
        <stp>BDP|16112606313140029845</stp>
        <tr r="B4293" s="2"/>
      </tp>
      <tp t="s">
        <v>#N/A N/A</v>
        <stp/>
        <stp>BDP|14768866803607269261</stp>
        <tr r="H372" s="2"/>
      </tp>
      <tp t="s">
        <v>#N/A N/A</v>
        <stp/>
        <stp>BDP|10331881476434863231</stp>
        <tr r="C1226" s="2"/>
      </tp>
      <tp t="s">
        <v>#N/A N/A</v>
        <stp/>
        <stp>BDP|12049651277362678820</stp>
        <tr r="G2037" s="2"/>
      </tp>
      <tp t="s">
        <v>#N/A N/A</v>
        <stp/>
        <stp>BDP|16620433344249470635</stp>
        <tr r="F2273" s="2"/>
      </tp>
      <tp t="s">
        <v>#N/A N/A</v>
        <stp/>
        <stp>BDP|16845086011717179962</stp>
        <tr r="B3548" s="2"/>
      </tp>
      <tp t="s">
        <v>#N/A N/A</v>
        <stp/>
        <stp>BDP|13921560658192432850</stp>
        <tr r="H3684" s="2"/>
      </tp>
      <tp t="s">
        <v>#N/A N/A</v>
        <stp/>
        <stp>BDP|10907766949703070906</stp>
        <tr r="A4854" s="2"/>
      </tp>
      <tp t="s">
        <v>#N/A N/A</v>
        <stp/>
        <stp>BDP|17457042089387951161</stp>
        <tr r="C233" s="2"/>
      </tp>
      <tp t="s">
        <v>#N/A N/A</v>
        <stp/>
        <stp>BDP|15096031855830074907</stp>
        <tr r="H851" s="2"/>
      </tp>
      <tp t="s">
        <v>#N/A N/A</v>
        <stp/>
        <stp>BDP|16322840653382668047</stp>
        <tr r="D481" s="2"/>
      </tp>
      <tp t="s">
        <v>#N/A N/A</v>
        <stp/>
        <stp>BDP|12423178285877511554</stp>
        <tr r="B1293" s="2"/>
      </tp>
      <tp t="s">
        <v>#N/A N/A</v>
        <stp/>
        <stp>BDP|16385931921691585520</stp>
        <tr r="D4658" s="2"/>
      </tp>
      <tp t="s">
        <v>#N/A N/A</v>
        <stp/>
        <stp>BDP|18192252326887476602</stp>
        <tr r="I3729" s="2"/>
      </tp>
      <tp t="s">
        <v>#N/A N/A</v>
        <stp/>
        <stp>BDP|15497546393858584809</stp>
        <tr r="F4325" s="2"/>
      </tp>
      <tp t="s">
        <v>#N/A N/A</v>
        <stp/>
        <stp>BDP|11177610114366704952</stp>
        <tr r="B4986" s="2"/>
      </tp>
      <tp t="s">
        <v>#N/A N/A</v>
        <stp/>
        <stp>BDP|11800565537307818972</stp>
        <tr r="D3678" s="2"/>
      </tp>
      <tp t="s">
        <v>#N/A N/A</v>
        <stp/>
        <stp>BDP|10890029952408993478</stp>
        <tr r="B635" s="2"/>
      </tp>
      <tp t="s">
        <v>#N/A N/A</v>
        <stp/>
        <stp>BDP|16205891379141636126</stp>
        <tr r="G4665" s="2"/>
      </tp>
      <tp t="s">
        <v>#N/A N/A</v>
        <stp/>
        <stp>BDP|11626893286638741086</stp>
        <tr r="G3440" s="2"/>
      </tp>
      <tp t="s">
        <v>#N/A N/A</v>
        <stp/>
        <stp>BDP|11756408042538053038</stp>
        <tr r="B2118" s="2"/>
      </tp>
      <tp t="s">
        <v>#N/A N/A</v>
        <stp/>
        <stp>BDP|16844941590078397799</stp>
        <tr r="B4465" s="2"/>
      </tp>
      <tp t="s">
        <v>#N/A N/A</v>
        <stp/>
        <stp>BDP|11866523909548031557</stp>
        <tr r="F1995" s="2"/>
      </tp>
      <tp t="s">
        <v>#N/A N/A</v>
        <stp/>
        <stp>BDP|12219303079136540983</stp>
        <tr r="A2733" s="2"/>
      </tp>
      <tp t="s">
        <v>#N/A N/A</v>
        <stp/>
        <stp>BDP|10069177900148975083</stp>
        <tr r="I1229" s="2"/>
      </tp>
      <tp t="s">
        <v>#N/A N/A</v>
        <stp/>
        <stp>BDP|11887774451014332944</stp>
        <tr r="F3147" s="2"/>
      </tp>
      <tp t="s">
        <v>#N/A N/A</v>
        <stp/>
        <stp>BDP|14623159038551168932</stp>
        <tr r="I4301" s="2"/>
      </tp>
      <tp t="s">
        <v>#N/A N/A</v>
        <stp/>
        <stp>BDP|10142063828688627409</stp>
        <tr r="C3616" s="2"/>
      </tp>
      <tp t="s">
        <v>#N/A N/A</v>
        <stp/>
        <stp>BDP|11120109532494849921</stp>
        <tr r="F4063" s="2"/>
      </tp>
      <tp t="s">
        <v>#N/A N/A</v>
        <stp/>
        <stp>BDP|11904035472968173001</stp>
        <tr r="C1906" s="2"/>
      </tp>
      <tp t="s">
        <v>#N/A N/A</v>
        <stp/>
        <stp>BDP|10590685300408362074</stp>
        <tr r="C1671" s="2"/>
      </tp>
      <tp t="s">
        <v>#N/A N/A</v>
        <stp/>
        <stp>BDP|15434602695416094284</stp>
        <tr r="H3397" s="2"/>
      </tp>
      <tp t="s">
        <v>#N/A N/A</v>
        <stp/>
        <stp>BDP|18215645372506580181</stp>
        <tr r="B735" s="2"/>
      </tp>
      <tp t="s">
        <v>#N/A N/A</v>
        <stp/>
        <stp>BDP|17960698690761163787</stp>
        <tr r="C3630" s="2"/>
      </tp>
      <tp t="s">
        <v>#N/A N/A</v>
        <stp/>
        <stp>BDP|15767740704815633985</stp>
        <tr r="D2408" s="2"/>
      </tp>
      <tp t="s">
        <v>#N/A N/A</v>
        <stp/>
        <stp>BDP|11851749932219252254</stp>
        <tr r="D4846" s="2"/>
      </tp>
      <tp t="s">
        <v>#N/A N/A</v>
        <stp/>
        <stp>BDP|13843142108594446899</stp>
        <tr r="A3199" s="2"/>
      </tp>
      <tp t="s">
        <v>#N/A N/A</v>
        <stp/>
        <stp>BDP|15900263504240198936</stp>
        <tr r="B3004" s="2"/>
      </tp>
      <tp t="s">
        <v>#N/A N/A</v>
        <stp/>
        <stp>BDP|15544086722639437029</stp>
        <tr r="D1368" s="2"/>
      </tp>
      <tp t="s">
        <v>#N/A N/A</v>
        <stp/>
        <stp>BDP|12829272683811739726</stp>
        <tr r="A3456" s="2"/>
      </tp>
      <tp t="s">
        <v>#N/A N/A</v>
        <stp/>
        <stp>BDP|10929140380553689422</stp>
        <tr r="F2065" s="2"/>
      </tp>
      <tp t="s">
        <v>#N/A N/A</v>
        <stp/>
        <stp>BDP|13947023725846709903</stp>
        <tr r="F2217" s="2"/>
      </tp>
      <tp t="s">
        <v>#N/A N/A</v>
        <stp/>
        <stp>BDP|10292397963289624272</stp>
        <tr r="I4601" s="2"/>
      </tp>
      <tp t="s">
        <v>#N/A N/A</v>
        <stp/>
        <stp>BDP|15326059189301100274</stp>
        <tr r="B3721" s="2"/>
      </tp>
      <tp t="s">
        <v>#N/A N/A</v>
        <stp/>
        <stp>BDP|13328483202189893085</stp>
        <tr r="D4533" s="2"/>
      </tp>
      <tp t="s">
        <v>#N/A N/A</v>
        <stp/>
        <stp>BDP|14270224818319971085</stp>
        <tr r="H4745" s="2"/>
      </tp>
      <tp t="s">
        <v>#N/A N/A</v>
        <stp/>
        <stp>BDP|15420650258409959191</stp>
        <tr r="H2690" s="2"/>
      </tp>
      <tp t="s">
        <v>#N/A N/A</v>
        <stp/>
        <stp>BDP|17760872479383259520</stp>
        <tr r="G421" s="2"/>
      </tp>
      <tp t="s">
        <v>#N/A N/A</v>
        <stp/>
        <stp>BDP|10447993073178071870</stp>
        <tr r="G3112" s="2"/>
      </tp>
      <tp t="s">
        <v>#N/A N/A</v>
        <stp/>
        <stp>BDP|15527296981764348576</stp>
        <tr r="I2648" s="2"/>
      </tp>
      <tp t="s">
        <v>#N/A N/A</v>
        <stp/>
        <stp>BDP|15199285242338167539</stp>
        <tr r="B4184" s="2"/>
      </tp>
      <tp t="s">
        <v>#N/A N/A</v>
        <stp/>
        <stp>BDP|17932063872366045847</stp>
        <tr r="I4380" s="2"/>
      </tp>
      <tp t="s">
        <v>#N/A N/A</v>
        <stp/>
        <stp>BDP|12403355021589988408</stp>
        <tr r="G3929" s="2"/>
      </tp>
      <tp t="s">
        <v>#N/A N/A</v>
        <stp/>
        <stp>BDP|16715107619580108863</stp>
        <tr r="C1558" s="2"/>
      </tp>
      <tp t="s">
        <v>#N/A N/A</v>
        <stp/>
        <stp>BDP|13027187747539421122</stp>
        <tr r="C1009" s="2"/>
      </tp>
      <tp t="s">
        <v>#N/A N/A</v>
        <stp/>
        <stp>BDP|15810353526499502371</stp>
        <tr r="F2742" s="2"/>
      </tp>
      <tp t="s">
        <v>#N/A N/A</v>
        <stp/>
        <stp>BDP|17016664038068160464</stp>
        <tr r="F1714" s="2"/>
      </tp>
      <tp t="s">
        <v>#N/A N/A</v>
        <stp/>
        <stp>BDP|10130980560543985298</stp>
        <tr r="H323" s="2"/>
      </tp>
      <tp t="s">
        <v>#N/A N/A</v>
        <stp/>
        <stp>BDP|14897594136739781594</stp>
        <tr r="A3167" s="2"/>
      </tp>
      <tp t="s">
        <v>#N/A N/A</v>
        <stp/>
        <stp>BDP|17361317835228776191</stp>
        <tr r="A4864" s="2"/>
      </tp>
      <tp t="s">
        <v>#N/A N/A</v>
        <stp/>
        <stp>BDP|15371877520482592388</stp>
        <tr r="F3411" s="2"/>
      </tp>
      <tp t="s">
        <v>#N/A N/A</v>
        <stp/>
        <stp>BDP|14291792015938368441</stp>
        <tr r="D2910" s="2"/>
      </tp>
      <tp t="s">
        <v>#N/A N/A</v>
        <stp/>
        <stp>BDP|13357410719900496860</stp>
        <tr r="C1034" s="2"/>
      </tp>
      <tp t="s">
        <v>#N/A N/A</v>
        <stp/>
        <stp>BDP|12841422280316322602</stp>
        <tr r="A218" s="2"/>
      </tp>
      <tp t="s">
        <v>#N/A N/A</v>
        <stp/>
        <stp>BDP|17329597140060780849</stp>
        <tr r="B3254" s="2"/>
      </tp>
      <tp t="s">
        <v>#N/A N/A</v>
        <stp/>
        <stp>BDP|10516085637015439873</stp>
        <tr r="G1231" s="2"/>
      </tp>
      <tp t="s">
        <v>#N/A N/A</v>
        <stp/>
        <stp>BDP|18108457426569201996</stp>
        <tr r="I211" s="2"/>
      </tp>
      <tp t="s">
        <v>#N/A N/A</v>
        <stp/>
        <stp>BDP|13531706543008871676</stp>
        <tr r="I1199" s="2"/>
      </tp>
      <tp t="s">
        <v>#N/A N/A</v>
        <stp/>
        <stp>BDP|10973915550107042513</stp>
        <tr r="H342" s="2"/>
      </tp>
      <tp t="s">
        <v>#N/A N/A</v>
        <stp/>
        <stp>BDP|12048876598084224944</stp>
        <tr r="G187" s="2"/>
      </tp>
      <tp t="s">
        <v>#N/A N/A</v>
        <stp/>
        <stp>BDP|16084540539809362772</stp>
        <tr r="C2075" s="2"/>
      </tp>
      <tp t="s">
        <v>#N/A N/A</v>
        <stp/>
        <stp>BDP|11045771388541460122</stp>
        <tr r="C4873" s="2"/>
      </tp>
      <tp t="s">
        <v>#N/A N/A</v>
        <stp/>
        <stp>BDP|15219131460099929509</stp>
        <tr r="D3806" s="2"/>
      </tp>
      <tp t="s">
        <v>#N/A N/A</v>
        <stp/>
        <stp>BDP|14390956556384931214</stp>
        <tr r="G861" s="2"/>
      </tp>
      <tp t="s">
        <v>#N/A N/A</v>
        <stp/>
        <stp>BDP|16832299385483975152</stp>
        <tr r="I4144" s="2"/>
      </tp>
      <tp t="s">
        <v>#N/A N/A</v>
        <stp/>
        <stp>BDP|18158261544862800237</stp>
        <tr r="H4372" s="2"/>
      </tp>
      <tp t="s">
        <v>#N/A N/A</v>
        <stp/>
        <stp>BDP|12495093114244265935</stp>
        <tr r="D2715" s="2"/>
      </tp>
      <tp t="s">
        <v>#N/A N/A</v>
        <stp/>
        <stp>BDP|16581091928372849845</stp>
        <tr r="D403" s="2"/>
      </tp>
      <tp t="s">
        <v>#N/A N/A</v>
        <stp/>
        <stp>BDP|15522344920479899311</stp>
        <tr r="G2796" s="2"/>
      </tp>
      <tp t="s">
        <v>#N/A N/A</v>
        <stp/>
        <stp>BDP|13707876568761890282</stp>
        <tr r="D3671" s="2"/>
      </tp>
      <tp t="s">
        <v>#N/A N/A</v>
        <stp/>
        <stp>BDP|14584764947099953053</stp>
        <tr r="B677" s="2"/>
      </tp>
      <tp t="s">
        <v>#N/A N/A</v>
        <stp/>
        <stp>BDP|18084537648483149425</stp>
        <tr r="G2624" s="2"/>
      </tp>
      <tp t="s">
        <v>#N/A N/A</v>
        <stp/>
        <stp>BDP|16258058360677844976</stp>
        <tr r="B2897" s="2"/>
      </tp>
      <tp t="s">
        <v>#N/A N/A</v>
        <stp/>
        <stp>BDP|11615224756811850921</stp>
        <tr r="B3227" s="2"/>
      </tp>
      <tp t="s">
        <v>#N/A N/A</v>
        <stp/>
        <stp>BDP|12686595941529722412</stp>
        <tr r="G2925" s="2"/>
      </tp>
      <tp t="s">
        <v>#N/A N/A</v>
        <stp/>
        <stp>BDP|17416140128888698268</stp>
        <tr r="I4865" s="2"/>
      </tp>
      <tp t="s">
        <v>#N/A N/A</v>
        <stp/>
        <stp>BDP|14205199606443508802</stp>
        <tr r="A1495" s="2"/>
      </tp>
      <tp t="s">
        <v>#N/A N/A</v>
        <stp/>
        <stp>BDP|12613233927585987930</stp>
        <tr r="A151" s="2"/>
      </tp>
      <tp t="s">
        <v>#N/A N/A</v>
        <stp/>
        <stp>BDP|12499195011104328870</stp>
        <tr r="H2397" s="2"/>
      </tp>
      <tp t="s">
        <v>#N/A N/A</v>
        <stp/>
        <stp>BDP|17807366341128186660</stp>
        <tr r="F3487" s="2"/>
      </tp>
      <tp t="s">
        <v>#N/A N/A</v>
        <stp/>
        <stp>BDP|16974380244147490890</stp>
        <tr r="G2338" s="2"/>
      </tp>
      <tp t="s">
        <v>#N/A N/A</v>
        <stp/>
        <stp>BDP|10945949222003609613</stp>
        <tr r="F2825" s="2"/>
      </tp>
      <tp t="s">
        <v>#N/A N/A</v>
        <stp/>
        <stp>BDP|12239210455338964378</stp>
        <tr r="A3904" s="2"/>
      </tp>
      <tp t="s">
        <v>#N/A N/A</v>
        <stp/>
        <stp>BDP|17026831380881247891</stp>
        <tr r="C2293" s="2"/>
      </tp>
      <tp t="s">
        <v>#N/A N/A</v>
        <stp/>
        <stp>BDP|14049983722598282904</stp>
        <tr r="D3702" s="2"/>
      </tp>
      <tp t="s">
        <v>#N/A N/A</v>
        <stp/>
        <stp>BDP|11377160398031793620</stp>
        <tr r="H1222" s="2"/>
      </tp>
      <tp t="s">
        <v>#N/A N/A</v>
        <stp/>
        <stp>BDP|16899995665206973154</stp>
        <tr r="B1335" s="2"/>
      </tp>
      <tp t="s">
        <v>#N/A N/A</v>
        <stp/>
        <stp>BDP|11222880314987176171</stp>
        <tr r="B4566" s="2"/>
      </tp>
      <tp t="s">
        <v>#N/A N/A</v>
        <stp/>
        <stp>BDP|15606394851678266549</stp>
        <tr r="D4487" s="2"/>
      </tp>
      <tp t="s">
        <v>#N/A N/A</v>
        <stp/>
        <stp>BDP|14611085543488347669</stp>
        <tr r="C4889" s="2"/>
      </tp>
      <tp t="s">
        <v>#N/A N/A</v>
        <stp/>
        <stp>BDP|13883814412276156226</stp>
        <tr r="F1626" s="2"/>
      </tp>
      <tp t="s">
        <v>#N/A N/A</v>
        <stp/>
        <stp>BDP|12962822847772462209</stp>
        <tr r="G1278" s="2"/>
      </tp>
      <tp t="s">
        <v>#N/A N/A</v>
        <stp/>
        <stp>BDP|12200584782999019800</stp>
        <tr r="G2010" s="2"/>
      </tp>
      <tp t="s">
        <v>#N/A N/A</v>
        <stp/>
        <stp>BDP|10664221098823024641</stp>
        <tr r="G674" s="2"/>
      </tp>
      <tp t="s">
        <v>#N/A N/A</v>
        <stp/>
        <stp>BDP|14725810418807213447</stp>
        <tr r="C2935" s="2"/>
      </tp>
      <tp t="s">
        <v>#N/A N/A</v>
        <stp/>
        <stp>BDP|12707816070425948675</stp>
        <tr r="F1931" s="2"/>
      </tp>
      <tp t="s">
        <v>#N/A N/A</v>
        <stp/>
        <stp>BDP|13602155468089571361</stp>
        <tr r="G877" s="2"/>
      </tp>
      <tp t="s">
        <v>#N/A N/A</v>
        <stp/>
        <stp>BDP|16457420903694849854</stp>
        <tr r="F1894" s="2"/>
      </tp>
      <tp t="s">
        <v>#N/A N/A</v>
        <stp/>
        <stp>BDP|12537994183769369445</stp>
        <tr r="C373" s="2"/>
      </tp>
      <tp t="s">
        <v>#N/A N/A</v>
        <stp/>
        <stp>BDP|14156277785169269997</stp>
        <tr r="F4783" s="2"/>
      </tp>
      <tp t="s">
        <v>#N/A N/A</v>
        <stp/>
        <stp>BDP|10803189333804974824</stp>
        <tr r="F2868" s="2"/>
      </tp>
      <tp t="s">
        <v>#N/A N/A</v>
        <stp/>
        <stp>BDP|13913865356818267838</stp>
        <tr r="H526" s="2"/>
      </tp>
      <tp t="s">
        <v>#N/A N/A</v>
        <stp/>
        <stp>BDP|17390013584758893966</stp>
        <tr r="G2654" s="2"/>
      </tp>
      <tp t="s">
        <v>#N/A N/A</v>
        <stp/>
        <stp>BDP|15557133290413956075</stp>
        <tr r="A3144" s="2"/>
      </tp>
      <tp t="s">
        <v>#N/A N/A</v>
        <stp/>
        <stp>BDP|14643020438891153858</stp>
        <tr r="G232" s="2"/>
      </tp>
      <tp t="s">
        <v>#N/A N/A</v>
        <stp/>
        <stp>BDP|13430851858069727961</stp>
        <tr r="B178" s="2"/>
      </tp>
      <tp t="s">
        <v>#N/A N/A</v>
        <stp/>
        <stp>BDP|11853455500299415212</stp>
        <tr r="C1704" s="2"/>
      </tp>
      <tp t="s">
        <v>#N/A N/A</v>
        <stp/>
        <stp>BDP|13301917578500000323</stp>
        <tr r="A1488" s="2"/>
      </tp>
      <tp t="s">
        <v>#N/A N/A</v>
        <stp/>
        <stp>BDP|10154595548836894900</stp>
        <tr r="B3230" s="2"/>
      </tp>
      <tp t="s">
        <v>#N/A N/A</v>
        <stp/>
        <stp>BDP|12812330226504720927</stp>
        <tr r="A2014" s="2"/>
      </tp>
      <tp t="s">
        <v>#N/A N/A</v>
        <stp/>
        <stp>BDP|14786403577580185996</stp>
        <tr r="A3222" s="2"/>
      </tp>
      <tp t="s">
        <v>#N/A N/A</v>
        <stp/>
        <stp>BDP|17845245184103390039</stp>
        <tr r="F2528" s="2"/>
      </tp>
      <tp t="s">
        <v>#N/A N/A</v>
        <stp/>
        <stp>BDP|10494288884396412243</stp>
        <tr r="G1566" s="2"/>
      </tp>
      <tp t="s">
        <v>#N/A N/A</v>
        <stp/>
        <stp>BDP|12023075025668325693</stp>
        <tr r="D3445" s="2"/>
      </tp>
      <tp t="s">
        <v>#N/A N/A</v>
        <stp/>
        <stp>BDP|15633908378756656309</stp>
        <tr r="H3544" s="2"/>
      </tp>
      <tp t="s">
        <v>#N/A N/A</v>
        <stp/>
        <stp>BDP|17829895233292227080</stp>
        <tr r="F305" s="2"/>
      </tp>
      <tp t="s">
        <v>#N/A N/A</v>
        <stp/>
        <stp>BDP|14245947422388869941</stp>
        <tr r="G1136" s="2"/>
      </tp>
      <tp t="s">
        <v>#N/A N/A</v>
        <stp/>
        <stp>BDP|15986510325384390864</stp>
        <tr r="H4206" s="2"/>
      </tp>
      <tp t="s">
        <v>#N/A N/A</v>
        <stp/>
        <stp>BDP|13055818091699997514</stp>
        <tr r="G4436" s="2"/>
      </tp>
      <tp t="s">
        <v>#N/A N/A</v>
        <stp/>
        <stp>BDP|13839928137521300668</stp>
        <tr r="H3242" s="2"/>
      </tp>
      <tp t="s">
        <v>#N/A N/A</v>
        <stp/>
        <stp>BDP|18104851577350264992</stp>
        <tr r="F2609" s="2"/>
      </tp>
      <tp t="s">
        <v>#N/A N/A</v>
        <stp/>
        <stp>BDP|14845863464660734454</stp>
        <tr r="I1915" s="2"/>
      </tp>
      <tp t="s">
        <v>#N/A N/A</v>
        <stp/>
        <stp>BDP|10744608248568791405</stp>
        <tr r="H4144" s="2"/>
      </tp>
      <tp t="s">
        <v>#N/A N/A</v>
        <stp/>
        <stp>BDP|17926971504439701952</stp>
        <tr r="D1358" s="2"/>
      </tp>
      <tp t="s">
        <v>#N/A N/A</v>
        <stp/>
        <stp>BDP|17466206196222366091</stp>
        <tr r="I3710" s="2"/>
      </tp>
      <tp t="s">
        <v>#N/A N/A</v>
        <stp/>
        <stp>BDP|13642919986259023599</stp>
        <tr r="B3302" s="2"/>
      </tp>
      <tp t="s">
        <v>#N/A N/A</v>
        <stp/>
        <stp>BDP|13000180756780203943</stp>
        <tr r="B1267" s="2"/>
      </tp>
      <tp t="s">
        <v>#N/A N/A</v>
        <stp/>
        <stp>BDP|17422937247482028687</stp>
        <tr r="G3062" s="2"/>
      </tp>
      <tp t="s">
        <v>#N/A N/A</v>
        <stp/>
        <stp>BDP|17747948961544172285</stp>
        <tr r="C644" s="2"/>
      </tp>
      <tp t="s">
        <v>#N/A N/A</v>
        <stp/>
        <stp>BDP|17683263215349701393</stp>
        <tr r="A1692" s="2"/>
      </tp>
      <tp t="s">
        <v>#N/A N/A</v>
        <stp/>
        <stp>BDP|12512824278904777730</stp>
        <tr r="F4984" s="2"/>
      </tp>
      <tp t="s">
        <v>#N/A N/A</v>
        <stp/>
        <stp>BDP|12428170868468580355</stp>
        <tr r="G1776" s="2"/>
      </tp>
      <tp t="s">
        <v>#N/A N/A</v>
        <stp/>
        <stp>BDP|12727757679949439545</stp>
        <tr r="G1593" s="2"/>
      </tp>
      <tp t="s">
        <v>#N/A N/A</v>
        <stp/>
        <stp>BDP|18238088742256643457</stp>
        <tr r="F3324" s="2"/>
      </tp>
      <tp t="s">
        <v>#N/A N/A</v>
        <stp/>
        <stp>BDP|12111187764958739316</stp>
        <tr r="C36" s="2"/>
      </tp>
      <tp t="s">
        <v>#N/A N/A</v>
        <stp/>
        <stp>BDP|11431603788404783506</stp>
        <tr r="B3626" s="2"/>
      </tp>
      <tp t="s">
        <v>#N/A N/A</v>
        <stp/>
        <stp>BDP|14698713474793900917</stp>
        <tr r="D3104" s="2"/>
      </tp>
      <tp t="s">
        <v>#N/A N/A</v>
        <stp/>
        <stp>BDP|10476338991112552682</stp>
        <tr r="B2902" s="2"/>
      </tp>
      <tp t="s">
        <v>#N/A N/A</v>
        <stp/>
        <stp>BDP|11978250787352145719</stp>
        <tr r="C4116" s="2"/>
      </tp>
      <tp t="s">
        <v>#N/A N/A</v>
        <stp/>
        <stp>BDP|17830008562686415955</stp>
        <tr r="B2617" s="2"/>
      </tp>
      <tp t="s">
        <v>#N/A N/A</v>
        <stp/>
        <stp>BDP|16187735105256837945</stp>
        <tr r="A3259" s="2"/>
      </tp>
      <tp t="s">
        <v>#N/A N/A</v>
        <stp/>
        <stp>BDP|11521973728947535342</stp>
        <tr r="F1233" s="2"/>
      </tp>
      <tp t="s">
        <v>#N/A N/A</v>
        <stp/>
        <stp>BDP|17603791144068119218</stp>
        <tr r="I3277" s="2"/>
      </tp>
      <tp t="s">
        <v>#N/A N/A</v>
        <stp/>
        <stp>BDP|16827848884399518160</stp>
        <tr r="F2598" s="2"/>
      </tp>
      <tp t="s">
        <v>#N/A N/A</v>
        <stp/>
        <stp>BDP|15835058453726009854</stp>
        <tr r="A4970" s="2"/>
      </tp>
      <tp t="s">
        <v>#N/A N/A</v>
        <stp/>
        <stp>BDP|17740702492061692687</stp>
        <tr r="F3253" s="2"/>
      </tp>
      <tp t="s">
        <v>#N/A N/A</v>
        <stp/>
        <stp>BDP|12841008085276208241</stp>
        <tr r="D3605" s="2"/>
      </tp>
      <tp t="s">
        <v>#N/A N/A</v>
        <stp/>
        <stp>BDP|15287661088282734706</stp>
        <tr r="C182" s="2"/>
      </tp>
      <tp t="s">
        <v>#N/A N/A</v>
        <stp/>
        <stp>BDP|15094115594550728396</stp>
        <tr r="H1803" s="2"/>
      </tp>
      <tp t="s">
        <v>#N/A N/A</v>
        <stp/>
        <stp>BDP|11742756813868923135</stp>
        <tr r="A4411" s="2"/>
      </tp>
      <tp t="s">
        <v>#N/A N/A</v>
        <stp/>
        <stp>BDP|10032959808790344754</stp>
        <tr r="D1016" s="2"/>
      </tp>
      <tp t="s">
        <v>#N/A N/A</v>
        <stp/>
        <stp>BDP|17991120301299049112</stp>
        <tr r="G3576" s="2"/>
      </tp>
      <tp t="s">
        <v>#N/A N/A</v>
        <stp/>
        <stp>BDP|11138876825154180190</stp>
        <tr r="A434" s="2"/>
      </tp>
      <tp t="s">
        <v>#N/A N/A</v>
        <stp/>
        <stp>BDP|17551959031241807222</stp>
        <tr r="G3492" s="2"/>
      </tp>
      <tp t="s">
        <v>#N/A N/A</v>
        <stp/>
        <stp>BDP|13137184260192541871</stp>
        <tr r="G399" s="2"/>
      </tp>
      <tp t="s">
        <v>#N/A N/A</v>
        <stp/>
        <stp>BDP|12830112828019872625</stp>
        <tr r="B3057" s="2"/>
      </tp>
      <tp t="s">
        <v>#N/A N/A</v>
        <stp/>
        <stp>BDP|14153581931628012430</stp>
        <tr r="H1286" s="2"/>
      </tp>
      <tp t="s">
        <v>#N/A N/A</v>
        <stp/>
        <stp>BDP|10750878170654300588</stp>
        <tr r="G2432" s="2"/>
      </tp>
      <tp t="s">
        <v>#N/A N/A</v>
        <stp/>
        <stp>BDP|13351451570436964845</stp>
        <tr r="I3716" s="2"/>
      </tp>
      <tp t="s">
        <v>#N/A N/A</v>
        <stp/>
        <stp>BDP|13558978908692096610</stp>
        <tr r="H4105" s="2"/>
      </tp>
      <tp t="s">
        <v>#N/A N/A</v>
        <stp/>
        <stp>BDP|13649731792661910250</stp>
        <tr r="A989" s="2"/>
      </tp>
      <tp t="s">
        <v>#N/A N/A</v>
        <stp/>
        <stp>BDP|17297340285514065688</stp>
        <tr r="B397" s="2"/>
      </tp>
      <tp t="s">
        <v>#N/A N/A</v>
        <stp/>
        <stp>BDP|14119839058420247739</stp>
        <tr r="C2881" s="2"/>
      </tp>
      <tp t="s">
        <v>#N/A N/A</v>
        <stp/>
        <stp>BDP|18130291324557658113</stp>
        <tr r="B3711" s="2"/>
      </tp>
      <tp t="s">
        <v>#N/A N/A</v>
        <stp/>
        <stp>BDP|14298939053554024296</stp>
        <tr r="H1561" s="2"/>
      </tp>
      <tp t="s">
        <v>#N/A N/A</v>
        <stp/>
        <stp>BDP|16764803303481744184</stp>
        <tr r="I4073" s="2"/>
      </tp>
      <tp t="s">
        <v>#N/A N/A</v>
        <stp/>
        <stp>BDP|16329897671881082604</stp>
        <tr r="D2075" s="2"/>
      </tp>
      <tp t="s">
        <v>#N/A N/A</v>
        <stp/>
        <stp>BDP|13593535108420212878</stp>
        <tr r="H2949" s="2"/>
      </tp>
      <tp t="s">
        <v>#N/A N/A</v>
        <stp/>
        <stp>BDP|13165943136531813601</stp>
        <tr r="A1292" s="2"/>
      </tp>
      <tp t="s">
        <v>#N/A N/A</v>
        <stp/>
        <stp>BDP|14814436030774517951</stp>
        <tr r="A2593" s="2"/>
      </tp>
      <tp t="s">
        <v>#N/A N/A</v>
        <stp/>
        <stp>BDP|11335851738437100346</stp>
        <tr r="A919" s="2"/>
      </tp>
      <tp t="s">
        <v>#N/A N/A</v>
        <stp/>
        <stp>BDP|15985009924209001064</stp>
        <tr r="I1958" s="2"/>
      </tp>
      <tp t="s">
        <v>#N/A N/A</v>
        <stp/>
        <stp>BDP|16287988626353738007</stp>
        <tr r="B1173" s="2"/>
      </tp>
      <tp t="s">
        <v>#N/A N/A</v>
        <stp/>
        <stp>BDP|16458382196225002712</stp>
        <tr r="I4463" s="2"/>
      </tp>
      <tp t="s">
        <v>#N/A N/A</v>
        <stp/>
        <stp>BDP|11162808851966946424</stp>
        <tr r="F3392" s="2"/>
      </tp>
      <tp t="s">
        <v>#N/A N/A</v>
        <stp/>
        <stp>BDP|11897487415809796398</stp>
        <tr r="F2543" s="2"/>
      </tp>
      <tp t="s">
        <v>#N/A N/A</v>
        <stp/>
        <stp>BDP|17043541783246537293</stp>
        <tr r="A13" s="2"/>
      </tp>
      <tp t="s">
        <v>#N/A N/A</v>
        <stp/>
        <stp>BDP|11802782987120448080</stp>
        <tr r="A3936" s="2"/>
      </tp>
      <tp t="s">
        <v>#N/A N/A</v>
        <stp/>
        <stp>BDP|17884097719940766847</stp>
        <tr r="G4146" s="2"/>
      </tp>
      <tp t="s">
        <v>#N/A N/A</v>
        <stp/>
        <stp>BDP|10177295678772306982</stp>
        <tr r="B1391" s="2"/>
      </tp>
      <tp t="s">
        <v>#N/A N/A</v>
        <stp/>
        <stp>BDP|14397057547498856629</stp>
        <tr r="F513" s="2"/>
      </tp>
      <tp t="s">
        <v>#N/A N/A</v>
        <stp/>
        <stp>BDP|10897678833648673316</stp>
        <tr r="A3386" s="2"/>
      </tp>
      <tp t="s">
        <v>#N/A N/A</v>
        <stp/>
        <stp>BDP|11042934925742808651</stp>
        <tr r="B2479" s="2"/>
      </tp>
      <tp t="s">
        <v>#N/A N/A</v>
        <stp/>
        <stp>BDP|10344176998301232757</stp>
        <tr r="D680" s="2"/>
      </tp>
      <tp t="s">
        <v>#N/A N/A</v>
        <stp/>
        <stp>BDP|18421978471509890113</stp>
        <tr r="B2507" s="2"/>
      </tp>
      <tp t="s">
        <v>#N/A N/A</v>
        <stp/>
        <stp>BDP|18353433538267284619</stp>
        <tr r="I1906" s="2"/>
      </tp>
      <tp t="s">
        <v>#N/A N/A</v>
        <stp/>
        <stp>BDP|16563231436980388983</stp>
        <tr r="G3592" s="2"/>
      </tp>
      <tp t="s">
        <v>#N/A N/A</v>
        <stp/>
        <stp>BDP|13637373082442875406</stp>
        <tr r="D1751" s="2"/>
      </tp>
      <tp t="s">
        <v>#N/A N/A</v>
        <stp/>
        <stp>BDP|18338705688241064806</stp>
        <tr r="I858" s="2"/>
      </tp>
      <tp t="s">
        <v>#N/A N/A</v>
        <stp/>
        <stp>BDP|15224715484292803641</stp>
        <tr r="I100" s="2"/>
      </tp>
      <tp t="s">
        <v>#N/A N/A</v>
        <stp/>
        <stp>BDP|13988023880074490146</stp>
        <tr r="G2609" s="2"/>
      </tp>
      <tp t="s">
        <v>#N/A N/A</v>
        <stp/>
        <stp>BDP|14224665798641205455</stp>
        <tr r="F3612" s="2"/>
      </tp>
      <tp t="s">
        <v>#N/A N/A</v>
        <stp/>
        <stp>BDP|12165013877908854352</stp>
        <tr r="B53" s="2"/>
      </tp>
      <tp t="s">
        <v>#N/A N/A</v>
        <stp/>
        <stp>BDP|17927655157583515948</stp>
        <tr r="A2174" s="2"/>
      </tp>
      <tp t="s">
        <v>#N/A N/A</v>
        <stp/>
        <stp>BDP|17772688225508473546</stp>
        <tr r="A1986" s="2"/>
      </tp>
      <tp t="s">
        <v>#N/A N/A</v>
        <stp/>
        <stp>BDP|11438883227412266738</stp>
        <tr r="D4183" s="2"/>
      </tp>
      <tp t="s">
        <v>#N/A N/A</v>
        <stp/>
        <stp>BDP|11687956743795845727</stp>
        <tr r="G3920" s="2"/>
      </tp>
      <tp t="s">
        <v>#N/A N/A</v>
        <stp/>
        <stp>BDP|14543840458990642753</stp>
        <tr r="A2906" s="2"/>
      </tp>
      <tp t="s">
        <v>#N/A N/A</v>
        <stp/>
        <stp>BDP|13677290092194756209</stp>
        <tr r="B2803" s="2"/>
      </tp>
      <tp t="s">
        <v>#N/A N/A</v>
        <stp/>
        <stp>BDP|14604610576148393382</stp>
        <tr r="F4758" s="2"/>
      </tp>
      <tp t="s">
        <v>#N/A N/A</v>
        <stp/>
        <stp>BDP|14507944712852175081</stp>
        <tr r="A1411" s="2"/>
      </tp>
      <tp t="s">
        <v>#N/A N/A</v>
        <stp/>
        <stp>BDP|17586641670159818130</stp>
        <tr r="F4957" s="2"/>
      </tp>
      <tp t="s">
        <v>#N/A N/A</v>
        <stp/>
        <stp>BDP|10889102014036135870</stp>
        <tr r="I2031" s="2"/>
      </tp>
      <tp t="s">
        <v>#N/A N/A</v>
        <stp/>
        <stp>BDP|10579749652104855813</stp>
        <tr r="F2161" s="2"/>
      </tp>
      <tp t="s">
        <v>#N/A N/A</v>
        <stp/>
        <stp>BDP|16956662477808727154</stp>
        <tr r="H1782" s="2"/>
      </tp>
      <tp t="s">
        <v>#N/A N/A</v>
        <stp/>
        <stp>BDP|17109461293981826563</stp>
        <tr r="F2464" s="2"/>
      </tp>
      <tp t="s">
        <v>#N/A N/A</v>
        <stp/>
        <stp>BDP|16492689180905667306</stp>
        <tr r="F3494" s="2"/>
      </tp>
      <tp t="s">
        <v>#N/A N/A</v>
        <stp/>
        <stp>BDP|17035999405467253742</stp>
        <tr r="I4437" s="2"/>
      </tp>
      <tp t="s">
        <v>#N/A N/A</v>
        <stp/>
        <stp>BDP|10983760518388473094</stp>
        <tr r="C4992" s="2"/>
      </tp>
      <tp t="s">
        <v>#N/A N/A</v>
        <stp/>
        <stp>BDP|13053788925128205054</stp>
        <tr r="H369" s="2"/>
      </tp>
      <tp t="s">
        <v>#N/A N/A</v>
        <stp/>
        <stp>BDP|17406135605899951110</stp>
        <tr r="H4369" s="2"/>
      </tp>
      <tp t="s">
        <v>#N/A N/A</v>
        <stp/>
        <stp>BDP|15042509248122549870</stp>
        <tr r="B4096" s="2"/>
      </tp>
      <tp t="s">
        <v>#N/A N/A</v>
        <stp/>
        <stp>BDP|17249498055549766137</stp>
        <tr r="F121" s="2"/>
      </tp>
      <tp t="s">
        <v>#N/A N/A</v>
        <stp/>
        <stp>BDP|10419498182284445617</stp>
        <tr r="B3468" s="2"/>
      </tp>
      <tp t="s">
        <v>#N/A N/A</v>
        <stp/>
        <stp>BDP|16269943527952360185</stp>
        <tr r="B1077" s="2"/>
      </tp>
      <tp t="s">
        <v>#N/A N/A</v>
        <stp/>
        <stp>BDP|11661408994331850307</stp>
        <tr r="C1963" s="2"/>
      </tp>
      <tp t="s">
        <v>#N/A N/A</v>
        <stp/>
        <stp>BDP|11077569545047187989</stp>
        <tr r="A436" s="2"/>
      </tp>
      <tp t="s">
        <v>#N/A N/A</v>
        <stp/>
        <stp>BDP|11067499596364557606</stp>
        <tr r="B2987" s="2"/>
      </tp>
      <tp t="s">
        <v>#N/A N/A</v>
        <stp/>
        <stp>BDP|14980600695457510232</stp>
        <tr r="G1772" s="2"/>
      </tp>
      <tp t="s">
        <v>#N/A N/A</v>
        <stp/>
        <stp>BDP|15236975534386284793</stp>
        <tr r="A4281" s="2"/>
      </tp>
      <tp t="s">
        <v>#N/A N/A</v>
        <stp/>
        <stp>BDP|16455399555316779856</stp>
        <tr r="F3887" s="2"/>
      </tp>
      <tp t="s">
        <v>#N/A N/A</v>
        <stp/>
        <stp>BDP|13032970721801962753</stp>
        <tr r="H2618" s="2"/>
      </tp>
      <tp t="s">
        <v>#N/A N/A</v>
        <stp/>
        <stp>BDP|11934888460328344982</stp>
        <tr r="G4277" s="2"/>
      </tp>
      <tp t="s">
        <v>#N/A N/A</v>
        <stp/>
        <stp>BDP|13274437927012490984</stp>
        <tr r="D130" s="2"/>
      </tp>
      <tp t="s">
        <v>#N/A N/A</v>
        <stp/>
        <stp>BDP|15052024831661933909</stp>
        <tr r="C3695" s="2"/>
      </tp>
      <tp t="s">
        <v>#N/A N/A</v>
        <stp/>
        <stp>BDP|10934446941039114779</stp>
        <tr r="B865" s="2"/>
      </tp>
      <tp t="s">
        <v>#N/A N/A</v>
        <stp/>
        <stp>BDP|14365078604318287288</stp>
        <tr r="H2218" s="2"/>
      </tp>
      <tp t="s">
        <v>#N/A N/A</v>
        <stp/>
        <stp>BDP|13045517599868605946</stp>
        <tr r="B4568" s="2"/>
      </tp>
      <tp t="s">
        <v>#N/A N/A</v>
        <stp/>
        <stp>BDP|16869073630833296878</stp>
        <tr r="H2352" s="2"/>
      </tp>
      <tp t="s">
        <v>#N/A N/A</v>
        <stp/>
        <stp>BDP|10618329886941053488</stp>
        <tr r="B569" s="2"/>
      </tp>
      <tp t="s">
        <v>#N/A N/A</v>
        <stp/>
        <stp>BDP|13171980406251391560</stp>
        <tr r="G1963" s="2"/>
      </tp>
      <tp t="s">
        <v>#N/A N/A</v>
        <stp/>
        <stp>BDP|16269311889455093609</stp>
        <tr r="I3968" s="2"/>
      </tp>
      <tp t="s">
        <v>#N/A N/A</v>
        <stp/>
        <stp>BDP|13636552608300030812</stp>
        <tr r="H2333" s="2"/>
      </tp>
      <tp t="s">
        <v>#N/A N/A</v>
        <stp/>
        <stp>BDP|10056255610904938968</stp>
        <tr r="C445" s="2"/>
      </tp>
      <tp t="s">
        <v>#N/A N/A</v>
        <stp/>
        <stp>BDP|17802642972420141850</stp>
        <tr r="H354" s="2"/>
      </tp>
      <tp t="s">
        <v>#N/A N/A</v>
        <stp/>
        <stp>BDP|15883688463302916900</stp>
        <tr r="H661" s="2"/>
      </tp>
      <tp t="s">
        <v>#N/A N/A</v>
        <stp/>
        <stp>BDP|10510057119276035935</stp>
        <tr r="F536" s="2"/>
      </tp>
      <tp t="s">
        <v>#N/A N/A</v>
        <stp/>
        <stp>BDP|10113199874520357859</stp>
        <tr r="A69" s="2"/>
      </tp>
      <tp t="s">
        <v>#N/A N/A</v>
        <stp/>
        <stp>BDP|13776044598011008512</stp>
        <tr r="G823" s="2"/>
      </tp>
      <tp t="s">
        <v>#N/A N/A</v>
        <stp/>
        <stp>BDP|16859094828742613856</stp>
        <tr r="B3151" s="2"/>
      </tp>
      <tp t="s">
        <v>#N/A N/A</v>
        <stp/>
        <stp>BDP|14833220641138466455</stp>
        <tr r="B2837" s="2"/>
      </tp>
      <tp t="s">
        <v>#N/A N/A</v>
        <stp/>
        <stp>BDP|10262843679129025857</stp>
        <tr r="A796" s="2"/>
      </tp>
      <tp t="s">
        <v>#N/A N/A</v>
        <stp/>
        <stp>BDP|10459577189397539452</stp>
        <tr r="F1328" s="2"/>
      </tp>
      <tp t="s">
        <v>#N/A N/A</v>
        <stp/>
        <stp>BDP|11023124991032961500</stp>
        <tr r="G817" s="2"/>
      </tp>
      <tp t="s">
        <v>#N/A N/A</v>
        <stp/>
        <stp>BDP|12328902348082442354</stp>
        <tr r="B249" s="2"/>
      </tp>
      <tp t="s">
        <v>#N/A N/A</v>
        <stp/>
        <stp>BDP|16981689668641130924</stp>
        <tr r="I536" s="2"/>
      </tp>
      <tp t="s">
        <v>#N/A N/A</v>
        <stp/>
        <stp>BDP|11507508692283585085</stp>
        <tr r="I3894" s="2"/>
      </tp>
      <tp t="s">
        <v>#N/A N/A</v>
        <stp/>
        <stp>BDP|15154174508842799837</stp>
        <tr r="D2106" s="2"/>
      </tp>
      <tp t="s">
        <v>#N/A N/A</v>
        <stp/>
        <stp>BDP|17147929257231618489</stp>
        <tr r="I4555" s="2"/>
      </tp>
      <tp t="s">
        <v>#N/A N/A</v>
        <stp/>
        <stp>BDP|13846356991164032367</stp>
        <tr r="H4960" s="2"/>
      </tp>
      <tp t="s">
        <v>#N/A N/A</v>
        <stp/>
        <stp>BDP|10265335895044673083</stp>
        <tr r="C3689" s="2"/>
      </tp>
      <tp t="s">
        <v>#N/A N/A</v>
        <stp/>
        <stp>BDP|17291175805868838020</stp>
        <tr r="C4061" s="2"/>
      </tp>
      <tp t="s">
        <v>#N/A N/A</v>
        <stp/>
        <stp>BDP|11709966213590033787</stp>
        <tr r="B2934" s="2"/>
      </tp>
      <tp t="s">
        <v>#N/A N/A</v>
        <stp/>
        <stp>BDP|17852913417645129454</stp>
        <tr r="C463" s="2"/>
      </tp>
      <tp t="s">
        <v>#N/A N/A</v>
        <stp/>
        <stp>BDP|13447993791615031864</stp>
        <tr r="A3039" s="2"/>
      </tp>
      <tp t="s">
        <v>#N/A N/A</v>
        <stp/>
        <stp>BDP|17358990750064155115</stp>
        <tr r="A3771" s="2"/>
      </tp>
      <tp t="s">
        <v>#N/A N/A</v>
        <stp/>
        <stp>BDP|18190245938745767208</stp>
        <tr r="D3824" s="2"/>
      </tp>
      <tp t="s">
        <v>#N/A N/A</v>
        <stp/>
        <stp>BDP|11575836214770914612</stp>
        <tr r="I1306" s="2"/>
      </tp>
      <tp t="s">
        <v>#N/A N/A</v>
        <stp/>
        <stp>BDP|17861161086467536775</stp>
        <tr r="A2816" s="2"/>
      </tp>
      <tp t="s">
        <v>#N/A N/A</v>
        <stp/>
        <stp>BDP|15950464173039742110</stp>
        <tr r="D846" s="2"/>
      </tp>
      <tp t="s">
        <v>#N/A N/A</v>
        <stp/>
        <stp>BDP|12695395314966593849</stp>
        <tr r="H3243" s="2"/>
      </tp>
      <tp t="s">
        <v>#N/A N/A</v>
        <stp/>
        <stp>BDP|13331970246213119394</stp>
        <tr r="H1498" s="2"/>
      </tp>
      <tp t="s">
        <v>#N/A N/A</v>
        <stp/>
        <stp>BDP|10622874751613371093</stp>
        <tr r="D259" s="2"/>
      </tp>
      <tp t="s">
        <v>#N/A N/A</v>
        <stp/>
        <stp>BDP|13116555288645275541</stp>
        <tr r="F1103" s="2"/>
      </tp>
      <tp t="s">
        <v>#N/A N/A</v>
        <stp/>
        <stp>BDP|14985826730810127100</stp>
        <tr r="G2302" s="2"/>
      </tp>
      <tp t="s">
        <v>#N/A N/A</v>
        <stp/>
        <stp>BDP|11863381074132841966</stp>
        <tr r="F4974" s="2"/>
      </tp>
      <tp t="s">
        <v>#N/A N/A</v>
        <stp/>
        <stp>BDP|12985607683231080301</stp>
        <tr r="G2887" s="2"/>
      </tp>
      <tp t="s">
        <v>#N/A N/A</v>
        <stp/>
        <stp>BDP|15501158208329362319</stp>
        <tr r="D3302" s="2"/>
      </tp>
      <tp t="s">
        <v>#N/A N/A</v>
        <stp/>
        <stp>BDP|16802872801218209864</stp>
        <tr r="D2604" s="2"/>
      </tp>
      <tp t="s">
        <v>#N/A N/A</v>
        <stp/>
        <stp>BDP|15910055874044360869</stp>
        <tr r="A205" s="2"/>
      </tp>
      <tp t="s">
        <v>#N/A N/A</v>
        <stp/>
        <stp>BDP|15981634780201569423</stp>
        <tr r="F2812" s="2"/>
      </tp>
      <tp t="s">
        <v>#N/A N/A</v>
        <stp/>
        <stp>BDP|17167669933344844813</stp>
        <tr r="A448" s="2"/>
      </tp>
      <tp t="s">
        <v>#N/A N/A</v>
        <stp/>
        <stp>BDP|12797174284256008394</stp>
        <tr r="C2241" s="2"/>
      </tp>
      <tp t="s">
        <v>#N/A N/A</v>
        <stp/>
        <stp>BDP|17669138781403032393</stp>
        <tr r="C1639" s="2"/>
      </tp>
      <tp t="s">
        <v>#N/A N/A</v>
        <stp/>
        <stp>BDP|16392890630566549522</stp>
        <tr r="I35" s="2"/>
      </tp>
      <tp t="s">
        <v>#N/A N/A</v>
        <stp/>
        <stp>BDP|11152991456647402478</stp>
        <tr r="A4931" s="2"/>
      </tp>
      <tp t="s">
        <v>#N/A N/A</v>
        <stp/>
        <stp>BDP|12679222646518793280</stp>
        <tr r="I4388" s="2"/>
      </tp>
      <tp t="s">
        <v>#N/A N/A</v>
        <stp/>
        <stp>BDP|17416709083551333797</stp>
        <tr r="G90" s="2"/>
      </tp>
      <tp t="s">
        <v>#N/A N/A</v>
        <stp/>
        <stp>BDP|12112481391939550805</stp>
        <tr r="B1636" s="2"/>
      </tp>
      <tp t="s">
        <v>#N/A N/A</v>
        <stp/>
        <stp>BDP|12091883054648719965</stp>
        <tr r="B1953" s="2"/>
      </tp>
      <tp t="s">
        <v>#N/A N/A</v>
        <stp/>
        <stp>BDP|16802943476857339140</stp>
        <tr r="D2161" s="2"/>
      </tp>
      <tp t="s">
        <v>#N/A N/A</v>
        <stp/>
        <stp>BDP|11508168601748870677</stp>
        <tr r="H2527" s="2"/>
      </tp>
      <tp t="s">
        <v>#N/A N/A</v>
        <stp/>
        <stp>BDP|17198600786161306696</stp>
        <tr r="B3231" s="2"/>
      </tp>
      <tp t="s">
        <v>#N/A N/A</v>
        <stp/>
        <stp>BDP|17391253662759136480</stp>
        <tr r="D3072" s="2"/>
      </tp>
      <tp t="s">
        <v>#N/A N/A</v>
        <stp/>
        <stp>BDP|13837600285030290324</stp>
        <tr r="C903" s="2"/>
      </tp>
      <tp t="s">
        <v>#N/A N/A</v>
        <stp/>
        <stp>BDP|10898421255497673845</stp>
        <tr r="C1161" s="2"/>
      </tp>
      <tp t="s">
        <v>#N/A N/A</v>
        <stp/>
        <stp>BDP|12107757936279694191</stp>
        <tr r="H4065" s="2"/>
      </tp>
      <tp t="s">
        <v>#N/A N/A</v>
        <stp/>
        <stp>BDP|16317228023481694999</stp>
        <tr r="A3429" s="2"/>
      </tp>
      <tp t="s">
        <v>#N/A N/A</v>
        <stp/>
        <stp>BDP|12523129149479551067</stp>
        <tr r="F3293" s="2"/>
      </tp>
      <tp t="s">
        <v>#N/A N/A</v>
        <stp/>
        <stp>BDP|13834940367083269148</stp>
        <tr r="F4203" s="2"/>
      </tp>
      <tp t="s">
        <v>#N/A N/A</v>
        <stp/>
        <stp>BDP|14994228383189259978</stp>
        <tr r="B200" s="2"/>
      </tp>
      <tp t="s">
        <v>#N/A N/A</v>
        <stp/>
        <stp>BDP|16694983441346464362</stp>
        <tr r="H704" s="2"/>
      </tp>
      <tp t="s">
        <v>#N/A N/A</v>
        <stp/>
        <stp>BDP|13072648753279980738</stp>
        <tr r="I1448" s="2"/>
      </tp>
      <tp t="s">
        <v>#N/A N/A</v>
        <stp/>
        <stp>BDP|15894034181462338149</stp>
        <tr r="D874" s="2"/>
      </tp>
      <tp t="s">
        <v>#N/A N/A</v>
        <stp/>
        <stp>BDP|16434996121452545146</stp>
        <tr r="G28" s="2"/>
      </tp>
      <tp t="s">
        <v>#N/A N/A</v>
        <stp/>
        <stp>BDP|13296032596002302698</stp>
        <tr r="A2826" s="2"/>
      </tp>
      <tp t="s">
        <v>#N/A N/A</v>
        <stp/>
        <stp>BDP|15529273430679855370</stp>
        <tr r="B3107" s="2"/>
      </tp>
      <tp t="s">
        <v>#N/A N/A</v>
        <stp/>
        <stp>BDP|11844839312586181052</stp>
        <tr r="F2124" s="2"/>
      </tp>
      <tp t="s">
        <v>#N/A N/A</v>
        <stp/>
        <stp>BDP|17033097192258463822</stp>
        <tr r="B3089" s="2"/>
      </tp>
      <tp t="s">
        <v>#N/A N/A</v>
        <stp/>
        <stp>BDP|14226687384591294518</stp>
        <tr r="F2376" s="2"/>
      </tp>
      <tp t="s">
        <v>#N/A N/A</v>
        <stp/>
        <stp>BDP|11846034794123678547</stp>
        <tr r="G736" s="2"/>
      </tp>
      <tp t="s">
        <v>#N/A N/A</v>
        <stp/>
        <stp>BDP|17588610782322388582</stp>
        <tr r="G1009" s="2"/>
      </tp>
      <tp t="s">
        <v>#N/A N/A</v>
        <stp/>
        <stp>BDP|17476489397443433728</stp>
        <tr r="G4998" s="2"/>
      </tp>
      <tp t="s">
        <v>#N/A N/A</v>
        <stp/>
        <stp>BDP|10537187386700629701</stp>
        <tr r="I2324" s="2"/>
      </tp>
      <tp t="s">
        <v>#N/A N/A</v>
        <stp/>
        <stp>BDP|13657336358143069804</stp>
        <tr r="I4760" s="2"/>
      </tp>
      <tp t="s">
        <v>#N/A N/A</v>
        <stp/>
        <stp>BDP|16281235482921702394</stp>
        <tr r="D4808" s="2"/>
      </tp>
      <tp t="s">
        <v>#N/A N/A</v>
        <stp/>
        <stp>BDP|14260170198127125515</stp>
        <tr r="H2873" s="2"/>
      </tp>
      <tp t="s">
        <v>#N/A N/A</v>
        <stp/>
        <stp>BDP|15423997201724602672</stp>
        <tr r="H1519" s="2"/>
      </tp>
      <tp t="s">
        <v>#N/A N/A</v>
        <stp/>
        <stp>BDP|15580128125661607996</stp>
        <tr r="G1319" s="2"/>
      </tp>
      <tp t="s">
        <v>#N/A N/A</v>
        <stp/>
        <stp>BDP|17170110173358926776</stp>
        <tr r="B2445" s="2"/>
      </tp>
      <tp t="s">
        <v>#N/A N/A</v>
        <stp/>
        <stp>BDP|11596299199391949510</stp>
        <tr r="B3420" s="2"/>
      </tp>
      <tp t="s">
        <v>#N/A N/A</v>
        <stp/>
        <stp>BDP|12277044808408528462</stp>
        <tr r="C2682" s="2"/>
      </tp>
      <tp t="s">
        <v>#N/A N/A</v>
        <stp/>
        <stp>BDP|12655387287876053148</stp>
        <tr r="G3590" s="2"/>
      </tp>
      <tp t="s">
        <v>#N/A N/A</v>
        <stp/>
        <stp>BDP|14951043659436802914</stp>
        <tr r="H2991" s="2"/>
      </tp>
      <tp t="s">
        <v>#N/A N/A</v>
        <stp/>
        <stp>BDP|13667567599412313372</stp>
        <tr r="G720" s="2"/>
      </tp>
      <tp t="s">
        <v>#N/A N/A</v>
        <stp/>
        <stp>BDP|11507843061166532787</stp>
        <tr r="F2194" s="2"/>
      </tp>
      <tp t="s">
        <v>#N/A N/A</v>
        <stp/>
        <stp>BDP|13307380991273177460</stp>
        <tr r="I1104" s="2"/>
      </tp>
      <tp t="s">
        <v>#N/A N/A</v>
        <stp/>
        <stp>BDP|13964243756178791218</stp>
        <tr r="A2376" s="2"/>
      </tp>
      <tp t="s">
        <v>#N/A N/A</v>
        <stp/>
        <stp>BDP|16355340839389772144</stp>
        <tr r="G3171" s="2"/>
      </tp>
      <tp t="s">
        <v>#N/A N/A</v>
        <stp/>
        <stp>BDP|12858059345810384877</stp>
        <tr r="D3338" s="2"/>
      </tp>
      <tp t="s">
        <v>#N/A N/A</v>
        <stp/>
        <stp>BDP|14623391481764570578</stp>
        <tr r="G2731" s="2"/>
      </tp>
      <tp t="s">
        <v>#N/A N/A</v>
        <stp/>
        <stp>BDP|18420703059264887090</stp>
        <tr r="F2475" s="2"/>
      </tp>
      <tp t="s">
        <v>#N/A N/A</v>
        <stp/>
        <stp>BDP|13881418183269495820</stp>
        <tr r="F2530" s="2"/>
      </tp>
      <tp t="s">
        <v>#N/A N/A</v>
        <stp/>
        <stp>BDP|12972025822979790728</stp>
        <tr r="G440" s="2"/>
      </tp>
      <tp t="s">
        <v>#N/A N/A</v>
        <stp/>
        <stp>BDP|13141288618397565983</stp>
        <tr r="C1808" s="2"/>
      </tp>
      <tp t="s">
        <v>#N/A N/A</v>
        <stp/>
        <stp>BDP|17212655999545335318</stp>
        <tr r="G4976" s="2"/>
      </tp>
      <tp t="s">
        <v>#N/A N/A</v>
        <stp/>
        <stp>BDP|12897410416569706046</stp>
        <tr r="H3286" s="2"/>
      </tp>
      <tp t="s">
        <v>#N/A N/A</v>
        <stp/>
        <stp>BDP|13585190154279326071</stp>
        <tr r="B3507" s="2"/>
      </tp>
      <tp t="s">
        <v>#N/A N/A</v>
        <stp/>
        <stp>BDP|13720842468660465339</stp>
        <tr r="D542" s="2"/>
      </tp>
      <tp t="s">
        <v>#N/A N/A</v>
        <stp/>
        <stp>BDP|17774092857359260578</stp>
        <tr r="C4748" s="2"/>
      </tp>
      <tp t="s">
        <v>#N/A N/A</v>
        <stp/>
        <stp>BDP|10808389799964111049</stp>
        <tr r="G4535" s="2"/>
      </tp>
      <tp t="s">
        <v>#N/A N/A</v>
        <stp/>
        <stp>BDP|15104121689153700118</stp>
        <tr r="I198" s="2"/>
      </tp>
      <tp t="s">
        <v>#N/A N/A</v>
        <stp/>
        <stp>BDP|11017796708570421898</stp>
        <tr r="B3247" s="2"/>
      </tp>
      <tp t="s">
        <v>#N/A N/A</v>
        <stp/>
        <stp>BDP|15830142847589556729</stp>
        <tr r="I3769" s="2"/>
      </tp>
      <tp t="s">
        <v>#N/A N/A</v>
        <stp/>
        <stp>BDP|17217040528428729358</stp>
        <tr r="D3980" s="2"/>
      </tp>
      <tp t="s">
        <v>#N/A N/A</v>
        <stp/>
        <stp>BDP|10686892262492315220</stp>
        <tr r="A2433" s="2"/>
      </tp>
      <tp t="s">
        <v>#N/A N/A</v>
        <stp/>
        <stp>BDP|17363812306278111998</stp>
        <tr r="A4457" s="2"/>
      </tp>
      <tp t="s">
        <v>#N/A N/A</v>
        <stp/>
        <stp>BDP|12074692204738657278</stp>
        <tr r="F4048" s="2"/>
      </tp>
      <tp t="s">
        <v>#N/A N/A</v>
        <stp/>
        <stp>BDP|14926589484225023295</stp>
        <tr r="A438" s="2"/>
      </tp>
      <tp t="s">
        <v>#N/A N/A</v>
        <stp/>
        <stp>BDP|10647264279652698932</stp>
        <tr r="F4872" s="2"/>
      </tp>
      <tp t="s">
        <v>#N/A N/A</v>
        <stp/>
        <stp>BDP|12687777536321816930</stp>
        <tr r="D4329" s="2"/>
      </tp>
      <tp t="s">
        <v>#N/A N/A</v>
        <stp/>
        <stp>BDP|12259724911118550288</stp>
        <tr r="I2371" s="2"/>
      </tp>
      <tp t="s">
        <v>#N/A N/A</v>
        <stp/>
        <stp>BDP|15515999624100032047</stp>
        <tr r="G4303" s="2"/>
      </tp>
      <tp t="s">
        <v>#N/A N/A</v>
        <stp/>
        <stp>BDP|15383146788650022237</stp>
        <tr r="D1569" s="2"/>
      </tp>
      <tp t="s">
        <v>#N/A N/A</v>
        <stp/>
        <stp>BDP|15962402283200496723</stp>
        <tr r="D457" s="2"/>
      </tp>
      <tp t="s">
        <v>#N/A N/A</v>
        <stp/>
        <stp>BDP|17829564603009272532</stp>
        <tr r="F4648" s="2"/>
      </tp>
      <tp t="s">
        <v>#N/A N/A</v>
        <stp/>
        <stp>BDP|15571995494512001944</stp>
        <tr r="G4105" s="2"/>
      </tp>
      <tp t="s">
        <v>#N/A N/A</v>
        <stp/>
        <stp>BDP|11411046597337848132</stp>
        <tr r="C2480" s="2"/>
      </tp>
      <tp t="s">
        <v>#N/A N/A</v>
        <stp/>
        <stp>BDP|12161403282957763788</stp>
        <tr r="H1237" s="2"/>
      </tp>
      <tp t="s">
        <v>#N/A N/A</v>
        <stp/>
        <stp>BDP|10833626425749583368</stp>
        <tr r="F890" s="2"/>
      </tp>
      <tp t="s">
        <v>#N/A N/A</v>
        <stp/>
        <stp>BDP|15547890662391075421</stp>
        <tr r="C3061" s="2"/>
      </tp>
      <tp t="s">
        <v>#N/A N/A</v>
        <stp/>
        <stp>BDP|17170930020165829765</stp>
        <tr r="F1604" s="2"/>
      </tp>
      <tp t="s">
        <v>#N/A N/A</v>
        <stp/>
        <stp>BDP|15977749463792581870</stp>
        <tr r="H1882" s="2"/>
      </tp>
      <tp t="s">
        <v>#N/A N/A</v>
        <stp/>
        <stp>BDP|11197591676845743855</stp>
        <tr r="D2275" s="2"/>
      </tp>
      <tp t="s">
        <v>#N/A N/A</v>
        <stp/>
        <stp>BDP|13506251857352868835</stp>
        <tr r="H2176" s="2"/>
      </tp>
      <tp t="s">
        <v>#N/A N/A</v>
        <stp/>
        <stp>BDP|10181848379557038606</stp>
        <tr r="D128" s="2"/>
      </tp>
      <tp t="s">
        <v>#N/A N/A</v>
        <stp/>
        <stp>BDP|11440391440428558044</stp>
        <tr r="C2587" s="2"/>
      </tp>
      <tp t="s">
        <v>#N/A N/A</v>
        <stp/>
        <stp>BDP|13842841662374174731</stp>
        <tr r="B237" s="2"/>
      </tp>
      <tp t="s">
        <v>#N/A N/A</v>
        <stp/>
        <stp>BDP|14289397813951625924</stp>
        <tr r="F742" s="2"/>
      </tp>
      <tp t="s">
        <v>#N/A N/A</v>
        <stp/>
        <stp>BDP|17398058494353939371</stp>
        <tr r="H3097" s="2"/>
      </tp>
      <tp t="s">
        <v>#N/A N/A</v>
        <stp/>
        <stp>BDP|12733451498306494728</stp>
        <tr r="G131" s="2"/>
      </tp>
      <tp t="s">
        <v>#N/A N/A</v>
        <stp/>
        <stp>BDP|16351537922937929879</stp>
        <tr r="A256" s="2"/>
      </tp>
      <tp t="s">
        <v>#N/A N/A</v>
        <stp/>
        <stp>BDP|11149342404634560881</stp>
        <tr r="I1567" s="2"/>
      </tp>
      <tp t="s">
        <v>#N/A N/A</v>
        <stp/>
        <stp>BDP|17620965843556926267</stp>
        <tr r="C712" s="2"/>
      </tp>
      <tp t="s">
        <v>#N/A N/A</v>
        <stp/>
        <stp>BDP|10718463209112311875</stp>
        <tr r="G813" s="2"/>
      </tp>
      <tp t="s">
        <v>#N/A N/A</v>
        <stp/>
        <stp>BDP|16570613514546844942</stp>
        <tr r="D2627" s="2"/>
      </tp>
      <tp t="s">
        <v>#N/A N/A</v>
        <stp/>
        <stp>BDP|10669847974986275789</stp>
        <tr r="G3392" s="2"/>
      </tp>
      <tp t="s">
        <v>#N/A N/A</v>
        <stp/>
        <stp>BDP|12379922228580746722</stp>
        <tr r="F1629" s="2"/>
      </tp>
      <tp t="s">
        <v>#N/A N/A</v>
        <stp/>
        <stp>BDP|16479661319589675612</stp>
        <tr r="H1666" s="2"/>
      </tp>
      <tp t="s">
        <v>#N/A N/A</v>
        <stp/>
        <stp>BDP|10984415561948714423</stp>
        <tr r="H234" s="2"/>
      </tp>
      <tp t="s">
        <v>#N/A N/A</v>
        <stp/>
        <stp>BDP|17729790096013666421</stp>
        <tr r="H4287" s="2"/>
      </tp>
      <tp t="s">
        <v>#N/A N/A</v>
        <stp/>
        <stp>BDP|16728079686317994734</stp>
        <tr r="D4335" s="2"/>
      </tp>
      <tp t="s">
        <v>#N/A N/A</v>
        <stp/>
        <stp>BDP|12700444680863917368</stp>
        <tr r="A4047" s="2"/>
      </tp>
      <tp t="s">
        <v>#N/A N/A</v>
        <stp/>
        <stp>BDP|11073256245788808143</stp>
        <tr r="A2566" s="2"/>
      </tp>
      <tp t="s">
        <v>#N/A N/A</v>
        <stp/>
        <stp>BDP|14513948416594293691</stp>
        <tr r="I1829" s="2"/>
      </tp>
      <tp t="s">
        <v>#N/A N/A</v>
        <stp/>
        <stp>BDP|17133940164381525786</stp>
        <tr r="D2996" s="2"/>
      </tp>
      <tp t="s">
        <v>#N/A N/A</v>
        <stp/>
        <stp>BDP|15951017396051529374</stp>
        <tr r="C4102" s="2"/>
      </tp>
      <tp t="s">
        <v>#N/A N/A</v>
        <stp/>
        <stp>BDP|13265645524928996177</stp>
        <tr r="I3082" s="2"/>
      </tp>
      <tp t="s">
        <v>#N/A N/A</v>
        <stp/>
        <stp>BDP|17123440469722346935</stp>
        <tr r="A4003" s="2"/>
      </tp>
      <tp t="s">
        <v>#N/A N/A</v>
        <stp/>
        <stp>BDP|17247218623219882042</stp>
        <tr r="B2232" s="2"/>
      </tp>
      <tp t="s">
        <v>#N/A N/A</v>
        <stp/>
        <stp>BDP|11831393187696858218</stp>
        <tr r="B2068" s="2"/>
      </tp>
      <tp t="s">
        <v>#N/A N/A</v>
        <stp/>
        <stp>BDP|17042215770258614488</stp>
        <tr r="B3518" s="2"/>
      </tp>
      <tp t="s">
        <v>#N/A N/A</v>
        <stp/>
        <stp>BDP|13897426988819489895</stp>
        <tr r="G2195" s="2"/>
      </tp>
      <tp t="s">
        <v>#N/A N/A</v>
        <stp/>
        <stp>BDP|11172483746529918699</stp>
        <tr r="D2409" s="2"/>
      </tp>
      <tp t="s">
        <v>#N/A N/A</v>
        <stp/>
        <stp>BDP|16664563492285466198</stp>
        <tr r="A1924" s="2"/>
      </tp>
      <tp t="s">
        <v>#N/A N/A</v>
        <stp/>
        <stp>BDP|11893676244604669926</stp>
        <tr r="B383" s="2"/>
      </tp>
      <tp t="s">
        <v>#N/A N/A</v>
        <stp/>
        <stp>BDP|16664534080980817523</stp>
        <tr r="I79" s="2"/>
      </tp>
      <tp t="s">
        <v>#N/A N/A</v>
        <stp/>
        <stp>BDP|16947351423548281121</stp>
        <tr r="I2858" s="2"/>
      </tp>
      <tp t="s">
        <v>#N/A N/A</v>
        <stp/>
        <stp>BDP|10200812445406167489</stp>
        <tr r="G3581" s="2"/>
      </tp>
      <tp t="s">
        <v>#N/A N/A</v>
        <stp/>
        <stp>BDP|13331659848537069810</stp>
        <tr r="C1616" s="2"/>
      </tp>
      <tp t="s">
        <v>#N/A N/A</v>
        <stp/>
        <stp>BDP|17655749955062024986</stp>
        <tr r="A3668" s="2"/>
      </tp>
      <tp t="s">
        <v>#N/A N/A</v>
        <stp/>
        <stp>BDP|12683142755489015187</stp>
        <tr r="I787" s="2"/>
      </tp>
      <tp t="s">
        <v>#N/A N/A</v>
        <stp/>
        <stp>BDP|11338549974935997852</stp>
        <tr r="F268" s="2"/>
      </tp>
      <tp t="s">
        <v>#N/A N/A</v>
        <stp/>
        <stp>BDP|17036230193570864278</stp>
        <tr r="G1626" s="2"/>
      </tp>
      <tp t="s">
        <v>#N/A N/A</v>
        <stp/>
        <stp>BDP|18123798791631146970</stp>
        <tr r="D4742" s="2"/>
      </tp>
      <tp t="s">
        <v>#N/A N/A</v>
        <stp/>
        <stp>BDP|12791004448459282129</stp>
        <tr r="F1631" s="2"/>
      </tp>
      <tp t="s">
        <v>#N/A N/A</v>
        <stp/>
        <stp>BDP|15323714888775672138</stp>
        <tr r="I3411" s="2"/>
      </tp>
      <tp t="s">
        <v>#N/A N/A</v>
        <stp/>
        <stp>BDP|13737301520308895406</stp>
        <tr r="A1474" s="2"/>
      </tp>
      <tp t="s">
        <v>#N/A N/A</v>
        <stp/>
        <stp>BDP|10333633099357640609</stp>
        <tr r="A4554" s="2"/>
      </tp>
      <tp t="s">
        <v>#N/A N/A</v>
        <stp/>
        <stp>BDP|18087204316073963604</stp>
        <tr r="I894" s="2"/>
      </tp>
      <tp t="s">
        <v>#N/A N/A</v>
        <stp/>
        <stp>BDP|14426544851499985374</stp>
        <tr r="F3549" s="2"/>
      </tp>
      <tp t="s">
        <v>#N/A N/A</v>
        <stp/>
        <stp>BDP|11667228004884634998</stp>
        <tr r="B824" s="2"/>
      </tp>
      <tp t="s">
        <v>#N/A N/A</v>
        <stp/>
        <stp>BDP|17504709421475998928</stp>
        <tr r="D890" s="2"/>
      </tp>
      <tp t="s">
        <v>#N/A N/A</v>
        <stp/>
        <stp>BDP|17814161384209494917</stp>
        <tr r="H1340" s="2"/>
      </tp>
      <tp t="s">
        <v>#N/A N/A</v>
        <stp/>
        <stp>BDP|10560102098296277002</stp>
        <tr r="A334" s="2"/>
      </tp>
      <tp t="s">
        <v>#N/A N/A</v>
        <stp/>
        <stp>BDP|10544791631348600245</stp>
        <tr r="A100" s="2"/>
      </tp>
      <tp t="s">
        <v>#N/A N/A</v>
        <stp/>
        <stp>BDP|12103210253699979252</stp>
        <tr r="H1902" s="2"/>
      </tp>
      <tp t="s">
        <v>#N/A N/A</v>
        <stp/>
        <stp>BDP|15816264162459233611</stp>
        <tr r="C2749" s="2"/>
      </tp>
      <tp t="s">
        <v>#N/A N/A</v>
        <stp/>
        <stp>BDP|14113980202424051743</stp>
        <tr r="A2311" s="2"/>
      </tp>
      <tp t="s">
        <v>#N/A N/A</v>
        <stp/>
        <stp>BDP|13169993436842368529</stp>
        <tr r="A1785" s="2"/>
      </tp>
      <tp t="s">
        <v>#N/A N/A</v>
        <stp/>
        <stp>BDP|11124213515778876423</stp>
        <tr r="I4210" s="2"/>
      </tp>
      <tp t="s">
        <v>#N/A N/A</v>
        <stp/>
        <stp>BDP|11797773652979526483</stp>
        <tr r="I1812" s="2"/>
      </tp>
      <tp t="s">
        <v>#N/A N/A</v>
        <stp/>
        <stp>BDP|12234842251125846406</stp>
        <tr r="H1368" s="2"/>
      </tp>
      <tp t="s">
        <v>#N/A N/A</v>
        <stp/>
        <stp>BDP|12800637571598627531</stp>
        <tr r="I4786" s="2"/>
      </tp>
      <tp t="s">
        <v>#N/A N/A</v>
        <stp/>
        <stp>BDP|14190735625749188692</stp>
        <tr r="F4323" s="2"/>
      </tp>
      <tp t="s">
        <v>#N/A N/A</v>
        <stp/>
        <stp>BDP|14452057481700723286</stp>
        <tr r="F4516" s="2"/>
      </tp>
      <tp t="s">
        <v>#N/A N/A</v>
        <stp/>
        <stp>BDP|15605365125418902230</stp>
        <tr r="D4650" s="2"/>
      </tp>
      <tp t="s">
        <v>#N/A N/A</v>
        <stp/>
        <stp>BDP|14262122203603573894</stp>
        <tr r="F1765" s="2"/>
      </tp>
      <tp t="s">
        <v>#N/A N/A</v>
        <stp/>
        <stp>BDP|12435877934117821007</stp>
        <tr r="C4068" s="2"/>
      </tp>
      <tp t="s">
        <v>#N/A N/A</v>
        <stp/>
        <stp>BDP|13158709085591385381</stp>
        <tr r="B2234" s="2"/>
      </tp>
      <tp t="s">
        <v>#N/A N/A</v>
        <stp/>
        <stp>BDP|18215788437637483567</stp>
        <tr r="D2402" s="2"/>
      </tp>
      <tp t="s">
        <v>#N/A N/A</v>
        <stp/>
        <stp>BDP|15823902320351255156</stp>
        <tr r="A73" s="2"/>
      </tp>
      <tp t="s">
        <v>#N/A N/A</v>
        <stp/>
        <stp>BDP|11860332080587015347</stp>
        <tr r="D3677" s="2"/>
      </tp>
      <tp t="s">
        <v>#N/A N/A</v>
        <stp/>
        <stp>BDP|10694084897667156079</stp>
        <tr r="G2874" s="2"/>
      </tp>
      <tp t="s">
        <v>#N/A N/A</v>
        <stp/>
        <stp>BDP|13405996942599919995</stp>
        <tr r="G1103" s="2"/>
      </tp>
      <tp t="s">
        <v>#N/A N/A</v>
        <stp/>
        <stp>BDP|10685211485430880452</stp>
        <tr r="H1493" s="2"/>
      </tp>
      <tp t="s">
        <v>#N/A N/A</v>
        <stp/>
        <stp>BDP|15941130290285491619</stp>
        <tr r="F933" s="2"/>
      </tp>
      <tp t="s">
        <v>#N/A N/A</v>
        <stp/>
        <stp>BDP|10698875958257493421</stp>
        <tr r="D4433" s="2"/>
      </tp>
      <tp t="s">
        <v>#N/A N/A</v>
        <stp/>
        <stp>BDP|14622566498013340546</stp>
        <tr r="A4040" s="2"/>
      </tp>
      <tp t="s">
        <v>#N/A N/A</v>
        <stp/>
        <stp>BDP|13027187206314795869</stp>
        <tr r="I1181" s="2"/>
      </tp>
      <tp t="s">
        <v>#N/A N/A</v>
        <stp/>
        <stp>BDP|11486006786870565786</stp>
        <tr r="C48" s="2"/>
      </tp>
      <tp t="s">
        <v>#N/A N/A</v>
        <stp/>
        <stp>BDP|15758030379465654941</stp>
        <tr r="F189" s="2"/>
      </tp>
      <tp t="s">
        <v>#N/A N/A</v>
        <stp/>
        <stp>BDP|13762615084701830252</stp>
        <tr r="B5" s="2"/>
      </tp>
      <tp t="s">
        <v>#N/A N/A</v>
        <stp/>
        <stp>BDP|12877210822865132958</stp>
        <tr r="I2935" s="2"/>
      </tp>
      <tp t="s">
        <v>#N/A N/A</v>
        <stp/>
        <stp>BDP|13141842553218091899</stp>
        <tr r="B2055" s="2"/>
      </tp>
      <tp t="s">
        <v>#N/A N/A</v>
        <stp/>
        <stp>BDP|16331396429150471987</stp>
        <tr r="G2081" s="2"/>
      </tp>
      <tp t="s">
        <v>#N/A N/A</v>
        <stp/>
        <stp>BDP|17356889531215433719</stp>
        <tr r="I795" s="2"/>
      </tp>
      <tp t="s">
        <v>#N/A N/A</v>
        <stp/>
        <stp>BDP|15548975303214669681</stp>
        <tr r="I67" s="2"/>
      </tp>
      <tp t="s">
        <v>#N/A N/A</v>
        <stp/>
        <stp>BDP|15702166328708029078</stp>
        <tr r="I2214" s="2"/>
      </tp>
      <tp t="s">
        <v>#N/A N/A</v>
        <stp/>
        <stp>BDP|10993964061429634861</stp>
        <tr r="F3158" s="2"/>
      </tp>
      <tp t="s">
        <v>#N/A N/A</v>
        <stp/>
        <stp>BDP|12819023810865611820</stp>
        <tr r="F4985" s="2"/>
      </tp>
      <tp t="s">
        <v>#N/A N/A</v>
        <stp/>
        <stp>BDP|15108983422840279077</stp>
        <tr r="A1362" s="2"/>
      </tp>
      <tp t="s">
        <v>#N/A N/A</v>
        <stp/>
        <stp>BDP|12882241085377577127</stp>
        <tr r="A2996" s="2"/>
      </tp>
      <tp t="s">
        <v>#N/A N/A</v>
        <stp/>
        <stp>BDP|14567792971123790945</stp>
        <tr r="I3115" s="2"/>
      </tp>
      <tp t="s">
        <v>#N/A N/A</v>
        <stp/>
        <stp>BDP|12580878936541345698</stp>
        <tr r="G4620" s="2"/>
      </tp>
      <tp t="s">
        <v>#N/A N/A</v>
        <stp/>
        <stp>BDP|16007790027744895987</stp>
        <tr r="I2215" s="2"/>
      </tp>
      <tp t="s">
        <v>#N/A N/A</v>
        <stp/>
        <stp>BDP|12150551927233495897</stp>
        <tr r="C4501" s="2"/>
      </tp>
      <tp t="s">
        <v>#N/A N/A</v>
        <stp/>
        <stp>BDP|11375965909220780650</stp>
        <tr r="I1281" s="2"/>
      </tp>
      <tp t="s">
        <v>#N/A N/A</v>
        <stp/>
        <stp>BDP|15778808712345822736</stp>
        <tr r="C3032" s="2"/>
      </tp>
      <tp t="s">
        <v>#N/A N/A</v>
        <stp/>
        <stp>BDP|12923161330536398827</stp>
        <tr r="F3396" s="2"/>
      </tp>
      <tp t="s">
        <v>#N/A N/A</v>
        <stp/>
        <stp>BDP|13882043882593558653</stp>
        <tr r="H4178" s="2"/>
      </tp>
      <tp t="s">
        <v>#N/A N/A</v>
        <stp/>
        <stp>BDP|16157686997171682662</stp>
        <tr r="D1786" s="2"/>
      </tp>
      <tp t="s">
        <v>#N/A N/A</v>
        <stp/>
        <stp>BDP|12738285981681061709</stp>
        <tr r="G4292" s="2"/>
      </tp>
      <tp t="s">
        <v>#N/A N/A</v>
        <stp/>
        <stp>BDP|12232894007901058524</stp>
        <tr r="B2268" s="2"/>
      </tp>
      <tp t="s">
        <v>#N/A N/A</v>
        <stp/>
        <stp>BDP|15470978042545913364</stp>
        <tr r="B3019" s="2"/>
      </tp>
      <tp t="s">
        <v>#N/A N/A</v>
        <stp/>
        <stp>BDP|15919130379248489594</stp>
        <tr r="G1071" s="2"/>
      </tp>
      <tp t="s">
        <v>#N/A N/A</v>
        <stp/>
        <stp>BDP|14029699583076758231</stp>
        <tr r="B4381" s="2"/>
      </tp>
      <tp t="s">
        <v>#N/A N/A</v>
        <stp/>
        <stp>BDP|11743626563858164792</stp>
        <tr r="H3350" s="2"/>
      </tp>
      <tp t="s">
        <v>#N/A N/A</v>
        <stp/>
        <stp>BDP|11475201758698068028</stp>
        <tr r="G4485" s="2"/>
      </tp>
      <tp t="s">
        <v>#N/A N/A</v>
        <stp/>
        <stp>BDP|16732139274947887965</stp>
        <tr r="H3665" s="2"/>
      </tp>
      <tp t="s">
        <v>#N/A N/A</v>
        <stp/>
        <stp>BDP|12865782058819773716</stp>
        <tr r="A529" s="2"/>
      </tp>
      <tp t="s">
        <v>#N/A N/A</v>
        <stp/>
        <stp>BDP|16666135329138671348</stp>
        <tr r="G2272" s="2"/>
      </tp>
      <tp t="s">
        <v>#N/A N/A</v>
        <stp/>
        <stp>BDP|11489364082776938275</stp>
        <tr r="H4730" s="2"/>
      </tp>
      <tp t="s">
        <v>#N/A N/A</v>
        <stp/>
        <stp>BDP|16140356668648317519</stp>
        <tr r="D1776" s="2"/>
      </tp>
      <tp t="s">
        <v>#N/A N/A</v>
        <stp/>
        <stp>BDP|18369938808537563831</stp>
        <tr r="H35" s="2"/>
      </tp>
      <tp t="s">
        <v>#N/A N/A</v>
        <stp/>
        <stp>BDP|13065835845779910816</stp>
        <tr r="F2671" s="2"/>
      </tp>
      <tp t="s">
        <v>#N/A N/A</v>
        <stp/>
        <stp>BDP|12547183191672767654</stp>
        <tr r="F3722" s="2"/>
      </tp>
      <tp t="s">
        <v>#N/A N/A</v>
        <stp/>
        <stp>BDP|14997066990060989384</stp>
        <tr r="A457" s="2"/>
      </tp>
      <tp t="s">
        <v>#N/A N/A</v>
        <stp/>
        <stp>BDP|15973366180568771861</stp>
        <tr r="G3481" s="2"/>
      </tp>
      <tp t="s">
        <v>#N/A N/A</v>
        <stp/>
        <stp>BDP|10242104411468504686</stp>
        <tr r="C4893" s="2"/>
      </tp>
      <tp t="s">
        <v>#N/A N/A</v>
        <stp/>
        <stp>BDP|17432946039366773503</stp>
        <tr r="G2259" s="2"/>
      </tp>
      <tp t="s">
        <v>#N/A N/A</v>
        <stp/>
        <stp>BDP|13942726773408764512</stp>
        <tr r="G3716" s="2"/>
      </tp>
      <tp t="s">
        <v>#N/A N/A</v>
        <stp/>
        <stp>BDP|10293384560848410306</stp>
        <tr r="G4848" s="2"/>
      </tp>
      <tp t="s">
        <v>#N/A N/A</v>
        <stp/>
        <stp>BDP|10783356560023561899</stp>
        <tr r="H3973" s="2"/>
      </tp>
      <tp t="s">
        <v>#N/A N/A</v>
        <stp/>
        <stp>BDP|14037217087572106290</stp>
        <tr r="D4522" s="2"/>
      </tp>
      <tp t="s">
        <v>#N/A N/A</v>
        <stp/>
        <stp>BDP|18082088105476744041</stp>
        <tr r="C773" s="2"/>
      </tp>
      <tp t="s">
        <v>#N/A N/A</v>
        <stp/>
        <stp>BDP|11778540715649169297</stp>
        <tr r="B1900" s="2"/>
      </tp>
      <tp t="s">
        <v>#N/A N/A</v>
        <stp/>
        <stp>BDP|15560243939119717312</stp>
        <tr r="B1154" s="2"/>
      </tp>
      <tp t="s">
        <v>#N/A N/A</v>
        <stp/>
        <stp>BDP|16837560993004606054</stp>
        <tr r="G733" s="2"/>
      </tp>
      <tp t="s">
        <v>#N/A N/A</v>
        <stp/>
        <stp>BDP|14287806573526884374</stp>
        <tr r="D3966" s="2"/>
      </tp>
      <tp t="s">
        <v>#N/A N/A</v>
        <stp/>
        <stp>BDP|14344102177139381598</stp>
        <tr r="C1978" s="2"/>
      </tp>
      <tp t="s">
        <v>#N/A N/A</v>
        <stp/>
        <stp>BDP|18298082217887435077</stp>
        <tr r="D3541" s="2"/>
      </tp>
      <tp t="s">
        <v>#N/A N/A</v>
        <stp/>
        <stp>BDP|14881994196113923908</stp>
        <tr r="H4013" s="2"/>
      </tp>
      <tp t="s">
        <v>#N/A N/A</v>
        <stp/>
        <stp>BDP|17065816474464873235</stp>
        <tr r="H1294" s="2"/>
      </tp>
      <tp t="s">
        <v>#N/A N/A</v>
        <stp/>
        <stp>BDP|13570260787566308197</stp>
        <tr r="G1983" s="2"/>
      </tp>
      <tp t="s">
        <v>#N/A N/A</v>
        <stp/>
        <stp>BDP|11457672812850991863</stp>
        <tr r="C350" s="2"/>
      </tp>
      <tp t="s">
        <v>#N/A N/A</v>
        <stp/>
        <stp>BDP|13093881140110789114</stp>
        <tr r="A4247" s="2"/>
      </tp>
      <tp t="s">
        <v>#N/A N/A</v>
        <stp/>
        <stp>BDP|17852532753051501832</stp>
        <tr r="G322" s="2"/>
      </tp>
      <tp t="s">
        <v>#N/A N/A</v>
        <stp/>
        <stp>BDP|11444193394403754403</stp>
        <tr r="G1208" s="2"/>
      </tp>
      <tp t="s">
        <v>#N/A N/A</v>
        <stp/>
        <stp>BDP|16954863994039130041</stp>
        <tr r="D3026" s="2"/>
      </tp>
      <tp t="s">
        <v>#N/A N/A</v>
        <stp/>
        <stp>BDP|13350467971378827627</stp>
        <tr r="H3584" s="2"/>
      </tp>
      <tp t="s">
        <v>#N/A N/A</v>
        <stp/>
        <stp>BDP|12381116959310593800</stp>
        <tr r="F1373" s="2"/>
      </tp>
      <tp t="s">
        <v>#N/A N/A</v>
        <stp/>
        <stp>BDP|14293992376475536168</stp>
        <tr r="F3743" s="2"/>
      </tp>
      <tp t="s">
        <v>#N/A N/A</v>
        <stp/>
        <stp>BDP|14735769413674373800</stp>
        <tr r="I639" s="2"/>
      </tp>
      <tp t="s">
        <v>#N/A N/A</v>
        <stp/>
        <stp>BDP|13672643660579087432</stp>
        <tr r="B3184" s="2"/>
      </tp>
      <tp t="s">
        <v>#N/A N/A</v>
        <stp/>
        <stp>BDP|14652152783643495053</stp>
        <tr r="A2365" s="2"/>
      </tp>
      <tp t="s">
        <v>#N/A N/A</v>
        <stp/>
        <stp>BDP|12668425208750589887</stp>
        <tr r="G4806" s="2"/>
      </tp>
      <tp t="s">
        <v>#N/A N/A</v>
        <stp/>
        <stp>BDP|17093131533778313325</stp>
        <tr r="I4806" s="2"/>
      </tp>
      <tp t="s">
        <v>#N/A N/A</v>
        <stp/>
        <stp>BDP|12479988003314827164</stp>
        <tr r="A3996" s="2"/>
      </tp>
      <tp t="s">
        <v>#N/A N/A</v>
        <stp/>
        <stp>BDP|13147598182786354684</stp>
        <tr r="G4893" s="2"/>
      </tp>
      <tp t="s">
        <v>#N/A N/A</v>
        <stp/>
        <stp>BDP|17015419395797765323</stp>
        <tr r="C1502" s="2"/>
      </tp>
      <tp t="s">
        <v>#N/A N/A</v>
        <stp/>
        <stp>BDP|15782334536979797246</stp>
        <tr r="C4397" s="2"/>
      </tp>
      <tp t="s">
        <v>#N/A N/A</v>
        <stp/>
        <stp>BDP|16704739098024831250</stp>
        <tr r="A1281" s="2"/>
      </tp>
      <tp t="s">
        <v>#N/A N/A</v>
        <stp/>
        <stp>BDP|10082526910468557266</stp>
        <tr r="F2052" s="2"/>
      </tp>
      <tp t="s">
        <v>#N/A N/A</v>
        <stp/>
        <stp>BDP|14718320090682185256</stp>
        <tr r="A3664" s="2"/>
      </tp>
      <tp t="s">
        <v>#N/A N/A</v>
        <stp/>
        <stp>BDP|13697530668976812848</stp>
        <tr r="A3154" s="2"/>
      </tp>
      <tp t="s">
        <v>#N/A N/A</v>
        <stp/>
        <stp>BDP|14635916227195480454</stp>
        <tr r="B2321" s="2"/>
      </tp>
      <tp t="s">
        <v>#N/A N/A</v>
        <stp/>
        <stp>BDP|10903188113139479776</stp>
        <tr r="I828" s="2"/>
      </tp>
      <tp t="s">
        <v>#N/A N/A</v>
        <stp/>
        <stp>BDP|17588108465047402958</stp>
        <tr r="H2584" s="2"/>
      </tp>
      <tp t="s">
        <v>#N/A N/A</v>
        <stp/>
        <stp>BDP|12270745754438690657</stp>
        <tr r="D4842" s="2"/>
      </tp>
      <tp t="s">
        <v>#N/A N/A</v>
        <stp/>
        <stp>BDP|14527814306964245613</stp>
        <tr r="C3587" s="2"/>
      </tp>
      <tp t="s">
        <v>#N/A N/A</v>
        <stp/>
        <stp>BDP|17007029212251517942</stp>
        <tr r="H2355" s="2"/>
      </tp>
      <tp t="s">
        <v>#N/A N/A</v>
        <stp/>
        <stp>BDP|16526212000952160847</stp>
        <tr r="B1092" s="2"/>
      </tp>
      <tp t="s">
        <v>#N/A N/A</v>
        <stp/>
        <stp>BDP|13296419974976777811</stp>
        <tr r="H350" s="2"/>
      </tp>
      <tp t="s">
        <v>#N/A N/A</v>
        <stp/>
        <stp>BDP|10618354553921931980</stp>
        <tr r="C4169" s="2"/>
      </tp>
      <tp t="s">
        <v>#N/A N/A</v>
        <stp/>
        <stp>BDP|17693491591682607691</stp>
        <tr r="A2349" s="2"/>
      </tp>
      <tp t="s">
        <v>#N/A N/A</v>
        <stp/>
        <stp>BDP|12866851328264437209</stp>
        <tr r="G3435" s="2"/>
      </tp>
      <tp t="s">
        <v>#N/A N/A</v>
        <stp/>
        <stp>BDP|14538581414236082886</stp>
        <tr r="F2407" s="2"/>
      </tp>
      <tp t="s">
        <v>#N/A N/A</v>
        <stp/>
        <stp>BDP|14449308292192538220</stp>
        <tr r="B4828" s="2"/>
      </tp>
      <tp t="s">
        <v>#N/A N/A</v>
        <stp/>
        <stp>BDP|16357522659898042095</stp>
        <tr r="B1693" s="2"/>
      </tp>
      <tp t="s">
        <v>#N/A N/A</v>
        <stp/>
        <stp>BDP|12435568856414217873</stp>
        <tr r="G659" s="2"/>
      </tp>
      <tp t="s">
        <v>#N/A N/A</v>
        <stp/>
        <stp>BDP|14272603155301220848</stp>
        <tr r="A4725" s="2"/>
      </tp>
      <tp t="s">
        <v>#N/A N/A</v>
        <stp/>
        <stp>BDP|18240588792289810313</stp>
        <tr r="F4602" s="2"/>
      </tp>
      <tp t="s">
        <v>#N/A N/A</v>
        <stp/>
        <stp>BDP|17386646805369196628</stp>
        <tr r="G1843" s="2"/>
      </tp>
      <tp t="s">
        <v>#N/A N/A</v>
        <stp/>
        <stp>BDP|18231501627664608528</stp>
        <tr r="D2143" s="2"/>
      </tp>
      <tp t="s">
        <v>#N/A N/A</v>
        <stp/>
        <stp>BDP|17469993490860973956</stp>
        <tr r="A1258" s="2"/>
      </tp>
      <tp t="s">
        <v>#N/A N/A</v>
        <stp/>
        <stp>BDP|15563009787391206210</stp>
        <tr r="C387" s="2"/>
      </tp>
      <tp t="s">
        <v>#N/A N/A</v>
        <stp/>
        <stp>BDP|17958328791672353182</stp>
        <tr r="G4299" s="2"/>
      </tp>
      <tp t="s">
        <v>#N/A N/A</v>
        <stp/>
        <stp>BDP|18013507842602290515</stp>
        <tr r="G3169" s="2"/>
      </tp>
      <tp t="s">
        <v>#N/A N/A</v>
        <stp/>
        <stp>BDP|11579655961617701878</stp>
        <tr r="D3777" s="2"/>
      </tp>
      <tp t="s">
        <v>#N/A N/A</v>
        <stp/>
        <stp>BDP|16490125280206200752</stp>
        <tr r="F3732" s="2"/>
      </tp>
      <tp t="s">
        <v>#N/A N/A</v>
        <stp/>
        <stp>BDP|17981406598383466748</stp>
        <tr r="I294" s="2"/>
      </tp>
      <tp t="s">
        <v>#N/A N/A</v>
        <stp/>
        <stp>BDP|15327794698321537465</stp>
        <tr r="B2317" s="2"/>
      </tp>
      <tp t="s">
        <v>#N/A N/A</v>
        <stp/>
        <stp>BDP|17771637563451355852</stp>
        <tr r="F234" s="2"/>
      </tp>
      <tp t="s">
        <v>#N/A N/A</v>
        <stp/>
        <stp>BDP|17471304271524008944</stp>
        <tr r="C1089" s="2"/>
      </tp>
      <tp t="s">
        <v>#N/A N/A</v>
        <stp/>
        <stp>BDP|10251169376961741943</stp>
        <tr r="A470" s="2"/>
      </tp>
      <tp t="s">
        <v>#N/A N/A</v>
        <stp/>
        <stp>BDP|15543760696327701235</stp>
        <tr r="D4985" s="2"/>
      </tp>
      <tp t="s">
        <v>#N/A N/A</v>
        <stp/>
        <stp>BDP|15430704097527523272</stp>
        <tr r="H3972" s="2"/>
      </tp>
      <tp t="s">
        <v>#N/A N/A</v>
        <stp/>
        <stp>BDP|13266592305539736180</stp>
        <tr r="G4478" s="2"/>
      </tp>
      <tp t="s">
        <v>#N/A N/A</v>
        <stp/>
        <stp>BDP|12069162696704716063</stp>
        <tr r="A4684" s="2"/>
      </tp>
      <tp t="s">
        <v>#N/A N/A</v>
        <stp/>
        <stp>BDP|17685916316761205028</stp>
        <tr r="H4949" s="2"/>
      </tp>
      <tp t="s">
        <v>#N/A N/A</v>
        <stp/>
        <stp>BDP|14041231694780101172</stp>
        <tr r="H77" s="2"/>
      </tp>
      <tp t="s">
        <v>#N/A N/A</v>
        <stp/>
        <stp>BDP|13236011783520279530</stp>
        <tr r="A2986" s="2"/>
      </tp>
      <tp t="s">
        <v>#N/A N/A</v>
        <stp/>
        <stp>BDP|11236570713628134366</stp>
        <tr r="G4676" s="2"/>
      </tp>
      <tp t="s">
        <v>#N/A N/A</v>
        <stp/>
        <stp>BDP|15611976551436327121</stp>
        <tr r="A1289" s="2"/>
      </tp>
      <tp t="s">
        <v>#N/A N/A</v>
        <stp/>
        <stp>BDP|15063500923014655844</stp>
        <tr r="H2425" s="2"/>
      </tp>
      <tp t="s">
        <v>#N/A N/A</v>
        <stp/>
        <stp>BDP|13319062340201162850</stp>
        <tr r="D3428" s="2"/>
      </tp>
      <tp t="s">
        <v>#N/A N/A</v>
        <stp/>
        <stp>BDP|13115536598621857033</stp>
        <tr r="H2805" s="2"/>
      </tp>
      <tp t="s">
        <v>#N/A N/A</v>
        <stp/>
        <stp>BDP|17007968706155793567</stp>
        <tr r="D2856" s="2"/>
      </tp>
      <tp t="s">
        <v>#N/A N/A</v>
        <stp/>
        <stp>BDP|13070578194944606541</stp>
        <tr r="I1167" s="2"/>
      </tp>
      <tp t="s">
        <v>#N/A N/A</v>
        <stp/>
        <stp>BDP|14309162062139727417</stp>
        <tr r="D2963" s="2"/>
      </tp>
      <tp t="s">
        <v>#N/A N/A</v>
        <stp/>
        <stp>BDP|14076697898171963491</stp>
        <tr r="I280" s="2"/>
      </tp>
      <tp t="s">
        <v>#N/A N/A</v>
        <stp/>
        <stp>BDP|10389542983416190541</stp>
        <tr r="D2284" s="2"/>
      </tp>
      <tp t="s">
        <v>#N/A N/A</v>
        <stp/>
        <stp>BDP|16130997837184672684</stp>
        <tr r="I750" s="2"/>
      </tp>
      <tp t="s">
        <v>#N/A N/A</v>
        <stp/>
        <stp>BDP|10972622290391274084</stp>
        <tr r="I482" s="2"/>
      </tp>
      <tp t="s">
        <v>#N/A N/A</v>
        <stp/>
        <stp>BDP|16255607252122719967</stp>
        <tr r="H4234" s="2"/>
      </tp>
      <tp t="s">
        <v>#N/A N/A</v>
        <stp/>
        <stp>BDP|10495235586875698168</stp>
        <tr r="D1249" s="2"/>
      </tp>
      <tp t="s">
        <v>#N/A N/A</v>
        <stp/>
        <stp>BDP|13793141083484382021</stp>
        <tr r="F2795" s="2"/>
      </tp>
      <tp t="s">
        <v>#N/A N/A</v>
        <stp/>
        <stp>BDP|12087516685061283073</stp>
        <tr r="I2655" s="2"/>
      </tp>
      <tp t="s">
        <v>#N/A N/A</v>
        <stp/>
        <stp>BDP|16833639609778103628</stp>
        <tr r="F2939" s="2"/>
      </tp>
      <tp t="s">
        <v>#N/A N/A</v>
        <stp/>
        <stp>BDP|10314526755449435715</stp>
        <tr r="F320" s="2"/>
      </tp>
      <tp t="s">
        <v>#N/A N/A</v>
        <stp/>
        <stp>BDP|14700173480061550243</stp>
        <tr r="F3495" s="2"/>
      </tp>
      <tp t="s">
        <v>#N/A N/A</v>
        <stp/>
        <stp>BDP|10679908275050320019</stp>
        <tr r="A3947" s="2"/>
      </tp>
      <tp t="s">
        <v>#N/A N/A</v>
        <stp/>
        <stp>BDP|15962109519479074218</stp>
        <tr r="A323" s="2"/>
      </tp>
      <tp t="s">
        <v>#N/A N/A</v>
        <stp/>
        <stp>BDP|15618819251422317456</stp>
        <tr r="C1181" s="2"/>
      </tp>
      <tp t="s">
        <v>#N/A N/A</v>
        <stp/>
        <stp>BDP|18392504273223267722</stp>
        <tr r="B2253" s="2"/>
      </tp>
      <tp t="s">
        <v>#N/A N/A</v>
        <stp/>
        <stp>BDP|11172609151275519957</stp>
        <tr r="B438" s="2"/>
      </tp>
      <tp t="s">
        <v>#N/A N/A</v>
        <stp/>
        <stp>BDP|18124959470119342174</stp>
        <tr r="H2811" s="2"/>
      </tp>
      <tp t="s">
        <v>#N/A N/A</v>
        <stp/>
        <stp>BDP|16781194845428959527</stp>
        <tr r="H4941" s="2"/>
      </tp>
      <tp t="s">
        <v>#N/A N/A</v>
        <stp/>
        <stp>BDP|14088464662849155158</stp>
        <tr r="B736" s="2"/>
      </tp>
      <tp t="s">
        <v>#N/A N/A</v>
        <stp/>
        <stp>BDP|16583784123348809566</stp>
        <tr r="D4186" s="2"/>
      </tp>
      <tp t="s">
        <v>#N/A N/A</v>
        <stp/>
        <stp>BDP|14738296035323383887</stp>
        <tr r="G1959" s="2"/>
      </tp>
      <tp t="s">
        <v>#N/A N/A</v>
        <stp/>
        <stp>BDP|16062063095904626557</stp>
        <tr r="A4604" s="2"/>
      </tp>
      <tp t="s">
        <v>#N/A N/A</v>
        <stp/>
        <stp>BDP|10536685753165670889</stp>
        <tr r="B2147" s="2"/>
      </tp>
      <tp t="s">
        <v>#N/A N/A</v>
        <stp/>
        <stp>BDP|17270108176578547717</stp>
        <tr r="F3053" s="2"/>
      </tp>
      <tp t="s">
        <v>#N/A N/A</v>
        <stp/>
        <stp>BDP|10817213439626741979</stp>
        <tr r="B1280" s="2"/>
      </tp>
      <tp t="s">
        <v>#N/A N/A</v>
        <stp/>
        <stp>BDP|14475239430033004876</stp>
        <tr r="A1485" s="2"/>
      </tp>
      <tp t="s">
        <v>#N/A N/A</v>
        <stp/>
        <stp>BDP|10366888590696278997</stp>
        <tr r="D3771" s="2"/>
      </tp>
      <tp t="s">
        <v>#N/A N/A</v>
        <stp/>
        <stp>BDP|18073545924974153511</stp>
        <tr r="D2194" s="2"/>
      </tp>
      <tp t="s">
        <v>#N/A N/A</v>
        <stp/>
        <stp>BDP|18163314582024747959</stp>
        <tr r="H3323" s="2"/>
      </tp>
      <tp t="s">
        <v>#N/A N/A</v>
        <stp/>
        <stp>BDP|18239480729714632459</stp>
        <tr r="B3270" s="2"/>
      </tp>
      <tp t="s">
        <v>#N/A N/A</v>
        <stp/>
        <stp>BDP|18302473527594793441</stp>
        <tr r="A272" s="2"/>
      </tp>
      <tp t="s">
        <v>#N/A N/A</v>
        <stp/>
        <stp>BDP|12679955646807311665</stp>
        <tr r="H2263" s="2"/>
      </tp>
      <tp t="s">
        <v>#N/A N/A</v>
        <stp/>
        <stp>BDP|12940662022999420193</stp>
        <tr r="D2447" s="2"/>
      </tp>
      <tp t="s">
        <v>#N/A N/A</v>
        <stp/>
        <stp>BDP|13475850556950149067</stp>
        <tr r="B4949" s="2"/>
      </tp>
      <tp t="s">
        <v>#N/A N/A</v>
        <stp/>
        <stp>BDP|16818479350310902966</stp>
        <tr r="C3246" s="2"/>
      </tp>
      <tp t="s">
        <v>#N/A N/A</v>
        <stp/>
        <stp>BDP|11640358276002659934</stp>
        <tr r="G2828" s="2"/>
      </tp>
      <tp t="s">
        <v>#N/A N/A</v>
        <stp/>
        <stp>BDP|12041974117264560059</stp>
        <tr r="A3126" s="2"/>
      </tp>
      <tp t="s">
        <v>#N/A N/A</v>
        <stp/>
        <stp>BDP|15746968207112227042</stp>
        <tr r="F503" s="2"/>
      </tp>
      <tp t="s">
        <v>#N/A N/A</v>
        <stp/>
        <stp>BDP|12559965258499817939</stp>
        <tr r="C2649" s="2"/>
      </tp>
      <tp t="s">
        <v>#N/A N/A</v>
        <stp/>
        <stp>BDP|17212142406779780170</stp>
        <tr r="I2226" s="2"/>
      </tp>
      <tp t="s">
        <v>#N/A N/A</v>
        <stp/>
        <stp>BDP|11665894079746442622</stp>
        <tr r="G2751" s="2"/>
      </tp>
      <tp t="s">
        <v>#N/A N/A</v>
        <stp/>
        <stp>BDP|10124200731059304631</stp>
        <tr r="B1544" s="2"/>
      </tp>
      <tp t="s">
        <v>#N/A N/A</v>
        <stp/>
        <stp>BDP|17866147635103819813</stp>
        <tr r="A720" s="2"/>
      </tp>
      <tp t="s">
        <v>#N/A N/A</v>
        <stp/>
        <stp>BDP|16592101457388316418</stp>
        <tr r="I2836" s="2"/>
      </tp>
      <tp t="s">
        <v>#N/A N/A</v>
        <stp/>
        <stp>BDP|10225327173099347303</stp>
        <tr r="B3081" s="2"/>
      </tp>
      <tp t="s">
        <v>#N/A N/A</v>
        <stp/>
        <stp>BDP|11773009301028148778</stp>
        <tr r="G3342" s="2"/>
      </tp>
      <tp t="s">
        <v>#N/A N/A</v>
        <stp/>
        <stp>BDP|14942396386493337254</stp>
        <tr r="I2514" s="2"/>
      </tp>
      <tp t="s">
        <v>#N/A N/A</v>
        <stp/>
        <stp>BDP|18079640311441401012</stp>
        <tr r="F936" s="2"/>
      </tp>
      <tp t="s">
        <v>#N/A N/A</v>
        <stp/>
        <stp>BDP|14746090059019709605</stp>
        <tr r="B2974" s="2"/>
      </tp>
      <tp t="s">
        <v>#N/A N/A</v>
        <stp/>
        <stp>BDP|15190907867772716619</stp>
        <tr r="G4415" s="2"/>
      </tp>
      <tp t="s">
        <v>#N/A N/A</v>
        <stp/>
        <stp>BDP|16073716032329258516</stp>
        <tr r="D941" s="2"/>
      </tp>
      <tp t="s">
        <v>#N/A N/A</v>
        <stp/>
        <stp>BDP|10523882479596744730</stp>
        <tr r="F4664" s="2"/>
      </tp>
      <tp t="s">
        <v>#N/A N/A</v>
        <stp/>
        <stp>BDP|11828483292995215708</stp>
        <tr r="A3888" s="2"/>
      </tp>
      <tp t="s">
        <v>#N/A N/A</v>
        <stp/>
        <stp>BDP|18157214120117067107</stp>
        <tr r="F3473" s="2"/>
      </tp>
      <tp t="s">
        <v>#N/A N/A</v>
        <stp/>
        <stp>BDP|10181690926653980976</stp>
        <tr r="H3123" s="2"/>
      </tp>
      <tp t="s">
        <v>#N/A N/A</v>
        <stp/>
        <stp>BDP|12571375600587033824</stp>
        <tr r="D473" s="2"/>
      </tp>
      <tp t="s">
        <v>#N/A N/A</v>
        <stp/>
        <stp>BDP|12699899754704354582</stp>
        <tr r="A1044" s="2"/>
      </tp>
      <tp t="s">
        <v>#N/A N/A</v>
        <stp/>
        <stp>BDP|18420748290969825181</stp>
        <tr r="H1854" s="2"/>
      </tp>
      <tp t="s">
        <v>#N/A N/A</v>
        <stp/>
        <stp>BDP|13566730565755786949</stp>
        <tr r="F2717" s="2"/>
      </tp>
      <tp t="s">
        <v>#N/A N/A</v>
        <stp/>
        <stp>BDP|10339327790692235631</stp>
        <tr r="C3584" s="2"/>
      </tp>
      <tp t="s">
        <v>#N/A N/A</v>
        <stp/>
        <stp>BDP|13101602250766358827</stp>
        <tr r="A2441" s="2"/>
      </tp>
      <tp t="s">
        <v>#N/A N/A</v>
        <stp/>
        <stp>BDP|16365810304291331150</stp>
        <tr r="I1334" s="2"/>
      </tp>
      <tp t="s">
        <v>#N/A N/A</v>
        <stp/>
        <stp>BDP|13518356981316876094</stp>
        <tr r="F3373" s="2"/>
      </tp>
      <tp t="s">
        <v>#N/A N/A</v>
        <stp/>
        <stp>BDP|16316642295414603340</stp>
        <tr r="G1733" s="2"/>
      </tp>
      <tp t="s">
        <v>#N/A N/A</v>
        <stp/>
        <stp>BDP|16390288234430818972</stp>
        <tr r="B2392" s="2"/>
      </tp>
      <tp t="s">
        <v>#N/A N/A</v>
        <stp/>
        <stp>BDP|14738562795390101654</stp>
        <tr r="F2949" s="2"/>
      </tp>
      <tp t="s">
        <v>#N/A N/A</v>
        <stp/>
        <stp>BDP|10076373090565618115</stp>
        <tr r="H3720" s="2"/>
      </tp>
      <tp t="s">
        <v>#N/A N/A</v>
        <stp/>
        <stp>BDP|18044269107250331429</stp>
        <tr r="H2722" s="2"/>
      </tp>
      <tp t="s">
        <v>#N/A N/A</v>
        <stp/>
        <stp>BDP|12400914856314775444</stp>
        <tr r="A2582" s="2"/>
      </tp>
      <tp t="s">
        <v>#N/A N/A</v>
        <stp/>
        <stp>BDP|15547748887876394259</stp>
        <tr r="A3978" s="2"/>
      </tp>
      <tp t="s">
        <v>#N/A N/A</v>
        <stp/>
        <stp>BDP|17709546381516737254</stp>
        <tr r="C3396" s="2"/>
      </tp>
      <tp t="s">
        <v>#N/A N/A</v>
        <stp/>
        <stp>BDP|16290549886560301531</stp>
        <tr r="B1808" s="2"/>
      </tp>
      <tp t="s">
        <v>#N/A N/A</v>
        <stp/>
        <stp>BDP|10017238287686025249</stp>
        <tr r="B4552" s="2"/>
      </tp>
      <tp t="s">
        <v>#N/A N/A</v>
        <stp/>
        <stp>BDP|10169990634837586392</stp>
        <tr r="A508" s="2"/>
      </tp>
      <tp t="s">
        <v>#N/A N/A</v>
        <stp/>
        <stp>BDP|11755047296246445010</stp>
        <tr r="I632" s="2"/>
      </tp>
      <tp t="s">
        <v>#N/A N/A</v>
        <stp/>
        <stp>BDP|11730513546448832683</stp>
        <tr r="G4533" s="2"/>
      </tp>
      <tp t="s">
        <v>#N/A N/A</v>
        <stp/>
        <stp>BDP|10531316792887212377</stp>
        <tr r="A302" s="2"/>
      </tp>
      <tp t="s">
        <v>#N/A N/A</v>
        <stp/>
        <stp>BDP|15085253092093370376</stp>
        <tr r="H2261" s="2"/>
      </tp>
      <tp t="s">
        <v>#N/A N/A</v>
        <stp/>
        <stp>BDP|11660924972135410418</stp>
        <tr r="B369" s="2"/>
      </tp>
      <tp t="s">
        <v>#N/A N/A</v>
        <stp/>
        <stp>BDP|17401506226969260733</stp>
        <tr r="D2355" s="2"/>
      </tp>
      <tp t="s">
        <v>#N/A N/A</v>
        <stp/>
        <stp>BDP|11013848260951309049</stp>
        <tr r="I1331" s="2"/>
      </tp>
      <tp t="s">
        <v>#N/A N/A</v>
        <stp/>
        <stp>BDP|16773810563817648102</stp>
        <tr r="G2839" s="2"/>
      </tp>
      <tp t="s">
        <v>#N/A N/A</v>
        <stp/>
        <stp>BDP|10347805005451187744</stp>
        <tr r="G1935" s="2"/>
      </tp>
      <tp t="s">
        <v>#N/A N/A</v>
        <stp/>
        <stp>BDP|16706953101676455749</stp>
        <tr r="G1051" s="2"/>
      </tp>
      <tp t="s">
        <v>#N/A N/A</v>
        <stp/>
        <stp>BDP|15368438657053569911</stp>
        <tr r="C4613" s="2"/>
      </tp>
      <tp t="s">
        <v>#N/A N/A</v>
        <stp/>
        <stp>BDP|15418982116845121681</stp>
        <tr r="A311" s="2"/>
      </tp>
      <tp t="s">
        <v>#N/A N/A</v>
        <stp/>
        <stp>BDP|10875139941449013293</stp>
        <tr r="H1527" s="2"/>
      </tp>
      <tp t="s">
        <v>#N/A N/A</v>
        <stp/>
        <stp>BDP|16230348584600455350</stp>
        <tr r="H1292" s="2"/>
      </tp>
      <tp t="s">
        <v>#N/A N/A</v>
        <stp/>
        <stp>BDP|10031001983335519358</stp>
        <tr r="A3949" s="2"/>
      </tp>
      <tp t="s">
        <v>#N/A N/A</v>
        <stp/>
        <stp>BDP|11680820910830498631</stp>
        <tr r="B156" s="2"/>
      </tp>
      <tp t="s">
        <v>#N/A N/A</v>
        <stp/>
        <stp>BDP|13288700038698054194</stp>
        <tr r="D3706" s="2"/>
      </tp>
      <tp t="s">
        <v>#N/A N/A</v>
        <stp/>
        <stp>BDP|16545310096705450759</stp>
        <tr r="C1697" s="2"/>
      </tp>
      <tp t="s">
        <v>#N/A N/A</v>
        <stp/>
        <stp>BDP|15436678798560011480</stp>
        <tr r="G4781" s="2"/>
      </tp>
      <tp t="s">
        <v>#N/A N/A</v>
        <stp/>
        <stp>BDP|12364628605109613311</stp>
        <tr r="H4699" s="2"/>
      </tp>
      <tp t="s">
        <v>#N/A N/A</v>
        <stp/>
        <stp>BDP|13542952157461094044</stp>
        <tr r="A2688" s="2"/>
      </tp>
      <tp t="s">
        <v>#N/A N/A</v>
        <stp/>
        <stp>BDP|10501940323867119207</stp>
        <tr r="G977" s="2"/>
      </tp>
      <tp t="s">
        <v>#N/A N/A</v>
        <stp/>
        <stp>BDP|17098481579478516273</stp>
        <tr r="G3261" s="2"/>
      </tp>
      <tp t="s">
        <v>#N/A N/A</v>
        <stp/>
        <stp>BDP|12273122943838042107</stp>
        <tr r="C1681" s="2"/>
      </tp>
      <tp t="s">
        <v>#N/A N/A</v>
        <stp/>
        <stp>BDP|10780825113106147146</stp>
        <tr r="F3442" s="2"/>
      </tp>
      <tp t="s">
        <v>#N/A N/A</v>
        <stp/>
        <stp>BDP|10256343996977408371</stp>
        <tr r="G924" s="2"/>
      </tp>
      <tp t="s">
        <v>#N/A N/A</v>
        <stp/>
        <stp>BDP|17726805483828570126</stp>
        <tr r="B4343" s="2"/>
      </tp>
      <tp t="s">
        <v>#N/A N/A</v>
        <stp/>
        <stp>BDP|11940812529880036520</stp>
        <tr r="D4245" s="2"/>
      </tp>
      <tp t="s">
        <v>#N/A N/A</v>
        <stp/>
        <stp>BDP|17749924467683632579</stp>
        <tr r="I3921" s="2"/>
      </tp>
      <tp t="s">
        <v>#N/A N/A</v>
        <stp/>
        <stp>BDP|11804198237224567900</stp>
        <tr r="I1803" s="2"/>
      </tp>
      <tp t="s">
        <v>#N/A N/A</v>
        <stp/>
        <stp>BDP|15459323301429597118</stp>
        <tr r="B2422" s="2"/>
      </tp>
      <tp t="s">
        <v>#N/A N/A</v>
        <stp/>
        <stp>BDP|12897992060253138039</stp>
        <tr r="A2297" s="2"/>
      </tp>
      <tp t="s">
        <v>#N/A N/A</v>
        <stp/>
        <stp>BDP|10966196110157566964</stp>
        <tr r="G305" s="2"/>
      </tp>
      <tp t="s">
        <v>#N/A N/A</v>
        <stp/>
        <stp>BDP|16663933447144224135</stp>
        <tr r="I1133" s="2"/>
      </tp>
      <tp t="s">
        <v>#N/A N/A</v>
        <stp/>
        <stp>BDP|13184867992854541831</stp>
        <tr r="H3856" s="2"/>
      </tp>
      <tp t="s">
        <v>#N/A N/A</v>
        <stp/>
        <stp>BDP|14608253083964394401</stp>
        <tr r="C1868" s="2"/>
      </tp>
      <tp t="s">
        <v>#N/A N/A</v>
        <stp/>
        <stp>BDP|15782094713909640383</stp>
        <tr r="F4893" s="2"/>
      </tp>
      <tp t="s">
        <v>#N/A N/A</v>
        <stp/>
        <stp>BDP|18401564432561662155</stp>
        <tr r="A1319" s="2"/>
      </tp>
      <tp t="s">
        <v>#N/A N/A</v>
        <stp/>
        <stp>BDP|17207958765895429350</stp>
        <tr r="D612" s="2"/>
      </tp>
      <tp t="s">
        <v>#N/A N/A</v>
        <stp/>
        <stp>BDP|12469866858134068596</stp>
        <tr r="A3333" s="2"/>
      </tp>
      <tp t="s">
        <v>#N/A N/A</v>
        <stp/>
        <stp>BDP|10289393405788498595</stp>
        <tr r="C3085" s="2"/>
      </tp>
      <tp t="s">
        <v>#N/A N/A</v>
        <stp/>
        <stp>BDP|10279755063716052970</stp>
        <tr r="B395" s="2"/>
      </tp>
      <tp t="s">
        <v>#N/A N/A</v>
        <stp/>
        <stp>BDP|10518561625628309166</stp>
        <tr r="A4521" s="2"/>
      </tp>
      <tp t="s">
        <v>#N/A N/A</v>
        <stp/>
        <stp>BDP|14432512694436414064</stp>
        <tr r="B4440" s="2"/>
      </tp>
      <tp t="s">
        <v>#N/A N/A</v>
        <stp/>
        <stp>BDP|18194383468247198436</stp>
        <tr r="I1692" s="2"/>
      </tp>
      <tp t="s">
        <v>#N/A N/A</v>
        <stp/>
        <stp>BDP|16024593999231076533</stp>
        <tr r="H1389" s="2"/>
      </tp>
      <tp t="s">
        <v>#N/A N/A</v>
        <stp/>
        <stp>BDP|14410180629591378854</stp>
        <tr r="A4563" s="2"/>
      </tp>
      <tp t="s">
        <v>#N/A N/A</v>
        <stp/>
        <stp>BDP|17603847242173090638</stp>
        <tr r="H735" s="2"/>
      </tp>
      <tp t="s">
        <v>#N/A N/A</v>
        <stp/>
        <stp>BDP|10314854354057901482</stp>
        <tr r="A2064" s="2"/>
      </tp>
      <tp t="s">
        <v>#N/A N/A</v>
        <stp/>
        <stp>BDP|15873681202474775962</stp>
        <tr r="B2824" s="2"/>
      </tp>
      <tp t="s">
        <v>#N/A N/A</v>
        <stp/>
        <stp>BDP|17421606357518461240</stp>
        <tr r="D2984" s="2"/>
      </tp>
      <tp t="s">
        <v>#N/A N/A</v>
        <stp/>
        <stp>BDP|10289022259938317394</stp>
        <tr r="A977" s="2"/>
      </tp>
      <tp t="s">
        <v>#N/A N/A</v>
        <stp/>
        <stp>BDP|16580785909576290957</stp>
        <tr r="B2918" s="2"/>
      </tp>
      <tp t="s">
        <v>#N/A N/A</v>
        <stp/>
        <stp>BDP|17744580496514807127</stp>
        <tr r="G4212" s="2"/>
      </tp>
      <tp t="s">
        <v>#N/A N/A</v>
        <stp/>
        <stp>BDP|18050783031641812327</stp>
        <tr r="G2173" s="2"/>
      </tp>
      <tp t="s">
        <v>#N/A N/A</v>
        <stp/>
        <stp>BDP|10129795890397348786</stp>
        <tr r="B944" s="2"/>
      </tp>
      <tp t="s">
        <v>#N/A N/A</v>
        <stp/>
        <stp>BDP|15082203209080388995</stp>
        <tr r="H2249" s="2"/>
      </tp>
      <tp t="s">
        <v>#N/A N/A</v>
        <stp/>
        <stp>BDP|12013323174789015151</stp>
        <tr r="F994" s="2"/>
      </tp>
      <tp t="s">
        <v>#N/A N/A</v>
        <stp/>
        <stp>BDP|13623662513543999999</stp>
        <tr r="I1007" s="2"/>
      </tp>
      <tp t="s">
        <v>#N/A N/A</v>
        <stp/>
        <stp>BDP|17621130219660743984</stp>
        <tr r="F1972" s="2"/>
      </tp>
      <tp t="s">
        <v>#N/A N/A</v>
        <stp/>
        <stp>BDP|18373836174120223956</stp>
        <tr r="F1301" s="2"/>
      </tp>
      <tp t="s">
        <v>#N/A N/A</v>
        <stp/>
        <stp>BDP|14751640357238523121</stp>
        <tr r="H3354" s="2"/>
      </tp>
      <tp t="s">
        <v>#N/A N/A</v>
        <stp/>
        <stp>BDP|11638708453265376845</stp>
        <tr r="D3774" s="2"/>
      </tp>
      <tp t="s">
        <v>#N/A N/A</v>
        <stp/>
        <stp>BDP|12569175705858127542</stp>
        <tr r="A2577" s="2"/>
      </tp>
      <tp t="s">
        <v>#N/A N/A</v>
        <stp/>
        <stp>BDP|10400868722960189432</stp>
        <tr r="A890" s="2"/>
      </tp>
      <tp t="s">
        <v>#N/A N/A</v>
        <stp/>
        <stp>BDP|12793612352129332652</stp>
        <tr r="C1839" s="2"/>
      </tp>
      <tp t="s">
        <v>#N/A N/A</v>
        <stp/>
        <stp>BDP|11177589767635511992</stp>
        <tr r="C3082" s="2"/>
      </tp>
      <tp t="s">
        <v>#N/A N/A</v>
        <stp/>
        <stp>BDP|18282167392188613625</stp>
        <tr r="B1400" s="2"/>
      </tp>
      <tp t="s">
        <v>#N/A N/A</v>
        <stp/>
        <stp>BDP|17093354167754753875</stp>
        <tr r="F951" s="2"/>
      </tp>
      <tp t="s">
        <v>#N/A N/A</v>
        <stp/>
        <stp>BDP|17311063584434768549</stp>
        <tr r="I3354" s="2"/>
      </tp>
      <tp t="s">
        <v>#N/A N/A</v>
        <stp/>
        <stp>BDP|14900991886842642924</stp>
        <tr r="C755" s="2"/>
      </tp>
      <tp t="s">
        <v>#N/A N/A</v>
        <stp/>
        <stp>BDP|11646988019296764121</stp>
        <tr r="H3415" s="2"/>
      </tp>
      <tp t="s">
        <v>#N/A N/A</v>
        <stp/>
        <stp>BDP|17439824019820961040</stp>
        <tr r="B1946" s="2"/>
      </tp>
      <tp t="s">
        <v>#N/A N/A</v>
        <stp/>
        <stp>BDP|14222161117118735268</stp>
        <tr r="F4421" s="2"/>
      </tp>
      <tp t="s">
        <v>#N/A N/A</v>
        <stp/>
        <stp>BDP|17410874483458301118</stp>
        <tr r="B1342" s="2"/>
      </tp>
      <tp t="s">
        <v>#N/A N/A</v>
        <stp/>
        <stp>BDP|11083111860000788848</stp>
        <tr r="H4736" s="2"/>
      </tp>
      <tp t="s">
        <v>#N/A N/A</v>
        <stp/>
        <stp>BDP|18250939091343447562</stp>
        <tr r="D3325" s="2"/>
      </tp>
      <tp t="s">
        <v>#N/A N/A</v>
        <stp/>
        <stp>BDP|18269584037144781483</stp>
        <tr r="G255" s="2"/>
      </tp>
      <tp t="s">
        <v>#N/A N/A</v>
        <stp/>
        <stp>BDP|11635920246092526059</stp>
        <tr r="B3225" s="2"/>
      </tp>
      <tp t="s">
        <v>#N/A N/A</v>
        <stp/>
        <stp>BDP|11558127510676691935</stp>
        <tr r="A299" s="2"/>
      </tp>
      <tp t="s">
        <v>#N/A N/A</v>
        <stp/>
        <stp>BDP|13923810188905766855</stp>
        <tr r="H2258" s="2"/>
      </tp>
      <tp t="s">
        <v>#N/A N/A</v>
        <stp/>
        <stp>BDP|10905962172755740589</stp>
        <tr r="C1007" s="2"/>
      </tp>
      <tp t="s">
        <v>#N/A N/A</v>
        <stp/>
        <stp>BDP|11535693724633271889</stp>
        <tr r="B4482" s="2"/>
      </tp>
      <tp t="s">
        <v>#N/A N/A</v>
        <stp/>
        <stp>BDP|12769706896491294312</stp>
        <tr r="F692" s="2"/>
      </tp>
      <tp t="s">
        <v>#N/A N/A</v>
        <stp/>
        <stp>BDP|14865567855132091896</stp>
        <tr r="F3836" s="2"/>
      </tp>
      <tp t="s">
        <v>#N/A N/A</v>
        <stp/>
        <stp>BDP|16696626040493674903</stp>
        <tr r="A2204" s="2"/>
      </tp>
      <tp t="s">
        <v>#N/A N/A</v>
        <stp/>
        <stp>BDP|17315111918211956818</stp>
        <tr r="D4858" s="2"/>
      </tp>
      <tp t="s">
        <v>#N/A N/A</v>
        <stp/>
        <stp>BDP|12641237195817521076</stp>
        <tr r="I2489" s="2"/>
      </tp>
      <tp t="s">
        <v>#N/A N/A</v>
        <stp/>
        <stp>BDP|12644365492012371439</stp>
        <tr r="A1204" s="2"/>
      </tp>
      <tp t="s">
        <v>#N/A N/A</v>
        <stp/>
        <stp>BDP|18150788947235878047</stp>
        <tr r="C1398" s="2"/>
      </tp>
      <tp t="s">
        <v>#N/A N/A</v>
        <stp/>
        <stp>BDP|13585682996467064596</stp>
        <tr r="F2330" s="2"/>
      </tp>
      <tp t="s">
        <v>#N/A N/A</v>
        <stp/>
        <stp>BDP|13326862800837055273</stp>
        <tr r="A2808" s="2"/>
      </tp>
      <tp t="s">
        <v>#N/A N/A</v>
        <stp/>
        <stp>BDP|15604837815847662547</stp>
        <tr r="F1101" s="2"/>
      </tp>
      <tp t="s">
        <v>#N/A N/A</v>
        <stp/>
        <stp>BDP|18126491678232393716</stp>
        <tr r="G344" s="2"/>
      </tp>
      <tp t="s">
        <v>#N/A N/A</v>
        <stp/>
        <stp>BDP|12385210213658730743</stp>
        <tr r="F262" s="2"/>
      </tp>
      <tp t="s">
        <v>#N/A N/A</v>
        <stp/>
        <stp>BDP|12690740535350370860</stp>
        <tr r="H609" s="2"/>
      </tp>
      <tp t="s">
        <v>#N/A N/A</v>
        <stp/>
        <stp>BDP|10848393108334309989</stp>
        <tr r="F3710" s="2"/>
      </tp>
      <tp t="s">
        <v>#N/A N/A</v>
        <stp/>
        <stp>BDP|13389579857079685474</stp>
        <tr r="G2460" s="2"/>
      </tp>
      <tp t="s">
        <v>#N/A N/A</v>
        <stp/>
        <stp>BDP|10602318339348539694</stp>
        <tr r="D2953" s="2"/>
      </tp>
      <tp t="s">
        <v>#N/A N/A</v>
        <stp/>
        <stp>BDP|14709823143404627229</stp>
        <tr r="G2505" s="2"/>
      </tp>
      <tp t="s">
        <v>#N/A N/A</v>
        <stp/>
        <stp>BDP|12544611081091000376</stp>
        <tr r="B2825" s="2"/>
      </tp>
      <tp t="s">
        <v>#N/A N/A</v>
        <stp/>
        <stp>BDP|11940821669088557953</stp>
        <tr r="D4196" s="2"/>
      </tp>
      <tp t="s">
        <v>#N/A N/A</v>
        <stp/>
        <stp>BDP|17303310951349165606</stp>
        <tr r="I3021" s="2"/>
      </tp>
      <tp t="s">
        <v>#N/A N/A</v>
        <stp/>
        <stp>BDP|16203135352615365927</stp>
        <tr r="G4548" s="2"/>
      </tp>
      <tp t="s">
        <v>#N/A N/A</v>
        <stp/>
        <stp>BDP|13428710982217450517</stp>
        <tr r="H2716" s="2"/>
      </tp>
      <tp t="s">
        <v>#N/A N/A</v>
        <stp/>
        <stp>BDP|17323892300772931315</stp>
        <tr r="H2337" s="2"/>
      </tp>
      <tp t="s">
        <v>#N/A N/A</v>
        <stp/>
        <stp>BDP|13166325261671343930</stp>
        <tr r="F2267" s="2"/>
      </tp>
      <tp t="s">
        <v>#N/A N/A</v>
        <stp/>
        <stp>BDP|14623606003218002477</stp>
        <tr r="I4588" s="2"/>
      </tp>
      <tp t="s">
        <v>#N/A N/A</v>
        <stp/>
        <stp>BDP|14194010494967269446</stp>
        <tr r="H210" s="2"/>
      </tp>
      <tp t="s">
        <v>#N/A N/A</v>
        <stp/>
        <stp>BDP|13594393693832917543</stp>
        <tr r="D3012" s="2"/>
      </tp>
      <tp t="s">
        <v>#N/A N/A</v>
        <stp/>
        <stp>BDP|16021320906299532233</stp>
        <tr r="I625" s="2"/>
      </tp>
      <tp t="s">
        <v>#N/A N/A</v>
        <stp/>
        <stp>BDP|15537243596611601136</stp>
        <tr r="I370" s="2"/>
      </tp>
      <tp t="s">
        <v>#N/A N/A</v>
        <stp/>
        <stp>BDP|16549891771182922561</stp>
        <tr r="F3779" s="2"/>
      </tp>
      <tp t="s">
        <v>#N/A N/A</v>
        <stp/>
        <stp>BDP|12815514878998795642</stp>
        <tr r="I380" s="2"/>
      </tp>
      <tp t="s">
        <v>#N/A N/A</v>
        <stp/>
        <stp>BDP|10509946372232714263</stp>
        <tr r="A2255" s="2"/>
      </tp>
      <tp t="s">
        <v>#N/A N/A</v>
        <stp/>
        <stp>BDP|15640847985679303263</stp>
        <tr r="I2623" s="2"/>
      </tp>
      <tp t="s">
        <v>#N/A N/A</v>
        <stp/>
        <stp>BDP|16255143057999510568</stp>
        <tr r="B636" s="2"/>
      </tp>
      <tp t="s">
        <v>#N/A N/A</v>
        <stp/>
        <stp>BDP|14600658418889944402</stp>
        <tr r="G2587" s="2"/>
      </tp>
      <tp t="s">
        <v>#N/A N/A</v>
        <stp/>
        <stp>BDP|14106109945177398857</stp>
        <tr r="I3743" s="2"/>
      </tp>
      <tp t="s">
        <v>#N/A N/A</v>
        <stp/>
        <stp>BDP|11390376622767073949</stp>
        <tr r="D4664" s="2"/>
      </tp>
      <tp t="s">
        <v>#N/A N/A</v>
        <stp/>
        <stp>BDP|14482236281801712131</stp>
        <tr r="A1581" s="2"/>
      </tp>
      <tp t="s">
        <v>#N/A N/A</v>
        <stp/>
        <stp>BDP|17030862530516606422</stp>
        <tr r="A4002" s="2"/>
      </tp>
      <tp t="s">
        <v>#N/A N/A</v>
        <stp/>
        <stp>BDP|13977218655889944366</stp>
        <tr r="F4881" s="2"/>
      </tp>
      <tp t="s">
        <v>#N/A N/A</v>
        <stp/>
        <stp>BDP|13869756695112311195</stp>
        <tr r="I4012" s="2"/>
      </tp>
      <tp t="s">
        <v>#N/A N/A</v>
        <stp/>
        <stp>BDP|11190872962633214249</stp>
        <tr r="I1909" s="2"/>
      </tp>
      <tp t="s">
        <v>#N/A N/A</v>
        <stp/>
        <stp>BDP|10063326105004335966</stp>
        <tr r="F4483" s="2"/>
      </tp>
      <tp t="s">
        <v>#N/A N/A</v>
        <stp/>
        <stp>BDP|16756132376306384839</stp>
        <tr r="H2984" s="2"/>
      </tp>
      <tp t="s">
        <v>#N/A N/A</v>
        <stp/>
        <stp>BDP|17880885650762093626</stp>
        <tr r="D23" s="2"/>
      </tp>
      <tp t="s">
        <v>#N/A N/A</v>
        <stp/>
        <stp>BDP|11129089502936072991</stp>
        <tr r="G838" s="2"/>
      </tp>
      <tp t="s">
        <v>#N/A N/A</v>
        <stp/>
        <stp>BDP|18309432587772151844</stp>
        <tr r="A4847" s="2"/>
      </tp>
      <tp t="s">
        <v>#N/A N/A</v>
        <stp/>
        <stp>BDP|10769487439769483075</stp>
        <tr r="H2580" s="2"/>
      </tp>
      <tp t="s">
        <v>#N/A N/A</v>
        <stp/>
        <stp>BDP|16167730795224278208</stp>
        <tr r="I3703" s="2"/>
      </tp>
      <tp t="s">
        <v>#N/A N/A</v>
        <stp/>
        <stp>BDP|10447073246983479942</stp>
        <tr r="C4600" s="2"/>
      </tp>
      <tp t="s">
        <v>#N/A N/A</v>
        <stp/>
        <stp>BDP|15199939705794685644</stp>
        <tr r="I761" s="2"/>
      </tp>
      <tp t="s">
        <v>#N/A N/A</v>
        <stp/>
        <stp>BDP|16139236123901114957</stp>
        <tr r="C3336" s="2"/>
      </tp>
      <tp t="s">
        <v>#N/A N/A</v>
        <stp/>
        <stp>BDP|16162862336594290762</stp>
        <tr r="C2004" s="2"/>
      </tp>
      <tp t="s">
        <v>#N/A N/A</v>
        <stp/>
        <stp>BDP|14512148324508216127</stp>
        <tr r="B1918" s="2"/>
      </tp>
      <tp t="s">
        <v>#N/A N/A</v>
        <stp/>
        <stp>BDP|16127612783681789714</stp>
        <tr r="H814" s="2"/>
      </tp>
      <tp t="s">
        <v>#N/A N/A</v>
        <stp/>
        <stp>BDP|14473129000509103221</stp>
        <tr r="H2275" s="2"/>
      </tp>
      <tp t="s">
        <v>#N/A N/A</v>
        <stp/>
        <stp>BDP|16285702080663563420</stp>
        <tr r="H3413" s="2"/>
      </tp>
      <tp t="s">
        <v>#N/A N/A</v>
        <stp/>
        <stp>BDP|13676105690965725043</stp>
        <tr r="A4937" s="2"/>
      </tp>
      <tp t="s">
        <v>#N/A N/A</v>
        <stp/>
        <stp>BDP|18201171881458091715</stp>
        <tr r="D4968" s="2"/>
      </tp>
      <tp t="s">
        <v>#N/A N/A</v>
        <stp/>
        <stp>BDP|14085001309292821840</stp>
        <tr r="H2709" s="2"/>
      </tp>
      <tp t="s">
        <v>#N/A N/A</v>
        <stp/>
        <stp>BDP|17440545327748476668</stp>
        <tr r="D4054" s="2"/>
      </tp>
      <tp t="s">
        <v>#N/A N/A</v>
        <stp/>
        <stp>BDP|11856019188533124452</stp>
        <tr r="F2098" s="2"/>
      </tp>
      <tp t="s">
        <v>#N/A N/A</v>
        <stp/>
        <stp>BDP|17568736051593641848</stp>
        <tr r="F2561" s="2"/>
      </tp>
      <tp t="s">
        <v>#N/A N/A</v>
        <stp/>
        <stp>BDP|15582464901666760904</stp>
        <tr r="I3308" s="2"/>
      </tp>
      <tp t="s">
        <v>#N/A N/A</v>
        <stp/>
        <stp>BDP|17186423687232084719</stp>
        <tr r="I2981" s="2"/>
      </tp>
      <tp t="s">
        <v>#N/A N/A</v>
        <stp/>
        <stp>BDP|16275349331778731052</stp>
        <tr r="D4334" s="2"/>
      </tp>
      <tp t="s">
        <v>#N/A N/A</v>
        <stp/>
        <stp>BDP|13903830240977645695</stp>
        <tr r="I4717" s="2"/>
      </tp>
      <tp t="s">
        <v>#N/A N/A</v>
        <stp/>
        <stp>BDP|17407417797552449639</stp>
        <tr r="A3254" s="2"/>
      </tp>
      <tp t="s">
        <v>#N/A N/A</v>
        <stp/>
        <stp>BDP|14958775438217193924</stp>
        <tr r="D2713" s="2"/>
      </tp>
      <tp t="s">
        <v>#N/A N/A</v>
        <stp/>
        <stp>BDP|16138592400265883854</stp>
        <tr r="A1658" s="2"/>
      </tp>
      <tp t="s">
        <v>#N/A N/A</v>
        <stp/>
        <stp>BDP|15347069269844189982</stp>
        <tr r="H639" s="2"/>
      </tp>
      <tp t="s">
        <v>#N/A N/A</v>
        <stp/>
        <stp>BDP|17297225904373873897</stp>
        <tr r="G2556" s="2"/>
      </tp>
      <tp t="s">
        <v>#N/A N/A</v>
        <stp/>
        <stp>BDP|12535615627068102079</stp>
        <tr r="C4625" s="2"/>
      </tp>
      <tp t="s">
        <v>#N/A N/A</v>
        <stp/>
        <stp>BDP|16042197859819555500</stp>
        <tr r="A2884" s="2"/>
      </tp>
      <tp t="s">
        <v>#N/A N/A</v>
        <stp/>
        <stp>BDP|13617765680013081152</stp>
        <tr r="F2270" s="2"/>
      </tp>
      <tp t="s">
        <v>#N/A N/A</v>
        <stp/>
        <stp>BDP|15863800875524884006</stp>
        <tr r="F2196" s="2"/>
      </tp>
      <tp t="s">
        <v>#N/A N/A</v>
        <stp/>
        <stp>BDP|13495937812504943192</stp>
        <tr r="A4607" s="2"/>
      </tp>
      <tp t="s">
        <v>#N/A N/A</v>
        <stp/>
        <stp>BDP|15686022481891592256</stp>
        <tr r="I62" s="2"/>
      </tp>
      <tp t="s">
        <v>#N/A N/A</v>
        <stp/>
        <stp>BDP|12329313832815654931</stp>
        <tr r="G3522" s="2"/>
      </tp>
      <tp t="s">
        <v>#N/A N/A</v>
        <stp/>
        <stp>BDP|11149055784680421718</stp>
        <tr r="G3107" s="2"/>
      </tp>
      <tp t="s">
        <v>#N/A N/A</v>
        <stp/>
        <stp>BDP|18266205048066672699</stp>
        <tr r="D1574" s="2"/>
      </tp>
      <tp t="s">
        <v>#N/A N/A</v>
        <stp/>
        <stp>BDP|10209250415324797906</stp>
        <tr r="F4728" s="2"/>
      </tp>
      <tp t="s">
        <v>#N/A N/A</v>
        <stp/>
        <stp>BDP|11135718463766036863</stp>
        <tr r="I2741" s="2"/>
      </tp>
      <tp t="s">
        <v>#N/A N/A</v>
        <stp/>
        <stp>BDP|12213742493910104216</stp>
        <tr r="F3888" s="2"/>
      </tp>
      <tp t="s">
        <v>#N/A N/A</v>
        <stp/>
        <stp>BDP|13224800240691161061</stp>
        <tr r="A1951" s="2"/>
      </tp>
      <tp t="s">
        <v>#N/A N/A</v>
        <stp/>
        <stp>BDP|16703405143450309822</stp>
        <tr r="D3128" s="2"/>
      </tp>
      <tp t="s">
        <v>#N/A N/A</v>
        <stp/>
        <stp>BDP|14484865350705405239</stp>
        <tr r="H4230" s="2"/>
      </tp>
      <tp t="s">
        <v>#N/A N/A</v>
        <stp/>
        <stp>BDP|15449513295320376761</stp>
        <tr r="C3154" s="2"/>
      </tp>
      <tp t="s">
        <v>#N/A N/A</v>
        <stp/>
        <stp>BDP|18374284209690745403</stp>
        <tr r="C2845" s="2"/>
      </tp>
      <tp t="s">
        <v>#N/A N/A</v>
        <stp/>
        <stp>BDP|17791197195544815568</stp>
        <tr r="D2703" s="2"/>
      </tp>
      <tp t="s">
        <v>#N/A N/A</v>
        <stp/>
        <stp>BDP|12090561293840148015</stp>
        <tr r="F3897" s="2"/>
      </tp>
      <tp t="s">
        <v>#N/A N/A</v>
        <stp/>
        <stp>BDP|15665409865249743018</stp>
        <tr r="B4726" s="2"/>
      </tp>
      <tp t="s">
        <v>#N/A N/A</v>
        <stp/>
        <stp>BDP|10586618241199798579</stp>
        <tr r="I4398" s="2"/>
      </tp>
      <tp t="s">
        <v>#N/A N/A</v>
        <stp/>
        <stp>BDP|12232706415419402360</stp>
        <tr r="D3545" s="2"/>
      </tp>
      <tp t="s">
        <v>#N/A N/A</v>
        <stp/>
        <stp>BDP|18327037420470094459</stp>
        <tr r="A143" s="2"/>
      </tp>
      <tp t="s">
        <v>#N/A N/A</v>
        <stp/>
        <stp>BDP|11793040392923171556</stp>
        <tr r="B135" s="2"/>
      </tp>
      <tp t="s">
        <v>#N/A N/A</v>
        <stp/>
        <stp>BDP|17465496590107083388</stp>
        <tr r="G4924" s="2"/>
      </tp>
      <tp t="s">
        <v>#N/A N/A</v>
        <stp/>
        <stp>BDP|18060963640422388909</stp>
        <tr r="C1290" s="2"/>
      </tp>
      <tp t="s">
        <v>#N/A N/A</v>
        <stp/>
        <stp>BDP|12743171444348759163</stp>
        <tr r="A801" s="2"/>
      </tp>
      <tp t="s">
        <v>#N/A N/A</v>
        <stp/>
        <stp>BDP|16366811921023269141</stp>
        <tr r="I4081" s="2"/>
      </tp>
      <tp t="s">
        <v>#N/A N/A</v>
        <stp/>
        <stp>BDP|10072571313932985887</stp>
        <tr r="I4788" s="2"/>
      </tp>
      <tp t="s">
        <v>#N/A N/A</v>
        <stp/>
        <stp>BDP|12308309983841032652</stp>
        <tr r="B1778" s="2"/>
      </tp>
      <tp t="s">
        <v>#N/A N/A</v>
        <stp/>
        <stp>BDP|11564639088913976221</stp>
        <tr r="A3098" s="2"/>
      </tp>
      <tp t="s">
        <v>#N/A N/A</v>
        <stp/>
        <stp>BDP|16964055699602331336</stp>
        <tr r="B4978" s="2"/>
      </tp>
      <tp t="s">
        <v>#N/A N/A</v>
        <stp/>
        <stp>BDP|17725215045908676709</stp>
        <tr r="F2092" s="2"/>
      </tp>
      <tp t="s">
        <v>#N/A N/A</v>
        <stp/>
        <stp>BDP|15663043234340768847</stp>
        <tr r="G3454" s="2"/>
      </tp>
      <tp t="s">
        <v>#N/A N/A</v>
        <stp/>
        <stp>BDP|13323900920151770713</stp>
        <tr r="D2579" s="2"/>
      </tp>
      <tp t="s">
        <v>#N/A N/A</v>
        <stp/>
        <stp>BDP|16900913319988445809</stp>
        <tr r="A4074" s="2"/>
      </tp>
      <tp t="s">
        <v>#N/A N/A</v>
        <stp/>
        <stp>BDP|15685590629358393405</stp>
        <tr r="C413" s="2"/>
      </tp>
      <tp t="s">
        <v>#N/A N/A</v>
        <stp/>
        <stp>BDP|14450269083267182751</stp>
        <tr r="G4508" s="2"/>
      </tp>
      <tp t="s">
        <v>#N/A N/A</v>
        <stp/>
        <stp>BDP|18327550324614333540</stp>
        <tr r="D2431" s="2"/>
      </tp>
      <tp t="s">
        <v>#N/A N/A</v>
        <stp/>
        <stp>BDP|10247506267639626461</stp>
        <tr r="G3894" s="2"/>
      </tp>
      <tp t="s">
        <v>#N/A N/A</v>
        <stp/>
        <stp>BDP|15360343386669255961</stp>
        <tr r="B2912" s="2"/>
      </tp>
      <tp t="s">
        <v>#N/A N/A</v>
        <stp/>
        <stp>BDP|10312644870517768851</stp>
        <tr r="B2642" s="2"/>
      </tp>
      <tp t="s">
        <v>#N/A N/A</v>
        <stp/>
        <stp>BDP|18026346144660302165</stp>
        <tr r="C1279" s="2"/>
      </tp>
      <tp t="s">
        <v>#N/A N/A</v>
        <stp/>
        <stp>BDP|11647425844556645936</stp>
        <tr r="C3835" s="2"/>
      </tp>
      <tp t="s">
        <v>#N/A N/A</v>
        <stp/>
        <stp>BDP|10060988829107212268</stp>
        <tr r="G3483" s="2"/>
      </tp>
      <tp t="s">
        <v>#N/A N/A</v>
        <stp/>
        <stp>BDP|10668396451248902024</stp>
        <tr r="A1200" s="2"/>
      </tp>
      <tp t="s">
        <v>#N/A N/A</v>
        <stp/>
        <stp>BDP|16287711400946307956</stp>
        <tr r="I900" s="2"/>
      </tp>
      <tp t="s">
        <v>#N/A N/A</v>
        <stp/>
        <stp>BDP|10351329832569082764</stp>
        <tr r="B351" s="2"/>
      </tp>
      <tp t="s">
        <v>#N/A N/A</v>
        <stp/>
        <stp>BDP|17917988454851759471</stp>
        <tr r="D3978" s="2"/>
      </tp>
      <tp t="s">
        <v>#N/A N/A</v>
        <stp/>
        <stp>BDP|12472402347199766517</stp>
        <tr r="C4452" s="2"/>
      </tp>
      <tp t="s">
        <v>#N/A N/A</v>
        <stp/>
        <stp>BDP|18222076532502732757</stp>
        <tr r="I3871" s="2"/>
      </tp>
      <tp t="s">
        <v>#N/A N/A</v>
        <stp/>
        <stp>BDP|16977908668816074145</stp>
        <tr r="H197" s="2"/>
      </tp>
      <tp t="s">
        <v>#N/A N/A</v>
        <stp/>
        <stp>BDP|13431910951680517141</stp>
        <tr r="C1108" s="2"/>
      </tp>
      <tp t="s">
        <v>#N/A N/A</v>
        <stp/>
        <stp>BDP|15139346996355422421</stp>
        <tr r="I4461" s="2"/>
      </tp>
      <tp t="s">
        <v>#N/A N/A</v>
        <stp/>
        <stp>BDP|15147145621528334022</stp>
        <tr r="D1209" s="2"/>
      </tp>
      <tp t="s">
        <v>#N/A N/A</v>
        <stp/>
        <stp>BDP|16074843107330006062</stp>
        <tr r="A2549" s="2"/>
      </tp>
      <tp t="s">
        <v>#N/A N/A</v>
        <stp/>
        <stp>BDP|17158797172508766185</stp>
        <tr r="C2614" s="2"/>
      </tp>
      <tp t="s">
        <v>#N/A N/A</v>
        <stp/>
        <stp>BDP|18159253977094376755</stp>
        <tr r="G4771" s="2"/>
      </tp>
      <tp t="s">
        <v>#N/A N/A</v>
        <stp/>
        <stp>BDP|12993693405292988894</stp>
        <tr r="G1573" s="2"/>
      </tp>
      <tp t="s">
        <v>#N/A N/A</v>
        <stp/>
        <stp>BDP|14847589181134579300</stp>
        <tr r="F4078" s="2"/>
      </tp>
      <tp t="s">
        <v>#N/A N/A</v>
        <stp/>
        <stp>BDP|11019923062816651624</stp>
        <tr r="H2391" s="2"/>
      </tp>
      <tp t="s">
        <v>#N/A N/A</v>
        <stp/>
        <stp>BDP|17640659423798094548</stp>
        <tr r="G388" s="2"/>
      </tp>
      <tp t="s">
        <v>#N/A N/A</v>
        <stp/>
        <stp>BDP|11771059717149931787</stp>
        <tr r="H4314" s="2"/>
      </tp>
      <tp t="s">
        <v>#N/A N/A</v>
        <stp/>
        <stp>BDP|12373969593404359815</stp>
        <tr r="H2135" s="2"/>
      </tp>
      <tp t="s">
        <v>#N/A N/A</v>
        <stp/>
        <stp>BDP|10098016798922958549</stp>
        <tr r="G2630" s="2"/>
      </tp>
      <tp t="s">
        <v>#N/A N/A</v>
        <stp/>
        <stp>BDP|12448337855279624309</stp>
        <tr r="B2112" s="2"/>
      </tp>
      <tp t="s">
        <v>#N/A N/A</v>
        <stp/>
        <stp>BDP|10082514521461443806</stp>
        <tr r="A3091" s="2"/>
      </tp>
      <tp t="s">
        <v>#N/A N/A</v>
        <stp/>
        <stp>BDP|17607439744189384069</stp>
        <tr r="F1263" s="2"/>
      </tp>
      <tp t="s">
        <v>#N/A N/A</v>
        <stp/>
        <stp>BDP|12892911882559621496</stp>
        <tr r="A1235" s="2"/>
      </tp>
      <tp t="s">
        <v>#N/A N/A</v>
        <stp/>
        <stp>BDP|13446265700439046668</stp>
        <tr r="F1683" s="2"/>
      </tp>
      <tp t="s">
        <v>#N/A N/A</v>
        <stp/>
        <stp>BDP|14981487120238124446</stp>
        <tr r="B990" s="2"/>
      </tp>
      <tp t="s">
        <v>#N/A N/A</v>
        <stp/>
        <stp>BDP|15783108987146688420</stp>
        <tr r="B4563" s="2"/>
      </tp>
      <tp t="s">
        <v>#N/A N/A</v>
        <stp/>
        <stp>BDP|16083167180520341117</stp>
        <tr r="D2573" s="2"/>
      </tp>
      <tp t="s">
        <v>#N/A N/A</v>
        <stp/>
        <stp>BDP|12871293098167494095</stp>
        <tr r="F4913" s="2"/>
      </tp>
      <tp t="s">
        <v>#N/A N/A</v>
        <stp/>
        <stp>BDP|16999533623459417697</stp>
        <tr r="H2032" s="2"/>
      </tp>
      <tp t="s">
        <v>#N/A N/A</v>
        <stp/>
        <stp>BDP|10584888968852954285</stp>
        <tr r="F812" s="2"/>
      </tp>
      <tp t="s">
        <v>#N/A N/A</v>
        <stp/>
        <stp>BDP|14491653785136506253</stp>
        <tr r="F1996" s="2"/>
      </tp>
      <tp t="s">
        <v>#N/A N/A</v>
        <stp/>
        <stp>BDP|14970781734247440958</stp>
        <tr r="G940" s="2"/>
      </tp>
      <tp t="s">
        <v>#N/A N/A</v>
        <stp/>
        <stp>BDP|16064598797003393798</stp>
        <tr r="F3909" s="2"/>
      </tp>
      <tp t="s">
        <v>#N/A N/A</v>
        <stp/>
        <stp>BDP|11735929103151412765</stp>
        <tr r="I2137" s="2"/>
      </tp>
      <tp t="s">
        <v>#N/A N/A</v>
        <stp/>
        <stp>BDP|11152366296902572702</stp>
        <tr r="I1210" s="2"/>
      </tp>
      <tp t="s">
        <v>#N/A N/A</v>
        <stp/>
        <stp>BDP|12351458495342643315</stp>
        <tr r="C3734" s="2"/>
      </tp>
      <tp t="s">
        <v>#N/A N/A</v>
        <stp/>
        <stp>BDP|18182376572060973296</stp>
        <tr r="B4025" s="2"/>
      </tp>
      <tp t="s">
        <v>#N/A N/A</v>
        <stp/>
        <stp>BDP|18295310250612484238</stp>
        <tr r="I1453" s="2"/>
      </tp>
      <tp t="s">
        <v>#N/A N/A</v>
        <stp/>
        <stp>BDP|12210339381897487006</stp>
        <tr r="C105" s="2"/>
      </tp>
      <tp t="s">
        <v>#N/A N/A</v>
        <stp/>
        <stp>BDP|14683749176952739875</stp>
        <tr r="A1363" s="2"/>
      </tp>
      <tp t="s">
        <v>#N/A N/A</v>
        <stp/>
        <stp>BDP|15492956446485010337</stp>
        <tr r="I1114" s="2"/>
      </tp>
      <tp t="s">
        <v>#N/A N/A</v>
        <stp/>
        <stp>BDP|11697477126659158020</stp>
        <tr r="H191" s="2"/>
      </tp>
      <tp t="s">
        <v>#N/A N/A</v>
        <stp/>
        <stp>BDP|14799223080193324324</stp>
        <tr r="B687" s="2"/>
      </tp>
      <tp t="s">
        <v>#N/A N/A</v>
        <stp/>
        <stp>BDP|12016557127883503832</stp>
        <tr r="G3343" s="2"/>
      </tp>
      <tp t="s">
        <v>#N/A N/A</v>
        <stp/>
        <stp>BDP|12057241344889373377</stp>
        <tr r="D1861" s="2"/>
      </tp>
      <tp t="s">
        <v>#N/A N/A</v>
        <stp/>
        <stp>BDP|17318002564067391806</stp>
        <tr r="H1836" s="2"/>
      </tp>
      <tp t="s">
        <v>#N/A N/A</v>
        <stp/>
        <stp>BDP|14065812953597653008</stp>
        <tr r="C1195" s="2"/>
      </tp>
      <tp t="s">
        <v>#N/A N/A</v>
        <stp/>
        <stp>BDP|10156702991068528819</stp>
        <tr r="A3402" s="2"/>
      </tp>
      <tp t="s">
        <v>#N/A N/A</v>
        <stp/>
        <stp>BDP|15283815182319440216</stp>
        <tr r="I1162" s="2"/>
      </tp>
      <tp t="s">
        <v>#N/A N/A</v>
        <stp/>
        <stp>BDP|15579705523527433967</stp>
        <tr r="D3560" s="2"/>
      </tp>
      <tp t="s">
        <v>#N/A N/A</v>
        <stp/>
        <stp>BDP|16715812314485372453</stp>
        <tr r="F2435" s="2"/>
      </tp>
      <tp t="s">
        <v>#N/A N/A</v>
        <stp/>
        <stp>BDP|17752762362639503122</stp>
        <tr r="A1236" s="2"/>
      </tp>
      <tp t="s">
        <v>#N/A N/A</v>
        <stp/>
        <stp>BDP|11608003157038289278</stp>
        <tr r="B3703" s="2"/>
      </tp>
      <tp t="s">
        <v>#N/A N/A</v>
        <stp/>
        <stp>BDP|13172773696542438100</stp>
        <tr r="A1779" s="2"/>
      </tp>
      <tp t="s">
        <v>#N/A N/A</v>
        <stp/>
        <stp>BDP|12053881799488378565</stp>
        <tr r="G2356" s="2"/>
      </tp>
      <tp t="s">
        <v>#N/A N/A</v>
        <stp/>
        <stp>BDP|10201873105235545317</stp>
        <tr r="I963" s="2"/>
      </tp>
      <tp t="s">
        <v>#N/A N/A</v>
        <stp/>
        <stp>BDP|10644337997042019660</stp>
        <tr r="D2569" s="2"/>
      </tp>
      <tp t="s">
        <v>#N/A N/A</v>
        <stp/>
        <stp>BDP|13144955456630440121</stp>
        <tr r="C6" s="2"/>
      </tp>
      <tp t="s">
        <v>#N/A N/A</v>
        <stp/>
        <stp>BDP|12671420199881161088</stp>
        <tr r="B889" s="2"/>
      </tp>
      <tp t="s">
        <v>#N/A N/A</v>
        <stp/>
        <stp>BDP|15995744211564985911</stp>
        <tr r="G477" s="2"/>
      </tp>
      <tp t="s">
        <v>#N/A N/A</v>
        <stp/>
        <stp>BDP|10787294279248667359</stp>
        <tr r="H498" s="2"/>
      </tp>
      <tp t="s">
        <v>#N/A N/A</v>
        <stp/>
        <stp>BDP|18212858264049687110</stp>
        <tr r="F2892" s="2"/>
      </tp>
      <tp t="s">
        <v>#N/A N/A</v>
        <stp/>
        <stp>BDP|16088661073581542849</stp>
        <tr r="B3385" s="2"/>
      </tp>
      <tp t="s">
        <v>#N/A N/A</v>
        <stp/>
        <stp>BDP|15608623717945183962</stp>
        <tr r="H3360" s="2"/>
      </tp>
      <tp t="s">
        <v>#N/A N/A</v>
        <stp/>
        <stp>BDP|14857983649844461398</stp>
        <tr r="G869" s="2"/>
      </tp>
      <tp t="s">
        <v>#N/A N/A</v>
        <stp/>
        <stp>BDP|13853615498171686339</stp>
        <tr r="C3224" s="2"/>
      </tp>
      <tp t="s">
        <v>#N/A N/A</v>
        <stp/>
        <stp>BDP|11865303089063471712</stp>
        <tr r="C2159" s="2"/>
      </tp>
      <tp t="s">
        <v>#N/A N/A</v>
        <stp/>
        <stp>BDP|11259115169629726193</stp>
        <tr r="I2338" s="2"/>
      </tp>
      <tp t="s">
        <v>#N/A N/A</v>
        <stp/>
        <stp>BDP|13470219340958749364</stp>
        <tr r="D3958" s="2"/>
      </tp>
      <tp t="s">
        <v>#N/A N/A</v>
        <stp/>
        <stp>BDP|13106273310497212901</stp>
        <tr r="C770" s="2"/>
      </tp>
      <tp t="s">
        <v>#N/A N/A</v>
        <stp/>
        <stp>BDP|10044876504516717001</stp>
        <tr r="A4523" s="2"/>
      </tp>
      <tp t="s">
        <v>#N/A N/A</v>
        <stp/>
        <stp>BDP|15874383629243887959</stp>
        <tr r="B2778" s="2"/>
      </tp>
      <tp t="s">
        <v>#N/A N/A</v>
        <stp/>
        <stp>BDP|17574078286346490742</stp>
        <tr r="F4161" s="2"/>
      </tp>
      <tp t="s">
        <v>#N/A N/A</v>
        <stp/>
        <stp>BDP|14732030895064332766</stp>
        <tr r="B104" s="2"/>
      </tp>
      <tp t="s">
        <v>#N/A N/A</v>
        <stp/>
        <stp>BDP|13631252690256449031</stp>
        <tr r="F2388" s="2"/>
      </tp>
      <tp t="s">
        <v>#N/A N/A</v>
        <stp/>
        <stp>BDP|11965335621177752981</stp>
        <tr r="H4664" s="2"/>
      </tp>
      <tp t="s">
        <v>#N/A N/A</v>
        <stp/>
        <stp>BDP|14191049384540619231</stp>
        <tr r="H1751" s="2"/>
      </tp>
      <tp t="s">
        <v>#N/A N/A</v>
        <stp/>
        <stp>BDP|17349064363148634747</stp>
        <tr r="H3260" s="2"/>
      </tp>
      <tp t="s">
        <v>#N/A N/A</v>
        <stp/>
        <stp>BDP|18104325482849781420</stp>
        <tr r="A2850" s="2"/>
      </tp>
      <tp t="s">
        <v>#N/A N/A</v>
        <stp/>
        <stp>BDP|10468212807204171874</stp>
        <tr r="A3231" s="2"/>
      </tp>
      <tp t="s">
        <v>#N/A N/A</v>
        <stp/>
        <stp>BDP|10740149150872057875</stp>
        <tr r="B3900" s="2"/>
      </tp>
      <tp t="s">
        <v>#N/A N/A</v>
        <stp/>
        <stp>BDP|16097972555203243748</stp>
        <tr r="A4045" s="2"/>
      </tp>
      <tp t="s">
        <v>#N/A N/A</v>
        <stp/>
        <stp>BDP|14281675527926034862</stp>
        <tr r="F1781" s="2"/>
      </tp>
      <tp t="s">
        <v>#N/A N/A</v>
        <stp/>
        <stp>BDP|12459426841485457976</stp>
        <tr r="F3627" s="2"/>
      </tp>
      <tp t="s">
        <v>#N/A N/A</v>
        <stp/>
        <stp>BDP|12641850349356700693</stp>
        <tr r="H4839" s="2"/>
      </tp>
      <tp t="s">
        <v>#N/A N/A</v>
        <stp/>
        <stp>BDP|18419439925228495827</stp>
        <tr r="A2302" s="2"/>
      </tp>
      <tp t="s">
        <v>#N/A N/A</v>
        <stp/>
        <stp>BDP|14977585820488634531</stp>
        <tr r="H1717" s="2"/>
      </tp>
      <tp t="s">
        <v>#N/A N/A</v>
        <stp/>
        <stp>BDP|10233733786985350437</stp>
        <tr r="D1244" s="2"/>
      </tp>
      <tp t="s">
        <v>#N/A N/A</v>
        <stp/>
        <stp>BDP|11126811950406387444</stp>
        <tr r="A946" s="2"/>
      </tp>
      <tp t="s">
        <v>#N/A N/A</v>
        <stp/>
        <stp>BDP|12472316922879836481</stp>
        <tr r="A490" s="2"/>
      </tp>
      <tp t="s">
        <v>#N/A N/A</v>
        <stp/>
        <stp>BDP|13364450490605785563</stp>
        <tr r="D488" s="2"/>
      </tp>
      <tp t="s">
        <v>#N/A N/A</v>
        <stp/>
        <stp>BDP|11241380236106385986</stp>
        <tr r="G1557" s="2"/>
      </tp>
      <tp t="s">
        <v>#N/A N/A</v>
        <stp/>
        <stp>BDP|16089741395042307453</stp>
        <tr r="C364" s="2"/>
      </tp>
      <tp t="s">
        <v>#N/A N/A</v>
        <stp/>
        <stp>BDP|11205343570413944889</stp>
        <tr r="D397" s="2"/>
      </tp>
      <tp t="s">
        <v>#N/A N/A</v>
        <stp/>
        <stp>BDP|17871815451223685792</stp>
        <tr r="C1068" s="2"/>
      </tp>
      <tp t="s">
        <v>#N/A N/A</v>
        <stp/>
        <stp>BDP|17892905522541979347</stp>
        <tr r="I984" s="2"/>
      </tp>
      <tp t="s">
        <v>#N/A N/A</v>
        <stp/>
        <stp>BDP|13292596080506804643</stp>
        <tr r="A3274" s="2"/>
      </tp>
      <tp t="s">
        <v>#N/A N/A</v>
        <stp/>
        <stp>BDP|15118933958343505488</stp>
        <tr r="B20" s="2"/>
      </tp>
      <tp t="s">
        <v>#N/A N/A</v>
        <stp/>
        <stp>BDP|10198374831526011800</stp>
        <tr r="D3595" s="2"/>
      </tp>
      <tp t="s">
        <v>#N/A N/A</v>
        <stp/>
        <stp>BDP|12211732087564295736</stp>
        <tr r="A2048" s="2"/>
      </tp>
      <tp t="s">
        <v>#N/A N/A</v>
        <stp/>
        <stp>BDP|10296320677693550952</stp>
        <tr r="A2626" s="2"/>
      </tp>
      <tp t="s">
        <v>#N/A N/A</v>
        <stp/>
        <stp>BDP|11684027204796716901</stp>
        <tr r="B555" s="2"/>
      </tp>
      <tp t="s">
        <v>#N/A N/A</v>
        <stp/>
        <stp>BDP|18340398873545895768</stp>
        <tr r="H3346" s="2"/>
      </tp>
      <tp t="s">
        <v>#N/A N/A</v>
        <stp/>
        <stp>BDP|18415136834136667228</stp>
        <tr r="A2890" s="2"/>
      </tp>
      <tp t="s">
        <v>#N/A N/A</v>
        <stp/>
        <stp>BDP|16307060493569654878</stp>
        <tr r="A37" s="2"/>
      </tp>
      <tp t="s">
        <v>#N/A N/A</v>
        <stp/>
        <stp>BDP|10417436355358388763</stp>
        <tr r="C3196" s="2"/>
      </tp>
      <tp t="s">
        <v>#N/A N/A</v>
        <stp/>
        <stp>BDP|14917499820739674517</stp>
        <tr r="D2083" s="2"/>
      </tp>
      <tp t="s">
        <v>#N/A N/A</v>
        <stp/>
        <stp>BDP|10343846419930125786</stp>
        <tr r="D2796" s="2"/>
      </tp>
      <tp t="s">
        <v>#N/A N/A</v>
        <stp/>
        <stp>BDP|11730037016136692833</stp>
        <tr r="H3379" s="2"/>
      </tp>
      <tp t="s">
        <v>#N/A N/A</v>
        <stp/>
        <stp>BDP|10603864967864875485</stp>
        <tr r="C4633" s="2"/>
      </tp>
      <tp t="s">
        <v>#N/A N/A</v>
        <stp/>
        <stp>BDP|10986980113063771521</stp>
        <tr r="B1537" s="2"/>
      </tp>
      <tp t="s">
        <v>#N/A N/A</v>
        <stp/>
        <stp>BDP|12947883047670389024</stp>
        <tr r="C3779" s="2"/>
      </tp>
      <tp t="s">
        <v>#N/A N/A</v>
        <stp/>
        <stp>BDP|14132779299223913714</stp>
        <tr r="I1303" s="2"/>
      </tp>
      <tp t="s">
        <v>#N/A N/A</v>
        <stp/>
        <stp>BDP|12486903820585135220</stp>
        <tr r="F3610" s="2"/>
      </tp>
      <tp t="s">
        <v>#N/A N/A</v>
        <stp/>
        <stp>BDP|12427147359691897966</stp>
        <tr r="A378" s="2"/>
      </tp>
      <tp t="s">
        <v>#N/A N/A</v>
        <stp/>
        <stp>BDP|13754064381172655719</stp>
        <tr r="H375" s="2"/>
      </tp>
      <tp t="s">
        <v>#N/A N/A</v>
        <stp/>
        <stp>BDP|12386530656504297838</stp>
        <tr r="G1817" s="2"/>
      </tp>
      <tp t="s">
        <v>#N/A N/A</v>
        <stp/>
        <stp>BDP|10685095094577811045</stp>
        <tr r="B1355" s="2"/>
      </tp>
      <tp t="s">
        <v>#N/A N/A</v>
        <stp/>
        <stp>BDP|17200825095191401967</stp>
        <tr r="G1233" s="2"/>
      </tp>
      <tp t="s">
        <v>#N/A N/A</v>
        <stp/>
        <stp>BDP|12011015929249966763</stp>
        <tr r="I3771" s="2"/>
      </tp>
      <tp t="s">
        <v>#N/A N/A</v>
        <stp/>
        <stp>BDP|16722400381955401158</stp>
        <tr r="G3061" s="2"/>
      </tp>
      <tp t="s">
        <v>#N/A N/A</v>
        <stp/>
        <stp>BDP|14553457012728550703</stp>
        <tr r="F3046" s="2"/>
      </tp>
      <tp t="s">
        <v>#N/A N/A</v>
        <stp/>
        <stp>BDP|12228467499618201981</stp>
        <tr r="F4170" s="2"/>
      </tp>
      <tp t="s">
        <v>#N/A N/A</v>
        <stp/>
        <stp>BDP|15570600801564692959</stp>
        <tr r="H2889" s="2"/>
      </tp>
      <tp t="s">
        <v>#N/A N/A</v>
        <stp/>
        <stp>BDP|10930969640240938319</stp>
        <tr r="F4484" s="2"/>
      </tp>
      <tp t="s">
        <v>#N/A N/A</v>
        <stp/>
        <stp>BDP|14858980962714533103</stp>
        <tr r="A2480" s="2"/>
      </tp>
      <tp t="s">
        <v>#N/A N/A</v>
        <stp/>
        <stp>BDP|17049142992607503642</stp>
        <tr r="G1447" s="2"/>
      </tp>
      <tp t="s">
        <v>#N/A N/A</v>
        <stp/>
        <stp>BDP|10232662112189337022</stp>
        <tr r="A4645" s="2"/>
      </tp>
      <tp t="s">
        <v>#N/A N/A</v>
        <stp/>
        <stp>BDP|13755588049684596843</stp>
        <tr r="G58" s="2"/>
      </tp>
      <tp t="s">
        <v>#N/A N/A</v>
        <stp/>
        <stp>BDP|11194736284151389127</stp>
        <tr r="B173" s="2"/>
      </tp>
      <tp t="s">
        <v>#N/A N/A</v>
        <stp/>
        <stp>BDP|12651943838687484199</stp>
        <tr r="G2199" s="2"/>
      </tp>
      <tp t="s">
        <v>#N/A N/A</v>
        <stp/>
        <stp>BDP|13493731656398098763</stp>
        <tr r="C2978" s="2"/>
      </tp>
      <tp t="s">
        <v>#N/A N/A</v>
        <stp/>
        <stp>BDP|10757941660700431101</stp>
        <tr r="H1367" s="2"/>
      </tp>
      <tp t="s">
        <v>#N/A N/A</v>
        <stp/>
        <stp>BDP|15524638908234992901</stp>
        <tr r="C2982" s="2"/>
      </tp>
      <tp t="s">
        <v>#N/A N/A</v>
        <stp/>
        <stp>BDP|13664145436269459674</stp>
        <tr r="H2267" s="2"/>
      </tp>
      <tp t="s">
        <v>#N/A N/A</v>
        <stp/>
        <stp>BDP|11487179882273021561</stp>
        <tr r="H2928" s="2"/>
      </tp>
      <tp t="s">
        <v>#N/A N/A</v>
        <stp/>
        <stp>BDP|13504110493650101516</stp>
        <tr r="I3798" s="2"/>
      </tp>
      <tp t="s">
        <v>#N/A N/A</v>
        <stp/>
        <stp>BDP|11759998297428691787</stp>
        <tr r="G470" s="2"/>
      </tp>
      <tp t="s">
        <v>#N/A N/A</v>
        <stp/>
        <stp>BDP|13414777297174389708</stp>
        <tr r="A4565" s="2"/>
      </tp>
      <tp t="s">
        <v>#N/A N/A</v>
        <stp/>
        <stp>BDP|17049412797696711266</stp>
        <tr r="I3232" s="2"/>
      </tp>
      <tp t="s">
        <v>#N/A N/A</v>
        <stp/>
        <stp>BDP|17777881097181819971</stp>
        <tr r="D3843" s="2"/>
      </tp>
      <tp t="s">
        <v>#N/A N/A</v>
        <stp/>
        <stp>BDP|13859431249695302865</stp>
        <tr r="A4195" s="2"/>
      </tp>
      <tp t="s">
        <v>#N/A N/A</v>
        <stp/>
        <stp>BDP|18373517651296162052</stp>
        <tr r="A416" s="2"/>
      </tp>
      <tp t="s">
        <v>#N/A N/A</v>
        <stp/>
        <stp>BDP|17653062963748557713</stp>
        <tr r="B4202" s="2"/>
      </tp>
      <tp t="s">
        <v>#N/A N/A</v>
        <stp/>
        <stp>BDP|13147232982547502025</stp>
        <tr r="H1489" s="2"/>
      </tp>
      <tp t="s">
        <v>#N/A N/A</v>
        <stp/>
        <stp>BDP|11757360485002547667</stp>
        <tr r="G3666" s="2"/>
      </tp>
      <tp t="s">
        <v>#N/A N/A</v>
        <stp/>
        <stp>BDP|17367126524208423266</stp>
        <tr r="G3836" s="2"/>
      </tp>
      <tp t="s">
        <v>#N/A N/A</v>
        <stp/>
        <stp>BDP|16079474861318778262</stp>
        <tr r="F494" s="2"/>
      </tp>
      <tp t="s">
        <v>#N/A N/A</v>
        <stp/>
        <stp>BDP|15294541068911143980</stp>
        <tr r="C2520" s="2"/>
      </tp>
      <tp t="s">
        <v>#N/A N/A</v>
        <stp/>
        <stp>BDP|14926930183079851262</stp>
        <tr r="A3117" s="2"/>
      </tp>
      <tp t="s">
        <v>#N/A N/A</v>
        <stp/>
        <stp>BDP|18058123714366679077</stp>
        <tr r="B3246" s="2"/>
      </tp>
      <tp t="s">
        <v>#N/A N/A</v>
        <stp/>
        <stp>BDP|10502824053634252712</stp>
        <tr r="C1658" s="2"/>
      </tp>
      <tp t="s">
        <v>#N/A N/A</v>
        <stp/>
        <stp>BDP|12725320263709478056</stp>
        <tr r="A4012" s="2"/>
      </tp>
      <tp t="s">
        <v>#N/A N/A</v>
        <stp/>
        <stp>BDP|16792323734870626804</stp>
        <tr r="A4614" s="2"/>
      </tp>
      <tp t="s">
        <v>#N/A N/A</v>
        <stp/>
        <stp>BDP|16065278726400183876</stp>
        <tr r="A4806" s="2"/>
      </tp>
      <tp t="s">
        <v>#N/A N/A</v>
        <stp/>
        <stp>BDP|10780359717414725853</stp>
        <tr r="B4751" s="2"/>
      </tp>
      <tp t="s">
        <v>#N/A N/A</v>
        <stp/>
        <stp>BDP|15706763583062547603</stp>
        <tr r="D476" s="2"/>
      </tp>
      <tp t="s">
        <v>#N/A N/A</v>
        <stp/>
        <stp>BDP|18071996509998026761</stp>
        <tr r="B2619" s="2"/>
      </tp>
      <tp t="s">
        <v>#N/A N/A</v>
        <stp/>
        <stp>BDP|15567331061877274933</stp>
        <tr r="G2879" s="2"/>
      </tp>
      <tp t="s">
        <v>#N/A N/A</v>
        <stp/>
        <stp>BDP|18080772504747105646</stp>
        <tr r="I4599" s="2"/>
      </tp>
      <tp t="s">
        <v>#N/A N/A</v>
        <stp/>
        <stp>BDP|10254001887800651653</stp>
        <tr r="D3867" s="2"/>
      </tp>
      <tp t="s">
        <v>#N/A N/A</v>
        <stp/>
        <stp>BDP|16073837903859016963</stp>
        <tr r="D711" s="2"/>
      </tp>
      <tp t="s">
        <v>#N/A N/A</v>
        <stp/>
        <stp>BDP|17866998240152602615</stp>
        <tr r="D1910" s="2"/>
      </tp>
      <tp t="s">
        <v>#N/A N/A</v>
        <stp/>
        <stp>BDP|10604919621772547750</stp>
        <tr r="G4294" s="2"/>
      </tp>
      <tp t="s">
        <v>#N/A N/A</v>
        <stp/>
        <stp>BDP|17160111929042661898</stp>
        <tr r="F4575" s="2"/>
      </tp>
      <tp t="s">
        <v>#N/A N/A</v>
        <stp/>
        <stp>BDP|16764325930548267019</stp>
        <tr r="H2794" s="2"/>
      </tp>
      <tp t="s">
        <v>#N/A N/A</v>
        <stp/>
        <stp>BDP|10593845171639329851</stp>
        <tr r="D410" s="2"/>
      </tp>
      <tp t="s">
        <v>#N/A N/A</v>
        <stp/>
        <stp>BDP|13574079730536424800</stp>
        <tr r="C917" s="2"/>
      </tp>
      <tp t="s">
        <v>#N/A N/A</v>
        <stp/>
        <stp>BDP|10964232388637337378</stp>
        <tr r="D1706" s="2"/>
      </tp>
      <tp t="s">
        <v>#N/A N/A</v>
        <stp/>
        <stp>BDP|17088323025251855994</stp>
        <tr r="D4356" s="2"/>
      </tp>
      <tp t="s">
        <v>#N/A N/A</v>
        <stp/>
        <stp>BDP|10728874251812269150</stp>
        <tr r="H185" s="2"/>
      </tp>
      <tp t="s">
        <v>#N/A N/A</v>
        <stp/>
        <stp>BDP|16622882586869923172</stp>
        <tr r="G3321" s="2"/>
      </tp>
      <tp t="s">
        <v>#N/A N/A</v>
        <stp/>
        <stp>BDP|13169206535395059929</stp>
        <tr r="G32" s="2"/>
      </tp>
      <tp t="s">
        <v>#N/A N/A</v>
        <stp/>
        <stp>BDP|15222800633094743409</stp>
        <tr r="F3433" s="2"/>
      </tp>
      <tp t="s">
        <v>#N/A N/A</v>
        <stp/>
        <stp>BDP|16784636055558578323</stp>
        <tr r="C1703" s="2"/>
      </tp>
      <tp t="s">
        <v>#N/A N/A</v>
        <stp/>
        <stp>BDP|13451361180037389173</stp>
        <tr r="I1427" s="2"/>
      </tp>
      <tp t="s">
        <v>#N/A N/A</v>
        <stp/>
        <stp>BDP|18309080673045881467</stp>
        <tr r="A2985" s="2"/>
      </tp>
      <tp t="s">
        <v>#N/A N/A</v>
        <stp/>
        <stp>BDP|12592212292557650064</stp>
        <tr r="B1582" s="2"/>
      </tp>
      <tp t="s">
        <v>#N/A N/A</v>
        <stp/>
        <stp>BDP|17256913007595398515</stp>
        <tr r="H2719" s="2"/>
      </tp>
      <tp t="s">
        <v>#N/A N/A</v>
        <stp/>
        <stp>BDP|14030625217645464879</stp>
        <tr r="D4342" s="2"/>
      </tp>
      <tp t="s">
        <v>#N/A N/A</v>
        <stp/>
        <stp>BDP|15618229892783414340</stp>
        <tr r="C4898" s="2"/>
      </tp>
      <tp t="s">
        <v>#N/A N/A</v>
        <stp/>
        <stp>BDP|13439839102966574369</stp>
        <tr r="G2481" s="2"/>
      </tp>
      <tp t="s">
        <v>#N/A N/A</v>
        <stp/>
        <stp>BDP|16049977824360540309</stp>
        <tr r="D1881" s="2"/>
      </tp>
      <tp t="s">
        <v>#N/A N/A</v>
        <stp/>
        <stp>BDP|14401205181419488975</stp>
        <tr r="D3447" s="2"/>
      </tp>
      <tp t="s">
        <v>#N/A N/A</v>
        <stp/>
        <stp>BDP|11837748722489122391</stp>
        <tr r="H2855" s="2"/>
      </tp>
      <tp t="s">
        <v>#N/A N/A</v>
        <stp/>
        <stp>BDP|16511904199911290989</stp>
        <tr r="G2666" s="2"/>
      </tp>
      <tp t="s">
        <v>#N/A N/A</v>
        <stp/>
        <stp>BDP|12486096383351933512</stp>
        <tr r="H2974" s="2"/>
      </tp>
      <tp t="s">
        <v>#N/A N/A</v>
        <stp/>
        <stp>BDP|12304655935439271075</stp>
        <tr r="A635" s="2"/>
      </tp>
      <tp t="s">
        <v>#N/A N/A</v>
        <stp/>
        <stp>BDP|12700653745177030912</stp>
        <tr r="F1001" s="2"/>
      </tp>
      <tp t="s">
        <v>#N/A N/A</v>
        <stp/>
        <stp>BDP|15270851741354372331</stp>
        <tr r="A1830" s="2"/>
      </tp>
      <tp t="s">
        <v>#N/A N/A</v>
        <stp/>
        <stp>BDP|18288490435815133491</stp>
        <tr r="H2581" s="2"/>
      </tp>
      <tp t="s">
        <v>#N/A N/A</v>
        <stp/>
        <stp>BDP|14762273726888385237</stp>
        <tr r="F1080" s="2"/>
      </tp>
      <tp t="s">
        <v>#N/A N/A</v>
        <stp/>
        <stp>BDP|14531854562881787535</stp>
        <tr r="A4489" s="2"/>
      </tp>
      <tp t="s">
        <v>#N/A N/A</v>
        <stp/>
        <stp>BDP|10822022644443805906</stp>
        <tr r="H4446" s="2"/>
      </tp>
      <tp t="s">
        <v>#N/A N/A</v>
        <stp/>
        <stp>BDP|11995868069967696663</stp>
        <tr r="D2046" s="2"/>
      </tp>
      <tp t="s">
        <v>#N/A N/A</v>
        <stp/>
        <stp>BDP|13735841478512432096</stp>
        <tr r="C274" s="2"/>
      </tp>
      <tp t="s">
        <v>#N/A N/A</v>
        <stp/>
        <stp>BDP|14915926429900693125</stp>
        <tr r="G2625" s="2"/>
      </tp>
      <tp t="s">
        <v>#N/A N/A</v>
        <stp/>
        <stp>BDP|14503847354590355706</stp>
        <tr r="H4735" s="2"/>
      </tp>
      <tp t="s">
        <v>#N/A N/A</v>
        <stp/>
        <stp>BDP|11839204158431201942</stp>
        <tr r="F3742" s="2"/>
      </tp>
      <tp t="s">
        <v>#N/A N/A</v>
        <stp/>
        <stp>BDP|14758738394722725618</stp>
        <tr r="H2178" s="2"/>
      </tp>
      <tp t="s">
        <v>#N/A N/A</v>
        <stp/>
        <stp>BDP|15071052631580125832</stp>
        <tr r="I3799" s="2"/>
      </tp>
      <tp t="s">
        <v>#N/A N/A</v>
        <stp/>
        <stp>BDP|11459617254689023576</stp>
        <tr r="H2403" s="2"/>
      </tp>
      <tp t="s">
        <v>#N/A N/A</v>
        <stp/>
        <stp>BDP|17850894756631661576</stp>
        <tr r="C241" s="2"/>
      </tp>
      <tp t="s">
        <v>#N/A N/A</v>
        <stp/>
        <stp>BDP|15713035055047453936</stp>
        <tr r="F862" s="2"/>
      </tp>
      <tp t="s">
        <v>#N/A N/A</v>
        <stp/>
        <stp>BDP|13507459299160764089</stp>
        <tr r="H90" s="2"/>
      </tp>
      <tp t="s">
        <v>#N/A N/A</v>
        <stp/>
        <stp>BDP|15437934276504634116</stp>
        <tr r="D3431" s="2"/>
      </tp>
      <tp t="s">
        <v>#N/A N/A</v>
        <stp/>
        <stp>BDP|17404805204249091869</stp>
        <tr r="I4057" s="2"/>
      </tp>
      <tp t="s">
        <v>#N/A N/A</v>
        <stp/>
        <stp>BDP|10325337841508216157</stp>
        <tr r="H251" s="2"/>
      </tp>
      <tp t="s">
        <v>#N/A N/A</v>
        <stp/>
        <stp>BDP|12520954632425275363</stp>
        <tr r="D1616" s="2"/>
      </tp>
      <tp t="s">
        <v>#N/A N/A</v>
        <stp/>
        <stp>BDP|11239264510068538472</stp>
        <tr r="C4090" s="2"/>
      </tp>
      <tp t="s">
        <v>#N/A N/A</v>
        <stp/>
        <stp>BDP|12639622868185335996</stp>
        <tr r="B1643" s="2"/>
      </tp>
      <tp t="s">
        <v>#N/A N/A</v>
        <stp/>
        <stp>BDP|11766300880425927185</stp>
        <tr r="D2323" s="2"/>
      </tp>
      <tp t="s">
        <v>#N/A N/A</v>
        <stp/>
        <stp>BDP|15257121291115043674</stp>
        <tr r="A435" s="2"/>
      </tp>
      <tp t="s">
        <v>#N/A N/A</v>
        <stp/>
        <stp>BDP|17354866626013434015</stp>
        <tr r="G4901" s="2"/>
      </tp>
      <tp t="s">
        <v>#N/A N/A</v>
        <stp/>
        <stp>BDP|16248954630496956484</stp>
        <tr r="G2990" s="2"/>
      </tp>
      <tp t="s">
        <v>#N/A N/A</v>
        <stp/>
        <stp>BDP|15917486480047664014</stp>
        <tr r="F331" s="2"/>
      </tp>
      <tp t="s">
        <v>#N/A N/A</v>
        <stp/>
        <stp>BDP|16451921883339706043</stp>
        <tr r="I3995" s="2"/>
      </tp>
      <tp t="s">
        <v>#N/A N/A</v>
        <stp/>
        <stp>BDP|14008030592955757608</stp>
        <tr r="C2700" s="2"/>
      </tp>
      <tp t="s">
        <v>#N/A N/A</v>
        <stp/>
        <stp>BDP|10125120891135355372</stp>
        <tr r="H2187" s="2"/>
      </tp>
      <tp t="s">
        <v>#N/A N/A</v>
        <stp/>
        <stp>BDP|15953583279099942076</stp>
        <tr r="F4920" s="2"/>
      </tp>
      <tp t="s">
        <v>#N/A N/A</v>
        <stp/>
        <stp>BDP|11615223527358362763</stp>
        <tr r="C828" s="2"/>
      </tp>
      <tp t="s">
        <v>#N/A N/A</v>
        <stp/>
        <stp>BDP|13736068666949943282</stp>
        <tr r="I1544" s="2"/>
      </tp>
      <tp t="s">
        <v>#N/A N/A</v>
        <stp/>
        <stp>BDP|10351748584274231578</stp>
        <tr r="G1542" s="2"/>
      </tp>
      <tp t="s">
        <v>#N/A N/A</v>
        <stp/>
        <stp>BDP|14083966771156833298</stp>
        <tr r="F3140" s="2"/>
      </tp>
      <tp t="s">
        <v>#N/A N/A</v>
        <stp/>
        <stp>BDP|15615281643055633928</stp>
        <tr r="D4908" s="2"/>
      </tp>
      <tp t="s">
        <v>#N/A N/A</v>
        <stp/>
        <stp>BDP|10389943934106347395</stp>
        <tr r="G2280" s="2"/>
      </tp>
      <tp t="s">
        <v>#N/A N/A</v>
        <stp/>
        <stp>BDP|10338929923143334783</stp>
        <tr r="A4797" s="2"/>
      </tp>
      <tp t="s">
        <v>#N/A N/A</v>
        <stp/>
        <stp>BDP|12327208935858996461</stp>
        <tr r="B1835" s="2"/>
      </tp>
      <tp t="s">
        <v>#N/A N/A</v>
        <stp/>
        <stp>BDP|15819429543832790873</stp>
        <tr r="D709" s="2"/>
      </tp>
      <tp t="s">
        <v>#N/A N/A</v>
        <stp/>
        <stp>BDP|16664598285622502662</stp>
        <tr r="B1061" s="2"/>
      </tp>
      <tp t="s">
        <v>#N/A N/A</v>
        <stp/>
        <stp>BDP|10918726795856560720</stp>
        <tr r="C923" s="2"/>
      </tp>
      <tp t="s">
        <v>#N/A N/A</v>
        <stp/>
        <stp>BDP|17773194636092839899</stp>
        <tr r="I2809" s="2"/>
      </tp>
      <tp t="s">
        <v>#N/A N/A</v>
        <stp/>
        <stp>BDP|10368110794150868778</stp>
        <tr r="I3593" s="2"/>
      </tp>
      <tp t="s">
        <v>#N/A N/A</v>
        <stp/>
        <stp>BDP|12693620841469855640</stp>
        <tr r="D1260" s="2"/>
      </tp>
      <tp t="s">
        <v>#N/A N/A</v>
        <stp/>
        <stp>BDP|15360912454161694794</stp>
        <tr r="H291" s="2"/>
      </tp>
      <tp t="s">
        <v>#N/A N/A</v>
        <stp/>
        <stp>BDP|12638809308167550221</stp>
        <tr r="C3158" s="2"/>
      </tp>
      <tp t="s">
        <v>#N/A N/A</v>
        <stp/>
        <stp>BDP|14405667547601588896</stp>
        <tr r="D2989" s="2"/>
      </tp>
      <tp t="s">
        <v>#N/A N/A</v>
        <stp/>
        <stp>BDP|13059096186817402324</stp>
        <tr r="D2189" s="2"/>
      </tp>
      <tp t="s">
        <v>#N/A N/A</v>
        <stp/>
        <stp>BDP|18048984367930103876</stp>
        <tr r="F3854" s="2"/>
      </tp>
      <tp t="s">
        <v>#N/A N/A</v>
        <stp/>
        <stp>BDP|13939848828356450082</stp>
        <tr r="F3243" s="2"/>
      </tp>
      <tp t="s">
        <v>#N/A N/A</v>
        <stp/>
        <stp>BDP|10014388313505770854</stp>
        <tr r="I2751" s="2"/>
      </tp>
      <tp t="s">
        <v>#N/A N/A</v>
        <stp/>
        <stp>BDP|10898486488540038316</stp>
        <tr r="I4013" s="2"/>
      </tp>
      <tp t="s">
        <v>#N/A N/A</v>
        <stp/>
        <stp>BDP|18045370154330919138</stp>
        <tr r="B2812" s="2"/>
      </tp>
      <tp t="s">
        <v>#N/A N/A</v>
        <stp/>
        <stp>BDP|16918176475486353918</stp>
        <tr r="B1670" s="2"/>
      </tp>
      <tp t="s">
        <v>#N/A N/A</v>
        <stp/>
        <stp>BDP|10887749354525189801</stp>
        <tr r="I3427" s="2"/>
      </tp>
      <tp t="s">
        <v>#N/A N/A</v>
        <stp/>
        <stp>BDP|17852893075051499692</stp>
        <tr r="F273" s="2"/>
      </tp>
      <tp t="s">
        <v>#N/A N/A</v>
        <stp/>
        <stp>BDP|12888664700019717200</stp>
        <tr r="H2309" s="2"/>
      </tp>
      <tp t="s">
        <v>#N/A N/A</v>
        <stp/>
        <stp>BDP|11681760288531708060</stp>
        <tr r="G4511" s="2"/>
      </tp>
      <tp t="s">
        <v>#N/A N/A</v>
        <stp/>
        <stp>BDP|12660997157730526149</stp>
        <tr r="B2868" s="2"/>
      </tp>
      <tp t="s">
        <v>#N/A N/A</v>
        <stp/>
        <stp>BDP|13217539146589681489</stp>
        <tr r="D420" s="2"/>
      </tp>
      <tp t="s">
        <v>#N/A N/A</v>
        <stp/>
        <stp>BDP|10897035973921186901</stp>
        <tr r="G3182" s="2"/>
      </tp>
      <tp t="s">
        <v>#N/A N/A</v>
        <stp/>
        <stp>BDP|18353199261458554871</stp>
        <tr r="C203" s="2"/>
      </tp>
      <tp t="s">
        <v>#N/A N/A</v>
        <stp/>
        <stp>BDP|14975801940871348636</stp>
        <tr r="C2124" s="2"/>
      </tp>
      <tp t="s">
        <v>#N/A N/A</v>
        <stp/>
        <stp>BDP|15818439097912377565</stp>
        <tr r="G1502" s="2"/>
      </tp>
      <tp t="s">
        <v>#N/A N/A</v>
        <stp/>
        <stp>BDP|13223993338946390092</stp>
        <tr r="F3095" s="2"/>
      </tp>
      <tp t="s">
        <v>#N/A N/A</v>
        <stp/>
        <stp>BDP|14200001717403550993</stp>
        <tr r="G300" s="2"/>
      </tp>
      <tp t="s">
        <v>#N/A N/A</v>
        <stp/>
        <stp>BDP|18396610159244604048</stp>
        <tr r="B4842" s="2"/>
      </tp>
      <tp t="s">
        <v>#N/A N/A</v>
        <stp/>
        <stp>BDP|18014780735330002341</stp>
        <tr r="C4341" s="2"/>
      </tp>
      <tp t="s">
        <v>#N/A N/A</v>
        <stp/>
        <stp>BDP|16877024613489672162</stp>
        <tr r="C3006" s="2"/>
      </tp>
      <tp t="s">
        <v>#N/A N/A</v>
        <stp/>
        <stp>BDP|15145033998493750044</stp>
        <tr r="B4991" s="2"/>
      </tp>
      <tp t="s">
        <v>#N/A N/A</v>
        <stp/>
        <stp>BDP|11862991848961077208</stp>
        <tr r="A3068" s="2"/>
      </tp>
      <tp t="s">
        <v>#N/A N/A</v>
        <stp/>
        <stp>BDP|11341025576480826966</stp>
        <tr r="H3494" s="2"/>
      </tp>
      <tp t="s">
        <v>#N/A N/A</v>
        <stp/>
        <stp>BDP|14715621117455870932</stp>
        <tr r="G3635" s="2"/>
      </tp>
      <tp t="s">
        <v>#N/A N/A</v>
        <stp/>
        <stp>BDP|15494988386273743846</stp>
        <tr r="H2487" s="2"/>
      </tp>
      <tp t="s">
        <v>#N/A N/A</v>
        <stp/>
        <stp>BDP|13802394671298045092</stp>
        <tr r="H3183" s="2"/>
      </tp>
      <tp t="s">
        <v>#N/A N/A</v>
        <stp/>
        <stp>BDP|16560887141313746626</stp>
        <tr r="C2500" s="2"/>
      </tp>
      <tp t="s">
        <v>#N/A N/A</v>
        <stp/>
        <stp>BDP|13552148706749780492</stp>
        <tr r="G3720" s="2"/>
      </tp>
      <tp t="s">
        <v>#N/A N/A</v>
        <stp/>
        <stp>BDP|14482843770880037497</stp>
        <tr r="A3965" s="2"/>
      </tp>
      <tp t="s">
        <v>#N/A N/A</v>
        <stp/>
        <stp>BDP|18059352529517547101</stp>
        <tr r="C3879" s="2"/>
      </tp>
      <tp t="s">
        <v>#N/A N/A</v>
        <stp/>
        <stp>BDP|10876290582300846527</stp>
        <tr r="G2048" s="2"/>
      </tp>
      <tp t="s">
        <v>#N/A N/A</v>
        <stp/>
        <stp>BDP|11329537891771050380</stp>
        <tr r="F4636" s="2"/>
      </tp>
      <tp t="s">
        <v>#N/A N/A</v>
        <stp/>
        <stp>BDP|13625247748262329803</stp>
        <tr r="H2525" s="2"/>
      </tp>
      <tp t="s">
        <v>#N/A N/A</v>
        <stp/>
        <stp>BDP|11891792690340978019</stp>
        <tr r="B1747" s="2"/>
      </tp>
      <tp t="s">
        <v>#N/A N/A</v>
        <stp/>
        <stp>BDP|10673411981017774484</stp>
        <tr r="I2476" s="2"/>
      </tp>
      <tp t="s">
        <v>#N/A N/A</v>
        <stp/>
        <stp>BDP|16394181043078690475</stp>
        <tr r="C687" s="2"/>
      </tp>
      <tp t="s">
        <v>#N/A N/A</v>
        <stp/>
        <stp>BDP|17114441504228860400</stp>
        <tr r="G4074" s="2"/>
      </tp>
      <tp t="s">
        <v>#N/A N/A</v>
        <stp/>
        <stp>BDP|14899568986143529559</stp>
        <tr r="A1535" s="2"/>
      </tp>
      <tp t="s">
        <v>#N/A N/A</v>
        <stp/>
        <stp>BDP|13891572787523840281</stp>
        <tr r="A114" s="2"/>
      </tp>
      <tp t="s">
        <v>#N/A N/A</v>
        <stp/>
        <stp>BDP|13332416983842165281</stp>
        <tr r="A4053" s="2"/>
      </tp>
      <tp t="s">
        <v>#N/A N/A</v>
        <stp/>
        <stp>BDP|10477662217811974940</stp>
        <tr r="F1524" s="2"/>
      </tp>
      <tp t="s">
        <v>#N/A N/A</v>
        <stp/>
        <stp>BDP|11782222621757962951</stp>
        <tr r="F954" s="2"/>
      </tp>
      <tp t="s">
        <v>#N/A N/A</v>
        <stp/>
        <stp>BDP|11138172493927921143</stp>
        <tr r="B4246" s="2"/>
      </tp>
      <tp t="s">
        <v>#N/A N/A</v>
        <stp/>
        <stp>BDP|17443549544408879147</stp>
        <tr r="I2757" s="2"/>
      </tp>
      <tp t="s">
        <v>#N/A N/A</v>
        <stp/>
        <stp>BDP|18390942756069068294</stp>
        <tr r="D4033" s="2"/>
      </tp>
      <tp t="s">
        <v>#N/A N/A</v>
        <stp/>
        <stp>BDP|11865694296485965468</stp>
        <tr r="C2215" s="2"/>
      </tp>
      <tp t="s">
        <v>#N/A N/A</v>
        <stp/>
        <stp>BDP|17642231009302268868</stp>
        <tr r="G3303" s="2"/>
      </tp>
      <tp t="s">
        <v>#N/A N/A</v>
        <stp/>
        <stp>BDP|11051332303205157898</stp>
        <tr r="F559" s="2"/>
      </tp>
      <tp t="s">
        <v>#N/A N/A</v>
        <stp/>
        <stp>BDP|14436389615858521148</stp>
        <tr r="A3165" s="2"/>
      </tp>
      <tp t="s">
        <v>#N/A N/A</v>
        <stp/>
        <stp>BDP|15166742676403880930</stp>
        <tr r="F2125" s="2"/>
      </tp>
      <tp t="s">
        <v>#N/A N/A</v>
        <stp/>
        <stp>BDP|18105712760440995617</stp>
        <tr r="G947" s="2"/>
      </tp>
      <tp t="s">
        <v>#N/A N/A</v>
        <stp/>
        <stp>BDP|16127724022938988408</stp>
        <tr r="D3534" s="2"/>
      </tp>
      <tp t="s">
        <v>#N/A N/A</v>
        <stp/>
        <stp>BDP|15890933513494662667</stp>
        <tr r="A3396" s="2"/>
      </tp>
      <tp t="s">
        <v>#N/A N/A</v>
        <stp/>
        <stp>BDP|16000990240656399220</stp>
        <tr r="C2557" s="2"/>
      </tp>
      <tp t="s">
        <v>#N/A N/A</v>
        <stp/>
        <stp>BDP|18151062959906046465</stp>
        <tr r="F4236" s="2"/>
      </tp>
      <tp t="s">
        <v>#N/A N/A</v>
        <stp/>
        <stp>BDP|18221766093001987863</stp>
        <tr r="I3366" s="2"/>
      </tp>
      <tp t="s">
        <v>#N/A N/A</v>
        <stp/>
        <stp>BDP|13780922435536914011</stp>
        <tr r="B2611" s="2"/>
      </tp>
      <tp t="s">
        <v>#N/A N/A</v>
        <stp/>
        <stp>BDP|13479498302169559125</stp>
        <tr r="B2135" s="2"/>
      </tp>
      <tp t="s">
        <v>#N/A N/A</v>
        <stp/>
        <stp>BDP|17750183988477982667</stp>
        <tr r="B752" s="2"/>
      </tp>
      <tp t="s">
        <v>#N/A N/A</v>
        <stp/>
        <stp>BDP|14277129983505901726</stp>
        <tr r="G3248" s="2"/>
      </tp>
      <tp t="s">
        <v>#N/A N/A</v>
        <stp/>
        <stp>BDP|12682974428565818395</stp>
        <tr r="D153" s="2"/>
      </tp>
      <tp t="s">
        <v>#N/A N/A</v>
        <stp/>
        <stp>BDP|14349919929933681351</stp>
        <tr r="B3786" s="2"/>
      </tp>
      <tp t="s">
        <v>#N/A N/A</v>
        <stp/>
        <stp>BDP|18187402022764893539</stp>
        <tr r="C809" s="2"/>
      </tp>
      <tp t="s">
        <v>#N/A N/A</v>
        <stp/>
        <stp>BDP|14330974836785348498</stp>
        <tr r="C4083" s="2"/>
      </tp>
      <tp t="s">
        <v>#N/A N/A</v>
        <stp/>
        <stp>BDP|16270882444522040768</stp>
        <tr r="F1519" s="2"/>
      </tp>
      <tp t="s">
        <v>#N/A N/A</v>
        <stp/>
        <stp>BDP|14153007020809971001</stp>
        <tr r="D4120" s="2"/>
      </tp>
      <tp t="s">
        <v>#N/A N/A</v>
        <stp/>
        <stp>BDP|13823190466908699391</stp>
        <tr r="H2655" s="2"/>
      </tp>
      <tp t="s">
        <v>#N/A N/A</v>
        <stp/>
        <stp>BDP|18434633830275773786</stp>
        <tr r="I4070" s="2"/>
      </tp>
      <tp t="s">
        <v>#N/A N/A</v>
        <stp/>
        <stp>BDP|14655830729559560815</stp>
        <tr r="I668" s="2"/>
      </tp>
      <tp t="s">
        <v>#N/A N/A</v>
        <stp/>
        <stp>BDP|16597023128849632212</stp>
        <tr r="B4362" s="2"/>
      </tp>
      <tp t="s">
        <v>#N/A N/A</v>
        <stp/>
        <stp>BDP|12005591929108905212</stp>
        <tr r="A4508" s="2"/>
      </tp>
      <tp t="s">
        <v>#N/A N/A</v>
        <stp/>
        <stp>BDP|17027359820440892954</stp>
        <tr r="G3214" s="2"/>
      </tp>
      <tp t="s">
        <v>#N/A N/A</v>
        <stp/>
        <stp>BDP|16700323782755777781</stp>
        <tr r="I369" s="2"/>
      </tp>
      <tp t="s">
        <v>#N/A N/A</v>
        <stp/>
        <stp>BDP|13296936170643033198</stp>
        <tr r="B1922" s="2"/>
      </tp>
      <tp t="s">
        <v>#N/A N/A</v>
        <stp/>
        <stp>BDP|11192113221988161584</stp>
        <tr r="F224" s="2"/>
      </tp>
      <tp t="s">
        <v>#N/A N/A</v>
        <stp/>
        <stp>BDP|12669445828669436267</stp>
        <tr r="D4750" s="2"/>
      </tp>
      <tp t="s">
        <v>#N/A N/A</v>
        <stp/>
        <stp>BDP|10954413496612361057</stp>
        <tr r="I776" s="2"/>
      </tp>
      <tp t="s">
        <v>#N/A N/A</v>
        <stp/>
        <stp>BDP|12101966079043669000</stp>
        <tr r="H182" s="2"/>
      </tp>
      <tp t="s">
        <v>#N/A N/A</v>
        <stp/>
        <stp>BDP|11471015674088055197</stp>
        <tr r="I4111" s="2"/>
      </tp>
      <tp t="s">
        <v>#N/A N/A</v>
        <stp/>
        <stp>BDP|12043494328812004998</stp>
        <tr r="A4960" s="2"/>
      </tp>
      <tp t="s">
        <v>#N/A N/A</v>
        <stp/>
        <stp>BDP|16546086746429122424</stp>
        <tr r="A2687" s="2"/>
      </tp>
      <tp t="s">
        <v>#N/A N/A</v>
        <stp/>
        <stp>BDP|14629902016692022184</stp>
        <tr r="C4892" s="2"/>
      </tp>
      <tp t="s">
        <v>#N/A N/A</v>
        <stp/>
        <stp>BDP|10902542696114350701</stp>
        <tr r="H3040" s="2"/>
      </tp>
      <tp t="s">
        <v>#N/A N/A</v>
        <stp/>
        <stp>BDP|12561933068466640402</stp>
        <tr r="F3188" s="2"/>
      </tp>
      <tp t="s">
        <v>#N/A N/A</v>
        <stp/>
        <stp>BDP|15583488636675265817</stp>
        <tr r="F1304" s="2"/>
      </tp>
      <tp t="s">
        <v>#N/A N/A</v>
        <stp/>
        <stp>BDP|11950543708312417993</stp>
        <tr r="B930" s="2"/>
      </tp>
      <tp t="s">
        <v>#N/A N/A</v>
        <stp/>
        <stp>BDP|11055484570378605565</stp>
        <tr r="D4479" s="2"/>
      </tp>
      <tp t="s">
        <v>#N/A N/A</v>
        <stp/>
        <stp>BDP|13636885961253606112</stp>
        <tr r="G599" s="2"/>
      </tp>
      <tp t="s">
        <v>#N/A N/A</v>
        <stp/>
        <stp>BDP|15634363997043936365</stp>
        <tr r="I2444" s="2"/>
      </tp>
      <tp t="s">
        <v>#N/A N/A</v>
        <stp/>
        <stp>BDP|15089906989448591345</stp>
        <tr r="A4187" s="2"/>
      </tp>
      <tp t="s">
        <v>#N/A N/A</v>
        <stp/>
        <stp>BDP|16674093208531645893</stp>
        <tr r="D2229" s="2"/>
      </tp>
      <tp t="s">
        <v>#N/A N/A</v>
        <stp/>
        <stp>BDP|15469438733028495582</stp>
        <tr r="B3211" s="2"/>
      </tp>
      <tp t="s">
        <v>#N/A N/A</v>
        <stp/>
        <stp>BDP|13785849352569068897</stp>
        <tr r="H1393" s="2"/>
      </tp>
      <tp t="s">
        <v>#N/A N/A</v>
        <stp/>
        <stp>BDP|14103926041506859023</stp>
        <tr r="H4277" s="2"/>
      </tp>
      <tp t="s">
        <v>#N/A N/A</v>
        <stp/>
        <stp>BDP|12628731130181578881</stp>
        <tr r="G4287" s="2"/>
      </tp>
      <tp t="s">
        <v>#N/A N/A</v>
        <stp/>
        <stp>BDP|16640142999395557464</stp>
        <tr r="I731" s="2"/>
      </tp>
      <tp t="s">
        <v>#N/A N/A</v>
        <stp/>
        <stp>BDP|11100937868380099116</stp>
        <tr r="C4062" s="2"/>
      </tp>
      <tp t="s">
        <v>#N/A N/A</v>
        <stp/>
        <stp>BDP|15759954470564991006</stp>
        <tr r="D2255" s="2"/>
      </tp>
      <tp t="s">
        <v>#N/A N/A</v>
        <stp/>
        <stp>BDP|10360212427787684881</stp>
        <tr r="C3450" s="2"/>
      </tp>
      <tp t="s">
        <v>#N/A N/A</v>
        <stp/>
        <stp>BDP|10706993777523092225</stp>
        <tr r="A4198" s="2"/>
      </tp>
      <tp t="s">
        <v>#N/A N/A</v>
        <stp/>
        <stp>BDP|10570800408125596235</stp>
        <tr r="C2439" s="2"/>
      </tp>
      <tp t="s">
        <v>#N/A N/A</v>
        <stp/>
        <stp>BDP|14159862348922058541</stp>
        <tr r="I339" s="2"/>
      </tp>
      <tp t="s">
        <v>#N/A N/A</v>
        <stp/>
        <stp>BDP|18301549929420254071</stp>
        <tr r="F511" s="2"/>
      </tp>
      <tp t="s">
        <v>#N/A N/A</v>
        <stp/>
        <stp>BDP|13888679817808745345</stp>
        <tr r="I855" s="2"/>
      </tp>
      <tp t="s">
        <v>#N/A N/A</v>
        <stp/>
        <stp>BDP|15756903529825135445</stp>
        <tr r="H3981" s="2"/>
      </tp>
      <tp t="s">
        <v>#N/A N/A</v>
        <stp/>
        <stp>BDP|17944350131778342058</stp>
        <tr r="I2697" s="2"/>
      </tp>
      <tp t="s">
        <v>#N/A N/A</v>
        <stp/>
        <stp>BDP|17598037631628840342</stp>
        <tr r="B4481" s="2"/>
      </tp>
      <tp t="s">
        <v>#N/A N/A</v>
        <stp/>
        <stp>BDP|16253067355919968533</stp>
        <tr r="F1962" s="2"/>
      </tp>
      <tp t="s">
        <v>#N/A N/A</v>
        <stp/>
        <stp>BDP|16798945298078974195</stp>
        <tr r="H92" s="2"/>
      </tp>
      <tp t="s">
        <v>#N/A N/A</v>
        <stp/>
        <stp>BDP|13846342297983479546</stp>
        <tr r="G3630" s="2"/>
      </tp>
      <tp t="s">
        <v>#N/A N/A</v>
        <stp/>
        <stp>BDP|11692914148353052045</stp>
        <tr r="A2121" s="2"/>
      </tp>
      <tp t="s">
        <v>#N/A N/A</v>
        <stp/>
        <stp>BDP|15330148146898358798</stp>
        <tr r="C1734" s="2"/>
      </tp>
      <tp t="s">
        <v>#N/A N/A</v>
        <stp/>
        <stp>BDP|12860863143551767018</stp>
        <tr r="G4937" s="2"/>
      </tp>
      <tp t="s">
        <v>#N/A N/A</v>
        <stp/>
        <stp>BDP|12421967679633168018</stp>
        <tr r="A1203" s="2"/>
      </tp>
      <tp t="s">
        <v>#N/A N/A</v>
        <stp/>
        <stp>BDP|10033899643552548146</stp>
        <tr r="G1792" s="2"/>
      </tp>
      <tp t="s">
        <v>#N/A N/A</v>
        <stp/>
        <stp>BDP|17870333101153184800</stp>
        <tr r="D974" s="2"/>
      </tp>
      <tp t="s">
        <v>#N/A N/A</v>
        <stp/>
        <stp>BDP|10798923871773775287</stp>
        <tr r="H4938" s="2"/>
      </tp>
      <tp t="s">
        <v>#N/A N/A</v>
        <stp/>
        <stp>BDP|11814723981871307036</stp>
        <tr r="F2061" s="2"/>
      </tp>
      <tp t="s">
        <v>#N/A N/A</v>
        <stp/>
        <stp>BDP|14470292895802196228</stp>
        <tr r="A4067" s="2"/>
      </tp>
      <tp t="s">
        <v>#N/A N/A</v>
        <stp/>
        <stp>BDP|13819668764589563546</stp>
        <tr r="A1585" s="2"/>
      </tp>
      <tp t="s">
        <v>#N/A N/A</v>
        <stp/>
        <stp>BDP|13970818353770729179</stp>
        <tr r="H4738" s="2"/>
      </tp>
      <tp t="s">
        <v>#N/A N/A</v>
        <stp/>
        <stp>BDP|15260024938061423873</stp>
        <tr r="D675" s="2"/>
      </tp>
      <tp t="s">
        <v>#N/A N/A</v>
        <stp/>
        <stp>BDP|15152040084491375395</stp>
        <tr r="F2269" s="2"/>
      </tp>
      <tp t="s">
        <v>#N/A N/A</v>
        <stp/>
        <stp>BDP|11246799781130166109</stp>
        <tr r="A4618" s="2"/>
      </tp>
      <tp t="s">
        <v>#N/A N/A</v>
        <stp/>
        <stp>BDP|10906227625816747928</stp>
        <tr r="G4016" s="2"/>
      </tp>
      <tp t="s">
        <v>#N/A N/A</v>
        <stp/>
        <stp>BDP|10887044337918865480</stp>
        <tr r="G991" s="2"/>
      </tp>
      <tp t="s">
        <v>#N/A N/A</v>
        <stp/>
        <stp>BDP|11816335292507248307</stp>
        <tr r="I3398" s="2"/>
      </tp>
      <tp t="s">
        <v>#N/A N/A</v>
        <stp/>
        <stp>BDP|10987781726939524390</stp>
        <tr r="C1882" s="2"/>
      </tp>
      <tp t="s">
        <v>#N/A N/A</v>
        <stp/>
        <stp>BDP|10828241960759048271</stp>
        <tr r="I1918" s="2"/>
      </tp>
      <tp t="s">
        <v>#N/A N/A</v>
        <stp/>
        <stp>BDP|11852842840796629413</stp>
        <tr r="C1334" s="2"/>
      </tp>
      <tp t="s">
        <v>#N/A N/A</v>
        <stp/>
        <stp>BDP|14868144031099444027</stp>
        <tr r="C71" s="2"/>
      </tp>
      <tp t="s">
        <v>#N/A N/A</v>
        <stp/>
        <stp>BDP|17294289392635771640</stp>
        <tr r="F1391" s="2"/>
      </tp>
      <tp t="s">
        <v>#N/A N/A</v>
        <stp/>
        <stp>BDP|12926456743025325877</stp>
        <tr r="B1183" s="2"/>
      </tp>
      <tp t="s">
        <v>#N/A N/A</v>
        <stp/>
        <stp>BDP|14896803802862968185</stp>
        <tr r="G1508" s="2"/>
      </tp>
      <tp t="s">
        <v>#N/A N/A</v>
        <stp/>
        <stp>BDP|15524880342043033540</stp>
        <tr r="A676" s="2"/>
      </tp>
      <tp t="s">
        <v>#N/A N/A</v>
        <stp/>
        <stp>BDP|10867802797267669920</stp>
        <tr r="A2860" s="2"/>
      </tp>
      <tp t="s">
        <v>#N/A N/A</v>
        <stp/>
        <stp>BDP|14433932412797992478</stp>
        <tr r="F2959" s="2"/>
      </tp>
      <tp t="s">
        <v>#N/A N/A</v>
        <stp/>
        <stp>BDP|16964410863649427245</stp>
        <tr r="H4141" s="2"/>
      </tp>
      <tp t="s">
        <v>#N/A N/A</v>
        <stp/>
        <stp>BDP|16070811090318355097</stp>
        <tr r="F2881" s="2"/>
      </tp>
      <tp t="s">
        <v>#N/A N/A</v>
        <stp/>
        <stp>BDP|12773643115832533888</stp>
        <tr r="I2373" s="2"/>
      </tp>
      <tp t="s">
        <v>#N/A N/A</v>
        <stp/>
        <stp>BDP|17739085783362260255</stp>
        <tr r="D2634" s="2"/>
      </tp>
      <tp t="s">
        <v>#N/A N/A</v>
        <stp/>
        <stp>BDP|13043097342410576856</stp>
        <tr r="B3959" s="2"/>
      </tp>
      <tp t="s">
        <v>#N/A N/A</v>
        <stp/>
        <stp>BDP|13806169589652481781</stp>
        <tr r="G2911" s="2"/>
      </tp>
      <tp t="s">
        <v>#N/A N/A</v>
        <stp/>
        <stp>BDP|13904221333494759946</stp>
        <tr r="D2852" s="2"/>
      </tp>
      <tp t="s">
        <v>#N/A N/A</v>
        <stp/>
        <stp>BDP|12624654367105756884</stp>
        <tr r="D4154" s="2"/>
      </tp>
      <tp t="s">
        <v>#N/A N/A</v>
        <stp/>
        <stp>BDP|16838407612744319827</stp>
        <tr r="I981" s="2"/>
      </tp>
      <tp t="s">
        <v>#N/A N/A</v>
        <stp/>
        <stp>BDP|17712102326252237987</stp>
        <tr r="I782" s="2"/>
      </tp>
      <tp t="s">
        <v>#N/A N/A</v>
        <stp/>
        <stp>BDP|14007211601651828831</stp>
        <tr r="B4145" s="2"/>
      </tp>
      <tp t="s">
        <v>#N/A N/A</v>
        <stp/>
        <stp>BDP|15283245849614165859</stp>
        <tr r="H4884" s="2"/>
      </tp>
      <tp t="s">
        <v>#N/A N/A</v>
        <stp/>
        <stp>BDP|17547112399615146570</stp>
        <tr r="C3490" s="2"/>
      </tp>
      <tp t="s">
        <v>#N/A N/A</v>
        <stp/>
        <stp>BDP|15530490450669510220</stp>
        <tr r="D2550" s="2"/>
      </tp>
      <tp t="s">
        <v>#N/A N/A</v>
        <stp/>
        <stp>BDP|13862758025441271807</stp>
        <tr r="A961" s="2"/>
      </tp>
      <tp t="s">
        <v>#N/A N/A</v>
        <stp/>
        <stp>BDP|17126851179981008670</stp>
        <tr r="C638" s="2"/>
      </tp>
      <tp t="s">
        <v>#N/A N/A</v>
        <stp/>
        <stp>BDP|12555571696316994774</stp>
        <tr r="B716" s="2"/>
      </tp>
      <tp t="s">
        <v>#N/A N/A</v>
        <stp/>
        <stp>BDP|17576280544046589866</stp>
        <tr r="B4660" s="2"/>
      </tp>
      <tp t="s">
        <v>#N/A N/A</v>
        <stp/>
        <stp>BDP|16807782684713880564</stp>
        <tr r="G3746" s="2"/>
      </tp>
      <tp t="s">
        <v>#N/A N/A</v>
        <stp/>
        <stp>BDP|11226452592423788084</stp>
        <tr r="A1607" s="2"/>
      </tp>
      <tp t="s">
        <v>#N/A N/A</v>
        <stp/>
        <stp>BDP|11519285482374572008</stp>
        <tr r="C4538" s="2"/>
      </tp>
      <tp t="s">
        <v>#N/A N/A</v>
        <stp/>
        <stp>BDP|14380652287071351487</stp>
        <tr r="G3992" s="2"/>
      </tp>
      <tp t="s">
        <v>#N/A N/A</v>
        <stp/>
        <stp>BDP|16405828739416002453</stp>
        <tr r="C4479" s="2"/>
      </tp>
      <tp t="s">
        <v>#N/A N/A</v>
        <stp/>
        <stp>BDP|13337466699440366158</stp>
        <tr r="B1361" s="2"/>
      </tp>
      <tp t="s">
        <v>#N/A N/A</v>
        <stp/>
        <stp>BDP|13396292594642359576</stp>
        <tr r="F3319" s="2"/>
      </tp>
      <tp t="s">
        <v>#N/A N/A</v>
        <stp/>
        <stp>BDP|18320771430846734596</stp>
        <tr r="D155" s="2"/>
      </tp>
      <tp t="s">
        <v>#N/A N/A</v>
        <stp/>
        <stp>BDP|13100567600948923141</stp>
        <tr r="C4092" s="2"/>
      </tp>
      <tp t="s">
        <v>#N/A N/A</v>
        <stp/>
        <stp>BDP|13613232499571181673</stp>
        <tr r="D2822" s="2"/>
      </tp>
      <tp t="s">
        <v>#N/A N/A</v>
        <stp/>
        <stp>BDP|12927247487122609568</stp>
        <tr r="F4454" s="2"/>
      </tp>
      <tp t="s">
        <v>#N/A N/A</v>
        <stp/>
        <stp>BDP|15245798075318045247</stp>
        <tr r="F3921" s="2"/>
      </tp>
      <tp t="s">
        <v>#N/A N/A</v>
        <stp/>
        <stp>BDP|15760589134414402857</stp>
        <tr r="B4758" s="2"/>
      </tp>
      <tp t="s">
        <v>#N/A N/A</v>
        <stp/>
        <stp>BDP|13808191940579259092</stp>
        <tr r="B454" s="2"/>
      </tp>
      <tp t="s">
        <v>#N/A N/A</v>
        <stp/>
        <stp>BDP|13179955338396470025</stp>
        <tr r="D471" s="2"/>
      </tp>
      <tp t="s">
        <v>#N/A N/A</v>
        <stp/>
        <stp>BDP|15893732929899870607</stp>
        <tr r="A3587" s="2"/>
      </tp>
      <tp t="s">
        <v>#N/A N/A</v>
        <stp/>
        <stp>BDP|11393183366869279057</stp>
        <tr r="H1308" s="2"/>
      </tp>
      <tp t="s">
        <v>#N/A N/A</v>
        <stp/>
        <stp>BDP|15328016231130156982</stp>
        <tr r="H2654" s="2"/>
      </tp>
      <tp t="s">
        <v>#N/A N/A</v>
        <stp/>
        <stp>BDP|11223271093673802647</stp>
        <tr r="F606" s="2"/>
      </tp>
      <tp t="s">
        <v>#N/A N/A</v>
        <stp/>
        <stp>BDP|11607681393115145466</stp>
        <tr r="H1459" s="2"/>
      </tp>
      <tp t="s">
        <v>#N/A N/A</v>
        <stp/>
        <stp>BDP|13444185888467817265</stp>
        <tr r="I205" s="2"/>
      </tp>
      <tp t="s">
        <v>#N/A N/A</v>
        <stp/>
        <stp>BDP|11473597467174698969</stp>
        <tr r="F4729" s="2"/>
      </tp>
      <tp t="s">
        <v>#N/A N/A</v>
        <stp/>
        <stp>BDP|14590538428485556911</stp>
        <tr r="A4858" s="2"/>
      </tp>
      <tp t="s">
        <v>#N/A N/A</v>
        <stp/>
        <stp>BDP|16246603537168600497</stp>
        <tr r="F2306" s="2"/>
      </tp>
      <tp t="s">
        <v>#N/A N/A</v>
        <stp/>
        <stp>BDP|10963073210508440605</stp>
        <tr r="D2746" s="2"/>
      </tp>
      <tp t="s">
        <v>#N/A N/A</v>
        <stp/>
        <stp>BDP|11870481087780925243</stp>
        <tr r="A2269" s="2"/>
      </tp>
      <tp t="s">
        <v>#N/A N/A</v>
        <stp/>
        <stp>BDP|10539881766692469352</stp>
        <tr r="C4945" s="2"/>
      </tp>
      <tp t="s">
        <v>#N/A N/A</v>
        <stp/>
        <stp>BDP|16823847284769719053</stp>
        <tr r="B4102" s="2"/>
      </tp>
      <tp t="s">
        <v>#N/A N/A</v>
        <stp/>
        <stp>BDP|13836038908295805919</stp>
        <tr r="C112" s="2"/>
      </tp>
      <tp t="s">
        <v>#N/A N/A</v>
        <stp/>
        <stp>BDP|12600407116130253884</stp>
        <tr r="C4721" s="2"/>
      </tp>
      <tp t="s">
        <v>#N/A N/A</v>
        <stp/>
        <stp>BDP|15618936889582728917</stp>
        <tr r="C2892" s="2"/>
      </tp>
      <tp t="s">
        <v>#N/A N/A</v>
        <stp/>
        <stp>BDP|17306993430713573154</stp>
        <tr r="G2553" s="2"/>
      </tp>
      <tp t="s">
        <v>#N/A N/A</v>
        <stp/>
        <stp>BDP|15100445344643305984</stp>
        <tr r="I2115" s="2"/>
      </tp>
      <tp t="s">
        <v>#N/A N/A</v>
        <stp/>
        <stp>BDP|14983923075392577719</stp>
        <tr r="D2564" s="2"/>
      </tp>
      <tp t="s">
        <v>#N/A N/A</v>
        <stp/>
        <stp>BDP|17383891217484335548</stp>
        <tr r="G1028" s="2"/>
      </tp>
      <tp t="s">
        <v>#N/A N/A</v>
        <stp/>
        <stp>BDP|14950876434449348935</stp>
        <tr r="D1592" s="2"/>
      </tp>
      <tp t="s">
        <v>#N/A N/A</v>
        <stp/>
        <stp>BDP|17434556492627109385</stp>
        <tr r="C724" s="2"/>
      </tp>
      <tp t="s">
        <v>#N/A N/A</v>
        <stp/>
        <stp>BDP|13940867427637626141</stp>
        <tr r="D1285" s="2"/>
      </tp>
      <tp t="s">
        <v>#N/A N/A</v>
        <stp/>
        <stp>BDP|17344690197467063070</stp>
        <tr r="H285" s="2"/>
      </tp>
      <tp t="s">
        <v>#N/A N/A</v>
        <stp/>
        <stp>BDP|13229203636389629485</stp>
        <tr r="D1811" s="2"/>
      </tp>
      <tp t="s">
        <v>#N/A N/A</v>
        <stp/>
        <stp>BDP|10728057670200056887</stp>
        <tr r="F577" s="2"/>
      </tp>
      <tp t="s">
        <v>#N/A N/A</v>
        <stp/>
        <stp>BDP|15323223523179804305</stp>
        <tr r="B4753" s="2"/>
      </tp>
      <tp t="s">
        <v>#N/A N/A</v>
        <stp/>
        <stp>BDP|14160551291536676190</stp>
        <tr r="C4456" s="2"/>
      </tp>
      <tp t="s">
        <v>#N/A N/A</v>
        <stp/>
        <stp>BDP|11840982771603957320</stp>
        <tr r="A1500" s="2"/>
      </tp>
      <tp t="s">
        <v>#N/A N/A</v>
        <stp/>
        <stp>BDP|12489144896771569499</stp>
        <tr r="I458" s="2"/>
      </tp>
      <tp t="s">
        <v>#N/A N/A</v>
        <stp/>
        <stp>BDP|15393959816126957430</stp>
        <tr r="F764" s="2"/>
      </tp>
      <tp t="s">
        <v>#N/A N/A</v>
        <stp/>
        <stp>BDP|14290076105489899226</stp>
        <tr r="G268" s="2"/>
      </tp>
      <tp t="s">
        <v>#N/A N/A</v>
        <stp/>
        <stp>BDP|14525808362022902731</stp>
        <tr r="G1490" s="2"/>
      </tp>
      <tp t="s">
        <v>#N/A N/A</v>
        <stp/>
        <stp>BDP|10194997241710354277</stp>
        <tr r="D2768" s="2"/>
      </tp>
      <tp t="s">
        <v>#N/A N/A</v>
        <stp/>
        <stp>BDP|13295045822209010795</stp>
        <tr r="H626" s="2"/>
      </tp>
      <tp t="s">
        <v>#N/A N/A</v>
        <stp/>
        <stp>BDP|11978838905157118135</stp>
        <tr r="B378" s="2"/>
      </tp>
      <tp t="s">
        <v>#N/A N/A</v>
        <stp/>
        <stp>BDP|16717659308146424931</stp>
        <tr r="C3301" s="2"/>
      </tp>
      <tp t="s">
        <v>#N/A N/A</v>
        <stp/>
        <stp>BDP|14991365090175451462</stp>
        <tr r="B4076" s="2"/>
      </tp>
      <tp t="s">
        <v>#N/A N/A</v>
        <stp/>
        <stp>BDP|14566878452205847351</stp>
        <tr r="A1839" s="2"/>
      </tp>
      <tp t="s">
        <v>#N/A N/A</v>
        <stp/>
        <stp>BDP|16546387033900643957</stp>
        <tr r="C4536" s="2"/>
      </tp>
      <tp t="s">
        <v>#N/A N/A</v>
        <stp/>
        <stp>BDP|10616124638029552449</stp>
        <tr r="I3171" s="2"/>
      </tp>
      <tp t="s">
        <v>#N/A N/A</v>
        <stp/>
        <stp>BDP|15367973329283494246</stp>
        <tr r="F197" s="2"/>
      </tp>
      <tp t="s">
        <v>#N/A N/A</v>
        <stp/>
        <stp>BDP|17687768450903538982</stp>
        <tr r="B3444" s="2"/>
      </tp>
      <tp t="s">
        <v>#N/A N/A</v>
        <stp/>
        <stp>BDP|12131583773948037772</stp>
        <tr r="C4632" s="2"/>
      </tp>
      <tp t="s">
        <v>#N/A N/A</v>
        <stp/>
        <stp>BDP|18205085071964134477</stp>
        <tr r="C3923" s="2"/>
      </tp>
      <tp t="s">
        <v>#N/A N/A</v>
        <stp/>
        <stp>BDP|16996004791531544104</stp>
        <tr r="D4489" s="2"/>
      </tp>
      <tp t="s">
        <v>#N/A N/A</v>
        <stp/>
        <stp>BDP|15214469298881491657</stp>
        <tr r="C2333" s="2"/>
      </tp>
      <tp t="s">
        <v>#N/A N/A</v>
        <stp/>
        <stp>BDP|10837572091230140329</stp>
        <tr r="C4016" s="2"/>
      </tp>
      <tp t="s">
        <v>#N/A N/A</v>
        <stp/>
        <stp>BDP|18348698712603224375</stp>
        <tr r="C3378" s="2"/>
      </tp>
      <tp t="s">
        <v>#N/A N/A</v>
        <stp/>
        <stp>BDP|14258811914917292589</stp>
        <tr r="D4272" s="2"/>
      </tp>
      <tp t="s">
        <v>#N/A N/A</v>
        <stp/>
        <stp>BDP|10212981217114893384</stp>
        <tr r="B1004" s="2"/>
      </tp>
      <tp t="s">
        <v>#N/A N/A</v>
        <stp/>
        <stp>BDP|10719570961099524590</stp>
        <tr r="A3750" s="2"/>
      </tp>
      <tp t="s">
        <v>#N/A N/A</v>
        <stp/>
        <stp>BDP|17635227694264829757</stp>
        <tr r="D3219" s="2"/>
      </tp>
      <tp t="s">
        <v>#N/A N/A</v>
        <stp/>
        <stp>BDP|13128246461678914000</stp>
        <tr r="C3294" s="2"/>
      </tp>
      <tp t="s">
        <v>#N/A N/A</v>
        <stp/>
        <stp>BDP|13347980183789395469</stp>
        <tr r="G543" s="2"/>
      </tp>
      <tp t="s">
        <v>#N/A N/A</v>
        <stp/>
        <stp>BDP|15553561722988497587</stp>
        <tr r="F4232" s="2"/>
      </tp>
      <tp t="s">
        <v>#N/A N/A</v>
        <stp/>
        <stp>BDP|17946670140663726943</stp>
        <tr r="A1656" s="2"/>
      </tp>
      <tp t="s">
        <v>#N/A N/A</v>
        <stp/>
        <stp>BDP|15269849156616925149</stp>
        <tr r="H1676" s="2"/>
      </tp>
      <tp t="s">
        <v>#N/A N/A</v>
        <stp/>
        <stp>BDP|11099703109968278166</stp>
        <tr r="B3459" s="2"/>
      </tp>
      <tp t="s">
        <v>#N/A N/A</v>
        <stp/>
        <stp>BDP|11859568854597398943</stp>
        <tr r="G1145" s="2"/>
      </tp>
      <tp t="s">
        <v>#N/A N/A</v>
        <stp/>
        <stp>BDP|18288241854099786980</stp>
        <tr r="H1179" s="2"/>
      </tp>
      <tp t="s">
        <v>#N/A N/A</v>
        <stp/>
        <stp>BDP|12526869273073997143</stp>
        <tr r="H4349" s="2"/>
      </tp>
      <tp t="s">
        <v>#N/A N/A</v>
        <stp/>
        <stp>BDP|17914928449753985667</stp>
        <tr r="D1190" s="2"/>
      </tp>
      <tp t="s">
        <v>#N/A N/A</v>
        <stp/>
        <stp>BDP|11815172724655170872</stp>
        <tr r="G2287" s="2"/>
      </tp>
      <tp t="s">
        <v>#N/A N/A</v>
        <stp/>
        <stp>BDP|17577006254679544493</stp>
        <tr r="D4578" s="2"/>
      </tp>
      <tp t="s">
        <v>#N/A N/A</v>
        <stp/>
        <stp>BDP|16101514987392340693</stp>
        <tr r="G805" s="2"/>
      </tp>
      <tp t="s">
        <v>#N/A N/A</v>
        <stp/>
        <stp>BDP|13718149765763294891</stp>
        <tr r="D954" s="2"/>
      </tp>
      <tp t="s">
        <v>#N/A N/A</v>
        <stp/>
        <stp>BDP|12407543608271738925</stp>
        <tr r="I1138" s="2"/>
      </tp>
      <tp t="s">
        <v>#N/A N/A</v>
        <stp/>
        <stp>BDP|12694335505918449696</stp>
        <tr r="B4770" s="2"/>
      </tp>
      <tp t="s">
        <v>#N/A N/A</v>
        <stp/>
        <stp>BDP|10457683061756649962</stp>
        <tr r="F2266" s="2"/>
      </tp>
      <tp t="s">
        <v>#N/A N/A</v>
        <stp/>
        <stp>BDP|18371202124633326497</stp>
        <tr r="H941" s="2"/>
      </tp>
      <tp t="s">
        <v>#N/A N/A</v>
        <stp/>
        <stp>BDP|17256157578059042720</stp>
        <tr r="F3916" s="2"/>
      </tp>
      <tp t="s">
        <v>#N/A N/A</v>
        <stp/>
        <stp>BDP|12463056381474828153</stp>
        <tr r="A3063" s="2"/>
      </tp>
      <tp t="s">
        <v>#N/A N/A</v>
        <stp/>
        <stp>BDP|13972561911861189923</stp>
        <tr r="G298" s="2"/>
      </tp>
      <tp t="s">
        <v>#N/A N/A</v>
        <stp/>
        <stp>BDP|14713146524830886822</stp>
        <tr r="C4192" s="2"/>
      </tp>
      <tp t="s">
        <v>#N/A N/A</v>
        <stp/>
        <stp>BDP|11352270154140935942</stp>
        <tr r="D2118" s="2"/>
      </tp>
      <tp t="s">
        <v>#N/A N/A</v>
        <stp/>
        <stp>BDP|10863957381257479950</stp>
        <tr r="D1150" s="2"/>
      </tp>
      <tp t="s">
        <v>#N/A N/A</v>
        <stp/>
        <stp>BDP|14268729019975446806</stp>
        <tr r="F969" s="2"/>
      </tp>
      <tp t="s">
        <v>#N/A N/A</v>
        <stp/>
        <stp>BDP|14835672440700208902</stp>
        <tr r="C4115" s="2"/>
      </tp>
      <tp t="s">
        <v>#N/A N/A</v>
        <stp/>
        <stp>BDP|17107854818458511945</stp>
        <tr r="I4488" s="2"/>
      </tp>
      <tp t="s">
        <v>#N/A N/A</v>
        <stp/>
        <stp>BDP|17288956719518369809</stp>
        <tr r="A683" s="2"/>
      </tp>
      <tp t="s">
        <v>#N/A N/A</v>
        <stp/>
        <stp>BDP|18394550232094948509</stp>
        <tr r="D1014" s="2"/>
      </tp>
      <tp t="s">
        <v>#N/A N/A</v>
        <stp/>
        <stp>BDP|10400904649943793170</stp>
        <tr r="B821" s="2"/>
      </tp>
      <tp t="s">
        <v>#N/A N/A</v>
        <stp/>
        <stp>BDP|13818244596085585229</stp>
        <tr r="C2743" s="2"/>
      </tp>
      <tp t="s">
        <v>#N/A N/A</v>
        <stp/>
        <stp>BDP|11869925753905273776</stp>
        <tr r="A361" s="2"/>
      </tp>
      <tp t="s">
        <v>#N/A N/A</v>
        <stp/>
        <stp>BDP|15949018125121376921</stp>
        <tr r="D3781" s="2"/>
      </tp>
      <tp t="s">
        <v>#N/A N/A</v>
        <stp/>
        <stp>BDP|11336898617217230031</stp>
        <tr r="F3872" s="2"/>
      </tp>
      <tp t="s">
        <v>#N/A N/A</v>
        <stp/>
        <stp>BDP|11922638282505363572</stp>
        <tr r="A3670" s="2"/>
      </tp>
      <tp t="s">
        <v>#N/A N/A</v>
        <stp/>
        <stp>BDP|14792949248915703302</stp>
        <tr r="B720" s="2"/>
      </tp>
      <tp t="s">
        <v>#N/A N/A</v>
        <stp/>
        <stp>BDP|10276610181090644189</stp>
        <tr r="H4621" s="2"/>
      </tp>
      <tp t="s">
        <v>#N/A N/A</v>
        <stp/>
        <stp>BDP|14860979666347058353</stp>
        <tr r="A567" s="2"/>
      </tp>
      <tp t="s">
        <v>#N/A N/A</v>
        <stp/>
        <stp>BDP|15446671598480095571</stp>
        <tr r="I4622" s="2"/>
      </tp>
      <tp t="s">
        <v>#N/A N/A</v>
        <stp/>
        <stp>BDP|17810253299807856406</stp>
        <tr r="F4811" s="2"/>
      </tp>
      <tp t="s">
        <v>#N/A N/A</v>
        <stp/>
        <stp>BDP|11520515714133973958</stp>
        <tr r="H3676" s="2"/>
      </tp>
      <tp t="s">
        <v>#N/A N/A</v>
        <stp/>
        <stp>BDP|13985850851278709963</stp>
        <tr r="G3902" s="2"/>
      </tp>
      <tp t="s">
        <v>#N/A N/A</v>
        <stp/>
        <stp>BDP|14169341387827655782</stp>
        <tr r="A536" s="2"/>
      </tp>
      <tp t="s">
        <v>#N/A N/A</v>
        <stp/>
        <stp>BDP|11496963408186326151</stp>
        <tr r="B2455" s="2"/>
      </tp>
      <tp t="s">
        <v>#N/A N/A</v>
        <stp/>
        <stp>BDP|10846515290694699736</stp>
        <tr r="A90" s="2"/>
      </tp>
      <tp t="s">
        <v>#N/A N/A</v>
        <stp/>
        <stp>BDP|13697223217196757981</stp>
        <tr r="B3436" s="2"/>
      </tp>
      <tp t="s">
        <v>#N/A N/A</v>
        <stp/>
        <stp>BDP|17771359427791927804</stp>
        <tr r="B4445" s="2"/>
      </tp>
      <tp t="s">
        <v>#N/A N/A</v>
        <stp/>
        <stp>BDP|12040122613949833453</stp>
        <tr r="F4199" s="2"/>
      </tp>
      <tp t="s">
        <v>#N/A N/A</v>
        <stp/>
        <stp>BDP|15167135679638423438</stp>
        <tr r="C390" s="2"/>
      </tp>
      <tp t="s">
        <v>#N/A N/A</v>
        <stp/>
        <stp>BDP|12424595341898081409</stp>
        <tr r="D1897" s="2"/>
      </tp>
      <tp t="s">
        <v>#N/A N/A</v>
        <stp/>
        <stp>BDP|10138072963390053999</stp>
        <tr r="H5" s="2"/>
      </tp>
      <tp t="s">
        <v>#N/A N/A</v>
        <stp/>
        <stp>BDP|17559825541837305396</stp>
        <tr r="C882" s="2"/>
      </tp>
      <tp t="s">
        <v>#N/A N/A</v>
        <stp/>
        <stp>BDP|13283973278307075511</stp>
        <tr r="C3218" s="2"/>
      </tp>
      <tp t="s">
        <v>#N/A N/A</v>
        <stp/>
        <stp>BDP|15939181579785690922</stp>
        <tr r="C4048" s="2"/>
      </tp>
      <tp t="s">
        <v>#N/A N/A</v>
        <stp/>
        <stp>BDP|10628732798166945788</stp>
        <tr r="F2094" s="2"/>
      </tp>
      <tp t="s">
        <v>#N/A N/A</v>
        <stp/>
        <stp>BDP|14545398837993503829</stp>
        <tr r="B3396" s="2"/>
      </tp>
      <tp t="s">
        <v>#N/A N/A</v>
        <stp/>
        <stp>BDP|12610251049959243241</stp>
        <tr r="G763" s="2"/>
      </tp>
      <tp t="s">
        <v>#N/A N/A</v>
        <stp/>
        <stp>BDP|14310309097430905110</stp>
        <tr r="I4441" s="2"/>
      </tp>
      <tp t="s">
        <v>#N/A N/A</v>
        <stp/>
        <stp>BDP|14952597763180974867</stp>
        <tr r="F2550" s="2"/>
      </tp>
      <tp t="s">
        <v>#N/A N/A</v>
        <stp/>
        <stp>BDP|15777891900361741352</stp>
        <tr r="G1956" s="2"/>
      </tp>
      <tp t="s">
        <v>#N/A N/A</v>
        <stp/>
        <stp>BDP|10900946025723026740</stp>
        <tr r="D2416" s="2"/>
      </tp>
      <tp t="s">
        <v>#N/A N/A</v>
        <stp/>
        <stp>BDP|16374457408558602546</stp>
        <tr r="I2980" s="2"/>
      </tp>
      <tp t="s">
        <v>#N/A N/A</v>
        <stp/>
        <stp>BDP|11140841274711553084</stp>
        <tr r="G4166" s="2"/>
      </tp>
      <tp t="s">
        <v>#N/A N/A</v>
        <stp/>
        <stp>BDP|17938340706032657914</stp>
        <tr r="F223" s="2"/>
      </tp>
      <tp t="s">
        <v>#N/A N/A</v>
        <stp/>
        <stp>BDP|16227501210724719994</stp>
        <tr r="F3399" s="2"/>
      </tp>
      <tp t="s">
        <v>#N/A N/A</v>
        <stp/>
        <stp>BDP|15609288393449545849</stp>
        <tr r="B1592" s="2"/>
      </tp>
      <tp t="s">
        <v>#N/A N/A</v>
        <stp/>
        <stp>BDP|17124535168449370255</stp>
        <tr r="G1673" s="2"/>
      </tp>
      <tp t="s">
        <v>#N/A N/A</v>
        <stp/>
        <stp>BDP|15446091930119550041</stp>
        <tr r="B4980" s="2"/>
      </tp>
      <tp t="s">
        <v>#N/A N/A</v>
        <stp/>
        <stp>BDP|12313812459380765006</stp>
        <tr r="I3064" s="2"/>
      </tp>
      <tp t="s">
        <v>#N/A N/A</v>
        <stp/>
        <stp>BDP|11108496114143759872</stp>
        <tr r="B747" s="2"/>
      </tp>
      <tp t="s">
        <v>#N/A N/A</v>
        <stp/>
        <stp>BDP|10850738236902804994</stp>
        <tr r="C633" s="2"/>
      </tp>
      <tp t="s">
        <v>#N/A N/A</v>
        <stp/>
        <stp>BDP|10944054770780882888</stp>
        <tr r="H2931" s="2"/>
      </tp>
      <tp t="s">
        <v>#N/A N/A</v>
        <stp/>
        <stp>BDP|10053868920300282581</stp>
        <tr r="D4043" s="2"/>
      </tp>
      <tp t="s">
        <v>#N/A N/A</v>
        <stp/>
        <stp>BDP|16488593692434596161</stp>
        <tr r="C4348" s="2"/>
      </tp>
      <tp t="s">
        <v>#N/A N/A</v>
        <stp/>
        <stp>BDP|11684988425751470437</stp>
        <tr r="H4161" s="2"/>
      </tp>
      <tp t="s">
        <v>#N/A N/A</v>
        <stp/>
        <stp>BDP|14184529098403101462</stp>
        <tr r="D3954" s="2"/>
      </tp>
      <tp t="s">
        <v>#N/A N/A</v>
        <stp/>
        <stp>BDP|14354364128672133803</stp>
        <tr r="C2110" s="2"/>
      </tp>
      <tp t="s">
        <v>#N/A N/A</v>
        <stp/>
        <stp>BDP|14945543293334404363</stp>
        <tr r="C2823" s="2"/>
      </tp>
      <tp t="s">
        <v>#N/A N/A</v>
        <stp/>
        <stp>BDP|17700684241152534871</stp>
        <tr r="H4426" s="2"/>
      </tp>
      <tp t="s">
        <v>#N/A N/A</v>
        <stp/>
        <stp>BDP|15803043388786831401</stp>
        <tr r="C3362" s="2"/>
      </tp>
      <tp t="s">
        <v>#N/A N/A</v>
        <stp/>
        <stp>BDP|11772731895393906343</stp>
        <tr r="F4785" s="2"/>
      </tp>
      <tp t="s">
        <v>#N/A N/A</v>
        <stp/>
        <stp>BDP|12763315423804840819</stp>
        <tr r="D4352" s="2"/>
      </tp>
      <tp t="s">
        <v>#N/A N/A</v>
        <stp/>
        <stp>BDP|15324039401723533989</stp>
        <tr r="C2095" s="2"/>
      </tp>
      <tp t="s">
        <v>#N/A N/A</v>
        <stp/>
        <stp>BDP|14928872928643872224</stp>
        <tr r="H611" s="2"/>
      </tp>
      <tp t="s">
        <v>#N/A N/A</v>
        <stp/>
        <stp>BDP|13372926126236850133</stp>
        <tr r="B1547" s="2"/>
      </tp>
      <tp t="s">
        <v>#N/A N/A</v>
        <stp/>
        <stp>BDP|12063498047088688543</stp>
        <tr r="B1677" s="2"/>
      </tp>
      <tp t="s">
        <v>#N/A N/A</v>
        <stp/>
        <stp>BDP|13469425862179144793</stp>
        <tr r="C4089" s="2"/>
      </tp>
      <tp t="s">
        <v>#N/A N/A</v>
        <stp/>
        <stp>BDP|15617340546635173895</stp>
        <tr r="F1513" s="2"/>
      </tp>
      <tp t="s">
        <v>#N/A N/A</v>
        <stp/>
        <stp>BDP|17373016589261158162</stp>
        <tr r="G929" s="2"/>
      </tp>
      <tp t="s">
        <v>#N/A N/A</v>
        <stp/>
        <stp>BDP|17783302149478525778</stp>
        <tr r="H261" s="2"/>
      </tp>
      <tp t="s">
        <v>#N/A N/A</v>
        <stp/>
        <stp>BDP|16790237943109174693</stp>
        <tr r="G3627" s="2"/>
      </tp>
      <tp t="s">
        <v>#N/A N/A</v>
        <stp/>
        <stp>BDP|16687837117006858651</stp>
        <tr r="I974" s="2"/>
      </tp>
      <tp t="s">
        <v>#N/A N/A</v>
        <stp/>
        <stp>BDP|16659933869120646658</stp>
        <tr r="G2227" s="2"/>
      </tp>
      <tp t="s">
        <v>#N/A N/A</v>
        <stp/>
        <stp>BDP|14815577986730128678</stp>
        <tr r="D627" s="2"/>
      </tp>
      <tp t="s">
        <v>#N/A N/A</v>
        <stp/>
        <stp>BDP|10909866754864479602</stp>
        <tr r="C894" s="2"/>
      </tp>
      <tp t="s">
        <v>#N/A N/A</v>
        <stp/>
        <stp>BDP|12775717839981807882</stp>
        <tr r="F834" s="2"/>
      </tp>
      <tp t="s">
        <v>#N/A N/A</v>
        <stp/>
        <stp>BDP|11692066269798484029</stp>
        <tr r="H3970" s="2"/>
      </tp>
      <tp t="s">
        <v>#N/A N/A</v>
        <stp/>
        <stp>BDP|13225143229579849689</stp>
        <tr r="B3578" s="2"/>
      </tp>
      <tp t="s">
        <v>#N/A N/A</v>
        <stp/>
        <stp>BDP|10591912428744104025</stp>
        <tr r="B3491" s="2"/>
      </tp>
      <tp t="s">
        <v>#N/A N/A</v>
        <stp/>
        <stp>BDP|12467368096317872033</stp>
        <tr r="F24" s="2"/>
      </tp>
      <tp t="s">
        <v>#N/A N/A</v>
        <stp/>
        <stp>BDP|15969747297030511408</stp>
        <tr r="G1276" s="2"/>
      </tp>
      <tp t="s">
        <v>#N/A N/A</v>
        <stp/>
        <stp>BDP|12864411290278194873</stp>
        <tr r="G2528" s="2"/>
      </tp>
      <tp t="s">
        <v>#N/A N/A</v>
        <stp/>
        <stp>BDP|16093866056195919160</stp>
        <tr r="G1784" s="2"/>
      </tp>
      <tp t="s">
        <v>#N/A N/A</v>
        <stp/>
        <stp>BDP|16298597780277240366</stp>
        <tr r="G1801" s="2"/>
      </tp>
      <tp t="s">
        <v>#N/A N/A</v>
        <stp/>
        <stp>BDP|17064722491757591194</stp>
        <tr r="F1332" s="2"/>
      </tp>
      <tp t="s">
        <v>#N/A N/A</v>
        <stp/>
        <stp>BDP|18006700919989654802</stp>
        <tr r="D3515" s="2"/>
      </tp>
      <tp t="s">
        <v>#N/A N/A</v>
        <stp/>
        <stp>BDP|17382699235508732579</stp>
        <tr r="B1168" s="2"/>
      </tp>
      <tp t="s">
        <v>#N/A N/A</v>
        <stp/>
        <stp>BDP|14486818732862057280</stp>
        <tr r="I3669" s="2"/>
      </tp>
      <tp t="s">
        <v>#N/A N/A</v>
        <stp/>
        <stp>BDP|16728375188194522629</stp>
        <tr r="C3771" s="2"/>
      </tp>
      <tp t="s">
        <v>#N/A N/A</v>
        <stp/>
        <stp>BDP|13107095530069009679</stp>
        <tr r="A2741" s="2"/>
      </tp>
      <tp t="s">
        <v>#N/A N/A</v>
        <stp/>
        <stp>BDP|12923658574688052475</stp>
        <tr r="C4574" s="2"/>
      </tp>
      <tp t="s">
        <v>#N/A N/A</v>
        <stp/>
        <stp>BDP|11846934745375573647</stp>
        <tr r="A112" s="2"/>
      </tp>
      <tp t="s">
        <v>#N/A N/A</v>
        <stp/>
        <stp>BDP|18181696781471397850</stp>
        <tr r="A2387" s="2"/>
      </tp>
      <tp t="s">
        <v>#N/A N/A</v>
        <stp/>
        <stp>BDP|14754587970708558152</stp>
        <tr r="C339" s="2"/>
      </tp>
      <tp t="s">
        <v>#N/A N/A</v>
        <stp/>
        <stp>BDP|16065100191012740390</stp>
        <tr r="G4566" s="2"/>
      </tp>
      <tp t="s">
        <v>#N/A N/A</v>
        <stp/>
        <stp>BDP|13400101771248323293</stp>
        <tr r="D1587" s="2"/>
      </tp>
      <tp t="s">
        <v>#N/A N/A</v>
        <stp/>
        <stp>BDP|11942229232987577833</stp>
        <tr r="I4780" s="2"/>
      </tp>
      <tp t="s">
        <v>#N/A N/A</v>
        <stp/>
        <stp>BDP|12815922675344667766</stp>
        <tr r="G1511" s="2"/>
      </tp>
      <tp t="s">
        <v>#N/A N/A</v>
        <stp/>
        <stp>BDP|13942814771723748014</stp>
        <tr r="C1004" s="2"/>
      </tp>
      <tp t="s">
        <v>#N/A N/A</v>
        <stp/>
        <stp>BDP|11361791899825480580</stp>
        <tr r="F3412" s="2"/>
      </tp>
      <tp t="s">
        <v>#N/A N/A</v>
        <stp/>
        <stp>BDP|16776223339678007035</stp>
        <tr r="A3208" s="2"/>
      </tp>
      <tp t="s">
        <v>#N/A N/A</v>
        <stp/>
        <stp>BDP|11915394019124035860</stp>
        <tr r="H2420" s="2"/>
      </tp>
      <tp t="s">
        <v>#N/A N/A</v>
        <stp/>
        <stp>BDP|10718866747212874114</stp>
        <tr r="I2011" s="2"/>
      </tp>
      <tp t="s">
        <v>#N/A N/A</v>
        <stp/>
        <stp>BDP|15421886371317369217</stp>
        <tr r="G4733" s="2"/>
      </tp>
      <tp t="s">
        <v>#N/A N/A</v>
        <stp/>
        <stp>BDP|14093726197076200389</stp>
        <tr r="F1666" s="2"/>
      </tp>
      <tp t="s">
        <v>#N/A N/A</v>
        <stp/>
        <stp>BDP|18429813977191878951</stp>
        <tr r="B4526" s="2"/>
      </tp>
      <tp t="s">
        <v>#N/A N/A</v>
        <stp/>
        <stp>BDP|12271362053409023286</stp>
        <tr r="F816" s="2"/>
      </tp>
      <tp t="s">
        <v>#N/A N/A</v>
        <stp/>
        <stp>BDP|13368450732779955220</stp>
        <tr r="B1271" s="2"/>
      </tp>
      <tp t="s">
        <v>#N/A N/A</v>
        <stp/>
        <stp>BDP|13868987367337136495</stp>
        <tr r="D358" s="2"/>
      </tp>
      <tp t="s">
        <v>#N/A N/A</v>
        <stp/>
        <stp>BDP|16472562857608811126</stp>
        <tr r="D1341" s="2"/>
      </tp>
      <tp t="s">
        <v>#N/A N/A</v>
        <stp/>
        <stp>BDP|10997143333938905587</stp>
        <tr r="A4984" s="2"/>
      </tp>
      <tp t="s">
        <v>#N/A N/A</v>
        <stp/>
        <stp>BDP|12820580775166208998</stp>
        <tr r="F3479" s="2"/>
      </tp>
      <tp t="s">
        <v>#N/A N/A</v>
        <stp/>
        <stp>BDP|17857285902842952856</stp>
        <tr r="F3397" s="2"/>
      </tp>
      <tp t="s">
        <v>#N/A N/A</v>
        <stp/>
        <stp>BDP|12295115539466770934</stp>
        <tr r="G811" s="2"/>
      </tp>
      <tp t="s">
        <v>#N/A N/A</v>
        <stp/>
        <stp>BDP|13279001994633887602</stp>
        <tr r="H2707" s="2"/>
      </tp>
      <tp t="s">
        <v>#N/A N/A</v>
        <stp/>
        <stp>BDP|15420548022784469981</stp>
        <tr r="D295" s="2"/>
      </tp>
      <tp t="s">
        <v>#N/A N/A</v>
        <stp/>
        <stp>BDP|11822813364746446678</stp>
        <tr r="A20" s="2"/>
      </tp>
      <tp t="s">
        <v>#N/A N/A</v>
        <stp/>
        <stp>BDP|12401741873288803559</stp>
        <tr r="F1607" s="2"/>
      </tp>
      <tp t="s">
        <v>#N/A N/A</v>
        <stp/>
        <stp>BDP|14636312329803718971</stp>
        <tr r="H4857" s="2"/>
      </tp>
      <tp t="s">
        <v>#N/A N/A</v>
        <stp/>
        <stp>BDP|13480787122699114011</stp>
        <tr r="C3759" s="2"/>
      </tp>
      <tp t="s">
        <v>#N/A N/A</v>
        <stp/>
        <stp>BDP|18401389102134082009</stp>
        <tr r="A3307" s="2"/>
      </tp>
      <tp t="s">
        <v>#N/A N/A</v>
        <stp/>
        <stp>BDP|10377587125330924899</stp>
        <tr r="F4794" s="2"/>
      </tp>
      <tp t="s">
        <v>#N/A N/A</v>
        <stp/>
        <stp>BDP|11025386882634792134</stp>
        <tr r="D626" s="2"/>
      </tp>
      <tp t="s">
        <v>#N/A N/A</v>
        <stp/>
        <stp>BDP|12924751687051099355</stp>
        <tr r="I4667" s="2"/>
      </tp>
      <tp t="s">
        <v>#N/A N/A</v>
        <stp/>
        <stp>BDP|11552374967052986926</stp>
        <tr r="F614" s="2"/>
      </tp>
      <tp t="s">
        <v>#N/A N/A</v>
        <stp/>
        <stp>BDP|11483242464432233882</stp>
        <tr r="B2284" s="2"/>
      </tp>
      <tp t="s">
        <v>#N/A N/A</v>
        <stp/>
        <stp>BDP|15102026683615778799</stp>
        <tr r="F2940" s="2"/>
      </tp>
      <tp t="s">
        <v>#N/A N/A</v>
        <stp/>
        <stp>BDP|10018889484156405967</stp>
        <tr r="D3755" s="2"/>
      </tp>
      <tp t="s">
        <v>#N/A N/A</v>
        <stp/>
        <stp>BDP|15868055360819365503</stp>
        <tr r="C2317" s="2"/>
      </tp>
      <tp t="s">
        <v>#N/A N/A</v>
        <stp/>
        <stp>BDP|12448275054809872313</stp>
        <tr r="D1414" s="2"/>
      </tp>
      <tp t="s">
        <v>#N/A N/A</v>
        <stp/>
        <stp>BDP|12357599311909507008</stp>
        <tr r="G1515" s="2"/>
      </tp>
      <tp t="s">
        <v>#N/A N/A</v>
        <stp/>
        <stp>BDP|14128909183618827243</stp>
        <tr r="C2852" s="2"/>
      </tp>
      <tp t="s">
        <v>#N/A N/A</v>
        <stp/>
        <stp>BDP|15046584856682734879</stp>
        <tr r="F1748" s="2"/>
      </tp>
      <tp t="s">
        <v>#N/A N/A</v>
        <stp/>
        <stp>BDP|17210632465649356193</stp>
        <tr r="F1161" s="2"/>
      </tp>
      <tp t="s">
        <v>#N/A N/A</v>
        <stp/>
        <stp>BDP|15588155249707080870</stp>
        <tr r="A738" s="2"/>
      </tp>
      <tp t="s">
        <v>#N/A N/A</v>
        <stp/>
        <stp>BDP|16506125086025650592</stp>
        <tr r="I3449" s="2"/>
      </tp>
      <tp t="s">
        <v>#N/A N/A</v>
        <stp/>
        <stp>BDP|15798594101139669678</stp>
        <tr r="I4494" s="2"/>
      </tp>
      <tp t="s">
        <v>#N/A N/A</v>
        <stp/>
        <stp>BDP|13847326587184227310</stp>
        <tr r="C4142" s="2"/>
      </tp>
      <tp t="s">
        <v>#N/A N/A</v>
        <stp/>
        <stp>BDP|10826554140489328701</stp>
        <tr r="A880" s="2"/>
      </tp>
      <tp t="s">
        <v>#N/A N/A</v>
        <stp/>
        <stp>BDP|10575557205688342282</stp>
        <tr r="A4926" s="2"/>
      </tp>
      <tp t="s">
        <v>#N/A N/A</v>
        <stp/>
        <stp>BDP|13605047807669866537</stp>
        <tr r="I939" s="2"/>
      </tp>
      <tp t="s">
        <v>#N/A N/A</v>
        <stp/>
        <stp>BDP|16917753743973639978</stp>
        <tr r="F3645" s="2"/>
      </tp>
      <tp t="s">
        <v>#N/A N/A</v>
        <stp/>
        <stp>BDP|11168379608814124915</stp>
        <tr r="D1062" s="2"/>
      </tp>
      <tp t="s">
        <v>#N/A N/A</v>
        <stp/>
        <stp>BDP|14808014701762103973</stp>
        <tr r="F2206" s="2"/>
      </tp>
      <tp t="s">
        <v>#N/A N/A</v>
        <stp/>
        <stp>BDP|14860804728115773494</stp>
        <tr r="C2752" s="2"/>
      </tp>
      <tp t="s">
        <v>#N/A N/A</v>
        <stp/>
        <stp>BDP|18425381481179171525</stp>
        <tr r="G4222" s="2"/>
      </tp>
      <tp t="s">
        <v>#N/A N/A</v>
        <stp/>
        <stp>BDP|11555207908488162420</stp>
        <tr r="D950" s="2"/>
      </tp>
      <tp t="s">
        <v>#N/A N/A</v>
        <stp/>
        <stp>BDP|12071584043674360863</stp>
        <tr r="F4007" s="2"/>
      </tp>
      <tp t="s">
        <v>#N/A N/A</v>
        <stp/>
        <stp>BDP|14646032562458940506</stp>
        <tr r="I2532" s="2"/>
      </tp>
      <tp t="s">
        <v>#N/A N/A</v>
        <stp/>
        <stp>BDP|14742522484611946764</stp>
        <tr r="C3684" s="2"/>
      </tp>
      <tp t="s">
        <v>#N/A N/A</v>
        <stp/>
        <stp>BDP|15020039898202009159</stp>
        <tr r="D2359" s="2"/>
      </tp>
      <tp t="s">
        <v>#N/A N/A</v>
        <stp/>
        <stp>BDP|12674850557758817821</stp>
        <tr r="C4907" s="2"/>
      </tp>
      <tp t="s">
        <v>#N/A N/A</v>
        <stp/>
        <stp>BDP|13465722087795840670</stp>
        <tr r="F314" s="2"/>
      </tp>
      <tp t="s">
        <v>#N/A N/A</v>
        <stp/>
        <stp>BDP|11755575660354679983</stp>
        <tr r="D4810" s="2"/>
      </tp>
      <tp t="s">
        <v>#N/A N/A</v>
        <stp/>
        <stp>BDP|15849744653420942887</stp>
        <tr r="H4754" s="2"/>
      </tp>
      <tp t="s">
        <v>#N/A N/A</v>
        <stp/>
        <stp>BDP|17597973343835939066</stp>
        <tr r="B813" s="2"/>
      </tp>
      <tp t="s">
        <v>#N/A N/A</v>
        <stp/>
        <stp>BDP|11935547928230374986</stp>
        <tr r="B1394" s="2"/>
      </tp>
      <tp t="s">
        <v>#N/A N/A</v>
        <stp/>
        <stp>BDP|11155038388161287763</stp>
        <tr r="A1441" s="2"/>
      </tp>
      <tp t="s">
        <v>#N/A N/A</v>
        <stp/>
        <stp>BDP|18394714776370385791</stp>
        <tr r="D3464" s="2"/>
      </tp>
      <tp t="s">
        <v>#N/A N/A</v>
        <stp/>
        <stp>BDP|15895339050928079458</stp>
        <tr r="B4205" s="2"/>
      </tp>
      <tp t="s">
        <v>#N/A N/A</v>
        <stp/>
        <stp>BDP|16787345633548766198</stp>
        <tr r="I3012" s="2"/>
      </tp>
      <tp t="s">
        <v>#N/A N/A</v>
        <stp/>
        <stp>BDP|16894754143812656866</stp>
        <tr r="B3353" s="2"/>
      </tp>
      <tp t="s">
        <v>#N/A N/A</v>
        <stp/>
        <stp>BDP|14557558584682277489</stp>
        <tr r="D3209" s="2"/>
      </tp>
      <tp t="s">
        <v>#N/A N/A</v>
        <stp/>
        <stp>BDP|14391864846130890750</stp>
        <tr r="A3001" s="2"/>
      </tp>
      <tp t="s">
        <v>#N/A N/A</v>
        <stp/>
        <stp>BDP|17834812151815640008</stp>
        <tr r="B2749" s="2"/>
      </tp>
      <tp t="s">
        <v>#N/A N/A</v>
        <stp/>
        <stp>BDP|15517403796000956742</stp>
        <tr r="C1406" s="2"/>
      </tp>
      <tp t="s">
        <v>#N/A N/A</v>
        <stp/>
        <stp>BDP|12840601293332572004</stp>
        <tr r="I4491" s="2"/>
      </tp>
      <tp t="s">
        <v>#N/A N/A</v>
        <stp/>
        <stp>BDP|16921863471265500356</stp>
        <tr r="I1956" s="2"/>
      </tp>
      <tp t="s">
        <v>#N/A N/A</v>
        <stp/>
        <stp>BDP|10040886451375351741</stp>
        <tr r="I4612" s="2"/>
      </tp>
      <tp t="s">
        <v>#N/A N/A</v>
        <stp/>
        <stp>BDP|12416138998171086414</stp>
        <tr r="A971" s="2"/>
      </tp>
      <tp t="s">
        <v>#N/A N/A</v>
        <stp/>
        <stp>BDP|10666370064369874336</stp>
        <tr r="A3115" s="2"/>
      </tp>
      <tp t="s">
        <v>#N/A N/A</v>
        <stp/>
        <stp>BDP|17925515946149768074</stp>
        <tr r="I3946" s="2"/>
      </tp>
      <tp t="s">
        <v>#N/A N/A</v>
        <stp/>
        <stp>BDP|10608688487711133097</stp>
        <tr r="D4297" s="2"/>
      </tp>
      <tp t="s">
        <v>#N/A N/A</v>
        <stp/>
        <stp>BDP|14715944845820128664</stp>
        <tr r="C718" s="2"/>
      </tp>
      <tp t="s">
        <v>#N/A N/A</v>
        <stp/>
        <stp>BDP|15360486282244894200</stp>
        <tr r="I1808" s="2"/>
      </tp>
      <tp t="s">
        <v>#N/A N/A</v>
        <stp/>
        <stp>BDP|13104001461982276835</stp>
        <tr r="F4826" s="2"/>
      </tp>
      <tp t="s">
        <v>#N/A N/A</v>
        <stp/>
        <stp>BDP|15542503856363294907</stp>
        <tr r="A3737" s="2"/>
      </tp>
      <tp t="s">
        <v>#N/A N/A</v>
        <stp/>
        <stp>BDP|10843720894342845379</stp>
        <tr r="A331" s="2"/>
      </tp>
      <tp t="s">
        <v>#N/A N/A</v>
        <stp/>
        <stp>BDP|14751009511338300245</stp>
        <tr r="H341" s="2"/>
      </tp>
      <tp t="s">
        <v>#N/A N/A</v>
        <stp/>
        <stp>BDP|17892534062609084289</stp>
        <tr r="G2615" s="2"/>
      </tp>
      <tp t="s">
        <v>#N/A N/A</v>
        <stp/>
        <stp>BDP|12203526722942621857</stp>
        <tr r="A2980" s="2"/>
      </tp>
      <tp t="s">
        <v>#N/A N/A</v>
        <stp/>
        <stp>BDP|10932813846885922660</stp>
        <tr r="H4207" s="2"/>
      </tp>
      <tp t="s">
        <v>#N/A N/A</v>
        <stp/>
        <stp>BDP|12129665853527213979</stp>
        <tr r="C2912" s="2"/>
      </tp>
      <tp t="s">
        <v>#N/A N/A</v>
        <stp/>
        <stp>BDP|13426544012110347809</stp>
        <tr r="C2301" s="2"/>
      </tp>
      <tp t="s">
        <v>#N/A N/A</v>
        <stp/>
        <stp>BDP|13764742785456685512</stp>
        <tr r="I4932" s="2"/>
      </tp>
      <tp t="s">
        <v>#N/A N/A</v>
        <stp/>
        <stp>BDP|12538778596192109143</stp>
        <tr r="I2913" s="2"/>
      </tp>
      <tp t="s">
        <v>#N/A N/A</v>
        <stp/>
        <stp>BDP|18218178424450005404</stp>
        <tr r="H4779" s="2"/>
      </tp>
      <tp t="s">
        <v>#N/A N/A</v>
        <stp/>
        <stp>BDP|16718500992835622022</stp>
        <tr r="F1934" s="2"/>
      </tp>
      <tp t="s">
        <v>#N/A N/A</v>
        <stp/>
        <stp>BDP|17388902908969327898</stp>
        <tr r="B4891" s="2"/>
      </tp>
      <tp t="s">
        <v>#N/A N/A</v>
        <stp/>
        <stp>BDP|13588087373923995867</stp>
        <tr r="F2230" s="2"/>
      </tp>
      <tp t="s">
        <v>#N/A N/A</v>
        <stp/>
        <stp>BDP|13647788934391940923</stp>
        <tr r="H1509" s="2"/>
      </tp>
      <tp t="s">
        <v>#N/A N/A</v>
        <stp/>
        <stp>BDP|13996571604758813136</stp>
        <tr r="F4226" s="2"/>
      </tp>
      <tp t="s">
        <v>#N/A N/A</v>
        <stp/>
        <stp>BDP|16123782058563743879</stp>
        <tr r="I247" s="2"/>
      </tp>
      <tp t="s">
        <v>#N/A N/A</v>
        <stp/>
        <stp>BDP|17270594247948820150</stp>
        <tr r="D706" s="2"/>
      </tp>
      <tp t="s">
        <v>#N/A N/A</v>
        <stp/>
        <stp>BDP|16181572244161109924</stp>
        <tr r="F4594" s="2"/>
      </tp>
      <tp t="s">
        <v>#N/A N/A</v>
        <stp/>
        <stp>BDP|12431929572051208275</stp>
        <tr r="F3287" s="2"/>
      </tp>
      <tp t="s">
        <v>#N/A N/A</v>
        <stp/>
        <stp>BDP|13744794409852357952</stp>
        <tr r="G3617" s="2"/>
      </tp>
      <tp t="s">
        <v>#N/A N/A</v>
        <stp/>
        <stp>BDP|14577905605490592241</stp>
        <tr r="B1796" s="2"/>
      </tp>
      <tp t="s">
        <v>#N/A N/A</v>
        <stp/>
        <stp>BDP|14560185838291595815</stp>
        <tr r="A4397" s="2"/>
      </tp>
      <tp t="s">
        <v>#N/A N/A</v>
        <stp/>
        <stp>BDP|18132296690195199980</stp>
        <tr r="I989" s="2"/>
      </tp>
      <tp t="s">
        <v>#N/A N/A</v>
        <stp/>
        <stp>BDP|17388749271170690815</stp>
        <tr r="G4220" s="2"/>
      </tp>
      <tp t="s">
        <v>#N/A N/A</v>
        <stp/>
        <stp>BDP|18345464289203973849</stp>
        <tr r="H4028" s="2"/>
      </tp>
      <tp t="s">
        <v>#N/A N/A</v>
        <stp/>
        <stp>BDP|11214877045945088714</stp>
        <tr r="H4393" s="2"/>
      </tp>
      <tp t="s">
        <v>#N/A N/A</v>
        <stp/>
        <stp>BDP|17036314894924459608</stp>
        <tr r="D1258" s="2"/>
      </tp>
      <tp t="s">
        <v>#N/A N/A</v>
        <stp/>
        <stp>BDP|18326382761175377785</stp>
        <tr r="H1596" s="2"/>
      </tp>
      <tp t="s">
        <v>#N/A N/A</v>
        <stp/>
        <stp>BDP|11167173553562206863</stp>
        <tr r="F3271" s="2"/>
      </tp>
      <tp t="s">
        <v>#N/A N/A</v>
        <stp/>
        <stp>BDP|15009547214308526644</stp>
        <tr r="D4167" s="2"/>
      </tp>
      <tp t="s">
        <v>#N/A N/A</v>
        <stp/>
        <stp>BDP|15282738085697643230</stp>
        <tr r="D4190" s="2"/>
      </tp>
      <tp t="s">
        <v>#N/A N/A</v>
        <stp/>
        <stp>BDP|14530000593291257356</stp>
        <tr r="G1753" s="2"/>
      </tp>
      <tp t="s">
        <v>#N/A N/A</v>
        <stp/>
        <stp>BDP|13446808260272489014</stp>
        <tr r="B456" s="2"/>
      </tp>
      <tp t="s">
        <v>#N/A N/A</v>
        <stp/>
        <stp>BDP|17961434284677874371</stp>
        <tr r="C4391" s="2"/>
      </tp>
      <tp t="s">
        <v>#N/A N/A</v>
        <stp/>
        <stp>BDP|11940837038557337207</stp>
        <tr r="A1688" s="2"/>
      </tp>
      <tp t="s">
        <v>#N/A N/A</v>
        <stp/>
        <stp>BDP|12843707187493714197</stp>
        <tr r="H975" s="2"/>
      </tp>
      <tp t="s">
        <v>#N/A N/A</v>
        <stp/>
        <stp>BDP|17421448392366210319</stp>
        <tr r="I4805" s="2"/>
      </tp>
      <tp t="s">
        <v>#N/A N/A</v>
        <stp/>
        <stp>BDP|12297713935381115869</stp>
        <tr r="H1239" s="2"/>
      </tp>
      <tp t="s">
        <v>#N/A N/A</v>
        <stp/>
        <stp>BDP|16613674240598247324</stp>
        <tr r="G3218" s="2"/>
      </tp>
      <tp t="s">
        <v>#N/A N/A</v>
        <stp/>
        <stp>BDP|13605568095261087142</stp>
        <tr r="B2355" s="2"/>
      </tp>
      <tp t="s">
        <v>#N/A N/A</v>
        <stp/>
        <stp>BDP|18304111554113770007</stp>
        <tr r="A559" s="2"/>
      </tp>
      <tp t="s">
        <v>#N/A N/A</v>
        <stp/>
        <stp>BDP|14585221486081977099</stp>
        <tr r="A4305" s="2"/>
      </tp>
      <tp t="s">
        <v>#N/A N/A</v>
        <stp/>
        <stp>BDP|14388706741610584867</stp>
        <tr r="C2773" s="2"/>
      </tp>
      <tp t="s">
        <v>#N/A N/A</v>
        <stp/>
        <stp>BDP|11552665826193714937</stp>
        <tr r="F1426" s="2"/>
      </tp>
      <tp t="s">
        <v>#N/A N/A</v>
        <stp/>
        <stp>BDP|14970357529602752834</stp>
        <tr r="I1271" s="2"/>
      </tp>
      <tp t="s">
        <v>#N/A N/A</v>
        <stp/>
        <stp>BDP|10615396879262327941</stp>
        <tr r="G1134" s="2"/>
      </tp>
      <tp t="s">
        <v>#N/A N/A</v>
        <stp/>
        <stp>BDP|10208914408606222086</stp>
        <tr r="C1475" s="2"/>
      </tp>
      <tp t="s">
        <v>#N/A N/A</v>
        <stp/>
        <stp>BDP|10912676498955388540</stp>
        <tr r="B2952" s="2"/>
      </tp>
      <tp t="s">
        <v>#N/A N/A</v>
        <stp/>
        <stp>BDP|15849080681604014605</stp>
        <tr r="F1415" s="2"/>
      </tp>
      <tp t="s">
        <v>#N/A N/A</v>
        <stp/>
        <stp>BDP|13125428670706229909</stp>
        <tr r="C375" s="2"/>
      </tp>
      <tp t="s">
        <v>#N/A N/A</v>
        <stp/>
        <stp>BDP|16802845919677579712</stp>
        <tr r="H2456" s="2"/>
      </tp>
      <tp t="s">
        <v>#N/A N/A</v>
        <stp/>
        <stp>BDP|10535734381476445621</stp>
        <tr r="C3147" s="2"/>
      </tp>
      <tp t="s">
        <v>#N/A N/A</v>
        <stp/>
        <stp>BDP|11021410593310013336</stp>
        <tr r="G4923" s="2"/>
      </tp>
      <tp t="s">
        <v>#N/A N/A</v>
        <stp/>
        <stp>BDP|14858906145474478286</stp>
        <tr r="G1396" s="2"/>
      </tp>
      <tp t="s">
        <v>#N/A N/A</v>
        <stp/>
        <stp>BDP|18141815291532040406</stp>
        <tr r="H886" s="2"/>
      </tp>
      <tp t="s">
        <v>#N/A N/A</v>
        <stp/>
        <stp>BDP|15494360841925043821</stp>
        <tr r="C2653" s="2"/>
      </tp>
      <tp t="s">
        <v>#N/A N/A</v>
        <stp/>
        <stp>BDP|10260891768211253005</stp>
        <tr r="C5001" s="2"/>
      </tp>
      <tp t="s">
        <v>#N/A N/A</v>
        <stp/>
        <stp>BDP|16101494593420822427</stp>
        <tr r="D4871" s="2"/>
      </tp>
      <tp t="s">
        <v>#N/A N/A</v>
        <stp/>
        <stp>BDP|13508260333084874992</stp>
        <tr r="C2737" s="2"/>
      </tp>
      <tp t="s">
        <v>#N/A N/A</v>
        <stp/>
        <stp>BDP|17723907917555458550</stp>
        <tr r="G118" s="2"/>
      </tp>
      <tp t="s">
        <v>#N/A N/A</v>
        <stp/>
        <stp>BDP|10860102645068455285</stp>
        <tr r="F52" s="2"/>
      </tp>
      <tp t="s">
        <v>#N/A N/A</v>
        <stp/>
        <stp>BDP|13675949741642153339</stp>
        <tr r="D4386" s="2"/>
      </tp>
      <tp t="s">
        <v>#N/A N/A</v>
        <stp/>
        <stp>BDP|12196878552293748323</stp>
        <tr r="C1402" s="2"/>
      </tp>
      <tp t="s">
        <v>#N/A N/A</v>
        <stp/>
        <stp>BDP|16085411957138441027</stp>
        <tr r="D1113" s="2"/>
      </tp>
      <tp t="s">
        <v>#N/A N/A</v>
        <stp/>
        <stp>BDP|18325737627910068271</stp>
        <tr r="A4594" s="2"/>
      </tp>
      <tp t="s">
        <v>#N/A N/A</v>
        <stp/>
        <stp>BDP|13611219790654076373</stp>
        <tr r="B4227" s="2"/>
      </tp>
      <tp t="s">
        <v>#N/A N/A</v>
        <stp/>
        <stp>BDP|16269530829739084783</stp>
        <tr r="G2709" s="2"/>
      </tp>
      <tp t="s">
        <v>#N/A N/A</v>
        <stp/>
        <stp>BDP|17002972909855866465</stp>
        <tr r="D3486" s="2"/>
      </tp>
      <tp t="s">
        <v>#N/A N/A</v>
        <stp/>
        <stp>BDP|12977778863978883456</stp>
        <tr r="C4991" s="2"/>
      </tp>
      <tp t="s">
        <v>#N/A N/A</v>
        <stp/>
        <stp>BDP|12474445863958745740</stp>
        <tr r="A3102" s="2"/>
      </tp>
      <tp t="s">
        <v>#N/A N/A</v>
        <stp/>
        <stp>BDP|12789473796350174070</stp>
        <tr r="F1824" s="2"/>
      </tp>
      <tp t="s">
        <v>#N/A N/A</v>
        <stp/>
        <stp>BDP|13068395789917720077</stp>
        <tr r="I354" s="2"/>
      </tp>
      <tp t="s">
        <v>#N/A N/A</v>
        <stp/>
        <stp>BDP|15073959560697244273</stp>
        <tr r="B3736" s="2"/>
      </tp>
      <tp t="s">
        <v>#N/A N/A</v>
        <stp/>
        <stp>BDP|13873346535828021494</stp>
        <tr r="F3807" s="2"/>
      </tp>
      <tp t="s">
        <v>#N/A N/A</v>
        <stp/>
        <stp>BDP|15014816017051196271</stp>
        <tr r="C4453" s="2"/>
      </tp>
      <tp t="s">
        <v>#N/A N/A</v>
        <stp/>
        <stp>BDP|11587902219351436785</stp>
        <tr r="I2848" s="2"/>
      </tp>
      <tp t="s">
        <v>#N/A N/A</v>
        <stp/>
        <stp>BDP|10466899325133926613</stp>
        <tr r="F2651" s="2"/>
      </tp>
      <tp t="s">
        <v>#N/A N/A</v>
        <stp/>
        <stp>BDP|10840818772877890732</stp>
        <tr r="D1606" s="2"/>
      </tp>
      <tp t="s">
        <v>#N/A N/A</v>
        <stp/>
        <stp>BDP|10389608042429528449</stp>
        <tr r="A4340" s="2"/>
      </tp>
      <tp t="s">
        <v>#N/A N/A</v>
        <stp/>
        <stp>BDP|15362642362993666935</stp>
        <tr r="C1888" s="2"/>
      </tp>
      <tp t="s">
        <v>#N/A N/A</v>
        <stp/>
        <stp>BDP|13284467737088662357</stp>
        <tr r="H2205" s="2"/>
      </tp>
      <tp t="s">
        <v>#N/A N/A</v>
        <stp/>
        <stp>BDP|14543435507959977681</stp>
        <tr r="I3471" s="2"/>
      </tp>
      <tp t="s">
        <v>#N/A N/A</v>
        <stp/>
        <stp>BDP|14119878932721014141</stp>
        <tr r="B1589" s="2"/>
      </tp>
      <tp t="s">
        <v>#N/A N/A</v>
        <stp/>
        <stp>BDP|18198646136914218619</stp>
        <tr r="G4554" s="2"/>
      </tp>
      <tp t="s">
        <v>#N/A N/A</v>
        <stp/>
        <stp>BDP|16034517103208039428</stp>
        <tr r="D3342" s="2"/>
      </tp>
      <tp t="s">
        <v>#N/A N/A</v>
        <stp/>
        <stp>BDP|10982725825599779392</stp>
        <tr r="C2267" s="2"/>
      </tp>
      <tp t="s">
        <v>#N/A N/A</v>
        <stp/>
        <stp>BDP|11050683308828064005</stp>
        <tr r="F1214" s="2"/>
      </tp>
      <tp t="s">
        <v>#N/A N/A</v>
        <stp/>
        <stp>BDP|15866687330189191615</stp>
        <tr r="G2379" s="2"/>
      </tp>
      <tp t="s">
        <v>#N/A N/A</v>
        <stp/>
        <stp>BDP|15050290609960689868</stp>
        <tr r="B585" s="2"/>
      </tp>
      <tp t="s">
        <v>#N/A N/A</v>
        <stp/>
        <stp>BDP|10766238821309605631</stp>
        <tr r="F2934" s="2"/>
      </tp>
      <tp t="s">
        <v>#N/A N/A</v>
        <stp/>
        <stp>BDP|14824471329589756410</stp>
        <tr r="A475" s="2"/>
      </tp>
      <tp t="s">
        <v>#N/A N/A</v>
        <stp/>
        <stp>BDP|14753200430409143366</stp>
        <tr r="G2767" s="2"/>
      </tp>
      <tp t="s">
        <v>#N/A N/A</v>
        <stp/>
        <stp>BDP|16484714542322382844</stp>
        <tr r="C1235" s="2"/>
      </tp>
      <tp t="s">
        <v>#N/A N/A</v>
        <stp/>
        <stp>BDP|18232474539577400781</stp>
        <tr r="H2742" s="2"/>
      </tp>
      <tp t="s">
        <v>#N/A N/A</v>
        <stp/>
        <stp>BDP|10447750490871576048</stp>
        <tr r="F2038" s="2"/>
      </tp>
      <tp t="s">
        <v>#N/A N/A</v>
        <stp/>
        <stp>BDP|12001380942268977237</stp>
        <tr r="F1311" s="2"/>
      </tp>
      <tp t="s">
        <v>#N/A N/A</v>
        <stp/>
        <stp>BDP|17851765288701618604</stp>
        <tr r="H3739" s="2"/>
      </tp>
      <tp t="s">
        <v>#N/A N/A</v>
        <stp/>
        <stp>BDP|13471474780516041630</stp>
        <tr r="H1587" s="2"/>
      </tp>
      <tp t="s">
        <v>#N/A N/A</v>
        <stp/>
        <stp>BDP|16373241876905794967</stp>
        <tr r="B3105" s="2"/>
      </tp>
      <tp t="s">
        <v>#N/A N/A</v>
        <stp/>
        <stp>BDP|12610933502665755100</stp>
        <tr r="B1758" s="2"/>
      </tp>
      <tp t="s">
        <v>#N/A N/A</v>
        <stp/>
        <stp>BDP|11011813801362665467</stp>
        <tr r="H4000" s="2"/>
      </tp>
      <tp t="s">
        <v>#N/A N/A</v>
        <stp/>
        <stp>BDP|17288867245916908286</stp>
        <tr r="H2383" s="2"/>
      </tp>
      <tp t="s">
        <v>#N/A N/A</v>
        <stp/>
        <stp>BDP|18270111873236618765</stp>
        <tr r="D4604" s="2"/>
      </tp>
      <tp t="s">
        <v>#N/A N/A</v>
        <stp/>
        <stp>BDP|12857976914321220495</stp>
        <tr r="H4261" s="2"/>
      </tp>
      <tp t="s">
        <v>#N/A N/A</v>
        <stp/>
        <stp>BDP|16504094621883493892</stp>
        <tr r="G2979" s="2"/>
      </tp>
      <tp t="s">
        <v>#N/A N/A</v>
        <stp/>
        <stp>BDP|17812287240167822982</stp>
        <tr r="A772" s="2"/>
      </tp>
      <tp t="s">
        <v>#N/A N/A</v>
        <stp/>
        <stp>BDP|14441498939325016948</stp>
        <tr r="C797" s="2"/>
      </tp>
      <tp t="s">
        <v>#N/A N/A</v>
        <stp/>
        <stp>BDP|10679761041358018412</stp>
        <tr r="G1881" s="2"/>
      </tp>
      <tp t="s">
        <v>#N/A N/A</v>
        <stp/>
        <stp>BDP|15963657228658503611</stp>
        <tr r="F1169" s="2"/>
      </tp>
      <tp t="s">
        <v>#N/A N/A</v>
        <stp/>
        <stp>BDP|17726754470311233900</stp>
        <tr r="G779" s="2"/>
      </tp>
      <tp t="s">
        <v>#N/A N/A</v>
        <stp/>
        <stp>BDP|13626721391630075254</stp>
        <tr r="G3021" s="2"/>
      </tp>
      <tp t="s">
        <v>#N/A N/A</v>
        <stp/>
        <stp>BDP|18274976586472132423</stp>
        <tr r="F2369" s="2"/>
      </tp>
      <tp t="s">
        <v>#N/A N/A</v>
        <stp/>
        <stp>BDP|12874849410957552397</stp>
        <tr r="A28" s="2"/>
      </tp>
      <tp t="s">
        <v>#N/A N/A</v>
        <stp/>
        <stp>BDP|17040886459440101503</stp>
        <tr r="I4200" s="2"/>
      </tp>
      <tp t="s">
        <v>#N/A N/A</v>
        <stp/>
        <stp>BDP|12059230207946692921</stp>
        <tr r="D4753" s="2"/>
      </tp>
      <tp t="s">
        <v>#N/A N/A</v>
        <stp/>
        <stp>BDP|16435710295713199419</stp>
        <tr r="I1674" s="2"/>
      </tp>
      <tp t="s">
        <v>#N/A N/A</v>
        <stp/>
        <stp>BDP|13620726972715522935</stp>
        <tr r="B2157" s="2"/>
      </tp>
      <tp t="s">
        <v>#N/A N/A</v>
        <stp/>
        <stp>BDP|15454276163558916693</stp>
        <tr r="F1323" s="2"/>
      </tp>
      <tp t="s">
        <v>#N/A N/A</v>
        <stp/>
        <stp>BDP|11173137636689250558</stp>
        <tr r="B3853" s="2"/>
      </tp>
      <tp t="s">
        <v>#N/A N/A</v>
        <stp/>
        <stp>BDP|11787730534439278311</stp>
        <tr r="C4796" s="2"/>
      </tp>
      <tp t="s">
        <v>#N/A N/A</v>
        <stp/>
        <stp>BDP|14309120138870864924</stp>
        <tr r="B2579" s="2"/>
      </tp>
      <tp t="s">
        <v>#N/A N/A</v>
        <stp/>
        <stp>BDP|10914297990655082132</stp>
        <tr r="C3503" s="2"/>
      </tp>
      <tp t="s">
        <v>#N/A N/A</v>
        <stp/>
        <stp>BDP|18143650904497536669</stp>
        <tr r="I241" s="2"/>
      </tp>
      <tp t="s">
        <v>#N/A N/A</v>
        <stp/>
        <stp>BDP|13325914271123582155</stp>
        <tr r="C2019" s="2"/>
      </tp>
      <tp t="s">
        <v>#N/A N/A</v>
        <stp/>
        <stp>BDP|15197978463806443327</stp>
        <tr r="G3478" s="2"/>
      </tp>
      <tp t="s">
        <v>#N/A N/A</v>
        <stp/>
        <stp>BDP|12798930343657610727</stp>
        <tr r="F823" s="2"/>
      </tp>
      <tp t="s">
        <v>#N/A N/A</v>
        <stp/>
        <stp>BDP|18424284730934859273</stp>
        <tr r="I2586" s="2"/>
      </tp>
      <tp t="s">
        <v>#N/A N/A</v>
        <stp/>
        <stp>BDP|10734924731905412036</stp>
        <tr r="D3165" s="2"/>
      </tp>
      <tp t="s">
        <v>#N/A N/A</v>
        <stp/>
        <stp>BDP|17724329461365397848</stp>
        <tr r="G2431" s="2"/>
      </tp>
      <tp t="s">
        <v>#N/A N/A</v>
        <stp/>
        <stp>BDP|17793859202614661459</stp>
        <tr r="H2543" s="2"/>
      </tp>
      <tp t="s">
        <v>#N/A N/A</v>
        <stp/>
        <stp>BDP|14902700247911941944</stp>
        <tr r="B1485" s="2"/>
      </tp>
      <tp t="s">
        <v>#N/A N/A</v>
        <stp/>
        <stp>BDP|10931289886020738530</stp>
        <tr r="I4215" s="2"/>
      </tp>
      <tp t="s">
        <v>#N/A N/A</v>
        <stp/>
        <stp>BDP|17779499487725991138</stp>
        <tr r="H4743" s="2"/>
      </tp>
      <tp t="s">
        <v>#N/A N/A</v>
        <stp/>
        <stp>BDP|10357988192348919737</stp>
        <tr r="F3286" s="2"/>
      </tp>
      <tp t="s">
        <v>#N/A N/A</v>
        <stp/>
        <stp>BDP|15399363924693162832</stp>
        <tr r="B2828" s="2"/>
      </tp>
      <tp t="s">
        <v>#N/A N/A</v>
        <stp/>
        <stp>BDP|16394239464955441835</stp>
        <tr r="C3988" s="2"/>
      </tp>
      <tp t="s">
        <v>#N/A N/A</v>
        <stp/>
        <stp>BDP|13103065244269466149</stp>
        <tr r="I677" s="2"/>
      </tp>
      <tp t="s">
        <v>#N/A N/A</v>
        <stp/>
        <stp>BDP|12179972137181053629</stp>
        <tr r="B2171" s="2"/>
      </tp>
      <tp t="s">
        <v>#N/A N/A</v>
        <stp/>
        <stp>BDP|16135314824611795907</stp>
        <tr r="D1915" s="2"/>
      </tp>
      <tp t="s">
        <v>#N/A N/A</v>
        <stp/>
        <stp>BDP|14633556354863052847</stp>
        <tr r="I3413" s="2"/>
      </tp>
      <tp t="s">
        <v>#N/A N/A</v>
        <stp/>
        <stp>BDP|16676424982683239678</stp>
        <tr r="G4365" s="2"/>
      </tp>
      <tp t="s">
        <v>#N/A N/A</v>
        <stp/>
        <stp>BDP|14302820679581993521</stp>
        <tr r="B1720" s="2"/>
      </tp>
      <tp t="s">
        <v>#N/A N/A</v>
        <stp/>
        <stp>BDP|15198132081607032403</stp>
        <tr r="C2515" s="2"/>
      </tp>
      <tp t="s">
        <v>#N/A N/A</v>
        <stp/>
        <stp>BDP|13481415739073724882</stp>
        <tr r="A3027" s="2"/>
      </tp>
      <tp t="s">
        <v>#N/A N/A</v>
        <stp/>
        <stp>BDP|15591796804694220996</stp>
        <tr r="H1569" s="2"/>
      </tp>
      <tp t="s">
        <v>#N/A N/A</v>
        <stp/>
        <stp>BDP|11779448203949580362</stp>
        <tr r="F2664" s="2"/>
      </tp>
      <tp t="s">
        <v>#N/A N/A</v>
        <stp/>
        <stp>BDP|13388391068501952885</stp>
        <tr r="I3961" s="2"/>
      </tp>
      <tp t="s">
        <v>#N/A N/A</v>
        <stp/>
        <stp>BDP|14266532195963740405</stp>
        <tr r="G1818" s="2"/>
      </tp>
      <tp t="s">
        <v>#N/A N/A</v>
        <stp/>
        <stp>BDP|10356179597041737673</stp>
        <tr r="H2" s="2"/>
      </tp>
      <tp t="s">
        <v>#N/A N/A</v>
        <stp/>
        <stp>BDP|13451242076719250079</stp>
        <tr r="H1463" s="2"/>
      </tp>
      <tp t="s">
        <v>#N/A N/A</v>
        <stp/>
        <stp>BDP|12324717632591134820</stp>
        <tr r="D2220" s="2"/>
      </tp>
      <tp t="s">
        <v>#N/A N/A</v>
        <stp/>
        <stp>BDP|10063950920743465724</stp>
        <tr r="C405" s="2"/>
      </tp>
      <tp t="s">
        <v>#N/A N/A</v>
        <stp/>
        <stp>BDP|15438610327417730967</stp>
        <tr r="F3444" s="2"/>
      </tp>
      <tp t="s">
        <v>#N/A N/A</v>
        <stp/>
        <stp>BDP|14940855816067968504</stp>
        <tr r="F1655" s="2"/>
      </tp>
      <tp t="s">
        <v>#N/A N/A</v>
        <stp/>
        <stp>BDP|10425373394157442207</stp>
        <tr r="D4076" s="2"/>
      </tp>
      <tp t="s">
        <v>#N/A N/A</v>
        <stp/>
        <stp>BDP|18048786968291515763</stp>
        <tr r="H835" s="2"/>
      </tp>
      <tp t="s">
        <v>#N/A N/A</v>
        <stp/>
        <stp>BDP|13500992052317524781</stp>
        <tr r="G3040" s="2"/>
      </tp>
      <tp t="s">
        <v>#N/A N/A</v>
        <stp/>
        <stp>BDP|14051860175177013307</stp>
        <tr r="D2265" s="2"/>
      </tp>
      <tp t="s">
        <v>#N/A N/A</v>
        <stp/>
        <stp>BDP|13370412214541315863</stp>
        <tr r="C2115" s="2"/>
      </tp>
      <tp t="s">
        <v>#N/A N/A</v>
        <stp/>
        <stp>BDP|15550320786001409064</stp>
        <tr r="D2716" s="2"/>
      </tp>
      <tp t="s">
        <v>#N/A N/A</v>
        <stp/>
        <stp>BDP|12159392858088270311</stp>
        <tr r="C3870" s="2"/>
      </tp>
      <tp t="s">
        <v>#N/A N/A</v>
        <stp/>
        <stp>BDP|16607462824887132868</stp>
        <tr r="B1977" s="2"/>
      </tp>
      <tp t="s">
        <v>#N/A N/A</v>
        <stp/>
        <stp>BDP|12891427038098379228</stp>
        <tr r="I4762" s="2"/>
      </tp>
      <tp t="s">
        <v>#N/A N/A</v>
        <stp/>
        <stp>BDP|13212450414989283020</stp>
        <tr r="H1573" s="2"/>
      </tp>
      <tp t="s">
        <v>#N/A N/A</v>
        <stp/>
        <stp>BDP|15439832127947590761</stp>
        <tr r="G4713" s="2"/>
      </tp>
      <tp t="s">
        <v>#N/A N/A</v>
        <stp/>
        <stp>BDP|13379312726248235554</stp>
        <tr r="C2859" s="2"/>
      </tp>
      <tp t="s">
        <v>#N/A N/A</v>
        <stp/>
        <stp>BDP|16150964922854003669</stp>
        <tr r="I4244" s="2"/>
      </tp>
      <tp t="s">
        <v>#N/A N/A</v>
        <stp/>
        <stp>BDP|10385420182384585753</stp>
        <tr r="I446" s="2"/>
      </tp>
      <tp t="s">
        <v>#N/A N/A</v>
        <stp/>
        <stp>BDP|12130136911239561451</stp>
        <tr r="H843" s="2"/>
      </tp>
      <tp t="s">
        <v>#N/A N/A</v>
        <stp/>
        <stp>BDP|18306133576034645537</stp>
        <tr r="C4251" s="2"/>
      </tp>
      <tp t="s">
        <v>#N/A N/A</v>
        <stp/>
        <stp>BDP|11323814634102411716</stp>
        <tr r="A4206" s="2"/>
      </tp>
      <tp t="s">
        <v>#N/A N/A</v>
        <stp/>
        <stp>BDP|12942631212578800230</stp>
        <tr r="I1929" s="2"/>
      </tp>
      <tp t="s">
        <v>#N/A N/A</v>
        <stp/>
        <stp>BDP|12994991759359380893</stp>
        <tr r="H43" s="2"/>
      </tp>
      <tp t="s">
        <v>#N/A N/A</v>
        <stp/>
        <stp>BDP|14882178694935105699</stp>
        <tr r="C2955" s="2"/>
      </tp>
      <tp t="s">
        <v>#N/A N/A</v>
        <stp/>
        <stp>BDP|16905827263380862735</stp>
        <tr r="B3345" s="2"/>
      </tp>
      <tp t="s">
        <v>#N/A N/A</v>
        <stp/>
        <stp>BDP|14701243914700367875</stp>
        <tr r="F2317" s="2"/>
      </tp>
      <tp t="s">
        <v>#N/A N/A</v>
        <stp/>
        <stp>BDP|17718805884411468941</stp>
        <tr r="A3021" s="2"/>
      </tp>
      <tp t="s">
        <v>#N/A N/A</v>
        <stp/>
        <stp>BDP|16834490580944790154</stp>
        <tr r="B4084" s="2"/>
      </tp>
      <tp t="s">
        <v>#N/A N/A</v>
        <stp/>
        <stp>BDP|17432643236449361465</stp>
        <tr r="H4391" s="2"/>
      </tp>
      <tp t="s">
        <v>#N/A N/A</v>
        <stp/>
        <stp>BDP|15705373491589466966</stp>
        <tr r="A3141" s="2"/>
      </tp>
      <tp t="s">
        <v>#N/A N/A</v>
        <stp/>
        <stp>BDP|12643448850188685473</stp>
        <tr r="A74" s="2"/>
      </tp>
      <tp t="s">
        <v>#N/A N/A</v>
        <stp/>
        <stp>BDP|17951494713779430443</stp>
        <tr r="F4122" s="2"/>
      </tp>
      <tp t="s">
        <v>#N/A N/A</v>
        <stp/>
        <stp>BDP|10125147283106324060</stp>
        <tr r="H1522" s="2"/>
      </tp>
      <tp t="s">
        <v>#N/A N/A</v>
        <stp/>
        <stp>BDP|13666847097924688905</stp>
        <tr r="C4272" s="2"/>
      </tp>
      <tp t="s">
        <v>#N/A N/A</v>
        <stp/>
        <stp>BDP|14563571134395164847</stp>
        <tr r="B1472" s="2"/>
      </tp>
      <tp t="s">
        <v>#N/A N/A</v>
        <stp/>
        <stp>BDP|16555871112494622457</stp>
        <tr r="D4046" s="2"/>
      </tp>
      <tp t="s">
        <v>#N/A N/A</v>
        <stp/>
        <stp>BDP|15329254979108479785</stp>
        <tr r="G3945" s="2"/>
      </tp>
      <tp t="s">
        <v>#N/A N/A</v>
        <stp/>
        <stp>BDP|12100195328857303908</stp>
        <tr r="A1452" s="2"/>
      </tp>
      <tp t="s">
        <v>#N/A N/A</v>
        <stp/>
        <stp>BDP|10644129217749966699</stp>
        <tr r="G2190" s="2"/>
      </tp>
      <tp t="s">
        <v>#N/A N/A</v>
        <stp/>
        <stp>BDP|13005585369789348613</stp>
        <tr r="G727" s="2"/>
      </tp>
      <tp t="s">
        <v>#N/A N/A</v>
        <stp/>
        <stp>BDP|14903284882760640163</stp>
        <tr r="H4262" s="2"/>
      </tp>
      <tp t="s">
        <v>#N/A N/A</v>
        <stp/>
        <stp>BDP|11769785953629717580</stp>
        <tr r="C1041" s="2"/>
      </tp>
      <tp t="s">
        <v>#N/A N/A</v>
        <stp/>
        <stp>BDP|17052646885200434679</stp>
        <tr r="I2530" s="2"/>
      </tp>
      <tp t="s">
        <v>#N/A N/A</v>
        <stp/>
        <stp>BDP|14498507165021710944</stp>
        <tr r="F4027" s="2"/>
      </tp>
      <tp t="s">
        <v>#N/A N/A</v>
        <stp/>
        <stp>BDP|14983980316484002757</stp>
        <tr r="H1256" s="2"/>
      </tp>
      <tp t="s">
        <v>#N/A N/A</v>
        <stp/>
        <stp>BDP|14887772786162820632</stp>
        <tr r="H582" s="2"/>
      </tp>
      <tp t="s">
        <v>#N/A N/A</v>
        <stp/>
        <stp>BDP|12373408594773600333</stp>
        <tr r="C3692" s="2"/>
      </tp>
      <tp t="s">
        <v>#N/A N/A</v>
        <stp/>
        <stp>BDP|18066076364916077715</stp>
        <tr r="A1293" s="2"/>
      </tp>
      <tp t="s">
        <v>#N/A N/A</v>
        <stp/>
        <stp>BDP|18213279760462011176</stp>
        <tr r="I2464" s="2"/>
      </tp>
      <tp t="s">
        <v>#N/A N/A</v>
        <stp/>
        <stp>BDP|15099956009481645285</stp>
        <tr r="H1770" s="2"/>
      </tp>
      <tp t="s">
        <v>#N/A N/A</v>
        <stp/>
        <stp>BDP|16844234517608956279</stp>
        <tr r="B4255" s="2"/>
      </tp>
      <tp t="s">
        <v>#N/A N/A</v>
        <stp/>
        <stp>BDP|18437468006164362756</stp>
        <tr r="I681" s="2"/>
      </tp>
      <tp t="s">
        <v>#N/A N/A</v>
        <stp/>
        <stp>BDP|16134931323956739441</stp>
        <tr r="F1511" s="2"/>
      </tp>
      <tp t="s">
        <v>#N/A N/A</v>
        <stp/>
        <stp>BDP|18036103394009491620</stp>
        <tr r="D472" s="2"/>
      </tp>
      <tp t="s">
        <v>#N/A N/A</v>
        <stp/>
        <stp>BDP|15223010286612592024</stp>
        <tr r="F3507" s="2"/>
      </tp>
      <tp t="s">
        <v>#N/A N/A</v>
        <stp/>
        <stp>BDP|11684762482378699968</stp>
        <tr r="D2244" s="2"/>
      </tp>
      <tp t="s">
        <v>#N/A N/A</v>
        <stp/>
        <stp>BDP|16366625282440661779</stp>
        <tr r="A3765" s="2"/>
      </tp>
      <tp t="s">
        <v>#N/A N/A</v>
        <stp/>
        <stp>BDP|16797964007205546513</stp>
        <tr r="G3468" s="2"/>
      </tp>
      <tp t="s">
        <v>#N/A N/A</v>
        <stp/>
        <stp>BDP|17838158631628971275</stp>
        <tr r="A1732" s="2"/>
      </tp>
      <tp t="s">
        <v>#N/A N/A</v>
        <stp/>
        <stp>BDP|11576124987433193431</stp>
        <tr r="D2594" s="2"/>
      </tp>
      <tp t="s">
        <v>#N/A N/A</v>
        <stp/>
        <stp>BDP|12858201259569583366</stp>
        <tr r="F3558" s="2"/>
      </tp>
      <tp t="s">
        <v>#N/A N/A</v>
        <stp/>
        <stp>BDP|16875195293918158911</stp>
        <tr r="G1190" s="2"/>
      </tp>
      <tp t="s">
        <v>#N/A N/A</v>
        <stp/>
        <stp>BDP|15790480470911472898</stp>
        <tr r="A346" s="2"/>
      </tp>
      <tp t="s">
        <v>#N/A N/A</v>
        <stp/>
        <stp>BDP|14188349507168978098</stp>
        <tr r="B660" s="2"/>
      </tp>
      <tp t="s">
        <v>#N/A N/A</v>
        <stp/>
        <stp>BDP|15872736572648301288</stp>
        <tr r="G395" s="2"/>
      </tp>
      <tp t="s">
        <v>#N/A N/A</v>
        <stp/>
        <stp>BDP|13691674544988092673</stp>
        <tr r="I585" s="2"/>
      </tp>
      <tp t="s">
        <v>#N/A N/A</v>
        <stp/>
        <stp>BDP|12697250402598542766</stp>
        <tr r="F2119" s="2"/>
      </tp>
      <tp t="s">
        <v>#N/A N/A</v>
        <stp/>
        <stp>BDP|12499457419318857026</stp>
        <tr r="H3394" s="2"/>
      </tp>
      <tp t="s">
        <v>#N/A N/A</v>
        <stp/>
        <stp>BDP|17014082698602186333</stp>
        <tr r="G3824" s="2"/>
      </tp>
      <tp t="s">
        <v>#N/A N/A</v>
        <stp/>
        <stp>BDP|11825366189893782629</stp>
        <tr r="C3597" s="2"/>
      </tp>
      <tp t="s">
        <v>#N/A N/A</v>
        <stp/>
        <stp>BDP|11794414942829496721</stp>
        <tr r="B1827" s="2"/>
      </tp>
      <tp t="s">
        <v>#N/A N/A</v>
        <stp/>
        <stp>BDP|13810829597379657493</stp>
        <tr r="B4881" s="2"/>
      </tp>
      <tp t="s">
        <v>#N/A N/A</v>
        <stp/>
        <stp>BDP|18115539406354250643</stp>
        <tr r="D3004" s="2"/>
      </tp>
      <tp t="s">
        <v>#N/A N/A</v>
        <stp/>
        <stp>BDP|11671197721515500898</stp>
        <tr r="G3580" s="2"/>
      </tp>
      <tp t="s">
        <v>#N/A N/A</v>
        <stp/>
        <stp>BDP|10512057083906272135</stp>
        <tr r="D1270" s="2"/>
      </tp>
      <tp t="s">
        <v>#N/A N/A</v>
        <stp/>
        <stp>BDP|11350209585757127355</stp>
        <tr r="H4079" s="2"/>
      </tp>
      <tp t="s">
        <v>#N/A N/A</v>
        <stp/>
        <stp>BDP|15422342211369184127</stp>
        <tr r="H3798" s="2"/>
      </tp>
      <tp t="s">
        <v>#N/A N/A</v>
        <stp/>
        <stp>BDP|17622492009769618525</stp>
        <tr r="B601" s="2"/>
      </tp>
      <tp t="s">
        <v>#N/A N/A</v>
        <stp/>
        <stp>BDP|16308479841869258057</stp>
        <tr r="H4177" s="2"/>
      </tp>
      <tp t="s">
        <v>#N/A N/A</v>
        <stp/>
        <stp>BDP|12227355630354539905</stp>
        <tr r="C2302" s="2"/>
      </tp>
      <tp t="s">
        <v>#N/A N/A</v>
        <stp/>
        <stp>BDP|13742194348000265964</stp>
        <tr r="F460" s="2"/>
      </tp>
      <tp t="s">
        <v>#N/A N/A</v>
        <stp/>
        <stp>BDP|18330653928467518497</stp>
        <tr r="D2261" s="2"/>
      </tp>
      <tp t="s">
        <v>#N/A N/A</v>
        <stp/>
        <stp>BDP|10011836173177211705</stp>
        <tr r="H632" s="2"/>
      </tp>
      <tp t="s">
        <v>#N/A N/A</v>
        <stp/>
        <stp>BDP|11763476750518769752</stp>
        <tr r="D4238" s="2"/>
      </tp>
      <tp t="s">
        <v>#N/A N/A</v>
        <stp/>
        <stp>BDP|18270746211181176046</stp>
        <tr r="G3254" s="2"/>
      </tp>
      <tp t="s">
        <v>#N/A N/A</v>
        <stp/>
        <stp>BDP|11089743502450283966</stp>
        <tr r="C670" s="2"/>
      </tp>
      <tp t="s">
        <v>#N/A N/A</v>
        <stp/>
        <stp>BDP|11552045052103547844</stp>
        <tr r="G44" s="2"/>
      </tp>
      <tp t="s">
        <v>#N/A N/A</v>
        <stp/>
        <stp>BDP|14348535420109209501</stp>
        <tr r="C4379" s="2"/>
      </tp>
      <tp t="s">
        <v>#N/A N/A</v>
        <stp/>
        <stp>BDP|13770648090945100607</stp>
        <tr r="D3918" s="2"/>
      </tp>
      <tp t="s">
        <v>#N/A N/A</v>
        <stp/>
        <stp>BDP|17412088777507980804</stp>
        <tr r="G2969" s="2"/>
      </tp>
      <tp t="s">
        <v>#N/A N/A</v>
        <stp/>
        <stp>BDP|12186571909989453195</stp>
        <tr r="D1020" s="2"/>
      </tp>
      <tp t="s">
        <v>#N/A N/A</v>
        <stp/>
        <stp>BDP|12405991082638911446</stp>
        <tr r="A4574" s="2"/>
      </tp>
      <tp t="s">
        <v>#N/A N/A</v>
        <stp/>
        <stp>BDP|14872576782104952265</stp>
        <tr r="I4551" s="2"/>
      </tp>
      <tp t="s">
        <v>#N/A N/A</v>
        <stp/>
        <stp>BDP|11836979149637354479</stp>
        <tr r="D1799" s="2"/>
      </tp>
      <tp t="s">
        <v>#N/A N/A</v>
        <stp/>
        <stp>BDP|17690237390873638012</stp>
        <tr r="G563" s="2"/>
      </tp>
      <tp t="s">
        <v>#N/A N/A</v>
        <stp/>
        <stp>BDP|13417153169512298989</stp>
        <tr r="B2734" s="2"/>
      </tp>
      <tp t="s">
        <v>#N/A N/A</v>
        <stp/>
        <stp>BDP|13370332526788055540</stp>
        <tr r="B593" s="2"/>
      </tp>
      <tp t="s">
        <v>#N/A N/A</v>
        <stp/>
        <stp>BDP|17555535342450028961</stp>
        <tr r="A4703" s="2"/>
      </tp>
      <tp t="s">
        <v>#N/A N/A</v>
        <stp/>
        <stp>BDP|15296806970622099707</stp>
        <tr r="C1562" s="2"/>
      </tp>
      <tp t="s">
        <v>#N/A N/A</v>
        <stp/>
        <stp>BDP|16356164673306564913</stp>
        <tr r="C3625" s="2"/>
      </tp>
      <tp t="s">
        <v>#N/A N/A</v>
        <stp/>
        <stp>BDP|10515885800232609591</stp>
        <tr r="B2502" s="2"/>
      </tp>
      <tp t="s">
        <v>#N/A N/A</v>
        <stp/>
        <stp>BDP|18372869262978420112</stp>
        <tr r="D4015" s="2"/>
      </tp>
      <tp t="s">
        <v>#N/A N/A</v>
        <stp/>
        <stp>BDP|18003479913187263548</stp>
        <tr r="D2762" s="2"/>
      </tp>
      <tp t="s">
        <v>#N/A N/A</v>
        <stp/>
        <stp>BDP|18341634891198520065</stp>
        <tr r="G4450" s="2"/>
      </tp>
      <tp t="s">
        <v>#N/A N/A</v>
        <stp/>
        <stp>BDP|12789677101663583864</stp>
        <tr r="H2253" s="2"/>
      </tp>
      <tp t="s">
        <v>#N/A N/A</v>
        <stp/>
        <stp>BDP|14243154686270277210</stp>
        <tr r="B3719" s="2"/>
      </tp>
      <tp t="s">
        <v>#N/A N/A</v>
        <stp/>
        <stp>BDP|16597913844262558678</stp>
        <tr r="G1437" s="2"/>
      </tp>
      <tp t="s">
        <v>#N/A N/A</v>
        <stp/>
        <stp>BDP|13529666505558569212</stp>
        <tr r="B3972" s="2"/>
      </tp>
      <tp t="s">
        <v>#N/A N/A</v>
        <stp/>
        <stp>BDP|11801802651497863434</stp>
        <tr r="I1204" s="2"/>
      </tp>
      <tp t="s">
        <v>#N/A N/A</v>
        <stp/>
        <stp>BDP|18060363256803487261</stp>
        <tr r="C319" s="2"/>
      </tp>
      <tp t="s">
        <v>#N/A N/A</v>
        <stp/>
        <stp>BDP|17407932804881283036</stp>
        <tr r="A1875" s="2"/>
      </tp>
      <tp t="s">
        <v>#N/A N/A</v>
        <stp/>
        <stp>BDP|16814979442082988664</stp>
        <tr r="G1035" s="2"/>
      </tp>
      <tp t="s">
        <v>#N/A N/A</v>
        <stp/>
        <stp>BDP|13104087864869137397</stp>
        <tr r="B3093" s="2"/>
      </tp>
      <tp t="s">
        <v>#N/A N/A</v>
        <stp/>
        <stp>BDP|10940551794082490197</stp>
        <tr r="H3559" s="2"/>
      </tp>
      <tp t="s">
        <v>#N/A N/A</v>
        <stp/>
        <stp>BDP|16661592563922932805</stp>
        <tr r="C2592" s="2"/>
      </tp>
      <tp t="s">
        <v>#N/A N/A</v>
        <stp/>
        <stp>BDP|14733749587473566743</stp>
        <tr r="B2396" s="2"/>
      </tp>
      <tp t="s">
        <v>#N/A N/A</v>
        <stp/>
        <stp>BDP|14197551753953234809</stp>
        <tr r="I2435" s="2"/>
      </tp>
      <tp t="s">
        <v>#N/A N/A</v>
        <stp/>
        <stp>BDP|12029471493781085117</stp>
        <tr r="A4655" s="2"/>
      </tp>
      <tp t="s">
        <v>#N/A N/A</v>
        <stp/>
        <stp>BDP|12099526795317221604</stp>
        <tr r="C2594" s="2"/>
      </tp>
      <tp t="s">
        <v>#N/A N/A</v>
        <stp/>
        <stp>BDP|11909445188856554452</stp>
        <tr r="B768" s="2"/>
      </tp>
      <tp t="s">
        <v>#N/A N/A</v>
        <stp/>
        <stp>BDP|15172358335528477207</stp>
        <tr r="F4491" s="2"/>
      </tp>
      <tp t="s">
        <v>#N/A N/A</v>
        <stp/>
        <stp>BDP|16736911013644496547</stp>
        <tr r="G2824" s="2"/>
      </tp>
      <tp t="s">
        <v>#N/A N/A</v>
        <stp/>
        <stp>BDP|17096806305608106813</stp>
        <tr r="G3963" s="2"/>
      </tp>
      <tp t="s">
        <v>#N/A N/A</v>
        <stp/>
        <stp>BDP|16720278691182743036</stp>
        <tr r="B4479" s="2"/>
      </tp>
      <tp t="s">
        <v>#N/A N/A</v>
        <stp/>
        <stp>BDP|14739967476720096523</stp>
        <tr r="I4532" s="2"/>
      </tp>
      <tp t="s">
        <v>#N/A N/A</v>
        <stp/>
        <stp>BDP|17912787801566526908</stp>
        <tr r="F2804" s="2"/>
      </tp>
      <tp t="s">
        <v>#N/A N/A</v>
        <stp/>
        <stp>BDP|18066787380308920049</stp>
        <tr r="G324" s="2"/>
      </tp>
      <tp t="s">
        <v>#N/A N/A</v>
        <stp/>
        <stp>BDP|14746839764140663533</stp>
        <tr r="D1937" s="2"/>
      </tp>
      <tp t="s">
        <v>#N/A N/A</v>
        <stp/>
        <stp>BDP|17182577285560234540</stp>
        <tr r="B2301" s="2"/>
      </tp>
      <tp t="s">
        <v>#N/A N/A</v>
        <stp/>
        <stp>BDP|13082381501098946755</stp>
        <tr r="B857" s="2"/>
      </tp>
      <tp t="s">
        <v>#N/A N/A</v>
        <stp/>
        <stp>BDP|15955687365393990987</stp>
        <tr r="I3208" s="2"/>
      </tp>
      <tp t="s">
        <v>#N/A N/A</v>
        <stp/>
        <stp>BDP|10409586106832630892</stp>
        <tr r="B3882" s="2"/>
      </tp>
      <tp t="s">
        <v>#N/A N/A</v>
        <stp/>
        <stp>BDP|11936934798628468638</stp>
        <tr r="G4885" s="2"/>
      </tp>
      <tp t="s">
        <v>#N/A N/A</v>
        <stp/>
        <stp>BDP|14353928747766478072</stp>
        <tr r="I1006" s="2"/>
      </tp>
      <tp t="s">
        <v>#N/A N/A</v>
        <stp/>
        <stp>BDP|14525068300048722317</stp>
        <tr r="A1124" s="2"/>
      </tp>
      <tp t="s">
        <v>#N/A N/A</v>
        <stp/>
        <stp>BDP|17562967850196193276</stp>
        <tr r="A210" s="2"/>
      </tp>
      <tp t="s">
        <v>#N/A N/A</v>
        <stp/>
        <stp>BDP|12580202000399651662</stp>
        <tr r="B938" s="2"/>
      </tp>
      <tp t="s">
        <v>#N/A N/A</v>
        <stp/>
        <stp>BDP|11062293689835523101</stp>
        <tr r="B3053" s="2"/>
      </tp>
      <tp t="s">
        <v>#N/A N/A</v>
        <stp/>
        <stp>BDP|16773654806828966780</stp>
        <tr r="H1664" s="2"/>
      </tp>
      <tp t="s">
        <v>#N/A N/A</v>
        <stp/>
        <stp>BDP|17983594830799048752</stp>
        <tr r="F719" s="2"/>
      </tp>
      <tp t="s">
        <v>#N/A N/A</v>
        <stp/>
        <stp>BDP|15622760094620916488</stp>
        <tr r="B2386" s="2"/>
      </tp>
      <tp t="s">
        <v>#N/A N/A</v>
        <stp/>
        <stp>BDP|11392409403939045350</stp>
        <tr r="C4351" s="2"/>
      </tp>
      <tp t="s">
        <v>#N/A N/A</v>
        <stp/>
        <stp>BDP|15439359454758327433</stp>
        <tr r="C2928" s="2"/>
      </tp>
      <tp t="s">
        <v>#N/A N/A</v>
        <stp/>
        <stp>BDP|10480940117234176331</stp>
        <tr r="H2978" s="2"/>
      </tp>
      <tp t="s">
        <v>#N/A N/A</v>
        <stp/>
        <stp>BDP|17536419152001623854</stp>
        <tr r="I3138" s="2"/>
      </tp>
      <tp t="s">
        <v>#N/A N/A</v>
        <stp/>
        <stp>BDP|15681616645510730804</stp>
        <tr r="A579" s="2"/>
      </tp>
      <tp t="s">
        <v>#N/A N/A</v>
        <stp/>
        <stp>BDP|11732570515143882986</stp>
        <tr r="I4023" s="2"/>
      </tp>
      <tp t="s">
        <v>#N/A N/A</v>
        <stp/>
        <stp>BDP|15683824527524074462</stp>
        <tr r="I215" s="2"/>
      </tp>
      <tp t="s">
        <v>#N/A N/A</v>
        <stp/>
        <stp>BDP|15930788237429523761</stp>
        <tr r="B2191" s="2"/>
      </tp>
      <tp t="s">
        <v>#N/A N/A</v>
        <stp/>
        <stp>BDP|12480036047818639136</stp>
        <tr r="I451" s="2"/>
      </tp>
      <tp t="s">
        <v>#N/A N/A</v>
        <stp/>
        <stp>BDP|18369915877168467147</stp>
        <tr r="F1746" s="2"/>
      </tp>
      <tp t="s">
        <v>#N/A N/A</v>
        <stp/>
        <stp>BDP|10281396990865971073</stp>
        <tr r="I2621" s="2"/>
      </tp>
      <tp t="s">
        <v>#N/A N/A</v>
        <stp/>
        <stp>BDP|14650634996365441124</stp>
        <tr r="B1581" s="2"/>
      </tp>
      <tp t="s">
        <v>#N/A N/A</v>
        <stp/>
        <stp>BDP|11718683187754559482</stp>
        <tr r="A279" s="2"/>
      </tp>
      <tp t="s">
        <v>#N/A N/A</v>
        <stp/>
        <stp>BDP|14492551687873756547</stp>
        <tr r="G510" s="2"/>
      </tp>
      <tp t="s">
        <v>#N/A N/A</v>
        <stp/>
        <stp>BDP|17484919427140540326</stp>
        <tr r="B2894" s="2"/>
      </tp>
      <tp t="s">
        <v>#N/A N/A</v>
        <stp/>
        <stp>BDP|14202522902217277956</stp>
        <tr r="D301" s="2"/>
      </tp>
      <tp t="s">
        <v>#N/A N/A</v>
        <stp/>
        <stp>BDP|11233455783051538344</stp>
        <tr r="C3370" s="2"/>
      </tp>
      <tp t="s">
        <v>#N/A N/A</v>
        <stp/>
        <stp>BDP|14760116660568249410</stp>
        <tr r="I605" s="2"/>
      </tp>
      <tp t="s">
        <v>#N/A N/A</v>
        <stp/>
        <stp>BDP|11055660067537550914</stp>
        <tr r="D3586" s="2"/>
      </tp>
      <tp t="s">
        <v>#N/A N/A</v>
        <stp/>
        <stp>BDP|16820214692606770496</stp>
        <tr r="B3378" s="2"/>
      </tp>
      <tp t="s">
        <v>#N/A N/A</v>
        <stp/>
        <stp>BDP|16087700055853840885</stp>
        <tr r="F3018" s="2"/>
      </tp>
      <tp t="s">
        <v>#N/A N/A</v>
        <stp/>
        <stp>BDP|12380293598100788602</stp>
        <tr r="A2392" s="2"/>
      </tp>
      <tp t="s">
        <v>#N/A N/A</v>
        <stp/>
        <stp>BDP|10267738931202480914</stp>
        <tr r="D3413" s="2"/>
      </tp>
      <tp t="s">
        <v>#N/A N/A</v>
        <stp/>
        <stp>BDP|17011851395290032951</stp>
        <tr r="A2925" s="2"/>
      </tp>
      <tp t="s">
        <v>#N/A N/A</v>
        <stp/>
        <stp>BDP|13299831154419458849</stp>
        <tr r="D3256" s="2"/>
      </tp>
      <tp t="s">
        <v>#N/A N/A</v>
        <stp/>
        <stp>BDP|11562707591899577949</stp>
        <tr r="B2115" s="2"/>
      </tp>
      <tp t="s">
        <v>#N/A N/A</v>
        <stp/>
        <stp>BDP|12422389669690135819</stp>
        <tr r="H1055" s="2"/>
      </tp>
      <tp t="s">
        <v>#N/A N/A</v>
        <stp/>
        <stp>BDP|16204838344430680563</stp>
        <tr r="I4808" s="2"/>
      </tp>
      <tp t="s">
        <v>#N/A N/A</v>
        <stp/>
        <stp>BDP|17302080392432970354</stp>
        <tr r="G745" s="2"/>
      </tp>
      <tp t="s">
        <v>#N/A N/A</v>
        <stp/>
        <stp>BDP|17189951747873264641</stp>
        <tr r="C4244" s="2"/>
      </tp>
      <tp t="s">
        <v>#N/A N/A</v>
        <stp/>
        <stp>BDP|17308755091115514373</stp>
        <tr r="I3980" s="2"/>
      </tp>
      <tp t="s">
        <v>#N/A N/A</v>
        <stp/>
        <stp>BDP|10845147044732914843</stp>
        <tr r="D4179" s="2"/>
      </tp>
      <tp t="s">
        <v>#N/A N/A</v>
        <stp/>
        <stp>BDP|16237900488510767885</stp>
        <tr r="F297" s="2"/>
      </tp>
      <tp t="s">
        <v>#N/A N/A</v>
        <stp/>
        <stp>BDP|10853402799035710733</stp>
        <tr r="B4429" s="2"/>
      </tp>
      <tp t="s">
        <v>#N/A N/A</v>
        <stp/>
        <stp>BDP|16731465403219073476</stp>
        <tr r="F906" s="2"/>
      </tp>
      <tp t="s">
        <v>#N/A N/A</v>
        <stp/>
        <stp>BDP|13650812846390381079</stp>
        <tr r="G3377" s="2"/>
      </tp>
      <tp t="s">
        <v>#N/A N/A</v>
        <stp/>
        <stp>BDP|11958978775848618881</stp>
        <tr r="B1162" s="2"/>
      </tp>
      <tp t="s">
        <v>#N/A N/A</v>
        <stp/>
        <stp>BDP|16878881853457327355</stp>
        <tr r="A2738" s="2"/>
      </tp>
      <tp t="s">
        <v>#N/A N/A</v>
        <stp/>
        <stp>BDP|14061218807778195124</stp>
        <tr r="A4169" s="2"/>
      </tp>
      <tp t="s">
        <v>#N/A N/A</v>
        <stp/>
        <stp>BDP|17859920229676239544</stp>
        <tr r="D2308" s="2"/>
      </tp>
      <tp t="s">
        <v>#N/A N/A</v>
        <stp/>
        <stp>BDP|13040044602314761841</stp>
        <tr r="F1327" s="2"/>
      </tp>
      <tp t="s">
        <v>#N/A N/A</v>
        <stp/>
        <stp>BDP|18107487448300591719</stp>
        <tr r="G2512" s="2"/>
      </tp>
      <tp t="s">
        <v>#N/A N/A</v>
        <stp/>
        <stp>BDP|18089504905417144507</stp>
        <tr r="A3560" s="2"/>
      </tp>
      <tp t="s">
        <v>#N/A N/A</v>
        <stp/>
        <stp>BDP|17784713372149497148</stp>
        <tr r="A472" s="2"/>
      </tp>
      <tp t="s">
        <v>#N/A N/A</v>
        <stp/>
        <stp>BDP|11395740715088013062</stp>
        <tr r="F2126" s="2"/>
      </tp>
      <tp t="s">
        <v>#N/A N/A</v>
        <stp/>
        <stp>BDP|10020027894763086520</stp>
        <tr r="B2920" s="2"/>
      </tp>
      <tp t="s">
        <v>#N/A N/A</v>
        <stp/>
        <stp>BDP|13018870370745394605</stp>
        <tr r="A768" s="2"/>
      </tp>
      <tp t="s">
        <v>#N/A N/A</v>
        <stp/>
        <stp>BDP|15113821930880018173</stp>
        <tr r="H2027" s="2"/>
      </tp>
      <tp t="s">
        <v>#N/A N/A</v>
        <stp/>
        <stp>BDP|16662398189354617646</stp>
        <tr r="B996" s="2"/>
      </tp>
      <tp t="s">
        <v>#N/A N/A</v>
        <stp/>
        <stp>BDP|11712442382944509603</stp>
        <tr r="D740" s="2"/>
      </tp>
      <tp t="s">
        <v>#N/A N/A</v>
        <stp/>
        <stp>BDP|15195333592224419400</stp>
        <tr r="A2534" s="2"/>
      </tp>
      <tp t="s">
        <v>#N/A N/A</v>
        <stp/>
        <stp>BDP|18139194733984626195</stp>
        <tr r="H3858" s="2"/>
      </tp>
      <tp t="s">
        <v>#N/A N/A</v>
        <stp/>
        <stp>BDP|16383209123168319179</stp>
        <tr r="C3296" s="2"/>
      </tp>
      <tp t="s">
        <v>#N/A N/A</v>
        <stp/>
        <stp>BDP|14460353964128795665</stp>
        <tr r="H3133" s="2"/>
      </tp>
      <tp t="s">
        <v>#N/A N/A</v>
        <stp/>
        <stp>BDP|14676486561939209097</stp>
        <tr r="G931" s="2"/>
      </tp>
      <tp t="s">
        <v>#N/A N/A</v>
        <stp/>
        <stp>BDP|11906984968019486893</stp>
        <tr r="D2825" s="2"/>
      </tp>
      <tp t="s">
        <v>#N/A N/A</v>
        <stp/>
        <stp>BDP|13095623450986252949</stp>
        <tr r="G1512" s="2"/>
      </tp>
      <tp t="s">
        <v>#N/A N/A</v>
        <stp/>
        <stp>BDP|16585851269512960545</stp>
        <tr r="G1494" s="2"/>
      </tp>
      <tp t="s">
        <v>#N/A N/A</v>
        <stp/>
        <stp>BDP|10400560176764807988</stp>
        <tr r="F205" s="2"/>
      </tp>
      <tp t="s">
        <v>#N/A N/A</v>
        <stp/>
        <stp>BDP|12810126919995193868</stp>
        <tr r="F427" s="2"/>
      </tp>
      <tp t="s">
        <v>#N/A N/A</v>
        <stp/>
        <stp>BDP|11124913836910321414</stp>
        <tr r="F141" s="2"/>
      </tp>
      <tp t="s">
        <v>#N/A N/A</v>
        <stp/>
        <stp>BDP|14686236726343659816</stp>
        <tr r="G2856" s="2"/>
      </tp>
      <tp t="s">
        <v>#N/A N/A</v>
        <stp/>
        <stp>BDP|16648067492846447621</stp>
        <tr r="D565" s="2"/>
      </tp>
      <tp t="s">
        <v>#N/A N/A</v>
        <stp/>
        <stp>BDP|12543422692307731768</stp>
        <tr r="B3446" s="2"/>
      </tp>
      <tp t="s">
        <v>#N/A N/A</v>
        <stp/>
        <stp>BDP|15300452078811875823</stp>
        <tr r="A1071" s="2"/>
      </tp>
      <tp t="s">
        <v>#N/A N/A</v>
        <stp/>
        <stp>BDP|18021444516932786019</stp>
        <tr r="G450" s="2"/>
      </tp>
      <tp t="s">
        <v>#N/A N/A</v>
        <stp/>
        <stp>BDP|10470523593864508741</stp>
        <tr r="D1012" s="2"/>
      </tp>
      <tp t="s">
        <v>#N/A N/A</v>
        <stp/>
        <stp>BDP|16168250451516166808</stp>
        <tr r="A4406" s="2"/>
      </tp>
      <tp t="s">
        <v>#N/A N/A</v>
        <stp/>
        <stp>BDP|16132037180758561938</stp>
        <tr r="A1193" s="2"/>
      </tp>
      <tp t="s">
        <v>#N/A N/A</v>
        <stp/>
        <stp>BDP|10228069910306430846</stp>
        <tr r="F833" s="2"/>
      </tp>
      <tp t="s">
        <v>#N/A N/A</v>
        <stp/>
        <stp>BDP|14420080449618298731</stp>
        <tr r="D239" s="2"/>
      </tp>
      <tp t="s">
        <v>#N/A N/A</v>
        <stp/>
        <stp>BDP|11386307775032107833</stp>
        <tr r="D4406" s="2"/>
      </tp>
      <tp t="s">
        <v>#N/A N/A</v>
        <stp/>
        <stp>BDP|12266398892494956343</stp>
        <tr r="B4518" s="2"/>
      </tp>
      <tp t="s">
        <v>#N/A N/A</v>
        <stp/>
        <stp>BDP|10085510656267037835</stp>
        <tr r="F1809" s="2"/>
      </tp>
      <tp t="s">
        <v>#N/A N/A</v>
        <stp/>
        <stp>BDP|12246142382341702576</stp>
        <tr r="B31" s="2"/>
      </tp>
      <tp t="s">
        <v>#N/A N/A</v>
        <stp/>
        <stp>BDP|14729875820359409806</stp>
        <tr r="G572" s="2"/>
      </tp>
      <tp t="s">
        <v>#N/A N/A</v>
        <stp/>
        <stp>BDP|17468019652394789946</stp>
        <tr r="H1735" s="2"/>
      </tp>
      <tp t="s">
        <v>#N/A N/A</v>
        <stp/>
        <stp>BDP|15605412717399663625</stp>
        <tr r="C4168" s="2"/>
      </tp>
      <tp t="s">
        <v>#N/A N/A</v>
        <stp/>
        <stp>BDP|15235529490234737239</stp>
        <tr r="F238" s="2"/>
      </tp>
      <tp t="s">
        <v>#N/A N/A</v>
        <stp/>
        <stp>BDP|15557443443728165275</stp>
        <tr r="H548" s="2"/>
      </tp>
      <tp t="s">
        <v>#N/A N/A</v>
        <stp/>
        <stp>BDP|10381236283953241651</stp>
        <tr r="H642" s="2"/>
      </tp>
      <tp t="s">
        <v>#N/A N/A</v>
        <stp/>
        <stp>BDP|16188885727597981432</stp>
        <tr r="F564" s="2"/>
      </tp>
      <tp t="s">
        <v>#N/A N/A</v>
        <stp/>
        <stp>BDP|16518058216398715059</stp>
        <tr r="C496" s="2"/>
      </tp>
      <tp t="s">
        <v>#N/A N/A</v>
        <stp/>
        <stp>BDP|14452252274139940780</stp>
        <tr r="H2491" s="2"/>
      </tp>
      <tp t="s">
        <v>#N/A N/A</v>
        <stp/>
        <stp>BDP|15693082329719782146</stp>
        <tr r="B3258" s="2"/>
      </tp>
      <tp t="s">
        <v>#N/A N/A</v>
        <stp/>
        <stp>BDP|11497385844921960852</stp>
        <tr r="H3404" s="2"/>
      </tp>
      <tp t="s">
        <v>#N/A N/A</v>
        <stp/>
        <stp>BDP|11018349147921515821</stp>
        <tr r="F461" s="2"/>
      </tp>
      <tp t="s">
        <v>#N/A N/A</v>
        <stp/>
        <stp>BDP|17619457434158533765</stp>
        <tr r="G3445" s="2"/>
      </tp>
      <tp t="s">
        <v>#N/A N/A</v>
        <stp/>
        <stp>BDP|15123574013707663976</stp>
        <tr r="F2774" s="2"/>
      </tp>
      <tp t="s">
        <v>#N/A N/A</v>
        <stp/>
        <stp>BDP|12343053048859389097</stp>
        <tr r="D4943" s="2"/>
      </tp>
      <tp t="s">
        <v>#N/A N/A</v>
        <stp/>
        <stp>BDP|11082029883292604433</stp>
        <tr r="A4384" s="2"/>
      </tp>
      <tp t="s">
        <v>#N/A N/A</v>
        <stp/>
        <stp>BDP|13653779697760283203</stp>
        <tr r="G3730" s="2"/>
      </tp>
      <tp t="s">
        <v>#N/A N/A</v>
        <stp/>
        <stp>BDP|14791452097930041616</stp>
        <tr r="I3346" s="2"/>
      </tp>
      <tp t="s">
        <v>#N/A N/A</v>
        <stp/>
        <stp>BDP|13438251779499597098</stp>
        <tr r="A3619" s="2"/>
      </tp>
      <tp t="s">
        <v>#N/A N/A</v>
        <stp/>
        <stp>BDP|16634096533298079287</stp>
        <tr r="A1808" s="2"/>
      </tp>
      <tp t="s">
        <v>#N/A N/A</v>
        <stp/>
        <stp>BDP|17278405702529292568</stp>
        <tr r="H3644" s="2"/>
      </tp>
      <tp t="s">
        <v>#N/A N/A</v>
        <stp/>
        <stp>BDP|14282555136584263978</stp>
        <tr r="H1053" s="2"/>
      </tp>
      <tp t="s">
        <v>#N/A N/A</v>
        <stp/>
        <stp>BDP|18118340851696472746</stp>
        <tr r="C1082" s="2"/>
      </tp>
      <tp t="s">
        <v>#N/A N/A</v>
        <stp/>
        <stp>BDP|15419831727452441206</stp>
        <tr r="B1842" s="2"/>
      </tp>
      <tp t="s">
        <v>#N/A N/A</v>
        <stp/>
        <stp>BDP|16209500685723259714</stp>
        <tr r="D1940" s="2"/>
      </tp>
      <tp t="s">
        <v>#N/A N/A</v>
        <stp/>
        <stp>BDP|18432650360507685038</stp>
        <tr r="D3359" s="2"/>
      </tp>
      <tp t="s">
        <v>#N/A N/A</v>
        <stp/>
        <stp>BDP|16675059727019885280</stp>
        <tr r="A3464" s="2"/>
      </tp>
      <tp t="s">
        <v>#N/A N/A</v>
        <stp/>
        <stp>BDP|15406333642188348520</stp>
        <tr r="I1128" s="2"/>
      </tp>
      <tp t="s">
        <v>#N/A N/A</v>
        <stp/>
        <stp>BDP|16735895537057449597</stp>
        <tr r="A565" s="2"/>
      </tp>
      <tp t="s">
        <v>#N/A N/A</v>
        <stp/>
        <stp>BDP|13747904854223247353</stp>
        <tr r="H411" s="2"/>
      </tp>
      <tp t="s">
        <v>#N/A N/A</v>
        <stp/>
        <stp>BDP|14481312579506921918</stp>
        <tr r="G1410" s="2"/>
      </tp>
      <tp t="s">
        <v>#N/A N/A</v>
        <stp/>
        <stp>BDP|16216234338571474992</stp>
        <tr r="B991" s="2"/>
      </tp>
      <tp t="s">
        <v>#N/A N/A</v>
        <stp/>
        <stp>BDP|17017447555681768823</stp>
        <tr r="C414" s="2"/>
      </tp>
      <tp t="s">
        <v>#N/A N/A</v>
        <stp/>
        <stp>BDP|10986838928715507033</stp>
        <tr r="C3867" s="2"/>
      </tp>
      <tp t="s">
        <v>#N/A N/A</v>
        <stp/>
        <stp>BDP|10576310472413509877</stp>
        <tr r="F3978" s="2"/>
      </tp>
      <tp t="s">
        <v>#N/A N/A</v>
        <stp/>
        <stp>BDP|18195670413661225139</stp>
        <tr r="H4301" s="2"/>
      </tp>
      <tp t="s">
        <v>#N/A N/A</v>
        <stp/>
        <stp>BDP|15870983167045679068</stp>
        <tr r="H595" s="2"/>
      </tp>
      <tp t="s">
        <v>#N/A N/A</v>
        <stp/>
        <stp>BDP|18441575383412463838</stp>
        <tr r="F1623" s="2"/>
      </tp>
      <tp t="s">
        <v>#N/A N/A</v>
        <stp/>
        <stp>BDP|11988195944118019337</stp>
        <tr r="G2721" s="2"/>
      </tp>
      <tp t="s">
        <v>#N/A N/A</v>
        <stp/>
        <stp>BDP|15186283193019963847</stp>
        <tr r="D1498" s="2"/>
      </tp>
      <tp t="s">
        <v>#N/A N/A</v>
        <stp/>
        <stp>BDP|14966017499857551536</stp>
        <tr r="A3943" s="2"/>
      </tp>
      <tp t="s">
        <v>#N/A N/A</v>
        <stp/>
        <stp>BDP|11197923306383620442</stp>
        <tr r="H1987" s="2"/>
      </tp>
      <tp t="s">
        <v>#N/A N/A</v>
        <stp/>
        <stp>BDP|14234728580782416634</stp>
        <tr r="B4214" s="2"/>
      </tp>
      <tp t="s">
        <v>#N/A N/A</v>
        <stp/>
        <stp>BDP|15037278984114106453</stp>
        <tr r="D1316" s="2"/>
      </tp>
      <tp t="s">
        <v>#N/A N/A</v>
        <stp/>
        <stp>BDP|13577573101461007849</stp>
        <tr r="D3690" s="2"/>
      </tp>
      <tp t="s">
        <v>#N/A N/A</v>
        <stp/>
        <stp>BDP|15415984699473785950</stp>
        <tr r="G534" s="2"/>
      </tp>
      <tp t="s">
        <v>#N/A N/A</v>
        <stp/>
        <stp>BDP|15791955334994456458</stp>
        <tr r="H4302" s="2"/>
      </tp>
      <tp t="s">
        <v>#N/A N/A</v>
        <stp/>
        <stp>BDP|10582213471182652847</stp>
        <tr r="A2054" s="2"/>
      </tp>
      <tp t="s">
        <v>#N/A N/A</v>
        <stp/>
        <stp>BDP|16285775467479358164</stp>
        <tr r="B37" s="2"/>
      </tp>
      <tp t="s">
        <v>#N/A N/A</v>
        <stp/>
        <stp>BDP|12520760264874374835</stp>
        <tr r="A1171" s="2"/>
      </tp>
      <tp t="s">
        <v>#N/A N/A</v>
        <stp/>
        <stp>BDP|18120301495379600458</stp>
        <tr r="A1408" s="2"/>
      </tp>
      <tp t="s">
        <v>#N/A N/A</v>
        <stp/>
        <stp>BDP|13080340042779525245</stp>
        <tr r="I3796" s="2"/>
      </tp>
      <tp t="s">
        <v>#N/A N/A</v>
        <stp/>
        <stp>BDP|13243718543586402936</stp>
        <tr r="A874" s="2"/>
      </tp>
      <tp t="s">
        <v>#N/A N/A</v>
        <stp/>
        <stp>BDP|15827291999171744088</stp>
        <tr r="B1546" s="2"/>
      </tp>
      <tp t="s">
        <v>#N/A N/A</v>
        <stp/>
        <stp>BDP|11757059931305241865</stp>
        <tr r="D2289" s="2"/>
      </tp>
      <tp t="s">
        <v>#N/A N/A</v>
        <stp/>
        <stp>BDP|12308813634571892791</stp>
        <tr r="I4655" s="2"/>
      </tp>
      <tp t="s">
        <v>#N/A N/A</v>
        <stp/>
        <stp>BDP|15441148560044777905</stp>
        <tr r="C572" s="2"/>
      </tp>
      <tp t="s">
        <v>#N/A N/A</v>
        <stp/>
        <stp>BDP|11490849427840303436</stp>
        <tr r="F1235" s="2"/>
      </tp>
      <tp t="s">
        <v>#N/A N/A</v>
        <stp/>
        <stp>BDP|10785297290473922707</stp>
        <tr r="F452" s="2"/>
      </tp>
      <tp t="s">
        <v>#N/A N/A</v>
        <stp/>
        <stp>BDP|13257074091597590260</stp>
        <tr r="A2315" s="2"/>
      </tp>
      <tp t="s">
        <v>#N/A N/A</v>
        <stp/>
        <stp>BDP|13760236757243389877</stp>
        <tr r="D4872" s="2"/>
      </tp>
      <tp t="s">
        <v>#N/A N/A</v>
        <stp/>
        <stp>BDP|15536702392936202225</stp>
        <tr r="G770" s="2"/>
      </tp>
      <tp t="s">
        <v>#N/A N/A</v>
        <stp/>
        <stp>BDP|16793362846599826781</stp>
        <tr r="I1908" s="2"/>
      </tp>
      <tp t="s">
        <v>#N/A N/A</v>
        <stp/>
        <stp>BDP|14307334698289797883</stp>
        <tr r="D4201" s="2"/>
      </tp>
      <tp t="s">
        <v>#N/A N/A</v>
        <stp/>
        <stp>BDP|17261457043390576869</stp>
        <tr r="I2270" s="2"/>
      </tp>
      <tp t="s">
        <v>#N/A N/A</v>
        <stp/>
        <stp>BDP|17747906936591033368</stp>
        <tr r="B2435" s="2"/>
      </tp>
      <tp t="s">
        <v>#N/A N/A</v>
        <stp/>
        <stp>BDP|16657328929601209987</stp>
        <tr r="I3459" s="2"/>
      </tp>
      <tp t="s">
        <v>#N/A N/A</v>
        <stp/>
        <stp>BDP|18174775377925405227</stp>
        <tr r="C1787" s="2"/>
      </tp>
      <tp t="s">
        <v>#N/A N/A</v>
        <stp/>
        <stp>BDP|10526738284313577302</stp>
        <tr r="H1096" s="2"/>
      </tp>
      <tp t="s">
        <v>#N/A N/A</v>
        <stp/>
        <stp>BDP|11593955215813439564</stp>
        <tr r="D2975" s="2"/>
      </tp>
      <tp t="s">
        <v>#N/A N/A</v>
        <stp/>
        <stp>BDP|14079120870348721525</stp>
        <tr r="F3039" s="2"/>
      </tp>
      <tp t="s">
        <v>#N/A N/A</v>
        <stp/>
        <stp>BDP|14320834626842096314</stp>
        <tr r="D2070" s="2"/>
      </tp>
      <tp t="s">
        <v>#N/A N/A</v>
        <stp/>
        <stp>BDP|16722072790741250151</stp>
        <tr r="F3406" s="2"/>
      </tp>
      <tp t="s">
        <v>#N/A N/A</v>
        <stp/>
        <stp>BDP|15736067880715163777</stp>
        <tr r="B1613" s="2"/>
      </tp>
      <tp t="s">
        <v>#N/A N/A</v>
        <stp/>
        <stp>BDP|11601557280880081345</stp>
        <tr r="B1501" s="2"/>
      </tp>
      <tp t="s">
        <v>#N/A N/A</v>
        <stp/>
        <stp>BDP|13419003920637303906</stp>
        <tr r="G1257" s="2"/>
      </tp>
      <tp t="s">
        <v>#N/A N/A</v>
        <stp/>
        <stp>BDP|18143480230790800062</stp>
        <tr r="A516" s="2"/>
      </tp>
      <tp t="s">
        <v>#N/A N/A</v>
        <stp/>
        <stp>BDP|17931805806106108696</stp>
        <tr r="A2402" s="2"/>
      </tp>
      <tp t="s">
        <v>#N/A N/A</v>
        <stp/>
        <stp>BDP|16908802979651307745</stp>
        <tr r="A2453" s="2"/>
      </tp>
      <tp t="s">
        <v>#N/A N/A</v>
        <stp/>
        <stp>BDP|12877465896526732684</stp>
        <tr r="D3699" s="2"/>
      </tp>
      <tp t="s">
        <v>#N/A N/A</v>
        <stp/>
        <stp>BDP|11616549087425641648</stp>
        <tr r="B2969" s="2"/>
      </tp>
      <tp t="s">
        <v>#N/A N/A</v>
        <stp/>
        <stp>BDP|15534606191842745749</stp>
        <tr r="D1024" s="2"/>
      </tp>
      <tp t="s">
        <v>#N/A N/A</v>
        <stp/>
        <stp>BDP|15106129969915549884</stp>
        <tr r="F4784" s="2"/>
      </tp>
      <tp t="s">
        <v>#N/A N/A</v>
        <stp/>
        <stp>BDP|17785631239274321999</stp>
        <tr r="G3458" s="2"/>
      </tp>
      <tp t="s">
        <v>#N/A N/A</v>
        <stp/>
        <stp>BDP|17632592735776441892</stp>
        <tr r="I4005" s="2"/>
      </tp>
      <tp t="s">
        <v>#N/A N/A</v>
        <stp/>
        <stp>BDP|15930743295576617294</stp>
        <tr r="G2756" s="2"/>
      </tp>
      <tp t="s">
        <v>#N/A N/A</v>
        <stp/>
        <stp>BDP|17892138603189770080</stp>
        <tr r="G4521" s="2"/>
      </tp>
      <tp t="s">
        <v>#N/A N/A</v>
        <stp/>
        <stp>BDP|17197979580688495158</stp>
        <tr r="D4089" s="2"/>
      </tp>
      <tp t="s">
        <v>#N/A N/A</v>
        <stp/>
        <stp>BDP|10490406364735780807</stp>
        <tr r="H1494" s="2"/>
      </tp>
      <tp t="s">
        <v>#N/A N/A</v>
        <stp/>
        <stp>BDP|10219220839469672784</stp>
        <tr r="F2770" s="2"/>
      </tp>
      <tp t="s">
        <v>#N/A N/A</v>
        <stp/>
        <stp>BDP|12202916626754441263</stp>
        <tr r="H1961" s="2"/>
      </tp>
      <tp t="s">
        <v>#N/A N/A</v>
        <stp/>
        <stp>BDP|15373805696832156939</stp>
        <tr r="C1797" s="2"/>
      </tp>
      <tp t="s">
        <v>#N/A N/A</v>
        <stp/>
        <stp>BDP|17001181733449472384</stp>
        <tr r="A1364" s="2"/>
      </tp>
      <tp t="s">
        <v>#N/A N/A</v>
        <stp/>
        <stp>BDP|17090805092381292873</stp>
        <tr r="F3358" s="2"/>
      </tp>
      <tp t="s">
        <v>#N/A N/A</v>
        <stp/>
        <stp>BDP|10857438788937693428</stp>
        <tr r="F1774" s="2"/>
      </tp>
      <tp t="s">
        <v>#N/A N/A</v>
        <stp/>
        <stp>BDP|11200806214283927482</stp>
        <tr r="H4511" s="2"/>
      </tp>
      <tp t="s">
        <v>#N/A N/A</v>
        <stp/>
        <stp>BDP|12294886368680751328</stp>
        <tr r="B1880" s="2"/>
      </tp>
      <tp t="s">
        <v>#N/A N/A</v>
        <stp/>
        <stp>BDP|17340074254639228450</stp>
        <tr r="F2152" s="2"/>
      </tp>
      <tp t="s">
        <v>#N/A N/A</v>
        <stp/>
        <stp>BDP|16158516496702674777</stp>
        <tr r="C3617" s="2"/>
      </tp>
      <tp t="s">
        <v>#N/A N/A</v>
        <stp/>
        <stp>BDP|13712688839859018014</stp>
        <tr r="B3475" s="2"/>
      </tp>
      <tp t="s">
        <v>#N/A N/A</v>
        <stp/>
        <stp>BDP|18229520886728172206</stp>
        <tr r="A3855" s="2"/>
      </tp>
      <tp t="s">
        <v>#N/A N/A</v>
        <stp/>
        <stp>BDP|13771077116138730566</stp>
        <tr r="C4180" s="2"/>
      </tp>
      <tp t="s">
        <v>#N/A N/A</v>
        <stp/>
        <stp>BDP|16635909660455179312</stp>
        <tr r="D1804" s="2"/>
      </tp>
      <tp t="s">
        <v>#N/A N/A</v>
        <stp/>
        <stp>BDP|16114621835419976598</stp>
        <tr r="H772" s="2"/>
      </tp>
      <tp t="s">
        <v>#N/A N/A</v>
        <stp/>
        <stp>BDP|16386381729229777137</stp>
        <tr r="D2498" s="2"/>
      </tp>
      <tp t="s">
        <v>#N/A N/A</v>
        <stp/>
        <stp>BDP|15760506210668653678</stp>
        <tr r="C265" s="2"/>
      </tp>
      <tp t="s">
        <v>#N/A N/A</v>
        <stp/>
        <stp>BDP|13496805256915266468</stp>
        <tr r="B3665" s="2"/>
      </tp>
      <tp t="s">
        <v>#N/A N/A</v>
        <stp/>
        <stp>BDP|16136467436716689811</stp>
        <tr r="C822" s="2"/>
      </tp>
      <tp t="s">
        <v>#N/A N/A</v>
        <stp/>
        <stp>BDP|14162603146629296030</stp>
        <tr r="D1736" s="2"/>
      </tp>
      <tp t="s">
        <v>#N/A N/A</v>
        <stp/>
        <stp>BDP|16186584344600323882</stp>
        <tr r="B4003" s="2"/>
      </tp>
      <tp t="s">
        <v>#N/A N/A</v>
        <stp/>
        <stp>BDP|13021256096994229375</stp>
        <tr r="G1412" s="2"/>
      </tp>
      <tp t="s">
        <v>#N/A N/A</v>
        <stp/>
        <stp>BDP|14483143326001844986</stp>
        <tr r="A4667" s="2"/>
      </tp>
      <tp t="s">
        <v>#N/A N/A</v>
        <stp/>
        <stp>BDP|12417722904292381870</stp>
        <tr r="D4261" s="2"/>
      </tp>
      <tp t="s">
        <v>#N/A N/A</v>
        <stp/>
        <stp>BDP|17418834460786828098</stp>
        <tr r="D4461" s="2"/>
      </tp>
      <tp t="s">
        <v>#N/A N/A</v>
        <stp/>
        <stp>BDP|17815936862926833175</stp>
        <tr r="H3020" s="2"/>
      </tp>
      <tp t="s">
        <v>#N/A N/A</v>
        <stp/>
        <stp>BDP|17632776505988507774</stp>
        <tr r="A2706" s="2"/>
      </tp>
      <tp t="s">
        <v>#N/A N/A</v>
        <stp/>
        <stp>BDP|12423278184301859694</stp>
        <tr r="C3844" s="2"/>
      </tp>
      <tp t="s">
        <v>#N/A N/A</v>
        <stp/>
        <stp>BDP|10155649723229975291</stp>
        <tr r="I4262" s="2"/>
      </tp>
      <tp t="s">
        <v>#N/A N/A</v>
        <stp/>
        <stp>BDP|15278774898763240798</stp>
        <tr r="F4563" s="2"/>
      </tp>
      <tp t="s">
        <v>#N/A N/A</v>
        <stp/>
        <stp>BDP|11622383298614503058</stp>
        <tr r="F1281" s="2"/>
      </tp>
      <tp t="s">
        <v>#N/A N/A</v>
        <stp/>
        <stp>BDP|11693553426860799945</stp>
        <tr r="C4709" s="2"/>
      </tp>
      <tp t="s">
        <v>#N/A N/A</v>
        <stp/>
        <stp>BDP|13963286645518433268</stp>
        <tr r="H4321" s="2"/>
      </tp>
      <tp t="s">
        <v>#N/A N/A</v>
        <stp/>
        <stp>BDP|18094811387204751371</stp>
        <tr r="D209" s="2"/>
      </tp>
      <tp t="s">
        <v>#N/A N/A</v>
        <stp/>
        <stp>BDP|12704686711913161997</stp>
        <tr r="H1895" s="2"/>
      </tp>
      <tp t="s">
        <v>#N/A N/A</v>
        <stp/>
        <stp>BDP|17919360698132981085</stp>
        <tr r="I4135" s="2"/>
      </tp>
      <tp t="s">
        <v>#N/A N/A</v>
        <stp/>
        <stp>BDP|10593866616694245210</stp>
        <tr r="I3857" s="2"/>
      </tp>
      <tp t="s">
        <v>#N/A N/A</v>
        <stp/>
        <stp>BDP|12068116594425616058</stp>
        <tr r="B3716" s="2"/>
      </tp>
      <tp t="s">
        <v>#N/A N/A</v>
        <stp/>
        <stp>BDP|13317970360801703254</stp>
        <tr r="F20" s="2"/>
      </tp>
      <tp t="s">
        <v>#N/A N/A</v>
        <stp/>
        <stp>BDP|18280974444249433330</stp>
        <tr r="I4235" s="2"/>
      </tp>
      <tp t="s">
        <v>#N/A N/A</v>
        <stp/>
        <stp>BDP|15663361697998201832</stp>
        <tr r="G359" s="2"/>
      </tp>
      <tp t="s">
        <v>#N/A N/A</v>
        <stp/>
        <stp>BDP|15891478725394461887</stp>
        <tr r="A4608" s="2"/>
      </tp>
      <tp t="s">
        <v>#N/A N/A</v>
        <stp/>
        <stp>BDP|17809765312268867622</stp>
        <tr r="G4796" s="2"/>
      </tp>
      <tp t="s">
        <v>#N/A N/A</v>
        <stp/>
        <stp>BDP|15163331091891090155</stp>
        <tr r="D3928" s="2"/>
      </tp>
      <tp t="s">
        <v>#N/A N/A</v>
        <stp/>
        <stp>BDP|18054231310755046154</stp>
        <tr r="H966" s="2"/>
      </tp>
      <tp t="s">
        <v>#N/A N/A</v>
        <stp/>
        <stp>BDP|18417383436540811745</stp>
        <tr r="A4313" s="2"/>
      </tp>
      <tp t="s">
        <v>#N/A N/A</v>
        <stp/>
        <stp>BDP|11230754189049119894</stp>
        <tr r="C4935" s="2"/>
      </tp>
      <tp t="s">
        <v>#N/A N/A</v>
        <stp/>
        <stp>BDP|11819107406679055687</stp>
        <tr r="G1443" s="2"/>
      </tp>
      <tp t="s">
        <v>#N/A N/A</v>
        <stp/>
        <stp>BDP|17019540576303737933</stp>
        <tr r="F851" s="2"/>
      </tp>
      <tp t="s">
        <v>#N/A N/A</v>
        <stp/>
        <stp>BDP|17457951015325763553</stp>
        <tr r="I1551" s="2"/>
      </tp>
      <tp t="s">
        <v>#N/A N/A</v>
        <stp/>
        <stp>BDP|12576871546801368019</stp>
        <tr r="F3923" s="2"/>
      </tp>
      <tp t="s">
        <v>#N/A N/A</v>
        <stp/>
        <stp>BDP|15714987829773360236</stp>
        <tr r="B1610" s="2"/>
      </tp>
      <tp t="s">
        <v>#N/A N/A</v>
        <stp/>
        <stp>BDP|11379135620184712913</stp>
        <tr r="A3310" s="2"/>
      </tp>
      <tp t="s">
        <v>#N/A N/A</v>
        <stp/>
        <stp>BDP|10731448618319917348</stp>
        <tr r="D3187" s="2"/>
      </tp>
      <tp t="s">
        <v>#N/A N/A</v>
        <stp/>
        <stp>BDP|15671512581094645361</stp>
        <tr r="C2973" s="2"/>
      </tp>
      <tp t="s">
        <v>#N/A N/A</v>
        <stp/>
        <stp>BDP|10751363864652106820</stp>
        <tr r="C3736" s="2"/>
      </tp>
      <tp t="s">
        <v>#N/A N/A</v>
        <stp/>
        <stp>BDP|10976991340295006764</stp>
        <tr r="A956" s="2"/>
      </tp>
      <tp t="s">
        <v>#N/A N/A</v>
        <stp/>
        <stp>BDP|15993828735150146194</stp>
        <tr r="A4986" s="2"/>
      </tp>
      <tp t="s">
        <v>#N/A N/A</v>
        <stp/>
        <stp>BDP|16067987178332274545</stp>
        <tr r="I457" s="2"/>
      </tp>
      <tp t="s">
        <v>#N/A N/A</v>
        <stp/>
        <stp>BDP|17037656310588633754</stp>
        <tr r="C577" s="2"/>
      </tp>
      <tp t="s">
        <v>#N/A N/A</v>
        <stp/>
        <stp>BDP|10795853021633525609</stp>
        <tr r="D5001" s="2"/>
      </tp>
      <tp t="s">
        <v>#N/A N/A</v>
        <stp/>
        <stp>BDP|11819434892964625799</stp>
        <tr r="A4449" s="2"/>
      </tp>
      <tp t="s">
        <v>#N/A N/A</v>
        <stp/>
        <stp>BDP|13779839453553044219</stp>
        <tr r="C1360" s="2"/>
      </tp>
      <tp t="s">
        <v>#N/A N/A</v>
        <stp/>
        <stp>BDP|14494794903819003583</stp>
        <tr r="H4549" s="2"/>
      </tp>
      <tp t="s">
        <v>#N/A N/A</v>
        <stp/>
        <stp>BDP|15349949967921165474</stp>
        <tr r="G3757" s="2"/>
      </tp>
      <tp t="s">
        <v>#N/A N/A</v>
        <stp/>
        <stp>BDP|18116354600372135633</stp>
        <tr r="D1420" s="2"/>
      </tp>
      <tp t="s">
        <v>#N/A N/A</v>
        <stp/>
        <stp>BDP|13027677472598057530</stp>
        <tr r="A3278" s="2"/>
      </tp>
      <tp t="s">
        <v>#N/A N/A</v>
        <stp/>
        <stp>BDP|17078857442092405655</stp>
        <tr r="D2151" s="2"/>
      </tp>
      <tp t="s">
        <v>#N/A N/A</v>
        <stp/>
        <stp>BDP|14342884464214814116</stp>
        <tr r="H2088" s="2"/>
      </tp>
      <tp t="s">
        <v>#N/A N/A</v>
        <stp/>
        <stp>BDP|15136832714361644263</stp>
        <tr r="A4407" s="2"/>
      </tp>
      <tp t="s">
        <v>#N/A N/A</v>
        <stp/>
        <stp>BDP|13658980712624821025</stp>
        <tr r="H4896" s="2"/>
      </tp>
      <tp t="s">
        <v>#N/A N/A</v>
        <stp/>
        <stp>BDP|16943252004093936871</stp>
        <tr r="F4894" s="2"/>
      </tp>
      <tp t="s">
        <v>#N/A N/A</v>
        <stp/>
        <stp>BDP|16238902126043663143</stp>
        <tr r="C1278" s="2"/>
      </tp>
      <tp t="s">
        <v>#N/A N/A</v>
        <stp/>
        <stp>BDP|12396987602502764689</stp>
        <tr r="F3432" s="2"/>
      </tp>
      <tp t="s">
        <v>#N/A N/A</v>
        <stp/>
        <stp>BDP|18402906680955327319</stp>
        <tr r="D2305" s="2"/>
      </tp>
      <tp t="s">
        <v>#N/A N/A</v>
        <stp/>
        <stp>BDP|10191573096460227348</stp>
        <tr r="F3304" s="2"/>
      </tp>
      <tp t="s">
        <v>#N/A N/A</v>
        <stp/>
        <stp>BDP|11797408017748563334</stp>
        <tr r="F3568" s="2"/>
      </tp>
      <tp t="s">
        <v>#N/A N/A</v>
        <stp/>
        <stp>BDP|13189308407197676862</stp>
        <tr r="F575" s="2"/>
      </tp>
      <tp t="s">
        <v>#N/A N/A</v>
        <stp/>
        <stp>BDP|18013168905624821126</stp>
        <tr r="H2623" s="2"/>
      </tp>
      <tp t="s">
        <v>#N/A N/A</v>
        <stp/>
        <stp>BDP|17836829243833792470</stp>
        <tr r="G1179" s="2"/>
      </tp>
      <tp t="s">
        <v>#N/A N/A</v>
        <stp/>
        <stp>BDP|16648262492425218498</stp>
        <tr r="A3211" s="2"/>
      </tp>
      <tp t="s">
        <v>#N/A N/A</v>
        <stp/>
        <stp>BDP|16853176736241180912</stp>
        <tr r="A3941" s="2"/>
      </tp>
      <tp t="s">
        <v>#N/A N/A</v>
        <stp/>
        <stp>BDP|11871177787087992383</stp>
        <tr r="G1493" s="2"/>
      </tp>
      <tp t="s">
        <v>#N/A N/A</v>
        <stp/>
        <stp>BDP|18304005539951443672</stp>
        <tr r="F4423" s="2"/>
      </tp>
      <tp t="s">
        <v>#N/A N/A</v>
        <stp/>
        <stp>BDP|17083686351071371933</stp>
        <tr r="D1858" s="2"/>
      </tp>
      <tp t="s">
        <v>#N/A N/A</v>
        <stp/>
        <stp>BDP|15609866219604511458</stp>
        <tr r="I1628" s="2"/>
      </tp>
      <tp t="s">
        <v>#N/A N/A</v>
        <stp/>
        <stp>BDP|10274774088310513318</stp>
        <tr r="H3187" s="2"/>
      </tp>
      <tp t="s">
        <v>#N/A N/A</v>
        <stp/>
        <stp>BDP|15657206235660243888</stp>
        <tr r="B3995" s="2"/>
      </tp>
      <tp t="s">
        <v>#N/A N/A</v>
        <stp/>
        <stp>BDP|10131289597223204451</stp>
        <tr r="B1644" s="2"/>
      </tp>
      <tp t="s">
        <v>#N/A N/A</v>
        <stp/>
        <stp>BDP|14265126816961619991</stp>
        <tr r="D2771" s="2"/>
      </tp>
      <tp t="s">
        <v>#N/A N/A</v>
        <stp/>
        <stp>BDP|13964369386891886587</stp>
        <tr r="G3602" s="2"/>
      </tp>
      <tp t="s">
        <v>#N/A N/A</v>
        <stp/>
        <stp>BDP|11204154084926903235</stp>
        <tr r="H1768" s="2"/>
      </tp>
      <tp t="s">
        <v>#N/A N/A</v>
        <stp/>
        <stp>BDP|16754027683740844279</stp>
        <tr r="H4890" s="2"/>
      </tp>
      <tp t="s">
        <v>#N/A N/A</v>
        <stp/>
        <stp>BDP|12518325444601895824</stp>
        <tr r="F2953" s="2"/>
      </tp>
      <tp t="s">
        <v>#N/A N/A</v>
        <stp/>
        <stp>BDP|17247756190277968279</stp>
        <tr r="A319" s="2"/>
      </tp>
      <tp t="s">
        <v>#N/A N/A</v>
        <stp/>
        <stp>BDP|12808749904729335022</stp>
        <tr r="C190" s="2"/>
      </tp>
      <tp t="s">
        <v>#N/A N/A</v>
        <stp/>
        <stp>BDP|14995521098615960136</stp>
        <tr r="H2445" s="2"/>
      </tp>
      <tp t="s">
        <v>#N/A N/A</v>
        <stp/>
        <stp>BDP|13443899677868580863</stp>
        <tr r="I2666" s="2"/>
      </tp>
      <tp t="s">
        <v>#N/A N/A</v>
        <stp/>
        <stp>BDP|17764889418614678683</stp>
        <tr r="C4884" s="2"/>
      </tp>
      <tp t="s">
        <v>#N/A N/A</v>
        <stp/>
        <stp>BDP|14682885176897111009</stp>
        <tr r="G1141" s="2"/>
      </tp>
      <tp t="s">
        <v>#N/A N/A</v>
        <stp/>
        <stp>BDP|12054781996352799203</stp>
        <tr r="I4279" s="2"/>
      </tp>
      <tp t="s">
        <v>#N/A N/A</v>
        <stp/>
        <stp>BDP|17520328738062602907</stp>
        <tr r="F410" s="2"/>
      </tp>
      <tp t="s">
        <v>#N/A N/A</v>
        <stp/>
        <stp>BDP|17323634119255981990</stp>
        <tr r="F1986" s="2"/>
      </tp>
      <tp t="s">
        <v>#N/A N/A</v>
        <stp/>
        <stp>BDP|14388459069152214842</stp>
        <tr r="H2446" s="2"/>
      </tp>
      <tp t="s">
        <v>#N/A N/A</v>
        <stp/>
        <stp>BDP|18352630506096916467</stp>
        <tr r="H4550" s="2"/>
      </tp>
      <tp t="s">
        <v>#N/A N/A</v>
        <stp/>
        <stp>BDP|16746174439611951990</stp>
        <tr r="G628" s="2"/>
      </tp>
      <tp t="s">
        <v>#N/A N/A</v>
        <stp/>
        <stp>BDP|13079586291425030607</stp>
        <tr r="D1743" s="2"/>
      </tp>
      <tp t="s">
        <v>#N/A N/A</v>
        <stp/>
        <stp>BDP|14067820201647910730</stp>
        <tr r="H111" s="2"/>
      </tp>
      <tp t="s">
        <v>#N/A N/A</v>
        <stp/>
        <stp>BDP|13373340500329807565</stp>
        <tr r="B1753" s="2"/>
      </tp>
      <tp t="s">
        <v>#N/A N/A</v>
        <stp/>
        <stp>BDP|10589728628130360957</stp>
        <tr r="G3106" s="2"/>
      </tp>
      <tp t="s">
        <v>#N/A N/A</v>
        <stp/>
        <stp>BDP|12574356260523118885</stp>
        <tr r="B498" s="2"/>
      </tp>
      <tp t="s">
        <v>#N/A N/A</v>
        <stp/>
        <stp>BDP|11116415479868380634</stp>
        <tr r="H1132" s="2"/>
      </tp>
      <tp t="s">
        <v>#N/A N/A</v>
        <stp/>
        <stp>BDP|14609901951032722693</stp>
        <tr r="B1641" s="2"/>
      </tp>
      <tp t="s">
        <v>#N/A N/A</v>
        <stp/>
        <stp>BDP|14955344996687765551</stp>
        <tr r="I4041" s="2"/>
      </tp>
      <tp t="s">
        <v>#N/A N/A</v>
        <stp/>
        <stp>BDP|14318974415191128191</stp>
        <tr r="I4912" s="2"/>
      </tp>
      <tp t="s">
        <v>#N/A N/A</v>
        <stp/>
        <stp>BDP|17076192681457659573</stp>
        <tr r="I2857" s="2"/>
      </tp>
      <tp t="s">
        <v>#N/A N/A</v>
        <stp/>
        <stp>BDP|10888802121341372739</stp>
        <tr r="I4882" s="2"/>
      </tp>
      <tp t="s">
        <v>#N/A N/A</v>
        <stp/>
        <stp>BDP|11956448793333299350</stp>
        <tr r="F1552" s="2"/>
      </tp>
      <tp t="s">
        <v>#N/A N/A</v>
        <stp/>
        <stp>BDP|14961827076257361072</stp>
        <tr r="F4582" s="2"/>
      </tp>
      <tp t="s">
        <v>#N/A N/A</v>
        <stp/>
        <stp>BDP|14456682209419451781</stp>
        <tr r="C971" s="2"/>
      </tp>
      <tp t="s">
        <v>#N/A N/A</v>
        <stp/>
        <stp>BDP|11782385507507477958</stp>
        <tr r="G1865" s="2"/>
      </tp>
      <tp t="s">
        <v>#N/A N/A</v>
        <stp/>
        <stp>BDP|13296045007738057789</stp>
        <tr r="I3410" s="2"/>
      </tp>
      <tp t="s">
        <v>#N/A N/A</v>
        <stp/>
        <stp>BDP|10343991413974193013</stp>
        <tr r="G1702" s="2"/>
      </tp>
      <tp t="s">
        <v>#N/A N/A</v>
        <stp/>
        <stp>BDP|12503046882981388792</stp>
        <tr r="D814" s="2"/>
      </tp>
      <tp t="s">
        <v>#N/A N/A</v>
        <stp/>
        <stp>BDP|10638536828628678321</stp>
        <tr r="F308" s="2"/>
      </tp>
      <tp t="s">
        <v>#N/A N/A</v>
        <stp/>
        <stp>BDP|10941582654564955853</stp>
        <tr r="I125" s="2"/>
      </tp>
      <tp t="s">
        <v>#N/A N/A</v>
        <stp/>
        <stp>BDP|15894884063016915139</stp>
        <tr r="B1991" s="2"/>
      </tp>
      <tp t="s">
        <v>#N/A N/A</v>
        <stp/>
        <stp>BDP|11851747461639619521</stp>
        <tr r="F3577" s="2"/>
      </tp>
      <tp t="s">
        <v>#N/A N/A</v>
        <stp/>
        <stp>BDP|16266383785301077065</stp>
        <tr r="G339" s="2"/>
      </tp>
      <tp t="s">
        <v>#N/A N/A</v>
        <stp/>
        <stp>BDP|15559094434662959886</stp>
        <tr r="F1956" s="2"/>
      </tp>
      <tp t="s">
        <v>#N/A N/A</v>
        <stp/>
        <stp>BDP|12419688696833680242</stp>
        <tr r="C1101" s="2"/>
      </tp>
      <tp t="s">
        <v>#N/A N/A</v>
        <stp/>
        <stp>BDP|18064192671095084707</stp>
        <tr r="F2702" s="2"/>
      </tp>
      <tp t="s">
        <v>#N/A N/A</v>
        <stp/>
        <stp>BDP|12046819669761658164</stp>
        <tr r="A3833" s="2"/>
      </tp>
      <tp t="s">
        <v>#N/A N/A</v>
        <stp/>
        <stp>BDP|10094545026393814825</stp>
        <tr r="A3045" s="2"/>
      </tp>
      <tp t="s">
        <v>#N/A N/A</v>
        <stp/>
        <stp>BDP|18125493712607299605</stp>
        <tr r="F589" s="2"/>
      </tp>
      <tp t="s">
        <v>#N/A N/A</v>
        <stp/>
        <stp>BDP|11921181087206836269</stp>
        <tr r="A1579" s="2"/>
      </tp>
      <tp t="s">
        <v>#N/A N/A</v>
        <stp/>
        <stp>BDP|12274834669560296024</stp>
        <tr r="A3584" s="2"/>
      </tp>
      <tp t="s">
        <v>#N/A N/A</v>
        <stp/>
        <stp>BDP|13742099864819793056</stp>
        <tr r="F1108" s="2"/>
      </tp>
      <tp t="s">
        <v>#N/A N/A</v>
        <stp/>
        <stp>BDP|17320801217687461589</stp>
        <tr r="H4359" s="2"/>
      </tp>
      <tp t="s">
        <v>#N/A N/A</v>
        <stp/>
        <stp>BDP|14767934451881579587</stp>
        <tr r="H4757" s="2"/>
      </tp>
      <tp t="s">
        <v>#N/A N/A</v>
        <stp/>
        <stp>BDP|18203493054811240455</stp>
        <tr r="C1035" s="2"/>
      </tp>
      <tp t="s">
        <v>#N/A N/A</v>
        <stp/>
        <stp>BDP|10473140300229895405</stp>
        <tr r="G439" s="2"/>
      </tp>
      <tp t="s">
        <v>#N/A N/A</v>
        <stp/>
        <stp>BDP|17906902140520085616</stp>
        <tr r="B4088" s="2"/>
      </tp>
      <tp t="s">
        <v>#N/A N/A</v>
        <stp/>
        <stp>BDP|13188057831049417597</stp>
        <tr r="H1585" s="2"/>
      </tp>
      <tp t="s">
        <v>#N/A N/A</v>
        <stp/>
        <stp>BDP|12001954555523084180</stp>
        <tr r="B3201" s="2"/>
      </tp>
      <tp t="s">
        <v>#N/A N/A</v>
        <stp/>
        <stp>BDP|17510237197944900407</stp>
        <tr r="D174" s="2"/>
      </tp>
      <tp t="s">
        <v>#N/A N/A</v>
        <stp/>
        <stp>BDP|17046672817438829408</stp>
        <tr r="B190" s="2"/>
      </tp>
      <tp t="s">
        <v>#N/A N/A</v>
        <stp/>
        <stp>BDP|12881632395733146271</stp>
        <tr r="A1101" s="2"/>
      </tp>
      <tp t="s">
        <v>#N/A N/A</v>
        <stp/>
        <stp>BDP|18444890458800809953</stp>
        <tr r="A524" s="2"/>
      </tp>
      <tp t="s">
        <v>#N/A N/A</v>
        <stp/>
        <stp>BDP|14191983517798206842</stp>
        <tr r="A4222" s="2"/>
      </tp>
      <tp t="s">
        <v>#N/A N/A</v>
        <stp/>
        <stp>BDP|17014126902403899905</stp>
        <tr r="G719" s="2"/>
      </tp>
      <tp t="s">
        <v>#N/A N/A</v>
        <stp/>
        <stp>BDP|13136949012155933267</stp>
        <tr r="D364" s="2"/>
      </tp>
      <tp t="s">
        <v>#N/A N/A</v>
        <stp/>
        <stp>BDP|16408834125212318298</stp>
        <tr r="I2171" s="2"/>
      </tp>
      <tp t="s">
        <v>#N/A N/A</v>
        <stp/>
        <stp>BDP|16523887068324901049</stp>
        <tr r="H3445" s="2"/>
      </tp>
      <tp t="s">
        <v>#N/A N/A</v>
        <stp/>
        <stp>BDP|17793696977769001316</stp>
        <tr r="B2791" s="2"/>
      </tp>
      <tp t="s">
        <v>#N/A N/A</v>
        <stp/>
        <stp>BDP|17943047774999376523</stp>
        <tr r="H4613" s="2"/>
      </tp>
      <tp t="s">
        <v>#N/A N/A</v>
        <stp/>
        <stp>BDP|15891882902764904532</stp>
        <tr r="D2670" s="2"/>
      </tp>
      <tp t="s">
        <v>#N/A N/A</v>
        <stp/>
        <stp>BDP|14098437049509053123</stp>
        <tr r="A4673" s="2"/>
      </tp>
      <tp t="s">
        <v>#N/A N/A</v>
        <stp/>
        <stp>BDP|11688241013089064792</stp>
        <tr r="I2382" s="2"/>
      </tp>
      <tp t="s">
        <v>#N/A N/A</v>
        <stp/>
        <stp>BDP|11303204961349939039</stp>
        <tr r="B2916" s="2"/>
      </tp>
      <tp t="s">
        <v>#N/A N/A</v>
        <stp/>
        <stp>BDP|13847004282446080121</stp>
        <tr r="C1751" s="2"/>
      </tp>
      <tp t="s">
        <v>#N/A N/A</v>
        <stp/>
        <stp>BDP|13485491761855684824</stp>
        <tr r="F1317" s="2"/>
      </tp>
      <tp t="s">
        <v>#N/A N/A</v>
        <stp/>
        <stp>BDP|16302797930106532879</stp>
        <tr r="H2942" s="2"/>
      </tp>
      <tp t="s">
        <v>#N/A N/A</v>
        <stp/>
        <stp>BDP|16852717759561888903</stp>
        <tr r="B4413" s="2"/>
      </tp>
      <tp t="s">
        <v>#N/A N/A</v>
        <stp/>
        <stp>BDP|10842759671024362877</stp>
        <tr r="A4786" s="2"/>
      </tp>
      <tp t="s">
        <v>#N/A N/A</v>
        <stp/>
        <stp>BDP|18316192344000671107</stp>
        <tr r="B95" s="2"/>
      </tp>
      <tp t="s">
        <v>#N/A N/A</v>
        <stp/>
        <stp>BDP|17851824328207829623</stp>
        <tr r="B3255" s="2"/>
      </tp>
      <tp t="s">
        <v>#N/A N/A</v>
        <stp/>
        <stp>BDP|13899950058297491490</stp>
        <tr r="I538" s="2"/>
      </tp>
      <tp t="s">
        <v>#N/A N/A</v>
        <stp/>
        <stp>BDP|16893012083634090626</stp>
        <tr r="I4681" s="2"/>
      </tp>
      <tp t="s">
        <v>#N/A N/A</v>
        <stp/>
        <stp>BDP|15627818008933087279</stp>
        <tr r="H4614" s="2"/>
      </tp>
      <tp t="s">
        <v>#N/A N/A</v>
        <stp/>
        <stp>BDP|14367149593893464380</stp>
        <tr r="D4477" s="2"/>
      </tp>
      <tp t="s">
        <v>#N/A N/A</v>
        <stp/>
        <stp>BDP|12591831345963392189</stp>
        <tr r="H637" s="2"/>
      </tp>
      <tp t="s">
        <v>#N/A N/A</v>
        <stp/>
        <stp>BDP|13467546282212232080</stp>
        <tr r="A1511" s="2"/>
      </tp>
      <tp t="s">
        <v>#N/A N/A</v>
        <stp/>
        <stp>BDP|14496728310329615782</stp>
        <tr r="B1479" s="2"/>
      </tp>
      <tp t="s">
        <v>#N/A N/A</v>
        <stp/>
        <stp>BDP|16995506982876429174</stp>
        <tr r="C941" s="2"/>
      </tp>
      <tp t="s">
        <v>#N/A N/A</v>
        <stp/>
        <stp>BDP|15744853924506620580</stp>
        <tr r="I3756" s="2"/>
      </tp>
      <tp t="s">
        <v>#N/A N/A</v>
        <stp/>
        <stp>BDP|10144161424508355785</stp>
        <tr r="C4621" s="2"/>
      </tp>
      <tp t="s">
        <v>#N/A N/A</v>
        <stp/>
        <stp>BDP|12458714304610084998</stp>
        <tr r="D4835" s="2"/>
      </tp>
      <tp t="s">
        <v>#N/A N/A</v>
        <stp/>
        <stp>BDP|10569143422118857736</stp>
        <tr r="B1875" s="2"/>
      </tp>
      <tp t="s">
        <v>#N/A N/A</v>
        <stp/>
        <stp>BDP|15171736342073822904</stp>
        <tr r="F3041" s="2"/>
      </tp>
      <tp t="s">
        <v>#N/A N/A</v>
        <stp/>
        <stp>BDP|11064805146454892569</stp>
        <tr r="I4709" s="2"/>
      </tp>
      <tp t="s">
        <v>#N/A N/A</v>
        <stp/>
        <stp>BDP|18235693404294110665</stp>
        <tr r="A2467" s="2"/>
      </tp>
      <tp t="s">
        <v>#N/A N/A</v>
        <stp/>
        <stp>BDP|16368248239892761916</stp>
        <tr r="C2285" s="2"/>
      </tp>
      <tp t="s">
        <v>#N/A N/A</v>
        <stp/>
        <stp>BDP|13201056081380792799</stp>
        <tr r="D356" s="2"/>
      </tp>
      <tp t="s">
        <v>#N/A N/A</v>
        <stp/>
        <stp>BDP|17459263791283212390</stp>
        <tr r="H2494" s="2"/>
      </tp>
      <tp t="s">
        <v>#N/A N/A</v>
        <stp/>
        <stp>BDP|10467091166402250813</stp>
        <tr r="H2371" s="2"/>
      </tp>
      <tp t="s">
        <v>#N/A N/A</v>
        <stp/>
        <stp>BDP|12580724718748771009</stp>
        <tr r="F4899" s="2"/>
      </tp>
      <tp t="s">
        <v>#N/A N/A</v>
        <stp/>
        <stp>BDP|12762765166036752983</stp>
        <tr r="G2156" s="2"/>
      </tp>
      <tp t="s">
        <v>#N/A N/A</v>
        <stp/>
        <stp>BDP|11049980327772172460</stp>
        <tr r="D561" s="2"/>
      </tp>
      <tp t="s">
        <v>#N/A N/A</v>
        <stp/>
        <stp>BDP|10852302760289684069</stp>
        <tr r="C1434" s="2"/>
      </tp>
      <tp t="s">
        <v>#N/A N/A</v>
        <stp/>
        <stp>BDP|10437061487665493199</stp>
        <tr r="G3210" s="2"/>
      </tp>
      <tp t="s">
        <v>#N/A N/A</v>
        <stp/>
        <stp>BDP|10865941058571840142</stp>
        <tr r="A1740" s="2"/>
      </tp>
      <tp t="s">
        <v>#N/A N/A</v>
        <stp/>
        <stp>BDP|15569846514829853966</stp>
        <tr r="I3348" s="2"/>
      </tp>
      <tp t="s">
        <v>#N/A N/A</v>
        <stp/>
        <stp>BDP|15860113964339756718</stp>
        <tr r="A3398" s="2"/>
      </tp>
      <tp t="s">
        <v>#N/A N/A</v>
        <stp/>
        <stp>BDP|14963108935309553323</stp>
        <tr r="H4317" s="2"/>
      </tp>
      <tp t="s">
        <v>#N/A N/A</v>
        <stp/>
        <stp>BDP|17831651499557858379</stp>
        <tr r="G577" s="2"/>
      </tp>
      <tp t="s">
        <v>#N/A N/A</v>
        <stp/>
        <stp>BDP|17972762581640217479</stp>
        <tr r="D1537" s="2"/>
      </tp>
      <tp t="s">
        <v>#N/A N/A</v>
        <stp/>
        <stp>BDP|18411158722385807200</stp>
        <tr r="H2748" s="2"/>
      </tp>
      <tp t="s">
        <v>#N/A N/A</v>
        <stp/>
        <stp>BDP|13525743758115336819</stp>
        <tr r="F2432" s="2"/>
      </tp>
      <tp t="s">
        <v>#N/A N/A</v>
        <stp/>
        <stp>BDP|17091922419155340634</stp>
        <tr r="I2114" s="2"/>
      </tp>
      <tp t="s">
        <v>#N/A N/A</v>
        <stp/>
        <stp>BDP|10920229391866897190</stp>
        <tr r="G4836" s="2"/>
      </tp>
      <tp t="s">
        <v>#N/A N/A</v>
        <stp/>
        <stp>BDP|14182816171687386099</stp>
        <tr r="I3230" s="2"/>
      </tp>
      <tp t="s">
        <v>#N/A N/A</v>
        <stp/>
        <stp>BDP|14434889551583674601</stp>
        <tr r="I3717" s="2"/>
      </tp>
      <tp t="s">
        <v>#N/A N/A</v>
        <stp/>
        <stp>BDP|10210427537059485287</stp>
        <tr r="G3288" s="2"/>
      </tp>
      <tp t="s">
        <v>#N/A N/A</v>
        <stp/>
        <stp>BDP|16279158409613338863</stp>
        <tr r="C198" s="2"/>
      </tp>
      <tp t="s">
        <v>#N/A N/A</v>
        <stp/>
        <stp>BDP|12162427136168685181</stp>
        <tr r="G2276" s="2"/>
      </tp>
      <tp t="s">
        <v>#N/A N/A</v>
        <stp/>
        <stp>BDP|16832746082841139446</stp>
        <tr r="G168" s="2"/>
      </tp>
      <tp t="s">
        <v>#N/A N/A</v>
        <stp/>
        <stp>BDP|17649983253545198273</stp>
        <tr r="H2888" s="2"/>
      </tp>
      <tp t="s">
        <v>#N/A N/A</v>
        <stp/>
        <stp>BDP|14682846287611613981</stp>
        <tr r="A4748" s="2"/>
      </tp>
      <tp t="s">
        <v>#N/A N/A</v>
        <stp/>
        <stp>BDP|12165599465444358951</stp>
        <tr r="B3608" s="2"/>
      </tp>
      <tp t="s">
        <v>#N/A N/A</v>
        <stp/>
        <stp>BDP|13121881944367666409</stp>
        <tr r="C4498" s="2"/>
      </tp>
      <tp t="s">
        <v>#N/A N/A</v>
        <stp/>
        <stp>BDP|15225232239860239814</stp>
        <tr r="H208" s="2"/>
      </tp>
      <tp t="s">
        <v>#N/A N/A</v>
        <stp/>
        <stp>BDP|10151889661047557566</stp>
        <tr r="B2376" s="2"/>
      </tp>
      <tp t="s">
        <v>#N/A N/A</v>
        <stp/>
        <stp>BDP|10826942944660606158</stp>
        <tr r="C3590" s="2"/>
      </tp>
      <tp t="s">
        <v>#N/A N/A</v>
        <stp/>
        <stp>BDP|13944847553412218078</stp>
        <tr r="G60" s="2"/>
      </tp>
      <tp t="s">
        <v>#N/A N/A</v>
        <stp/>
        <stp>BDP|17201568214676810931</stp>
        <tr r="F3698" s="2"/>
      </tp>
      <tp t="s">
        <v>#N/A N/A</v>
        <stp/>
        <stp>BDP|13566119489227247147</stp>
        <tr r="I1850" s="2"/>
      </tp>
      <tp t="s">
        <v>#N/A N/A</v>
        <stp/>
        <stp>BDP|10654297487052255419</stp>
        <tr r="H18" s="2"/>
      </tp>
      <tp t="s">
        <v>#N/A N/A</v>
        <stp/>
        <stp>BDP|15501239130558917043</stp>
        <tr r="G2549" s="2"/>
      </tp>
      <tp t="s">
        <v>#N/A N/A</v>
        <stp/>
        <stp>BDP|14800284888752264018</stp>
        <tr r="F3831" s="2"/>
      </tp>
      <tp t="s">
        <v>#N/A N/A</v>
        <stp/>
        <stp>BDP|18102525096638678089</stp>
        <tr r="I3527" s="2"/>
      </tp>
      <tp t="s">
        <v>#N/A N/A</v>
        <stp/>
        <stp>BDP|16858663013638180575</stp>
        <tr r="B3366" s="2"/>
      </tp>
      <tp t="s">
        <v>#N/A N/A</v>
        <stp/>
        <stp>BDP|16399445203558718685</stp>
        <tr r="B1600" s="2"/>
      </tp>
      <tp t="s">
        <v>#N/A N/A</v>
        <stp/>
        <stp>BDP|14664872294470854969</stp>
        <tr r="B4759" s="2"/>
      </tp>
      <tp t="s">
        <v>#N/A N/A</v>
        <stp/>
        <stp>BDP|16119338090795055597</stp>
        <tr r="D4534" s="2"/>
      </tp>
      <tp t="s">
        <v>#N/A N/A</v>
        <stp/>
        <stp>BDP|11443419524248330390</stp>
        <tr r="A1353" s="2"/>
      </tp>
      <tp t="s">
        <v>#N/A N/A</v>
        <stp/>
        <stp>BDP|11963926254391416001</stp>
        <tr r="A1883" s="2"/>
      </tp>
      <tp t="s">
        <v>#N/A N/A</v>
        <stp/>
        <stp>BDP|11258560689715376556</stp>
        <tr r="D896" s="2"/>
      </tp>
      <tp t="s">
        <v>#N/A N/A</v>
        <stp/>
        <stp>BDP|12014140898554371240</stp>
        <tr r="F4507" s="2"/>
      </tp>
      <tp t="s">
        <v>#N/A N/A</v>
        <stp/>
        <stp>BDP|11826810273497370523</stp>
        <tr r="G1554" s="2"/>
      </tp>
      <tp t="s">
        <v>#N/A N/A</v>
        <stp/>
        <stp>BDP|15202925148366313205</stp>
        <tr r="I3181" s="2"/>
      </tp>
      <tp t="s">
        <v>#N/A N/A</v>
        <stp/>
        <stp>BDP|14709197054234241830</stp>
        <tr r="D3031" s="2"/>
      </tp>
      <tp t="s">
        <v>#N/A N/A</v>
        <stp/>
        <stp>BDP|10760197232619545722</stp>
        <tr r="I255" s="2"/>
      </tp>
      <tp t="s">
        <v>#N/A N/A</v>
        <stp/>
        <stp>BDP|17308794278749143287</stp>
        <tr r="H2564" s="2"/>
      </tp>
      <tp t="s">
        <v>#N/A N/A</v>
        <stp/>
        <stp>BDP|17604911348573077543</stp>
        <tr r="C4421" s="2"/>
      </tp>
      <tp t="s">
        <v>#N/A N/A</v>
        <stp/>
        <stp>BDP|10965475095331326032</stp>
        <tr r="D2205" s="2"/>
      </tp>
      <tp t="s">
        <v>#N/A N/A</v>
        <stp/>
        <stp>BDP|12851285566568861253</stp>
        <tr r="D1981" s="2"/>
      </tp>
      <tp t="s">
        <v>#N/A N/A</v>
        <stp/>
        <stp>BDP|10768474397322412387</stp>
        <tr r="A2632" s="2"/>
      </tp>
      <tp t="s">
        <v>#N/A N/A</v>
        <stp/>
        <stp>BDP|15818085297995936559</stp>
        <tr r="C4981" s="2"/>
      </tp>
      <tp t="s">
        <v>#N/A N/A</v>
        <stp/>
        <stp>BDP|12851747188009857870</stp>
        <tr r="G622" s="2"/>
      </tp>
      <tp t="s">
        <v>#N/A N/A</v>
        <stp/>
        <stp>BDP|12783652480911940100</stp>
        <tr r="F895" s="2"/>
      </tp>
      <tp t="s">
        <v>#N/A N/A</v>
        <stp/>
        <stp>BDP|12809636541938113408</stp>
        <tr r="C1435" s="2"/>
      </tp>
      <tp t="s">
        <v>#N/A N/A</v>
        <stp/>
        <stp>BDP|16288838418252556171</stp>
        <tr r="C1080" s="2"/>
      </tp>
      <tp t="s">
        <v>#N/A N/A</v>
        <stp/>
        <stp>BDP|13031193298556241187</stp>
        <tr r="F3357" s="2"/>
      </tp>
      <tp t="s">
        <v>#N/A N/A</v>
        <stp/>
        <stp>BDP|14298485446281788903</stp>
        <tr r="F1026" s="2"/>
      </tp>
      <tp t="s">
        <v>#N/A N/A</v>
        <stp/>
        <stp>BDP|12433897006593014505</stp>
        <tr r="D281" s="2"/>
      </tp>
      <tp t="s">
        <v>#N/A N/A</v>
        <stp/>
        <stp>BDP|18319491377794159377</stp>
        <tr r="G3386" s="2"/>
      </tp>
      <tp t="s">
        <v>#N/A N/A</v>
        <stp/>
        <stp>BDP|12441817979497646616</stp>
        <tr r="G4847" s="2"/>
      </tp>
      <tp t="s">
        <v>#N/A N/A</v>
        <stp/>
        <stp>BDP|12401980451446383459</stp>
        <tr r="H2180" s="2"/>
      </tp>
      <tp t="s">
        <v>#N/A N/A</v>
        <stp/>
        <stp>BDP|15673811301214449594</stp>
        <tr r="D2499" s="2"/>
      </tp>
      <tp t="s">
        <v>#N/A N/A</v>
        <stp/>
        <stp>BDP|16995899128735534560</stp>
        <tr r="I4934" s="2"/>
      </tp>
      <tp t="s">
        <v>#N/A N/A</v>
        <stp/>
        <stp>BDP|12315779960457764891</stp>
        <tr r="G3354" s="2"/>
      </tp>
      <tp t="s">
        <v>#N/A N/A</v>
        <stp/>
        <stp>BDP|10784930843480472190</stp>
        <tr r="A2775" s="2"/>
      </tp>
      <tp t="s">
        <v>#N/A N/A</v>
        <stp/>
        <stp>BDP|10220974696908045490</stp>
        <tr r="F4053" s="2"/>
      </tp>
      <tp t="s">
        <v>#N/A N/A</v>
        <stp/>
        <stp>BDP|17085810729664179533</stp>
        <tr r="H4765" s="2"/>
      </tp>
      <tp t="s">
        <v>#N/A N/A</v>
        <stp/>
        <stp>BDP|12430483292211190251</stp>
        <tr r="B4426" s="2"/>
      </tp>
      <tp t="s">
        <v>#N/A N/A</v>
        <stp/>
        <stp>BDP|13294995649483147195</stp>
        <tr r="H250" s="2"/>
      </tp>
      <tp t="s">
        <v>#N/A N/A</v>
        <stp/>
        <stp>BDP|14080821832984389791</stp>
        <tr r="C626" s="2"/>
      </tp>
      <tp t="s">
        <v>#N/A N/A</v>
        <stp/>
        <stp>BDP|17432226074917114994</stp>
        <tr r="I602" s="2"/>
      </tp>
      <tp t="s">
        <v>#N/A N/A</v>
        <stp/>
        <stp>BDP|18255359747400962337</stp>
        <tr r="D497" s="2"/>
      </tp>
      <tp t="s">
        <v>#N/A N/A</v>
        <stp/>
        <stp>BDP|10882711792076766467</stp>
        <tr r="H4512" s="2"/>
      </tp>
      <tp t="s">
        <v>#N/A N/A</v>
        <stp/>
        <stp>BDP|12183645580210826075</stp>
        <tr r="H2603" s="2"/>
      </tp>
      <tp t="s">
        <v>#N/A N/A</v>
        <stp/>
        <stp>BDP|12085465648617122951</stp>
        <tr r="A3425" s="2"/>
      </tp>
      <tp t="s">
        <v>#N/A N/A</v>
        <stp/>
        <stp>BDP|13736339533688402793</stp>
        <tr r="C1858" s="2"/>
      </tp>
      <tp t="s">
        <v>#N/A N/A</v>
        <stp/>
        <stp>BDP|17209555129844714833</stp>
        <tr r="D1739" s="2"/>
      </tp>
      <tp t="s">
        <v>#N/A N/A</v>
        <stp/>
        <stp>BDP|18257558123400929375</stp>
        <tr r="B2496" s="2"/>
      </tp>
      <tp t="s">
        <v>#N/A N/A</v>
        <stp/>
        <stp>BDP|11204826757539496997</stp>
        <tr r="I3071" s="2"/>
      </tp>
      <tp t="s">
        <v>#N/A N/A</v>
        <stp/>
        <stp>BDP|16146888050652735544</stp>
        <tr r="G1912" s="2"/>
      </tp>
      <tp t="s">
        <v>#N/A N/A</v>
        <stp/>
        <stp>BDP|16826552996862475453</stp>
        <tr r="C2339" s="2"/>
      </tp>
      <tp t="s">
        <v>#N/A N/A</v>
        <stp/>
        <stp>BDP|13773407469649590413</stp>
        <tr r="I3393" s="2"/>
      </tp>
      <tp t="s">
        <v>#N/A N/A</v>
        <stp/>
        <stp>BDP|11595949222457945103</stp>
        <tr r="H830" s="2"/>
      </tp>
      <tp t="s">
        <v>#N/A N/A</v>
        <stp/>
        <stp>BDP|17452851158810285617</stp>
        <tr r="I1957" s="2"/>
      </tp>
      <tp t="s">
        <v>#N/A N/A</v>
        <stp/>
        <stp>BDP|17749899873361281555</stp>
        <tr r="I4759" s="2"/>
      </tp>
      <tp t="s">
        <v>#N/A N/A</v>
        <stp/>
        <stp>BDP|18167112251857996726</stp>
        <tr r="H2637" s="2"/>
      </tp>
      <tp t="s">
        <v>#N/A N/A</v>
        <stp/>
        <stp>BDP|11862526991082542347</stp>
        <tr r="F2741" s="2"/>
      </tp>
      <tp t="s">
        <v>#N/A N/A</v>
        <stp/>
        <stp>BDP|15541453783180051591</stp>
        <tr r="B3407" s="2"/>
      </tp>
      <tp t="s">
        <v>#N/A N/A</v>
        <stp/>
        <stp>BDP|13767848014163888555</stp>
        <tr r="D2448" s="2"/>
      </tp>
      <tp t="s">
        <v>#N/A N/A</v>
        <stp/>
        <stp>BDP|14800080569677618955</stp>
        <tr r="C21" s="2"/>
      </tp>
      <tp t="s">
        <v>#N/A N/A</v>
        <stp/>
        <stp>BDP|10967855423233174544</stp>
        <tr r="C1777" s="2"/>
      </tp>
      <tp t="s">
        <v>#N/A N/A</v>
        <stp/>
        <stp>BDP|12830648405830011830</stp>
        <tr r="G4274" s="2"/>
      </tp>
      <tp t="s">
        <v>#N/A N/A</v>
        <stp/>
        <stp>BDP|18207344006171831624</stp>
        <tr r="C3785" s="2"/>
      </tp>
      <tp t="s">
        <v>#N/A N/A</v>
        <stp/>
        <stp>BDP|17691940604824919651</stp>
        <tr r="I4504" s="2"/>
      </tp>
      <tp t="s">
        <v>#N/A N/A</v>
        <stp/>
        <stp>BDP|11948515085039373947</stp>
        <tr r="I603" s="2"/>
      </tp>
      <tp t="s">
        <v>#N/A N/A</v>
        <stp/>
        <stp>BDP|12763824168593463330</stp>
        <tr r="F1254" s="2"/>
      </tp>
      <tp t="s">
        <v>#N/A N/A</v>
        <stp/>
        <stp>BDP|12531325788922195747</stp>
        <tr r="G4838" s="2"/>
      </tp>
      <tp t="s">
        <v>#N/A N/A</v>
        <stp/>
        <stp>BDP|14719987235465321730</stp>
        <tr r="I4618" s="2"/>
      </tp>
      <tp t="s">
        <v>#N/A N/A</v>
        <stp/>
        <stp>BDP|13916416997305619735</stp>
        <tr r="D3421" s="2"/>
      </tp>
      <tp t="s">
        <v>#N/A N/A</v>
        <stp/>
        <stp>BDP|14276299590851720264</stp>
        <tr r="D2008" s="2"/>
      </tp>
      <tp t="s">
        <v>#N/A N/A</v>
        <stp/>
        <stp>BDP|13826661087572210317</stp>
        <tr r="C2890" s="2"/>
      </tp>
      <tp t="s">
        <v>#N/A N/A</v>
        <stp/>
        <stp>BDP|16044772548618380168</stp>
        <tr r="F339" s="2"/>
      </tp>
      <tp t="s">
        <v>#N/A N/A</v>
        <stp/>
        <stp>BDP|11743966137683845447</stp>
        <tr r="C1019" s="2"/>
      </tp>
      <tp t="s">
        <v>#N/A N/A</v>
        <stp/>
        <stp>BDP|17366991872842185730</stp>
        <tr r="B535" s="2"/>
      </tp>
      <tp t="s">
        <v>#N/A N/A</v>
        <stp/>
        <stp>BDP|16814158193165193756</stp>
        <tr r="G4747" s="2"/>
      </tp>
      <tp t="s">
        <v>#N/A N/A</v>
        <stp/>
        <stp>BDP|14649497776789049236</stp>
        <tr r="D4250" s="2"/>
      </tp>
      <tp t="s">
        <v>#N/A N/A</v>
        <stp/>
        <stp>BDP|12116996115632002477</stp>
        <tr r="I2536" s="2"/>
      </tp>
      <tp t="s">
        <v>#N/A N/A</v>
        <stp/>
        <stp>BDP|11079089482875006003</stp>
        <tr r="F1175" s="2"/>
      </tp>
      <tp t="s">
        <v>#N/A N/A</v>
        <stp/>
        <stp>BDP|12839042557352572940</stp>
        <tr r="B2041" s="2"/>
      </tp>
      <tp t="s">
        <v>#N/A N/A</v>
        <stp/>
        <stp>BDP|12587434577538857539</stp>
        <tr r="C2960" s="2"/>
      </tp>
      <tp t="s">
        <v>#N/A N/A</v>
        <stp/>
        <stp>BDP|18247084436631339651</stp>
        <tr r="A1175" s="2"/>
      </tp>
      <tp t="s">
        <v>#N/A N/A</v>
        <stp/>
        <stp>BDP|11838687310723222985</stp>
        <tr r="D4024" s="2"/>
      </tp>
      <tp t="s">
        <v>#N/A N/A</v>
        <stp/>
        <stp>BDP|12711948149957054401</stp>
        <tr r="I4077" s="2"/>
      </tp>
      <tp t="s">
        <v>#N/A N/A</v>
        <stp/>
        <stp>BDP|10453681191624733705</stp>
        <tr r="F2997" s="2"/>
      </tp>
      <tp t="s">
        <v>#N/A N/A</v>
        <stp/>
        <stp>BDP|12026524828041169814</stp>
        <tr r="I92" s="2"/>
      </tp>
      <tp t="s">
        <v>#N/A N/A</v>
        <stp/>
        <stp>BDP|15407975628947686570</stp>
        <tr r="I882" s="2"/>
      </tp>
      <tp t="s">
        <v>#N/A N/A</v>
        <stp/>
        <stp>BDP|10067876614522141785</stp>
        <tr r="A454" s="2"/>
      </tp>
      <tp t="s">
        <v>#N/A N/A</v>
        <stp/>
        <stp>BDP|17166057108788694374</stp>
        <tr r="H3077" s="2"/>
      </tp>
      <tp t="s">
        <v>#N/A N/A</v>
        <stp/>
        <stp>BDP|17352072318542692870</stp>
        <tr r="F2039" s="2"/>
      </tp>
      <tp t="s">
        <v>#N/A N/A</v>
        <stp/>
        <stp>BDP|16409936809154484774</stp>
        <tr r="I4264" s="2"/>
      </tp>
      <tp t="s">
        <v>#N/A N/A</v>
        <stp/>
        <stp>BDP|18152525825017933429</stp>
        <tr r="B3780" s="2"/>
      </tp>
      <tp t="s">
        <v>#N/A N/A</v>
        <stp/>
        <stp>BDP|11189813041255856446</stp>
        <tr r="F3820" s="2"/>
      </tp>
      <tp t="s">
        <v>#N/A N/A</v>
        <stp/>
        <stp>BDP|15812236512929050341</stp>
        <tr r="I3514" s="2"/>
      </tp>
      <tp t="s">
        <v>#N/A N/A</v>
        <stp/>
        <stp>BDP|12304073428395286931</stp>
        <tr r="B4943" s="2"/>
      </tp>
      <tp t="s">
        <v>#N/A N/A</v>
        <stp/>
        <stp>BDP|11420308112698836736</stp>
        <tr r="A317" s="2"/>
      </tp>
      <tp t="s">
        <v>#N/A N/A</v>
        <stp/>
        <stp>BDP|12087163934118941467</stp>
        <tr r="B885" s="2"/>
      </tp>
      <tp t="s">
        <v>#N/A N/A</v>
        <stp/>
        <stp>BDP|15535485513874142823</stp>
        <tr r="G4703" s="2"/>
      </tp>
      <tp t="s">
        <v>#N/A N/A</v>
        <stp/>
        <stp>BDP|18097484233213752012</stp>
        <tr r="A362" s="2"/>
      </tp>
      <tp t="s">
        <v>#N/A N/A</v>
        <stp/>
        <stp>BDP|10941263711519187622</stp>
        <tr r="B3216" s="2"/>
      </tp>
      <tp t="s">
        <v>#N/A N/A</v>
        <stp/>
        <stp>BDP|16872868926297610734</stp>
        <tr r="C3282" s="2"/>
      </tp>
      <tp t="s">
        <v>#N/A N/A</v>
        <stp/>
        <stp>BDP|17166295915520893880</stp>
        <tr r="C4659" s="2"/>
      </tp>
      <tp t="s">
        <v>#N/A N/A</v>
        <stp/>
        <stp>BDP|14215955623887833410</stp>
        <tr r="B943" s="2"/>
      </tp>
      <tp t="s">
        <v>#N/A N/A</v>
        <stp/>
        <stp>BDP|13389349945818866070</stp>
        <tr r="D1986" s="2"/>
      </tp>
      <tp t="s">
        <v>#N/A N/A</v>
        <stp/>
        <stp>BDP|16207927248776163149</stp>
        <tr r="D3452" s="2"/>
      </tp>
      <tp t="s">
        <v>#N/A N/A</v>
        <stp/>
        <stp>BDP|10672899426660342673</stp>
        <tr r="B3606" s="2"/>
      </tp>
      <tp t="s">
        <v>#N/A N/A</v>
        <stp/>
        <stp>BDP|11285080991752031662</stp>
        <tr r="H4097" s="2"/>
      </tp>
      <tp t="s">
        <v>#N/A N/A</v>
        <stp/>
        <stp>BDP|11716911349228751859</stp>
        <tr r="C1834" s="2"/>
      </tp>
      <tp t="s">
        <v>#N/A N/A</v>
        <stp/>
        <stp>BDP|17574169386946893400</stp>
        <tr r="A4877" s="2"/>
      </tp>
      <tp t="s">
        <v>#N/A N/A</v>
        <stp/>
        <stp>BDP|15808119782094115476</stp>
        <tr r="H3376" s="2"/>
      </tp>
      <tp t="s">
        <v>#N/A N/A</v>
        <stp/>
        <stp>BDP|18336323228026274369</stp>
        <tr r="H534" s="2"/>
      </tp>
      <tp t="s">
        <v>#N/A N/A</v>
        <stp/>
        <stp>BDP|15786603767140433994</stp>
        <tr r="A521" s="2"/>
      </tp>
      <tp t="s">
        <v>#N/A N/A</v>
        <stp/>
        <stp>BDP|14182884226785056722</stp>
        <tr r="D4044" s="2"/>
      </tp>
      <tp t="s">
        <v>#N/A N/A</v>
        <stp/>
        <stp>BDP|13776979630616437397</stp>
        <tr r="H3267" s="2"/>
      </tp>
      <tp t="s">
        <v>#N/A N/A</v>
        <stp/>
        <stp>BDP|17018899845413967486</stp>
        <tr r="I3369" s="2"/>
      </tp>
      <tp t="s">
        <v>#N/A N/A</v>
        <stp/>
        <stp>BDP|11025018497114811036</stp>
        <tr r="D2954" s="2"/>
      </tp>
      <tp t="s">
        <v>#N/A N/A</v>
        <stp/>
        <stp>BDP|12693321064533983849</stp>
        <tr r="I827" s="2"/>
      </tp>
      <tp t="s">
        <v>#N/A N/A</v>
        <stp/>
        <stp>BDP|11587514829132073809</stp>
        <tr r="B3669" s="2"/>
      </tp>
      <tp t="s">
        <v>#N/A N/A</v>
        <stp/>
        <stp>BDP|18270703954161946722</stp>
        <tr r="I2569" s="2"/>
      </tp>
      <tp t="s">
        <v>#N/A N/A</v>
        <stp/>
        <stp>BDP|17430182787054132671</stp>
        <tr r="D2149" s="2"/>
      </tp>
      <tp t="s">
        <v>#N/A N/A</v>
        <stp/>
        <stp>BDP|12553937419114515271</stp>
        <tr r="B4384" s="2"/>
      </tp>
      <tp t="s">
        <v>#N/A N/A</v>
        <stp/>
        <stp>BDP|17548493360290140902</stp>
        <tr r="H4872" s="2"/>
      </tp>
      <tp t="s">
        <v>#N/A N/A</v>
        <stp/>
        <stp>BDP|10540576833233440986</stp>
        <tr r="A4573" s="2"/>
      </tp>
      <tp t="s">
        <v>#N/A N/A</v>
        <stp/>
        <stp>BDP|10930266757078655332</stp>
        <tr r="D1614" s="2"/>
      </tp>
      <tp t="s">
        <v>#N/A N/A</v>
        <stp/>
        <stp>BDP|17070356584867587793</stp>
        <tr r="B4872" s="2"/>
      </tp>
      <tp t="s">
        <v>#N/A N/A</v>
        <stp/>
        <stp>BDP|13365922571756812750</stp>
        <tr r="B4171" s="2"/>
      </tp>
      <tp t="s">
        <v>#N/A N/A</v>
        <stp/>
        <stp>BDP|11327343265211802971</stp>
        <tr r="D3211" s="2"/>
      </tp>
      <tp t="s">
        <v>#N/A N/A</v>
        <stp/>
        <stp>BDP|11270116726456042883</stp>
        <tr r="H1476" s="2"/>
      </tp>
      <tp t="s">
        <v>#N/A N/A</v>
        <stp/>
        <stp>BDP|12150819119905631224</stp>
        <tr r="D953" s="2"/>
      </tp>
      <tp t="s">
        <v>#N/A N/A</v>
        <stp/>
        <stp>BDP|15753278668258453518</stp>
        <tr r="A2964" s="2"/>
      </tp>
      <tp t="s">
        <v>#N/A N/A</v>
        <stp/>
        <stp>BDP|17402808910590891216</stp>
        <tr r="D3020" s="2"/>
      </tp>
      <tp t="s">
        <v>#N/A N/A</v>
        <stp/>
        <stp>BDP|16864179420361245809</stp>
        <tr r="G3317" s="2"/>
      </tp>
      <tp t="s">
        <v>#N/A N/A</v>
        <stp/>
        <stp>BDP|10884924562671024259</stp>
        <tr r="I4503" s="2"/>
      </tp>
      <tp t="s">
        <v>#N/A N/A</v>
        <stp/>
        <stp>BDP|12807882246763841130</stp>
        <tr r="H392" s="2"/>
      </tp>
      <tp t="s">
        <v>#N/A N/A</v>
        <stp/>
        <stp>BDP|14656203998690584369</stp>
        <tr r="G2407" s="2"/>
      </tp>
      <tp t="s">
        <v>#N/A N/A</v>
        <stp/>
        <stp>BDP|16241550835515670996</stp>
        <tr r="G2311" s="2"/>
      </tp>
      <tp t="s">
        <v>#N/A N/A</v>
        <stp/>
        <stp>BDP|12360433595665948617</stp>
        <tr r="H1218" s="2"/>
      </tp>
      <tp t="s">
        <v>#N/A N/A</v>
        <stp/>
        <stp>BDP|15404484340358569141</stp>
        <tr r="C2188" s="2"/>
      </tp>
      <tp t="s">
        <v>#N/A N/A</v>
        <stp/>
        <stp>BDP|10613716975798823472</stp>
        <tr r="D58" s="2"/>
      </tp>
      <tp t="s">
        <v>#N/A N/A</v>
        <stp/>
        <stp>BDP|13447074644179936232</stp>
        <tr r="H4717" s="2"/>
      </tp>
      <tp t="s">
        <v>#N/A N/A</v>
        <stp/>
        <stp>BDP|15484710585546995044</stp>
        <tr r="F3772" s="2"/>
      </tp>
      <tp t="s">
        <v>#N/A N/A</v>
        <stp/>
        <stp>BDP|15429871509600600112</stp>
        <tr r="D3621" s="2"/>
      </tp>
      <tp t="s">
        <v>#N/A N/A</v>
        <stp/>
        <stp>BDP|10782793365109088465</stp>
        <tr r="B1941" s="2"/>
      </tp>
      <tp t="s">
        <v>#N/A N/A</v>
        <stp/>
        <stp>BDP|16677319087504481594</stp>
        <tr r="I4730" s="2"/>
      </tp>
      <tp t="s">
        <v>#N/A N/A</v>
        <stp/>
        <stp>BDP|10782708785624849774</stp>
        <tr r="B2086" s="2"/>
      </tp>
      <tp t="s">
        <v>#N/A N/A</v>
        <stp/>
        <stp>BDP|16340918184532379988</stp>
        <tr r="D1749" s="2"/>
      </tp>
      <tp t="s">
        <v>#N/A N/A</v>
        <stp/>
        <stp>BDP|11807791049267452910</stp>
        <tr r="A770" s="2"/>
      </tp>
      <tp t="s">
        <v>#N/A N/A</v>
        <stp/>
        <stp>BDP|12967536792522734023</stp>
        <tr r="B3681" s="2"/>
      </tp>
      <tp t="s">
        <v>#N/A N/A</v>
        <stp/>
        <stp>BDP|10358192973099056346</stp>
        <tr r="H1236" s="2"/>
      </tp>
      <tp t="s">
        <v>#N/A N/A</v>
        <stp/>
        <stp>BDP|11354848950867261787</stp>
        <tr r="A4237" s="2"/>
      </tp>
      <tp t="s">
        <v>#N/A N/A</v>
        <stp/>
        <stp>BDP|15335645328644645940</stp>
        <tr r="A2370" s="2"/>
      </tp>
      <tp t="s">
        <v>#N/A N/A</v>
        <stp/>
        <stp>BDP|10185557189954331531</stp>
        <tr r="H551" s="2"/>
      </tp>
      <tp t="s">
        <v>#N/A N/A</v>
        <stp/>
        <stp>BDP|13581240578852142850</stp>
        <tr r="G587" s="2"/>
      </tp>
      <tp t="s">
        <v>#N/A N/A</v>
        <stp/>
        <stp>BDP|13207494030591381942</stp>
        <tr r="C2908" s="2"/>
      </tp>
      <tp t="s">
        <v>#N/A N/A</v>
        <stp/>
        <stp>BDP|18423210638213380623</stp>
        <tr r="G3102" s="2"/>
      </tp>
      <tp t="s">
        <v>#N/A N/A</v>
        <stp/>
        <stp>BDP|11881591452374870976</stp>
        <tr r="F4746" s="2"/>
      </tp>
      <tp t="s">
        <v>#N/A N/A</v>
        <stp/>
        <stp>BDP|15536393411482878998</stp>
        <tr r="F1206" s="2"/>
      </tp>
      <tp t="s">
        <v>#N/A N/A</v>
        <stp/>
        <stp>BDP|14604250350867764884</stp>
        <tr r="H1406" s="2"/>
      </tp>
      <tp t="s">
        <v>#N/A N/A</v>
        <stp/>
        <stp>BDP|18294012150245874474</stp>
        <tr r="F1009" s="2"/>
      </tp>
      <tp t="s">
        <v>#N/A N/A</v>
        <stp/>
        <stp>BDP|16137941831789993916</stp>
        <tr r="C1693" s="2"/>
      </tp>
      <tp t="s">
        <v>#N/A N/A</v>
        <stp/>
        <stp>BDP|16416233317859861046</stp>
        <tr r="A3546" s="2"/>
      </tp>
      <tp t="s">
        <v>#N/A N/A</v>
        <stp/>
        <stp>BDP|17996679780940116532</stp>
        <tr r="A4319" s="2"/>
      </tp>
      <tp t="s">
        <v>#N/A N/A</v>
        <stp/>
        <stp>BDP|13618663138812236860</stp>
        <tr r="A3806" s="2"/>
      </tp>
      <tp t="s">
        <v>#N/A N/A</v>
        <stp/>
        <stp>BDP|16070404327029988522</stp>
        <tr r="F46" s="2"/>
      </tp>
      <tp t="s">
        <v>#N/A N/A</v>
        <stp/>
        <stp>BDP|11432137994790986562</stp>
        <tr r="C4382" s="2"/>
      </tp>
      <tp t="s">
        <v>#N/A N/A</v>
        <stp/>
        <stp>BDP|15094194269627545996</stp>
        <tr r="F3143" s="2"/>
      </tp>
      <tp t="s">
        <v>#N/A N/A</v>
        <stp/>
        <stp>BDP|17077157298527187404</stp>
        <tr r="A2346" s="2"/>
      </tp>
      <tp t="s">
        <v>#N/A N/A</v>
        <stp/>
        <stp>BDP|17785909014906968566</stp>
        <tr r="B3674" s="2"/>
      </tp>
      <tp t="s">
        <v>#N/A N/A</v>
        <stp/>
        <stp>BDP|14058075327963491988</stp>
        <tr r="H990" s="2"/>
      </tp>
      <tp t="s">
        <v>#N/A N/A</v>
        <stp/>
        <stp>BDP|11975919630832279569</stp>
        <tr r="I4448" s="2"/>
      </tp>
      <tp t="s">
        <v>#N/A N/A</v>
        <stp/>
        <stp>BDP|10593037732998108798</stp>
        <tr r="I3258" s="2"/>
      </tp>
      <tp t="s">
        <v>#N/A N/A</v>
        <stp/>
        <stp>BDP|15286756385730773691</stp>
        <tr r="I1445" s="2"/>
      </tp>
      <tp t="s">
        <v>#N/A N/A</v>
        <stp/>
        <stp>BDP|14780375381035839650</stp>
        <tr r="H4632" s="2"/>
      </tp>
      <tp t="s">
        <v>#N/A N/A</v>
        <stp/>
        <stp>BDP|14274389737131435952</stp>
        <tr r="C3868" s="2"/>
      </tp>
      <tp t="s">
        <v>#N/A N/A</v>
        <stp/>
        <stp>BDP|15397593668042973873</stp>
        <tr r="I1922" s="2"/>
      </tp>
      <tp t="s">
        <v>#N/A N/A</v>
        <stp/>
        <stp>BDP|10253428685003103380</stp>
        <tr r="H4479" s="2"/>
      </tp>
      <tp t="s">
        <v>#N/A N/A</v>
        <stp/>
        <stp>BDP|12141644588183983385</stp>
        <tr r="I1506" s="2"/>
      </tp>
      <tp t="s">
        <v>#N/A N/A</v>
        <stp/>
        <stp>BDP|11824098933028678681</stp>
        <tr r="A3916" s="2"/>
      </tp>
      <tp t="s">
        <v>#N/A N/A</v>
        <stp/>
        <stp>BDP|15281491296146847290</stp>
        <tr r="C2947" s="2"/>
      </tp>
      <tp t="s">
        <v>#N/A N/A</v>
        <stp/>
        <stp>BDP|10780072875008092390</stp>
        <tr r="C1384" s="2"/>
      </tp>
      <tp t="s">
        <v>#N/A N/A</v>
        <stp/>
        <stp>BDP|12117625208239503125</stp>
        <tr r="D4841" s="2"/>
      </tp>
      <tp t="s">
        <v>#N/A N/A</v>
        <stp/>
        <stp>BDP|12440616777008632782</stp>
        <tr r="G1524" s="2"/>
      </tp>
      <tp t="s">
        <v>#N/A N/A</v>
        <stp/>
        <stp>BDP|10990698166148235480</stp>
        <tr r="G4863" s="2"/>
      </tp>
      <tp t="s">
        <v>#N/A N/A</v>
        <stp/>
        <stp>BDP|14451956641714876140</stp>
        <tr r="D2868" s="2"/>
      </tp>
      <tp t="s">
        <v>#N/A N/A</v>
        <stp/>
        <stp>BDP|14685294686964406616</stp>
        <tr r="G1752" s="2"/>
      </tp>
      <tp t="s">
        <v>#N/A N/A</v>
        <stp/>
        <stp>BDP|11854710759889563699</stp>
        <tr r="H4840" s="2"/>
      </tp>
      <tp t="s">
        <v>#N/A N/A</v>
        <stp/>
        <stp>BDP|12306621729478702237</stp>
        <tr r="F17" s="2"/>
      </tp>
      <tp t="s">
        <v>#N/A N/A</v>
        <stp/>
        <stp>BDP|14076046081060837010</stp>
        <tr r="G4748" s="2"/>
      </tp>
      <tp t="s">
        <v>#N/A N/A</v>
        <stp/>
        <stp>BDP|10264557243155845806</stp>
        <tr r="C4222" s="2"/>
      </tp>
      <tp t="s">
        <v>#N/A N/A</v>
        <stp/>
        <stp>BDP|11759854432470578690</stp>
        <tr r="G664" s="2"/>
      </tp>
      <tp t="s">
        <v>#N/A N/A</v>
        <stp/>
        <stp>BDP|14388191665856557965</stp>
        <tr r="I498" s="2"/>
      </tp>
      <tp t="s">
        <v>#N/A N/A</v>
        <stp/>
        <stp>BDP|11019468400248390193</stp>
        <tr r="G2579" s="2"/>
      </tp>
      <tp t="s">
        <v>#N/A N/A</v>
        <stp/>
        <stp>BDP|14810544871359626375</stp>
        <tr r="I3556" s="2"/>
      </tp>
      <tp t="s">
        <v>#N/A N/A</v>
        <stp/>
        <stp>BDP|14819273083177125510</stp>
        <tr r="B596" s="2"/>
      </tp>
      <tp t="s">
        <v>#N/A N/A</v>
        <stp/>
        <stp>BDP|15914105454449934482</stp>
        <tr r="G3117" s="2"/>
      </tp>
      <tp t="s">
        <v>#N/A N/A</v>
        <stp/>
        <stp>BDP|15521363709362242847</stp>
        <tr r="I2396" s="2"/>
      </tp>
      <tp t="s">
        <v>#N/A N/A</v>
        <stp/>
        <stp>BDP|15515052078698473602</stp>
        <tr r="D2077" s="2"/>
      </tp>
      <tp t="s">
        <v>#N/A N/A</v>
        <stp/>
        <stp>BDP|14542988846861247450</stp>
        <tr r="C1801" s="2"/>
      </tp>
      <tp t="s">
        <v>#N/A N/A</v>
        <stp/>
        <stp>BDP|15537923821027919531</stp>
        <tr r="C513" s="2"/>
      </tp>
      <tp t="s">
        <v>#N/A N/A</v>
        <stp/>
        <stp>BDP|14440116294714854450</stp>
        <tr r="F3472" s="2"/>
      </tp>
      <tp t="s">
        <v>#N/A N/A</v>
        <stp/>
        <stp>BDP|13946644266846103968</stp>
        <tr r="I189" s="2"/>
      </tp>
      <tp t="s">
        <v>#N/A N/A</v>
        <stp/>
        <stp>BDP|17309721334119001697</stp>
        <tr r="D2629" s="2"/>
      </tp>
      <tp t="s">
        <v>#N/A N/A</v>
        <stp/>
        <stp>BDP|14062609787396298092</stp>
        <tr r="G4667" s="2"/>
      </tp>
      <tp t="s">
        <v>#N/A N/A</v>
        <stp/>
        <stp>BDP|10113954005503424695</stp>
        <tr r="B1196" s="2"/>
      </tp>
      <tp t="s">
        <v>#N/A N/A</v>
        <stp/>
        <stp>BDP|12871163425248112560</stp>
        <tr r="F1968" s="2"/>
      </tp>
      <tp t="s">
        <v>#N/A N/A</v>
        <stp/>
        <stp>BDP|16666582756292167856</stp>
        <tr r="D3610" s="2"/>
      </tp>
      <tp t="s">
        <v>#N/A N/A</v>
        <stp/>
        <stp>BDP|15750885942832694777</stp>
        <tr r="F70" s="2"/>
      </tp>
      <tp t="s">
        <v>#N/A N/A</v>
        <stp/>
        <stp>BDP|11252457166237917847</stp>
        <tr r="C1844" s="2"/>
      </tp>
      <tp t="s">
        <v>#N/A N/A</v>
        <stp/>
        <stp>BDP|16006791154431145907</stp>
        <tr r="G1378" s="2"/>
      </tp>
      <tp t="s">
        <v>#N/A N/A</v>
        <stp/>
        <stp>BDP|15612900616464470584</stp>
        <tr r="H298" s="2"/>
      </tp>
      <tp t="s">
        <v>#N/A N/A</v>
        <stp/>
        <stp>BDP|12618203142568830000</stp>
        <tr r="B3668" s="2"/>
      </tp>
      <tp t="s">
        <v>#N/A N/A</v>
        <stp/>
        <stp>BDP|11909354787843314549</stp>
        <tr r="I452" s="2"/>
      </tp>
      <tp t="s">
        <v>#N/A N/A</v>
        <stp/>
        <stp>BDP|12262220743351478989</stp>
        <tr r="G5000" s="2"/>
      </tp>
      <tp t="s">
        <v>#N/A N/A</v>
        <stp/>
        <stp>BDP|10173941198124352819</stp>
        <tr r="G3626" s="2"/>
      </tp>
      <tp t="s">
        <v>#N/A N/A</v>
        <stp/>
        <stp>BDP|16301553193964849224</stp>
        <tr r="D901" s="2"/>
      </tp>
      <tp t="s">
        <v>#N/A N/A</v>
        <stp/>
        <stp>BDP|15193511994170363585</stp>
        <tr r="G1582" s="2"/>
      </tp>
      <tp t="s">
        <v>#N/A N/A</v>
        <stp/>
        <stp>BDP|15680136066887586994</stp>
        <tr r="I551" s="2"/>
      </tp>
      <tp t="s">
        <v>#N/A N/A</v>
        <stp/>
        <stp>BDP|15882508294682290715</stp>
        <tr r="C1618" s="2"/>
      </tp>
      <tp t="s">
        <v>#N/A N/A</v>
        <stp/>
        <stp>BDP|18383407820386813447</stp>
        <tr r="F4296" s="2"/>
      </tp>
      <tp t="s">
        <v>#N/A N/A</v>
        <stp/>
        <stp>BDP|14413895464820628607</stp>
        <tr r="H3926" s="2"/>
      </tp>
      <tp t="s">
        <v>#N/A N/A</v>
        <stp/>
        <stp>BDP|10131969394894580893</stp>
        <tr r="C484" s="2"/>
      </tp>
      <tp t="s">
        <v>#N/A N/A</v>
        <stp/>
        <stp>BDP|11082243287223506490</stp>
        <tr r="C728" s="2"/>
      </tp>
      <tp t="s">
        <v>#N/A N/A</v>
        <stp/>
        <stp>BDP|12366519390170476290</stp>
        <tr r="B4203" s="2"/>
      </tp>
      <tp t="s">
        <v>#N/A N/A</v>
        <stp/>
        <stp>BDP|12521806085159940768</stp>
        <tr r="B2700" s="2"/>
      </tp>
      <tp t="s">
        <v>#N/A N/A</v>
        <stp/>
        <stp>BDP|13212412398917254566</stp>
        <tr r="A4875" s="2"/>
      </tp>
      <tp t="s">
        <v>#N/A N/A</v>
        <stp/>
        <stp>BDP|12580081967280242876</stp>
        <tr r="H2040" s="2"/>
      </tp>
      <tp t="s">
        <v>#N/A N/A</v>
        <stp/>
        <stp>BDP|11303531836812856914</stp>
        <tr r="B2469" s="2"/>
      </tp>
      <tp t="s">
        <v>#N/A N/A</v>
        <stp/>
        <stp>BDP|14235702304967109880</stp>
        <tr r="A1290" s="2"/>
      </tp>
      <tp t="s">
        <v>#N/A N/A</v>
        <stp/>
        <stp>BDP|11787704219139420257</stp>
        <tr r="C3942" s="2"/>
      </tp>
      <tp t="s">
        <v>#N/A N/A</v>
        <stp/>
        <stp>BDP|14081000699445708412</stp>
        <tr r="H2960" s="2"/>
      </tp>
      <tp t="s">
        <v>#N/A N/A</v>
        <stp/>
        <stp>BDP|13148091953418164259</stp>
        <tr r="C4343" s="2"/>
      </tp>
      <tp t="s">
        <v>#N/A N/A</v>
        <stp/>
        <stp>BDP|12981179287515093263</stp>
        <tr r="B1161" s="2"/>
      </tp>
      <tp t="s">
        <v>#N/A N/A</v>
        <stp/>
        <stp>BDP|17988329686002587274</stp>
        <tr r="I1631" s="2"/>
      </tp>
      <tp t="s">
        <v>#N/A N/A</v>
        <stp/>
        <stp>BDP|16292362543754195998</stp>
        <tr r="G524" s="2"/>
      </tp>
      <tp t="s">
        <v>#N/A N/A</v>
        <stp/>
        <stp>BDP|13681651387854956528</stp>
        <tr r="A841" s="2"/>
      </tp>
      <tp t="s">
        <v>#N/A N/A</v>
        <stp/>
        <stp>BDP|14422701982904997300</stp>
        <tr r="F3691" s="2"/>
      </tp>
      <tp t="s">
        <v>#N/A N/A</v>
        <stp/>
        <stp>BDP|15353361983091944303</stp>
        <tr r="F3082" s="2"/>
      </tp>
      <tp t="s">
        <v>#N/A N/A</v>
        <stp/>
        <stp>BDP|15544851750766684299</stp>
        <tr r="I3893" s="2"/>
      </tp>
      <tp t="s">
        <v>#N/A N/A</v>
        <stp/>
        <stp>BDP|10032269118897823892</stp>
        <tr r="H2945" s="2"/>
      </tp>
      <tp t="s">
        <v>#N/A N/A</v>
        <stp/>
        <stp>BDP|14585869591701438897</stp>
        <tr r="D4022" s="2"/>
      </tp>
      <tp t="s">
        <v>#N/A N/A</v>
        <stp/>
        <stp>BDP|11000003688577037277</stp>
        <tr r="H3824" s="2"/>
      </tp>
      <tp t="s">
        <v>#N/A N/A</v>
        <stp/>
        <stp>BDP|11701616509263273821</stp>
        <tr r="B444" s="2"/>
      </tp>
      <tp t="s">
        <v>#N/A N/A</v>
        <stp/>
        <stp>BDP|15941403212349735535</stp>
        <tr r="H906" s="2"/>
      </tp>
      <tp t="s">
        <v>#N/A N/A</v>
        <stp/>
        <stp>BDP|16339664688541469566</stp>
        <tr r="G2112" s="2"/>
      </tp>
      <tp t="s">
        <v>#N/A N/A</v>
        <stp/>
        <stp>BDP|11485649487484050781</stp>
        <tr r="B2695" s="2"/>
      </tp>
      <tp t="s">
        <v>#N/A N/A</v>
        <stp/>
        <stp>BDP|18127494305695235502</stp>
        <tr r="A2185" s="2"/>
      </tp>
      <tp t="s">
        <v>#N/A N/A</v>
        <stp/>
        <stp>BDP|18311814793052819765</stp>
        <tr r="B294" s="2"/>
      </tp>
      <tp t="s">
        <v>#N/A N/A</v>
        <stp/>
        <stp>BDP|15502863654903891702</stp>
        <tr r="G446" s="2"/>
      </tp>
      <tp t="s">
        <v>#N/A N/A</v>
        <stp/>
        <stp>BDP|16907432437559713457</stp>
        <tr r="A976" s="2"/>
      </tp>
      <tp t="s">
        <v>#N/A N/A</v>
        <stp/>
        <stp>BDP|12875035555253751864</stp>
        <tr r="I3823" s="2"/>
      </tp>
      <tp t="s">
        <v>#N/A N/A</v>
        <stp/>
        <stp>BDP|15418936147092740682</stp>
        <tr r="B2662" s="2"/>
      </tp>
      <tp t="s">
        <v>#N/A N/A</v>
        <stp/>
        <stp>BDP|18253385042463345041</stp>
        <tr r="H2614" s="2"/>
      </tp>
      <tp t="s">
        <v>#N/A N/A</v>
        <stp/>
        <stp>BDP|11226815969927497417</stp>
        <tr r="C2744" s="2"/>
      </tp>
      <tp t="s">
        <v>#N/A N/A</v>
        <stp/>
        <stp>BDP|13279211999446324260</stp>
        <tr r="A1285" s="2"/>
      </tp>
      <tp t="s">
        <v>#N/A N/A</v>
        <stp/>
        <stp>BDP|10640611964675942950</stp>
        <tr r="C4375" s="2"/>
      </tp>
      <tp t="s">
        <v>#N/A N/A</v>
        <stp/>
        <stp>BDP|15666293636091747916</stp>
        <tr r="I3468" s="2"/>
      </tp>
      <tp t="s">
        <v>#N/A N/A</v>
        <stp/>
        <stp>BDP|13945223801029107440</stp>
        <tr r="D4963" s="2"/>
      </tp>
      <tp t="s">
        <v>#N/A N/A</v>
        <stp/>
        <stp>BDP|11902783302962991854</stp>
        <tr r="C3610" s="2"/>
      </tp>
      <tp t="s">
        <v>#N/A N/A</v>
        <stp/>
        <stp>BDP|13079810812557406185</stp>
        <tr r="I2140" s="2"/>
      </tp>
      <tp t="s">
        <v>#N/A N/A</v>
        <stp/>
        <stp>BDP|12184135756068898232</stp>
        <tr r="C1085" s="2"/>
      </tp>
      <tp t="s">
        <v>#N/A N/A</v>
        <stp/>
        <stp>BDP|13009734699333791228</stp>
        <tr r="G738" s="2"/>
      </tp>
      <tp t="s">
        <v>#N/A N/A</v>
        <stp/>
        <stp>BDP|10956041384497510337</stp>
        <tr r="F336" s="2"/>
      </tp>
      <tp t="s">
        <v>#N/A N/A</v>
        <stp/>
        <stp>BDP|12030440454438609791</stp>
        <tr r="A555" s="2"/>
      </tp>
      <tp t="s">
        <v>#N/A N/A</v>
        <stp/>
        <stp>BDP|16410347882311417092</stp>
        <tr r="D1425" s="2"/>
      </tp>
      <tp t="s">
        <v>#N/A N/A</v>
        <stp/>
        <stp>BDP|10353023408604342852</stp>
        <tr r="B4321" s="2"/>
      </tp>
      <tp t="s">
        <v>#N/A N/A</v>
        <stp/>
        <stp>BDP|12329387591587567300</stp>
        <tr r="B3805" s="2"/>
      </tp>
      <tp t="s">
        <v>#N/A N/A</v>
        <stp/>
        <stp>BDP|17409483414317112964</stp>
        <tr r="G4538" s="2"/>
      </tp>
      <tp t="s">
        <v>#N/A N/A</v>
        <stp/>
        <stp>BDP|12854878615943752424</stp>
        <tr r="D52" s="2"/>
      </tp>
      <tp t="s">
        <v>#N/A N/A</v>
        <stp/>
        <stp>BDP|17453173288821283363</stp>
        <tr r="C3402" s="2"/>
      </tp>
      <tp t="s">
        <v>#N/A N/A</v>
        <stp/>
        <stp>BDP|10898497285061383182</stp>
        <tr r="C1907" s="2"/>
      </tp>
      <tp t="s">
        <v>#N/A N/A</v>
        <stp/>
        <stp>BDP|12070992560441378052</stp>
        <tr r="F4510" s="2"/>
      </tp>
      <tp t="s">
        <v>#N/A N/A</v>
        <stp/>
        <stp>BDP|12560194001999692646</stp>
        <tr r="C1118" s="2"/>
      </tp>
      <tp t="s">
        <v>#N/A N/A</v>
        <stp/>
        <stp>BDP|17708621762008158390</stp>
        <tr r="B3528" s="2"/>
      </tp>
      <tp t="s">
        <v>#N/A N/A</v>
        <stp/>
        <stp>BDP|11490499665337004877</stp>
        <tr r="H1604" s="2"/>
      </tp>
      <tp t="s">
        <v>#N/A N/A</v>
        <stp/>
        <stp>BDP|14404108297786519685</stp>
        <tr r="C1771" s="2"/>
      </tp>
      <tp t="s">
        <v>#N/A N/A</v>
        <stp/>
        <stp>BDP|17382999462700041469</stp>
        <tr r="I474" s="2"/>
      </tp>
      <tp t="s">
        <v>#N/A N/A</v>
        <stp/>
        <stp>BDP|13192763428302700862</stp>
        <tr r="A1116" s="2"/>
      </tp>
      <tp t="s">
        <v>#N/A N/A</v>
        <stp/>
        <stp>BDP|11154647027918935153</stp>
        <tr r="G2799" s="2"/>
      </tp>
      <tp t="s">
        <v>#N/A N/A</v>
        <stp/>
        <stp>BDP|13791167399261524635</stp>
        <tr r="B16" s="2"/>
      </tp>
      <tp t="s">
        <v>#N/A N/A</v>
        <stp/>
        <stp>BDP|10996147090434629052</stp>
        <tr r="H4248" s="2"/>
      </tp>
      <tp t="s">
        <v>#N/A N/A</v>
        <stp/>
        <stp>BDP|14670676084593367588</stp>
        <tr r="H858" s="2"/>
      </tp>
      <tp t="s">
        <v>#N/A N/A</v>
        <stp/>
        <stp>BDP|15920514445690027838</stp>
        <tr r="F4732" s="2"/>
      </tp>
      <tp t="s">
        <v>#N/A N/A</v>
        <stp/>
        <stp>BDP|13557471191925521785</stp>
        <tr r="F4892" s="2"/>
      </tp>
      <tp t="s">
        <v>#N/A N/A</v>
        <stp/>
        <stp>BDP|12967821148227993546</stp>
        <tr r="A3979" s="2"/>
      </tp>
      <tp t="s">
        <v>#N/A N/A</v>
        <stp/>
        <stp>BDP|12455552869464337959</stp>
        <tr r="G4860" s="2"/>
      </tp>
      <tp t="s">
        <v>#N/A N/A</v>
        <stp/>
        <stp>BDP|16692797527607748815</stp>
        <tr r="A263" s="2"/>
      </tp>
      <tp t="s">
        <v>#N/A N/A</v>
        <stp/>
        <stp>BDP|14297095657195443860</stp>
        <tr r="F845" s="2"/>
      </tp>
      <tp t="s">
        <v>#N/A N/A</v>
        <stp/>
        <stp>BDP|11860198558179128064</stp>
        <tr r="B3718" s="2"/>
      </tp>
      <tp t="s">
        <v>#N/A N/A</v>
        <stp/>
        <stp>BDP|15899045411151622956</stp>
        <tr r="H4197" s="2"/>
      </tp>
      <tp t="s">
        <v>#N/A N/A</v>
        <stp/>
        <stp>BDP|18070589336566444446</stp>
        <tr r="H4798" s="2"/>
      </tp>
      <tp t="s">
        <v>#N/A N/A</v>
        <stp/>
        <stp>BDP|13103372218455297826</stp>
        <tr r="D2057" s="2"/>
      </tp>
      <tp t="s">
        <v>#N/A N/A</v>
        <stp/>
        <stp>BDP|14195257977135823855</stp>
        <tr r="B2629" s="2"/>
      </tp>
      <tp t="s">
        <v>#N/A N/A</v>
        <stp/>
        <stp>BDP|10856505581842698319</stp>
        <tr r="F574" s="2"/>
      </tp>
      <tp t="s">
        <v>#N/A N/A</v>
        <stp/>
        <stp>BDP|12049759592242850212</stp>
        <tr r="D4517" s="2"/>
      </tp>
      <tp t="s">
        <v>#N/A N/A</v>
        <stp/>
        <stp>BDP|12505893006974459207</stp>
        <tr r="H818" s="2"/>
      </tp>
      <tp t="s">
        <v>#N/A N/A</v>
        <stp/>
        <stp>BDP|14096427367483868934</stp>
        <tr r="B4863" s="2"/>
      </tp>
      <tp t="s">
        <v>#N/A N/A</v>
        <stp/>
        <stp>BDP|11577886032021302729</stp>
        <tr r="B4116" s="2"/>
      </tp>
      <tp t="s">
        <v>#N/A N/A</v>
        <stp/>
        <stp>BDP|16190293482224516411</stp>
        <tr r="D64" s="2"/>
      </tp>
      <tp t="s">
        <v>#N/A N/A</v>
        <stp/>
        <stp>BDP|10067905828244699300</stp>
        <tr r="B4603" s="2"/>
      </tp>
      <tp t="s">
        <v>#N/A N/A</v>
        <stp/>
        <stp>BDP|16587097166688551413</stp>
        <tr r="B2953" s="2"/>
      </tp>
      <tp t="s">
        <v>#N/A N/A</v>
        <stp/>
        <stp>BDP|15443793525834730813</stp>
        <tr r="B1913" s="2"/>
      </tp>
      <tp t="s">
        <v>#N/A N/A</v>
        <stp/>
        <stp>BDP|11608275267791995814</stp>
        <tr r="D389" s="2"/>
      </tp>
      <tp t="s">
        <v>#N/A N/A</v>
        <stp/>
        <stp>BDP|10835514844185286811</stp>
        <tr r="H4847" s="2"/>
      </tp>
      <tp t="s">
        <v>#N/A N/A</v>
        <stp/>
        <stp>BDP|11445357471728692183</stp>
        <tr r="A3504" s="2"/>
      </tp>
      <tp t="s">
        <v>#N/A N/A</v>
        <stp/>
        <stp>BDP|12455772280274481593</stp>
        <tr r="I4325" s="2"/>
      </tp>
      <tp t="s">
        <v>#N/A N/A</v>
        <stp/>
        <stp>BDP|13406649894176238685</stp>
        <tr r="A1885" s="2"/>
      </tp>
      <tp t="s">
        <v>#N/A N/A</v>
        <stp/>
        <stp>BDP|14016050983865156591</stp>
        <tr r="I4883" s="2"/>
      </tp>
      <tp t="s">
        <v>#N/A N/A</v>
        <stp/>
        <stp>BDP|10991038484862159611</stp>
        <tr r="D1133" s="2"/>
      </tp>
      <tp t="s">
        <v>#N/A N/A</v>
        <stp/>
        <stp>BDP|11094992631503748417</stp>
        <tr r="D2324" s="2"/>
      </tp>
      <tp t="s">
        <v>#N/A N/A</v>
        <stp/>
        <stp>BDP|15331404038866041856</stp>
        <tr r="H1180" s="2"/>
      </tp>
      <tp t="s">
        <v>#N/A N/A</v>
        <stp/>
        <stp>BDP|16200570268299367008</stp>
        <tr r="A4396" s="2"/>
      </tp>
      <tp t="s">
        <v>#N/A N/A</v>
        <stp/>
        <stp>BDP|16458734118104245838</stp>
        <tr r="A2000" s="2"/>
      </tp>
      <tp t="s">
        <v>#N/A N/A</v>
        <stp/>
        <stp>BDP|12098742283421906003</stp>
        <tr r="G2484" s="2"/>
      </tp>
      <tp t="s">
        <v>#N/A N/A</v>
        <stp/>
        <stp>BDP|13083714896309045897</stp>
        <tr r="G2613" s="2"/>
      </tp>
      <tp t="s">
        <v>#N/A N/A</v>
        <stp/>
        <stp>BDP|17290647892914942030</stp>
        <tr r="F4401" s="2"/>
      </tp>
      <tp t="s">
        <v>#N/A N/A</v>
        <stp/>
        <stp>BDP|15336960619448561972</stp>
        <tr r="B3042" s="2"/>
      </tp>
      <tp t="s">
        <v>#N/A N/A</v>
        <stp/>
        <stp>BDP|15550831046770850565</stp>
        <tr r="B4669" s="2"/>
      </tp>
      <tp t="s">
        <v>#N/A N/A</v>
        <stp/>
        <stp>BDP|12942311519438719482</stp>
        <tr r="C772" s="2"/>
      </tp>
      <tp t="s">
        <v>#N/A N/A</v>
        <stp/>
        <stp>BDP|11680467868606594932</stp>
        <tr r="B2919" s="2"/>
      </tp>
      <tp t="s">
        <v>#N/A N/A</v>
        <stp/>
        <stp>BDP|13057150516696904941</stp>
        <tr r="H876" s="2"/>
      </tp>
      <tp t="s">
        <v>#N/A N/A</v>
        <stp/>
        <stp>BDP|10514910436231898748</stp>
        <tr r="D3121" s="2"/>
      </tp>
      <tp t="s">
        <v>#N/A N/A</v>
        <stp/>
        <stp>BDP|16937855110106053520</stp>
        <tr r="I1024" s="2"/>
      </tp>
      <tp t="s">
        <v>#N/A N/A</v>
        <stp/>
        <stp>BDP|11617865639240709607</stp>
        <tr r="A2273" s="2"/>
      </tp>
      <tp t="s">
        <v>#N/A N/A</v>
        <stp/>
        <stp>BDP|18231025759751329042</stp>
        <tr r="G558" s="2"/>
      </tp>
      <tp t="s">
        <v>#N/A N/A</v>
        <stp/>
        <stp>BDP|17988305491435109478</stp>
        <tr r="C2795" s="2"/>
      </tp>
      <tp t="s">
        <v>#N/A N/A</v>
        <stp/>
        <stp>BDP|16305502721265925852</stp>
        <tr r="D3285" s="2"/>
      </tp>
      <tp t="s">
        <v>#N/A N/A</v>
        <stp/>
        <stp>BDP|17814676327539717613</stp>
        <tr r="I2703" s="2"/>
      </tp>
      <tp t="s">
        <v>#N/A N/A</v>
        <stp/>
        <stp>BDP|17688862967935130080</stp>
        <tr r="D3420" s="2"/>
      </tp>
      <tp t="s">
        <v>#N/A N/A</v>
        <stp/>
        <stp>BDP|13639678684076943728</stp>
        <tr r="D3700" s="2"/>
      </tp>
      <tp t="s">
        <v>#N/A N/A</v>
        <stp/>
        <stp>BDP|12805981675417856737</stp>
        <tr r="G2052" s="2"/>
      </tp>
      <tp t="s">
        <v>#N/A N/A</v>
        <stp/>
        <stp>BDP|13237791595904653569</stp>
        <tr r="H3633" s="2"/>
      </tp>
      <tp t="s">
        <v>#N/A N/A</v>
        <stp/>
        <stp>BDP|14097912654106998225</stp>
        <tr r="I2248" s="2"/>
      </tp>
      <tp t="s">
        <v>#N/A N/A</v>
        <stp/>
        <stp>BDP|16406990136646588608</stp>
        <tr r="D157" s="2"/>
      </tp>
      <tp t="s">
        <v>#N/A N/A</v>
        <stp/>
        <stp>BDP|10860824038621928650</stp>
        <tr r="B2596" s="2"/>
      </tp>
      <tp t="s">
        <v>#N/A N/A</v>
        <stp/>
        <stp>BDP|18095651537559890842</stp>
        <tr r="C4667" s="2"/>
      </tp>
      <tp t="s">
        <v>#N/A N/A</v>
        <stp/>
        <stp>BDP|10320326894746217097</stp>
        <tr r="G585" s="2"/>
      </tp>
      <tp t="s">
        <v>#N/A N/A</v>
        <stp/>
        <stp>BDP|14868288496281628215</stp>
        <tr r="H2106" s="2"/>
      </tp>
      <tp t="s">
        <v>#N/A N/A</v>
        <stp/>
        <stp>BDP|17199263385398156927</stp>
        <tr r="G3555" s="2"/>
      </tp>
      <tp t="s">
        <v>#N/A N/A</v>
        <stp/>
        <stp>BDP|12452869070401776044</stp>
        <tr r="H3467" s="2"/>
      </tp>
      <tp t="s">
        <v>#N/A N/A</v>
        <stp/>
        <stp>BDP|11172967006992608662</stp>
        <tr r="D487" s="2"/>
      </tp>
      <tp t="s">
        <v>#N/A N/A</v>
        <stp/>
        <stp>BDP|10632644403819678362</stp>
        <tr r="B1208" s="2"/>
      </tp>
      <tp t="s">
        <v>#N/A N/A</v>
        <stp/>
        <stp>BDP|15449719106776764856</stp>
        <tr r="I487" s="2"/>
      </tp>
      <tp t="s">
        <v>#N/A N/A</v>
        <stp/>
        <stp>BDP|12368993254803878170</stp>
        <tr r="C2112" s="2"/>
      </tp>
      <tp t="s">
        <v>#N/A N/A</v>
        <stp/>
        <stp>BDP|17487511172291600802</stp>
        <tr r="C1373" s="2"/>
      </tp>
      <tp t="s">
        <v>#N/A N/A</v>
        <stp/>
        <stp>BDP|15475726713778693726</stp>
        <tr r="H2980" s="2"/>
      </tp>
      <tp t="s">
        <v>#N/A N/A</v>
        <stp/>
        <stp>BDP|10187905766544555734</stp>
        <tr r="F797" s="2"/>
      </tp>
      <tp t="s">
        <v>#N/A N/A</v>
        <stp/>
        <stp>BDP|15824839014236889669</stp>
        <tr r="C3380" s="2"/>
      </tp>
      <tp t="s">
        <v>#N/A N/A</v>
        <stp/>
        <stp>BDP|15142628467730513902</stp>
        <tr r="I3777" s="2"/>
      </tp>
      <tp t="s">
        <v>#N/A N/A</v>
        <stp/>
        <stp>BDP|14386818770244758348</stp>
        <tr r="A1268" s="2"/>
      </tp>
      <tp t="s">
        <v>#N/A N/A</v>
        <stp/>
        <stp>BDP|10863290553939659255</stp>
        <tr r="A4578" s="2"/>
      </tp>
      <tp t="s">
        <v>#N/A N/A</v>
        <stp/>
        <stp>BDP|17229237785544563509</stp>
        <tr r="B3108" s="2"/>
      </tp>
      <tp t="s">
        <v>#N/A N/A</v>
        <stp/>
        <stp>BDP|11529133491555429029</stp>
        <tr r="G4013" s="2"/>
      </tp>
      <tp t="s">
        <v>#N/A N/A</v>
        <stp/>
        <stp>BDP|18075433605264384441</stp>
        <tr r="C1841" s="2"/>
      </tp>
      <tp t="s">
        <v>#N/A N/A</v>
        <stp/>
        <stp>BDP|15177232421968159137</stp>
        <tr r="I2129" s="2"/>
      </tp>
      <tp t="s">
        <v>#N/A N/A</v>
        <stp/>
        <stp>BDP|13482850121746768367</stp>
        <tr r="G1108" s="2"/>
      </tp>
      <tp t="s">
        <v>#N/A N/A</v>
        <stp/>
        <stp>BDP|10008987498565944988</stp>
        <tr r="H157" s="2"/>
      </tp>
      <tp t="s">
        <v>#N/A N/A</v>
        <stp/>
        <stp>BDP|18100630832192894396</stp>
        <tr r="F1173" s="2"/>
      </tp>
      <tp t="s">
        <v>#N/A N/A</v>
        <stp/>
        <stp>BDP|13922078982485457295</stp>
        <tr r="I206" s="2"/>
      </tp>
      <tp t="s">
        <v>#N/A N/A</v>
        <stp/>
        <stp>BDP|18323553323083498006</stp>
        <tr r="D3076" s="2"/>
      </tp>
      <tp t="s">
        <v>#N/A N/A</v>
        <stp/>
        <stp>BDP|11526133950121453838</stp>
        <tr r="G2529" s="2"/>
      </tp>
      <tp t="s">
        <v>#N/A N/A</v>
        <stp/>
        <stp>BDP|15547885123802953161</stp>
        <tr r="F2727" s="2"/>
      </tp>
      <tp t="s">
        <v>#N/A N/A</v>
        <stp/>
        <stp>BDP|14731189916279129197</stp>
        <tr r="B3858" s="2"/>
      </tp>
      <tp t="s">
        <v>#N/A N/A</v>
        <stp/>
        <stp>BDP|14665634046879332314</stp>
        <tr r="F474" s="2"/>
      </tp>
      <tp t="s">
        <v>#N/A N/A</v>
        <stp/>
        <stp>BDP|12704759394023372342</stp>
        <tr r="D559" s="2"/>
      </tp>
      <tp t="s">
        <v>#N/A N/A</v>
        <stp/>
        <stp>BDP|16073070329978607092</stp>
        <tr r="G4831" s="2"/>
      </tp>
      <tp t="s">
        <v>#N/A N/A</v>
        <stp/>
        <stp>BDP|13058661035048301217</stp>
        <tr r="D4000" s="2"/>
      </tp>
      <tp t="s">
        <v>#N/A N/A</v>
        <stp/>
        <stp>BDP|12116906816626157077</stp>
        <tr r="I186" s="2"/>
      </tp>
      <tp t="s">
        <v>#N/A N/A</v>
        <stp/>
        <stp>BDP|12883577292604924658</stp>
        <tr r="C3946" s="2"/>
      </tp>
      <tp t="s">
        <v>#N/A N/A</v>
        <stp/>
        <stp>BDP|14134004144535042945</stp>
        <tr r="D1584" s="2"/>
      </tp>
      <tp t="s">
        <v>#N/A N/A</v>
        <stp/>
        <stp>BDP|15084536249669390182</stp>
        <tr r="I158" s="2"/>
      </tp>
      <tp t="s">
        <v>#N/A N/A</v>
        <stp/>
        <stp>BDP|16264352486753386238</stp>
        <tr r="G2661" s="2"/>
      </tp>
      <tp t="s">
        <v>#N/A N/A</v>
        <stp/>
        <stp>BDP|13844885638945934108</stp>
        <tr r="A2950" s="2"/>
      </tp>
      <tp t="s">
        <v>#N/A N/A</v>
        <stp/>
        <stp>BDP|13992221766833814842</stp>
        <tr r="I3837" s="2"/>
      </tp>
      <tp t="s">
        <v>#N/A N/A</v>
        <stp/>
        <stp>BDP|11683699115779969322</stp>
        <tr r="I1193" s="2"/>
      </tp>
      <tp t="s">
        <v>#N/A N/A</v>
        <stp/>
        <stp>BDP|11648003741309200046</stp>
        <tr r="H433" s="2"/>
      </tp>
      <tp t="s">
        <v>#N/A N/A</v>
        <stp/>
        <stp>BDP|13226219917415646939</stp>
        <tr r="B4558" s="2"/>
      </tp>
      <tp t="s">
        <v>#N/A N/A</v>
        <stp/>
        <stp>BDP|14703835459853565699</stp>
        <tr r="A969" s="2"/>
      </tp>
      <tp t="s">
        <v>#N/A N/A</v>
        <stp/>
        <stp>BDP|13353602172729403742</stp>
        <tr r="F3578" s="2"/>
      </tp>
      <tp t="s">
        <v>#N/A N/A</v>
        <stp/>
        <stp>BDP|13197662088091887062</stp>
        <tr r="I2613" s="2"/>
      </tp>
      <tp t="s">
        <v>#N/A N/A</v>
        <stp/>
        <stp>BDP|16514362193640769062</stp>
        <tr r="H3428" s="2"/>
      </tp>
      <tp t="s">
        <v>#N/A N/A</v>
        <stp/>
        <stp>BDP|12159152974629575147</stp>
        <tr r="H4130" s="2"/>
      </tp>
      <tp t="s">
        <v>#N/A N/A</v>
        <stp/>
        <stp>BDP|13945857440634521786</stp>
        <tr r="I764" s="2"/>
      </tp>
      <tp t="s">
        <v>#N/A N/A</v>
        <stp/>
        <stp>BDP|17403025877009309534</stp>
        <tr r="F3172" s="2"/>
      </tp>
      <tp t="s">
        <v>#N/A N/A</v>
        <stp/>
        <stp>BDP|18232710343500663771</stp>
        <tr r="B2777" s="2"/>
      </tp>
      <tp t="s">
        <v>#N/A N/A</v>
        <stp/>
        <stp>BDP|14213456118198734595</stp>
        <tr r="I425" s="2"/>
      </tp>
      <tp t="s">
        <v>#N/A N/A</v>
        <stp/>
        <stp>BDP|16439576602547793879</stp>
        <tr r="B1509" s="2"/>
      </tp>
      <tp t="s">
        <v>#N/A N/A</v>
        <stp/>
        <stp>BDP|12761018714928002737</stp>
        <tr r="I3035" s="2"/>
      </tp>
      <tp t="s">
        <v>#N/A N/A</v>
        <stp/>
        <stp>BDP|16212861111621007246</stp>
        <tr r="D4627" s="2"/>
      </tp>
      <tp t="s">
        <v>#N/A N/A</v>
        <stp/>
        <stp>BDP|16172706849308857110</stp>
        <tr r="I3275" s="2"/>
      </tp>
      <tp t="s">
        <v>#N/A N/A</v>
        <stp/>
        <stp>BDP|14077377125469711042</stp>
        <tr r="C2867" s="2"/>
      </tp>
      <tp t="s">
        <v>#N/A N/A</v>
        <stp/>
        <stp>BDP|15948240532680844861</stp>
        <tr r="B3140" s="2"/>
      </tp>
      <tp t="s">
        <v>#N/A N/A</v>
        <stp/>
        <stp>BDP|10650501175566008827</stp>
        <tr r="D3480" s="2"/>
      </tp>
      <tp t="s">
        <v>#N/A N/A</v>
        <stp/>
        <stp>BDP|13281129091497837080</stp>
        <tr r="C2257" s="2"/>
      </tp>
      <tp t="s">
        <v>#N/A N/A</v>
        <stp/>
        <stp>BDP|13456227545328009127</stp>
        <tr r="C2925" s="2"/>
      </tp>
      <tp t="s">
        <v>#N/A N/A</v>
        <stp/>
        <stp>BDP|14223881385898981075</stp>
        <tr r="D4613" s="2"/>
      </tp>
      <tp t="s">
        <v>#N/A N/A</v>
        <stp/>
        <stp>BDP|14518451993542329712</stp>
        <tr r="G3043" s="2"/>
      </tp>
      <tp t="s">
        <v>#N/A N/A</v>
        <stp/>
        <stp>BDP|12792540427380170948</stp>
        <tr r="I1431" s="2"/>
      </tp>
      <tp t="s">
        <v>#N/A N/A</v>
        <stp/>
        <stp>BDP|14866116180701031081</stp>
        <tr r="H56" s="2"/>
      </tp>
      <tp t="s">
        <v>#N/A N/A</v>
        <stp/>
        <stp>BDP|11399359684196745040</stp>
        <tr r="H2669" s="2"/>
      </tp>
      <tp t="s">
        <v>#N/A N/A</v>
        <stp/>
        <stp>BDP|15601399738778733118</stp>
        <tr r="D2269" s="2"/>
      </tp>
      <tp t="s">
        <v>#N/A N/A</v>
        <stp/>
        <stp>BDP|11941882767284474737</stp>
        <tr r="H4641" s="2"/>
      </tp>
      <tp t="s">
        <v>#N/A N/A</v>
        <stp/>
        <stp>BDP|12613451849729278794</stp>
        <tr r="F2085" s="2"/>
      </tp>
      <tp t="s">
        <v>#N/A N/A</v>
        <stp/>
        <stp>BDP|16426969295388515222</stp>
        <tr r="G3265" s="2"/>
      </tp>
      <tp t="s">
        <v>#N/A N/A</v>
        <stp/>
        <stp>BDP|16824844407276960429</stp>
        <tr r="I4739" s="2"/>
      </tp>
      <tp t="s">
        <v>#N/A N/A</v>
        <stp/>
        <stp>BDP|12542981031447490383</stp>
        <tr r="B4224" s="2"/>
      </tp>
      <tp t="s">
        <v>#N/A N/A</v>
        <stp/>
        <stp>BDP|16127670144989468166</stp>
        <tr r="C1472" s="2"/>
      </tp>
      <tp t="s">
        <v>#N/A N/A</v>
        <stp/>
        <stp>BDP|16269323695993556302</stp>
        <tr r="I2482" s="2"/>
      </tp>
      <tp t="s">
        <v>#N/A N/A</v>
        <stp/>
        <stp>BDP|13612867160541210028</stp>
        <tr r="D2949" s="2"/>
      </tp>
      <tp t="s">
        <v>#N/A N/A</v>
        <stp/>
        <stp>BDP|16623138266055122822</stp>
        <tr r="C2617" s="2"/>
      </tp>
      <tp t="s">
        <v>#N/A N/A</v>
        <stp/>
        <stp>BDP|16415061330030295903</stp>
        <tr r="B979" s="2"/>
      </tp>
      <tp t="s">
        <v>#N/A N/A</v>
        <stp/>
        <stp>BDP|18132248259647539497</stp>
        <tr r="D1853" s="2"/>
      </tp>
      <tp t="s">
        <v>#N/A N/A</v>
        <stp/>
        <stp>BDP|17727912422349586912</stp>
        <tr r="G4645" s="2"/>
      </tp>
      <tp t="s">
        <v>#N/A N/A</v>
        <stp/>
        <stp>BDP|18250641620921678102</stp>
        <tr r="I3734" s="2"/>
      </tp>
      <tp t="s">
        <v>#N/A N/A</v>
        <stp/>
        <stp>BDP|11926448302308931162</stp>
        <tr r="A2429" s="2"/>
      </tp>
      <tp t="s">
        <v>#N/A N/A</v>
        <stp/>
        <stp>BDP|14256805866025618329</stp>
        <tr r="H2786" s="2"/>
      </tp>
      <tp t="s">
        <v>#N/A N/A</v>
        <stp/>
        <stp>BDP|12791535693523602111</stp>
        <tr r="A515" s="2"/>
      </tp>
      <tp t="s">
        <v>#N/A N/A</v>
        <stp/>
        <stp>BDP|15145171387753485352</stp>
        <tr r="H2863" s="2"/>
      </tp>
      <tp t="s">
        <v>#N/A N/A</v>
        <stp/>
        <stp>BDP|15629937570843232471</stp>
        <tr r="G3574" s="2"/>
      </tp>
      <tp t="s">
        <v>#N/A N/A</v>
        <stp/>
        <stp>BDP|13042305720536691862</stp>
        <tr r="F3131" s="2"/>
      </tp>
      <tp t="s">
        <v>#N/A N/A</v>
        <stp/>
        <stp>BDP|16476042609853873915</stp>
        <tr r="I3255" s="2"/>
      </tp>
      <tp t="s">
        <v>#N/A N/A</v>
        <stp/>
        <stp>BDP|10396164636038110623</stp>
        <tr r="C157" s="2"/>
      </tp>
      <tp t="s">
        <v>#N/A N/A</v>
        <stp/>
        <stp>BDP|12077337019954221884</stp>
        <tr r="D4363" s="2"/>
      </tp>
      <tp t="s">
        <v>#N/A N/A</v>
        <stp/>
        <stp>BDP|17362668480972412719</stp>
        <tr r="G1788" s="2"/>
      </tp>
      <tp t="s">
        <v>#N/A N/A</v>
        <stp/>
        <stp>BDP|13016146774290024909</stp>
        <tr r="B1951" s="2"/>
      </tp>
      <tp t="s">
        <v>#N/A N/A</v>
        <stp/>
        <stp>BDP|10612528484329131817</stp>
        <tr r="D2743" s="2"/>
      </tp>
      <tp t="s">
        <v>#N/A N/A</v>
        <stp/>
        <stp>BDP|10050349862009018060</stp>
        <tr r="A4182" s="2"/>
      </tp>
      <tp t="s">
        <v>#N/A N/A</v>
        <stp/>
        <stp>BDP|12653169221284479954</stp>
        <tr r="I1937" s="2"/>
      </tp>
      <tp t="s">
        <v>#N/A N/A</v>
        <stp/>
        <stp>BDP|12621811604930166621</stp>
        <tr r="F3339" s="2"/>
      </tp>
      <tp t="s">
        <v>#N/A N/A</v>
        <stp/>
        <stp>BDP|13513076435949301543</stp>
        <tr r="B1586" s="2"/>
      </tp>
      <tp t="s">
        <v>#N/A N/A</v>
        <stp/>
        <stp>BDP|17485363693577526641</stp>
        <tr r="G3188" s="2"/>
      </tp>
      <tp t="s">
        <v>#N/A N/A</v>
        <stp/>
        <stp>BDP|10850806915822436794</stp>
        <tr r="G4884" s="2"/>
      </tp>
      <tp t="s">
        <v>#N/A N/A</v>
        <stp/>
        <stp>BDP|13051059900167027853</stp>
        <tr r="H2453" s="2"/>
      </tp>
      <tp t="s">
        <v>#N/A N/A</v>
        <stp/>
        <stp>BDP|13063135820838662451</stp>
        <tr r="H882" s="2"/>
      </tp>
      <tp t="s">
        <v>#N/A N/A</v>
        <stp/>
        <stp>BDP|17847127894653926074</stp>
        <tr r="C4916" s="2"/>
      </tp>
      <tp t="s">
        <v>#N/A N/A</v>
        <stp/>
        <stp>BDP|13328884238071172522</stp>
        <tr r="I622" s="2"/>
      </tp>
      <tp t="s">
        <v>#N/A N/A</v>
        <stp/>
        <stp>BDP|14748125284668849990</stp>
        <tr r="D3589" s="2"/>
      </tp>
      <tp t="s">
        <v>#N/A N/A</v>
        <stp/>
        <stp>BDP|14456864793438144102</stp>
        <tr r="D4827" s="2"/>
      </tp>
      <tp t="s">
        <v>#N/A N/A</v>
        <stp/>
        <stp>BDP|13889454719853578910</stp>
        <tr r="G2116" s="2"/>
      </tp>
      <tp t="s">
        <v>#N/A N/A</v>
        <stp/>
        <stp>BDP|13228598827870989858</stp>
        <tr r="B544" s="2"/>
      </tp>
      <tp t="s">
        <v>#N/A N/A</v>
        <stp/>
        <stp>BDP|17663976131576710776</stp>
        <tr r="H4038" s="2"/>
      </tp>
      <tp t="s">
        <v>#N/A N/A</v>
        <stp/>
        <stp>BDP|18091385966704809569</stp>
        <tr r="A258" s="2"/>
      </tp>
      <tp t="s">
        <v>#N/A N/A</v>
        <stp/>
        <stp>BDP|15661725186052150437</stp>
        <tr r="D2349" s="2"/>
      </tp>
      <tp t="s">
        <v>#N/A N/A</v>
        <stp/>
        <stp>BDP|11613315629055852960</stp>
        <tr r="A2307" s="2"/>
      </tp>
      <tp t="s">
        <v>#N/A N/A</v>
        <stp/>
        <stp>BDP|16814934203794061784</stp>
        <tr r="I3599" s="2"/>
      </tp>
      <tp t="s">
        <v>#N/A N/A</v>
        <stp/>
        <stp>BDP|14586620746783071918</stp>
        <tr r="D4870" s="2"/>
      </tp>
      <tp t="s">
        <v>#N/A N/A</v>
        <stp/>
        <stp>BDP|15239403224076049964</stp>
        <tr r="B259" s="2"/>
      </tp>
      <tp t="s">
        <v>#N/A N/A</v>
        <stp/>
        <stp>BDP|15659834877646522075</stp>
        <tr r="F4686" s="2"/>
      </tp>
      <tp t="s">
        <v>#N/A N/A</v>
        <stp/>
        <stp>BDP|17529265775318619605</stp>
        <tr r="A3701" s="2"/>
      </tp>
      <tp t="s">
        <v>#N/A N/A</v>
        <stp/>
        <stp>BDP|12180617101770517849</stp>
        <tr r="C766" s="2"/>
      </tp>
      <tp t="s">
        <v>#N/A N/A</v>
        <stp/>
        <stp>BDP|14440326455278313601</stp>
        <tr r="A3975" s="2"/>
      </tp>
      <tp t="s">
        <v>#N/A N/A</v>
        <stp/>
        <stp>BDP|16442902576312456660</stp>
        <tr r="I3914" s="2"/>
      </tp>
      <tp t="s">
        <v>#N/A N/A</v>
        <stp/>
        <stp>BDP|12552204124256062812</stp>
        <tr r="B1620" s="2"/>
      </tp>
      <tp t="s">
        <v>#N/A N/A</v>
        <stp/>
        <stp>BDP|17427440387370742702</stp>
        <tr r="G2836" s="2"/>
      </tp>
      <tp t="s">
        <v>#N/A N/A</v>
        <stp/>
        <stp>BDP|16259367968376815947</stp>
        <tr r="C2074" s="2"/>
      </tp>
      <tp t="s">
        <v>#N/A N/A</v>
        <stp/>
        <stp>BDP|15600312209422959875</stp>
        <tr r="D1228" s="2"/>
      </tp>
      <tp t="s">
        <v>#N/A N/A</v>
        <stp/>
        <stp>BDP|16243800872523562651</stp>
        <tr r="C3063" s="2"/>
      </tp>
      <tp t="s">
        <v>#N/A N/A</v>
        <stp/>
        <stp>BDP|14634222675444052916</stp>
        <tr r="D3874" s="2"/>
      </tp>
      <tp t="s">
        <v>#N/A N/A</v>
        <stp/>
        <stp>BDP|11418347976519142071</stp>
        <tr r="C860" s="2"/>
      </tp>
      <tp t="s">
        <v>#N/A N/A</v>
        <stp/>
        <stp>BDP|15160245997725510770</stp>
        <tr r="H1731" s="2"/>
      </tp>
      <tp t="s">
        <v>#N/A N/A</v>
        <stp/>
        <stp>BDP|18425314778144426490</stp>
        <tr r="I1770" s="2"/>
      </tp>
      <tp t="s">
        <v>#N/A N/A</v>
        <stp/>
        <stp>BDP|15151452011814433819</stp>
        <tr r="I2687" s="2"/>
      </tp>
      <tp t="s">
        <v>#N/A N/A</v>
        <stp/>
        <stp>BDP|11532037290963608709</stp>
        <tr r="D2201" s="2"/>
      </tp>
      <tp t="s">
        <v>#N/A N/A</v>
        <stp/>
        <stp>BDP|18089527048220312598</stp>
        <tr r="F3429" s="2"/>
      </tp>
      <tp t="s">
        <v>#N/A N/A</v>
        <stp/>
        <stp>BDP|17058397244154828855</stp>
        <tr r="H4744" s="2"/>
      </tp>
      <tp t="s">
        <v>#N/A N/A</v>
        <stp/>
        <stp>BDP|12467480299312712120</stp>
        <tr r="F2414" s="2"/>
      </tp>
      <tp t="s">
        <v>#N/A N/A</v>
        <stp/>
        <stp>BDP|10489743472748489460</stp>
        <tr r="I4489" s="2"/>
      </tp>
      <tp t="s">
        <v>#N/A N/A</v>
        <stp/>
        <stp>BDP|10459317613818164647</stp>
        <tr r="H2963" s="2"/>
      </tp>
      <tp t="s">
        <v>#N/A N/A</v>
        <stp/>
        <stp>BDP|16260319811128750060</stp>
        <tr r="I725" s="2"/>
      </tp>
      <tp t="s">
        <v>#N/A N/A</v>
        <stp/>
        <stp>BDP|14525892975103389492</stp>
        <tr r="C2865" s="2"/>
      </tp>
      <tp t="s">
        <v>#N/A N/A</v>
        <stp/>
        <stp>BDP|14345152531113382974</stp>
        <tr r="F2668" s="2"/>
      </tp>
      <tp t="s">
        <v>#N/A N/A</v>
        <stp/>
        <stp>BDP|12222662326812762865</stp>
        <tr r="F2211" s="2"/>
      </tp>
      <tp t="s">
        <v>#N/A N/A</v>
        <stp/>
        <stp>BDP|16624959315480436216</stp>
        <tr r="F3823" s="2"/>
      </tp>
      <tp t="s">
        <v>#N/A N/A</v>
        <stp/>
        <stp>BDP|17222589538718432555</stp>
        <tr r="G4141" s="2"/>
      </tp>
      <tp t="s">
        <v>#N/A N/A</v>
        <stp/>
        <stp>BDP|15287399107999928360</stp>
        <tr r="B1049" s="2"/>
      </tp>
      <tp t="s">
        <v>#N/A N/A</v>
        <stp/>
        <stp>BDP|12848688296191065051</stp>
        <tr r="C3088" s="2"/>
      </tp>
      <tp t="s">
        <v>#N/A N/A</v>
        <stp/>
        <stp>BDP|15554776597901614602</stp>
        <tr r="D871" s="2"/>
      </tp>
      <tp t="s">
        <v>#N/A N/A</v>
        <stp/>
        <stp>BDP|14288170276357518953</stp>
        <tr r="I1472" s="2"/>
      </tp>
      <tp t="s">
        <v>#N/A N/A</v>
        <stp/>
        <stp>BDP|15983354296056044591</stp>
        <tr r="C4770" s="2"/>
      </tp>
      <tp t="s">
        <v>#N/A N/A</v>
        <stp/>
        <stp>BDP|15768669397717532103</stp>
        <tr r="I2368" s="2"/>
      </tp>
      <tp t="s">
        <v>#N/A N/A</v>
        <stp/>
        <stp>BDP|14517849964531070765</stp>
        <tr r="A3839" s="2"/>
      </tp>
      <tp t="s">
        <v>#N/A N/A</v>
        <stp/>
        <stp>BDP|10371780394856439483</stp>
        <tr r="C2386" s="2"/>
      </tp>
      <tp t="s">
        <v>#N/A N/A</v>
        <stp/>
        <stp>BDP|11939316988516287017</stp>
        <tr r="F313" s="2"/>
      </tp>
      <tp t="s">
        <v>#N/A N/A</v>
        <stp/>
        <stp>BDP|11295312305506564807</stp>
        <tr r="A1271" s="2"/>
      </tp>
      <tp t="s">
        <v>#N/A N/A</v>
        <stp/>
        <stp>BDP|10143742700608164378</stp>
        <tr r="B1817" s="2"/>
      </tp>
      <tp t="s">
        <v>#N/A N/A</v>
        <stp/>
        <stp>BDP|10243275462321098946</stp>
        <tr r="F2302" s="2"/>
      </tp>
      <tp t="s">
        <v>#N/A N/A</v>
        <stp/>
        <stp>BDP|18218054376804567776</stp>
        <tr r="C781" s="2"/>
      </tp>
      <tp t="s">
        <v>#N/A N/A</v>
        <stp/>
        <stp>BDP|17393861318976888464</stp>
        <tr r="F2534" s="2"/>
      </tp>
      <tp t="s">
        <v>#N/A N/A</v>
        <stp/>
        <stp>BDP|14023494111015837838</stp>
        <tr r="F3542" s="2"/>
      </tp>
      <tp t="s">
        <v>#N/A N/A</v>
        <stp/>
        <stp>BDP|11913163444338953019</stp>
        <tr r="C2975" s="2"/>
      </tp>
      <tp t="s">
        <v>#N/A N/A</v>
        <stp/>
        <stp>BDP|15935630002648312789</stp>
        <tr r="H3718" s="2"/>
      </tp>
      <tp t="s">
        <v>#N/A N/A</v>
        <stp/>
        <stp>BDP|13435956933807702261</stp>
        <tr r="F959" s="2"/>
      </tp>
      <tp t="s">
        <v>#N/A N/A</v>
        <stp/>
        <stp>BDP|11021967840642387267</stp>
        <tr r="F1392" s="2"/>
      </tp>
      <tp t="s">
        <v>#N/A N/A</v>
        <stp/>
        <stp>BDP|17410207597750353038</stp>
        <tr r="A1633" s="2"/>
      </tp>
      <tp t="s">
        <v>#N/A N/A</v>
        <stp/>
        <stp>BDP|15861803522613178087</stp>
        <tr r="H1194" s="2"/>
      </tp>
      <tp t="s">
        <v>#N/A N/A</v>
        <stp/>
        <stp>BDP|18309901234049262764</stp>
        <tr r="H2449" s="2"/>
      </tp>
      <tp t="s">
        <v>#N/A N/A</v>
        <stp/>
        <stp>BDP|12330508296381693302</stp>
        <tr r="D3050" s="2"/>
      </tp>
      <tp t="s">
        <v>#N/A N/A</v>
        <stp/>
        <stp>BDP|17365347816648621146</stp>
        <tr r="G2016" s="2"/>
      </tp>
      <tp t="s">
        <v>#N/A N/A</v>
        <stp/>
        <stp>BDP|12204844906937385106</stp>
        <tr r="F1942" s="2"/>
      </tp>
      <tp t="s">
        <v>#N/A N/A</v>
        <stp/>
        <stp>BDP|16982770135177180992</stp>
        <tr r="D4521" s="2"/>
      </tp>
      <tp t="s">
        <v>#N/A N/A</v>
        <stp/>
        <stp>BDP|12249993331767854317</stp>
        <tr r="G4653" s="2"/>
      </tp>
      <tp t="s">
        <v>#N/A N/A</v>
        <stp/>
        <stp>BDP|18145457630086123563</stp>
        <tr r="C239" s="2"/>
      </tp>
      <tp t="s">
        <v>#N/A N/A</v>
        <stp/>
        <stp>BDP|13718850426214367147</stp>
        <tr r="F3035" s="2"/>
      </tp>
      <tp t="s">
        <v>#N/A N/A</v>
        <stp/>
        <stp>BDP|16182371966377186820</stp>
        <tr r="B3649" s="2"/>
      </tp>
      <tp t="s">
        <v>#N/A N/A</v>
        <stp/>
        <stp>BDP|14030916857253015757</stp>
        <tr r="G1765" s="2"/>
      </tp>
      <tp t="s">
        <v>#N/A N/A</v>
        <stp/>
        <stp>BDP|14088698568268231000</stp>
        <tr r="A721" s="2"/>
      </tp>
      <tp t="s">
        <v>#N/A N/A</v>
        <stp/>
        <stp>BDP|18349750423587366656</stp>
        <tr r="D465" s="2"/>
      </tp>
      <tp t="s">
        <v>#N/A N/A</v>
        <stp/>
        <stp>BDP|14167390436121413997</stp>
        <tr r="G2415" s="2"/>
      </tp>
      <tp t="s">
        <v>#N/A N/A</v>
        <stp/>
        <stp>BDP|14197889211754936524</stp>
        <tr r="F4715" s="2"/>
      </tp>
      <tp t="s">
        <v>#N/A N/A</v>
        <stp/>
        <stp>BDP|14368976833421551311</stp>
        <tr r="A1894" s="2"/>
      </tp>
      <tp t="s">
        <v>#N/A N/A</v>
        <stp/>
        <stp>BDP|10562667431130397929</stp>
        <tr r="B475" s="2"/>
      </tp>
      <tp t="s">
        <v>#N/A N/A</v>
        <stp/>
        <stp>BDP|12302643944718647467</stp>
        <tr r="C3324" s="2"/>
      </tp>
      <tp t="s">
        <v>#N/A N/A</v>
        <stp/>
        <stp>BDP|12738323194641384519</stp>
        <tr r="C2936" s="2"/>
      </tp>
      <tp t="s">
        <v>#N/A N/A</v>
        <stp/>
        <stp>BDP|16415823520527558705</stp>
        <tr r="C4737" s="2"/>
      </tp>
      <tp t="s">
        <v>#N/A N/A</v>
        <stp/>
        <stp>BDP|10432363107739024662</stp>
        <tr r="C1497" s="2"/>
      </tp>
      <tp t="s">
        <v>#N/A N/A</v>
        <stp/>
        <stp>BDP|10817092464472132873</stp>
        <tr r="G1093" s="2"/>
      </tp>
      <tp t="s">
        <v>#N/A N/A</v>
        <stp/>
        <stp>BDP|15344412865012663926</stp>
        <tr r="F1831" s="2"/>
      </tp>
      <tp t="s">
        <v>#N/A N/A</v>
        <stp/>
        <stp>BDP|14013361561459066444</stp>
        <tr r="B251" s="2"/>
      </tp>
      <tp t="s">
        <v>#N/A N/A</v>
        <stp/>
        <stp>BDP|16483287315388238189</stp>
        <tr r="A4249" s="2"/>
      </tp>
      <tp t="s">
        <v>#N/A N/A</v>
        <stp/>
        <stp>BDP|16006978785913623875</stp>
        <tr r="H2559" s="2"/>
      </tp>
      <tp t="s">
        <v>#N/A N/A</v>
        <stp/>
        <stp>BDP|12282061097657085001</stp>
        <tr r="H193" s="2"/>
      </tp>
      <tp t="s">
        <v>#N/A N/A</v>
        <stp/>
        <stp>BDP|11822655809353442835</stp>
        <tr r="D741" s="2"/>
      </tp>
      <tp t="s">
        <v>#N/A N/A</v>
        <stp/>
        <stp>BDP|15621273834178243041</stp>
        <tr r="G2644" s="2"/>
      </tp>
      <tp t="s">
        <v>#N/A N/A</v>
        <stp/>
        <stp>BDP|17638903760641536500</stp>
        <tr r="F2447" s="2"/>
      </tp>
      <tp t="s">
        <v>#N/A N/A</v>
        <stp/>
        <stp>BDP|13846346584667384389</stp>
        <tr r="A4545" s="2"/>
      </tp>
      <tp t="s">
        <v>#N/A N/A</v>
        <stp/>
        <stp>BDP|11660842502586521367</stp>
        <tr r="G3115" s="2"/>
      </tp>
      <tp t="s">
        <v>#N/A N/A</v>
        <stp/>
        <stp>BDP|15737996468886485011</stp>
        <tr r="C693" s="2"/>
      </tp>
      <tp t="s">
        <v>#N/A N/A</v>
        <stp/>
        <stp>BDP|16077600415484315956</stp>
        <tr r="H3233" s="2"/>
      </tp>
      <tp t="s">
        <v>#N/A N/A</v>
        <stp/>
        <stp>BDP|12227443395295074600</stp>
        <tr r="D1604" s="2"/>
      </tp>
      <tp t="s">
        <v>#N/A N/A</v>
        <stp/>
        <stp>BDP|13669137608057872962</stp>
        <tr r="G4640" s="2"/>
      </tp>
      <tp t="s">
        <v>#N/A N/A</v>
        <stp/>
        <stp>BDP|10185859591495713810</stp>
        <tr r="F2057" s="2"/>
      </tp>
      <tp t="s">
        <v>#N/A N/A</v>
        <stp/>
        <stp>BDP|11137939776296693515</stp>
        <tr r="I261" s="2"/>
      </tp>
      <tp t="s">
        <v>#N/A N/A</v>
        <stp/>
        <stp>BDP|12373197031519873506</stp>
        <tr r="A1749" s="2"/>
      </tp>
      <tp t="s">
        <v>#N/A N/A</v>
        <stp/>
        <stp>BDP|13440010284404272303</stp>
        <tr r="C4007" s="2"/>
      </tp>
      <tp t="s">
        <v>#N/A N/A</v>
        <stp/>
        <stp>BDP|13812799515369034063</stp>
        <tr r="D2316" s="2"/>
      </tp>
      <tp t="s">
        <v>#N/A N/A</v>
        <stp/>
        <stp>BDP|12393057411078604735</stp>
        <tr r="D1160" s="2"/>
      </tp>
      <tp t="s">
        <v>#N/A N/A</v>
        <stp/>
        <stp>BDP|16779229154285474870</stp>
        <tr r="I968" s="2"/>
      </tp>
      <tp t="s">
        <v>#N/A N/A</v>
        <stp/>
        <stp>BDP|18347741653544491222</stp>
        <tr r="F3488" s="2"/>
      </tp>
      <tp t="s">
        <v>#N/A N/A</v>
        <stp/>
        <stp>BDP|11276518199646944716</stp>
        <tr r="A4436" s="2"/>
      </tp>
      <tp t="s">
        <v>#N/A N/A</v>
        <stp/>
        <stp>BDP|14992260418009075255</stp>
        <tr r="A3142" s="2"/>
      </tp>
      <tp t="s">
        <v>#N/A N/A</v>
        <stp/>
        <stp>BDP|15356951853911211456</stp>
        <tr r="G3701" s="2"/>
      </tp>
      <tp t="s">
        <v>#N/A N/A</v>
        <stp/>
        <stp>BDP|14239891101339123999</stp>
        <tr r="C1207" s="2"/>
      </tp>
      <tp t="s">
        <v>#N/A N/A</v>
        <stp/>
        <stp>BDP|14000220852819639641</stp>
        <tr r="I689" s="2"/>
      </tp>
      <tp t="s">
        <v>#N/A N/A</v>
        <stp/>
        <stp>BDP|10617834354877078633</stp>
        <tr r="C2575" s="2"/>
      </tp>
      <tp t="s">
        <v>#N/A N/A</v>
        <stp/>
        <stp>BDP|17727905943846661000</stp>
        <tr r="C1324" s="2"/>
      </tp>
      <tp t="s">
        <v>#N/A N/A</v>
        <stp/>
        <stp>BDP|15595918032635673629</stp>
        <tr r="H277" s="2"/>
      </tp>
      <tp t="s">
        <v>#N/A N/A</v>
        <stp/>
        <stp>BDP|13989131999605920284</stp>
        <tr r="G2025" s="2"/>
      </tp>
      <tp t="s">
        <v>#N/A N/A</v>
        <stp/>
        <stp>BDP|15685360632381779875</stp>
        <tr r="D3548" s="2"/>
      </tp>
      <tp t="s">
        <v>#N/A N/A</v>
        <stp/>
        <stp>BDP|13310152295292604579</stp>
        <tr r="D2739" s="2"/>
      </tp>
      <tp t="s">
        <v>#N/A N/A</v>
        <stp/>
        <stp>BDP|10171901732850772661</stp>
        <tr r="H4329" s="2"/>
      </tp>
      <tp t="s">
        <v>#N/A N/A</v>
        <stp/>
        <stp>BDP|16943582550803105926</stp>
        <tr r="H1752" s="2"/>
      </tp>
      <tp t="s">
        <v>#N/A N/A</v>
        <stp/>
        <stp>BDP|17006220051794416859</stp>
        <tr r="B1370" s="2"/>
      </tp>
      <tp t="s">
        <v>#N/A N/A</v>
        <stp/>
        <stp>BDP|16878507782435096282</stp>
        <tr r="H33" s="2"/>
      </tp>
      <tp t="s">
        <v>#N/A N/A</v>
        <stp/>
        <stp>BDP|14343474095953410677</stp>
        <tr r="F1677" s="2"/>
      </tp>
      <tp t="s">
        <v>#N/A N/A</v>
        <stp/>
        <stp>BDP|17095623405214722925</stp>
        <tr r="G1666" s="2"/>
      </tp>
      <tp t="s">
        <v>#N/A N/A</v>
        <stp/>
        <stp>BDP|13166304963349176318</stp>
        <tr r="H1570" s="2"/>
      </tp>
      <tp t="s">
        <v>#N/A N/A</v>
        <stp/>
        <stp>BDP|15396557028127458984</stp>
        <tr r="F4884" s="2"/>
      </tp>
      <tp t="s">
        <v>#N/A N/A</v>
        <stp/>
        <stp>BDP|16387626623327528951</stp>
        <tr r="D119" s="2"/>
      </tp>
      <tp t="s">
        <v>#N/A N/A</v>
        <stp/>
        <stp>BDP|10236599418710959886</stp>
        <tr r="H3568" s="2"/>
      </tp>
      <tp t="s">
        <v>#N/A N/A</v>
        <stp/>
        <stp>BDP|13984365739259682629</stp>
        <tr r="I3956" s="2"/>
      </tp>
      <tp t="s">
        <v>#N/A N/A</v>
        <stp/>
        <stp>BDP|12236274324327230919</stp>
        <tr r="I3093" s="2"/>
      </tp>
      <tp t="s">
        <v>#N/A N/A</v>
        <stp/>
        <stp>BDP|15560885030173940168</stp>
        <tr r="I3349" s="2"/>
      </tp>
      <tp t="s">
        <v>#N/A N/A</v>
        <stp/>
        <stp>BDP|15711303182053584124</stp>
        <tr r="H3654" s="2"/>
      </tp>
      <tp t="s">
        <v>#N/A N/A</v>
        <stp/>
        <stp>BDP|12443828542472013067</stp>
        <tr r="F4564" s="2"/>
      </tp>
      <tp t="s">
        <v>#N/A N/A</v>
        <stp/>
        <stp>BDP|18107798361585213091</stp>
        <tr r="H105" s="2"/>
      </tp>
      <tp t="s">
        <v>#N/A N/A</v>
        <stp/>
        <stp>BDP|15943822540990955507</stp>
        <tr r="H2698" s="2"/>
      </tp>
      <tp t="s">
        <v>#N/A N/A</v>
        <stp/>
        <stp>BDP|12700409096475207610</stp>
        <tr r="C1708" s="2"/>
      </tp>
      <tp t="s">
        <v>#N/A N/A</v>
        <stp/>
        <stp>BDP|14220198296815981567</stp>
        <tr r="I3680" s="2"/>
      </tp>
      <tp t="s">
        <v>#N/A N/A</v>
        <stp/>
        <stp>BDP|10850580905389138069</stp>
        <tr r="H4834" s="2"/>
      </tp>
      <tp t="s">
        <v>#N/A N/A</v>
        <stp/>
        <stp>BDP|16101792688787494260</stp>
        <tr r="B4670" s="2"/>
      </tp>
      <tp t="s">
        <v>#N/A N/A</v>
        <stp/>
        <stp>BDP|13543865147833561033</stp>
        <tr r="A4059" s="2"/>
      </tp>
      <tp t="s">
        <v>#N/A N/A</v>
        <stp/>
        <stp>BDP|10034571836102693859</stp>
        <tr r="G689" s="2"/>
      </tp>
      <tp t="s">
        <v>#N/A N/A</v>
        <stp/>
        <stp>BDP|15504946373672849587</stp>
        <tr r="H4522" s="2"/>
      </tp>
      <tp t="s">
        <v>#N/A N/A</v>
        <stp/>
        <stp>BDP|10687775193967748573</stp>
        <tr r="I3815" s="2"/>
      </tp>
      <tp t="s">
        <v>#N/A N/A</v>
        <stp/>
        <stp>BDP|10626336082237231076</stp>
        <tr r="C1762" s="2"/>
      </tp>
      <tp t="s">
        <v>#N/A N/A</v>
        <stp/>
        <stp>BDP|17169021436638709002</stp>
        <tr r="I4815" s="2"/>
      </tp>
      <tp t="s">
        <v>#N/A N/A</v>
        <stp/>
        <stp>BDP|17119165195317719475</stp>
        <tr r="D1159" s="2"/>
      </tp>
      <tp t="s">
        <v>#N/A N/A</v>
        <stp/>
        <stp>BDP|15888089991237460776</stp>
        <tr r="H3570" s="2"/>
      </tp>
      <tp t="s">
        <v>#N/A N/A</v>
        <stp/>
        <stp>BDP|13311426635088260043</stp>
        <tr r="H1005" s="2"/>
      </tp>
      <tp t="s">
        <v>#N/A N/A</v>
        <stp/>
        <stp>BDP|15611321714802099923</stp>
        <tr r="F2880" s="2"/>
      </tp>
      <tp t="s">
        <v>#N/A N/A</v>
        <stp/>
        <stp>BDP|14059760094143824584</stp>
        <tr r="G2075" s="2"/>
      </tp>
      <tp t="s">
        <v>#N/A N/A</v>
        <stp/>
        <stp>BDP|12745952106021253641</stp>
        <tr r="F1180" s="2"/>
      </tp>
      <tp t="s">
        <v>#N/A N/A</v>
        <stp/>
        <stp>BDP|15655325206582402844</stp>
        <tr r="F718" s="2"/>
      </tp>
      <tp t="s">
        <v>#N/A N/A</v>
        <stp/>
        <stp>BDP|13980798252884516958</stp>
        <tr r="F3336" s="2"/>
      </tp>
      <tp t="s">
        <v>#N/A N/A</v>
        <stp/>
        <stp>BDP|13474984576274169596</stp>
        <tr r="H3369" s="2"/>
      </tp>
      <tp t="s">
        <v>#N/A N/A</v>
        <stp/>
        <stp>BDP|15866203831610965824</stp>
        <tr r="A4405" s="2"/>
      </tp>
      <tp t="s">
        <v>#N/A N/A</v>
        <stp/>
        <stp>BDP|10444015549550952870</stp>
        <tr r="I1938" s="2"/>
      </tp>
      <tp t="s">
        <v>#N/A N/A</v>
        <stp/>
        <stp>BDP|10997039178362531951</stp>
        <tr r="B2621" s="2"/>
      </tp>
      <tp t="s">
        <v>#N/A N/A</v>
        <stp/>
        <stp>BDP|16670897828597332767</stp>
        <tr r="B1253" s="2"/>
      </tp>
      <tp t="s">
        <v>#N/A N/A</v>
        <stp/>
        <stp>BDP|18177339345087562408</stp>
        <tr r="A2220" s="2"/>
      </tp>
      <tp t="s">
        <v>#N/A N/A</v>
        <stp/>
        <stp>BDP|16497412980715046378</stp>
        <tr r="I3003" s="2"/>
      </tp>
      <tp t="s">
        <v>#N/A N/A</v>
        <stp/>
        <stp>BDP|16857465885635055393</stp>
        <tr r="G36" s="2"/>
      </tp>
      <tp t="s">
        <v>#N/A N/A</v>
        <stp/>
        <stp>BDP|13255671817159002105</stp>
        <tr r="F3042" s="2"/>
      </tp>
      <tp t="s">
        <v>#N/A N/A</v>
        <stp/>
        <stp>BDP|10631893259703424205</stp>
        <tr r="A814" s="2"/>
      </tp>
      <tp t="s">
        <v>#N/A N/A</v>
        <stp/>
        <stp>BDP|18104122240463770261</stp>
        <tr r="B1166" s="2"/>
      </tp>
      <tp t="s">
        <v>#N/A N/A</v>
        <stp/>
        <stp>BDP|13975789616109591006</stp>
        <tr r="I1288" s="2"/>
      </tp>
      <tp t="s">
        <v>#N/A N/A</v>
        <stp/>
        <stp>BDP|14876690676500632931</stp>
        <tr r="B1789" s="2"/>
      </tp>
      <tp t="s">
        <v>#N/A N/A</v>
        <stp/>
        <stp>BDP|17301435487980224779</stp>
        <tr r="I877" s="2"/>
      </tp>
      <tp t="s">
        <v>#N/A N/A</v>
        <stp/>
        <stp>BDP|13918657218958487020</stp>
        <tr r="G494" s="2"/>
      </tp>
      <tp t="s">
        <v>#N/A N/A</v>
        <stp/>
        <stp>BDP|13589275146898635101</stp>
        <tr r="A2535" s="2"/>
      </tp>
      <tp t="s">
        <v>#N/A N/A</v>
        <stp/>
        <stp>BDP|13845628110409083187</stp>
        <tr r="C403" s="2"/>
      </tp>
      <tp t="s">
        <v>#N/A N/A</v>
        <stp/>
        <stp>BDP|10353765798044962661</stp>
        <tr r="C272" s="2"/>
      </tp>
      <tp t="s">
        <v>#N/A N/A</v>
        <stp/>
        <stp>BDP|10858997447475437403</stp>
        <tr r="I3445" s="2"/>
      </tp>
      <tp t="s">
        <v>#N/A N/A</v>
        <stp/>
        <stp>BDP|12443722994015787578</stp>
        <tr r="H258" s="2"/>
      </tp>
      <tp t="s">
        <v>#N/A N/A</v>
        <stp/>
        <stp>BDP|16946732582093966636</stp>
        <tr r="B4624" s="2"/>
      </tp>
      <tp t="s">
        <v>#N/A N/A</v>
        <stp/>
        <stp>BDP|13634375930227270815</stp>
        <tr r="A1427" s="2"/>
      </tp>
      <tp t="s">
        <v>#N/A N/A</v>
        <stp/>
        <stp>BDP|11219726864194311851</stp>
        <tr r="C3251" s="2"/>
      </tp>
      <tp t="s">
        <v>#N/A N/A</v>
        <stp/>
        <stp>BDP|18110793158506089029</stp>
        <tr r="A1507" s="2"/>
      </tp>
      <tp t="s">
        <v>#N/A N/A</v>
        <stp/>
        <stp>BDP|13052702264529376753</stp>
        <tr r="B3294" s="2"/>
      </tp>
      <tp t="s">
        <v>#N/A N/A</v>
        <stp/>
        <stp>BDP|15557566797765079066</stp>
        <tr r="H3571" s="2"/>
      </tp>
      <tp t="s">
        <v>#N/A N/A</v>
        <stp/>
        <stp>BDP|17778947569420158494</stp>
        <tr r="C4783" s="2"/>
      </tp>
      <tp t="s">
        <v>#N/A N/A</v>
        <stp/>
        <stp>BDP|13299448588462865147</stp>
        <tr r="H4186" s="2"/>
      </tp>
      <tp t="s">
        <v>#N/A N/A</v>
        <stp/>
        <stp>BDP|12271054244123255933</stp>
        <tr r="C1535" s="2"/>
      </tp>
      <tp t="s">
        <v>#N/A N/A</v>
        <stp/>
        <stp>BDP|15191077795058727868</stp>
        <tr r="A186" s="2"/>
      </tp>
      <tp t="s">
        <v>#N/A N/A</v>
        <stp/>
        <stp>BDP|17036670920146210908</stp>
        <tr r="I3500" s="2"/>
      </tp>
      <tp t="s">
        <v>#N/A N/A</v>
        <stp/>
        <stp>BDP|10240669575708661527</stp>
        <tr r="D1118" s="2"/>
      </tp>
      <tp t="s">
        <v>#N/A N/A</v>
        <stp/>
        <stp>BDP|15171640211067386924</stp>
        <tr r="H3293" s="2"/>
      </tp>
      <tp t="s">
        <v>#N/A N/A</v>
        <stp/>
        <stp>BDP|18145506866567090024</stp>
        <tr r="I4404" s="2"/>
      </tp>
      <tp t="s">
        <v>#N/A N/A</v>
        <stp/>
        <stp>BDP|10072828140169771903</stp>
        <tr r="B814" s="2"/>
      </tp>
      <tp t="s">
        <v>#N/A N/A</v>
        <stp/>
        <stp>BDP|11286481823492850942</stp>
        <tr r="C3666" s="2"/>
      </tp>
      <tp t="s">
        <v>#N/A N/A</v>
        <stp/>
        <stp>BDP|15454348736371753841</stp>
        <tr r="H777" s="2"/>
      </tp>
      <tp t="s">
        <v>#N/A N/A</v>
        <stp/>
        <stp>BDP|14675985001442251389</stp>
        <tr r="C3300" s="2"/>
      </tp>
      <tp t="s">
        <v>#N/A N/A</v>
        <stp/>
        <stp>BDP|14789159834049597362</stp>
        <tr r="A4353" s="2"/>
      </tp>
      <tp t="s">
        <v>#N/A N/A</v>
        <stp/>
        <stp>BDP|14385382107083870814</stp>
        <tr r="B1245" s="2"/>
      </tp>
      <tp t="s">
        <v>#N/A N/A</v>
        <stp/>
        <stp>BDP|10191936703753758634</stp>
        <tr r="H146" s="2"/>
      </tp>
      <tp t="s">
        <v>#N/A N/A</v>
        <stp/>
        <stp>BDP|13879907359396729538</stp>
        <tr r="D440" s="2"/>
      </tp>
      <tp t="s">
        <v>#N/A N/A</v>
        <stp/>
        <stp>BDP|16409856658877829045</stp>
        <tr r="D674" s="2"/>
      </tp>
      <tp t="s">
        <v>#N/A N/A</v>
        <stp/>
        <stp>BDP|16537437140449212318</stp>
        <tr r="D1991" s="2"/>
      </tp>
      <tp t="s">
        <v>#N/A N/A</v>
        <stp/>
        <stp>BDP|15695937591541178804</stp>
        <tr r="I902" s="2"/>
      </tp>
      <tp t="s">
        <v>#N/A N/A</v>
        <stp/>
        <stp>BDP|11216804625531718659</stp>
        <tr r="C4213" s="2"/>
      </tp>
      <tp t="s">
        <v>#N/A N/A</v>
        <stp/>
        <stp>BDP|17784879077006781251</stp>
        <tr r="G2466" s="2"/>
      </tp>
      <tp t="s">
        <v>#N/A N/A</v>
        <stp/>
        <stp>BDP|14225048859478995538</stp>
        <tr r="C4618" s="2"/>
      </tp>
      <tp t="s">
        <v>#N/A N/A</v>
        <stp/>
        <stp>BDP|15132635972419445119</stp>
        <tr r="B4151" s="2"/>
      </tp>
      <tp t="s">
        <v>#N/A N/A</v>
        <stp/>
        <stp>BDP|14982295705039821380</stp>
        <tr r="F3182" s="2"/>
      </tp>
      <tp t="s">
        <v>#N/A N/A</v>
        <stp/>
        <stp>BDP|15083858311371297135</stp>
        <tr r="H3191" s="2"/>
      </tp>
      <tp t="s">
        <v>#N/A N/A</v>
        <stp/>
        <stp>BDP|11397091208784710900</stp>
        <tr r="D4821" s="2"/>
      </tp>
      <tp t="s">
        <v>#N/A N/A</v>
        <stp/>
        <stp>BDP|16208899784552977835</stp>
        <tr r="F3622" s="2"/>
      </tp>
      <tp t="s">
        <v>#N/A N/A</v>
        <stp/>
        <stp>BDP|16716491449893627944</stp>
        <tr r="B2691" s="2"/>
      </tp>
      <tp t="s">
        <v>#N/A N/A</v>
        <stp/>
        <stp>BDP|17571421216367321979</stp>
        <tr r="G3411" s="2"/>
      </tp>
      <tp t="s">
        <v>#N/A N/A</v>
        <stp/>
        <stp>BDP|15392926217044213510</stp>
        <tr r="D4496" s="2"/>
      </tp>
      <tp t="s">
        <v>#N/A N/A</v>
        <stp/>
        <stp>BDP|12121801679741485092</stp>
        <tr r="C1274" s="2"/>
      </tp>
      <tp t="s">
        <v>#N/A N/A</v>
        <stp/>
        <stp>BDP|17526702230829078602</stp>
        <tr r="A2282" s="2"/>
      </tp>
      <tp t="s">
        <v>#N/A N/A</v>
        <stp/>
        <stp>BDP|17380440955349235355</stp>
        <tr r="I3185" s="2"/>
      </tp>
      <tp t="s">
        <v>#N/A N/A</v>
        <stp/>
        <stp>BDP|14770224676988045563</stp>
        <tr r="G4938" s="2"/>
      </tp>
      <tp t="s">
        <v>#N/A N/A</v>
        <stp/>
        <stp>BDP|14555559548621406897</stp>
        <tr r="C4694" s="2"/>
      </tp>
      <tp t="s">
        <v>#N/A N/A</v>
        <stp/>
        <stp>BDP|16007144587067283441</stp>
        <tr r="G3323" s="2"/>
      </tp>
      <tp t="s">
        <v>#N/A N/A</v>
        <stp/>
        <stp>BDP|10866407184886929606</stp>
        <tr r="D4701" s="2"/>
      </tp>
      <tp t="s">
        <v>#N/A N/A</v>
        <stp/>
        <stp>BDP|12775271281264117058</stp>
        <tr r="G3644" s="2"/>
      </tp>
      <tp t="s">
        <v>#N/A N/A</v>
        <stp/>
        <stp>BDP|16684017260718071422</stp>
        <tr r="G282" s="2"/>
      </tp>
      <tp t="s">
        <v>#N/A N/A</v>
        <stp/>
        <stp>BDP|13346149880477674142</stp>
        <tr r="I2684" s="2"/>
      </tp>
      <tp t="s">
        <v>#N/A N/A</v>
        <stp/>
        <stp>BDP|18091441147542779616</stp>
        <tr r="H213" s="2"/>
      </tp>
      <tp t="s">
        <v>#N/A N/A</v>
        <stp/>
        <stp>BDP|17997291284128448951</stp>
        <tr r="A3404" s="2"/>
      </tp>
      <tp t="s">
        <v>#N/A N/A</v>
        <stp/>
        <stp>BDP|18253846943890916896</stp>
        <tr r="I3160" s="2"/>
      </tp>
      <tp t="s">
        <v>#N/A N/A</v>
        <stp/>
        <stp>BDP|17262630182803467624</stp>
        <tr r="D4096" s="2"/>
      </tp>
      <tp t="s">
        <v>#N/A N/A</v>
        <stp/>
        <stp>BDP|14386800674533084429</stp>
        <tr r="A1388" s="2"/>
      </tp>
      <tp t="s">
        <v>#N/A N/A</v>
        <stp/>
        <stp>BDP|11588539457788722538</stp>
        <tr r="H1934" s="2"/>
      </tp>
      <tp t="s">
        <v>#N/A N/A</v>
        <stp/>
        <stp>BDP|10923495302030080873</stp>
        <tr r="H4609" s="2"/>
      </tp>
      <tp t="s">
        <v>#N/A N/A</v>
        <stp/>
        <stp>BDP|16918906419105003755</stp>
        <tr r="H4139" s="2"/>
      </tp>
      <tp t="s">
        <v>#N/A N/A</v>
        <stp/>
        <stp>BDP|11364383834629275487</stp>
        <tr r="D4949" s="2"/>
      </tp>
      <tp t="s">
        <v>#N/A N/A</v>
        <stp/>
        <stp>BDP|16751091436769538083</stp>
        <tr r="D127" s="2"/>
      </tp>
      <tp t="s">
        <v>#N/A N/A</v>
        <stp/>
        <stp>BDP|10357373263119014025</stp>
        <tr r="I3158" s="2"/>
      </tp>
      <tp t="s">
        <v>#N/A N/A</v>
        <stp/>
        <stp>BDP|12830930205076378186</stp>
        <tr r="D655" s="2"/>
      </tp>
      <tp t="s">
        <v>#N/A N/A</v>
        <stp/>
        <stp>BDP|15763508885364461039</stp>
        <tr r="I60" s="2"/>
      </tp>
      <tp t="s">
        <v>#N/A N/A</v>
        <stp/>
        <stp>BDP|18396728875540811497</stp>
        <tr r="I512" s="2"/>
      </tp>
      <tp t="s">
        <v>#N/A N/A</v>
        <stp/>
        <stp>BDP|13071034957383345926</stp>
        <tr r="C4647" s="2"/>
      </tp>
      <tp t="s">
        <v>#N/A N/A</v>
        <stp/>
        <stp>BDP|15145765300228600641</stp>
        <tr r="F470" s="2"/>
      </tp>
      <tp t="s">
        <v>#N/A N/A</v>
        <stp/>
        <stp>BDP|12113883240601857343</stp>
        <tr r="I1568" s="2"/>
      </tp>
      <tp t="s">
        <v>#N/A N/A</v>
        <stp/>
        <stp>BDP|10094695698127771438</stp>
        <tr r="F827" s="2"/>
      </tp>
      <tp t="s">
        <v>#N/A N/A</v>
        <stp/>
        <stp>BDP|18408229202277220138</stp>
        <tr r="H3102" s="2"/>
      </tp>
      <tp t="s">
        <v>#N/A N/A</v>
        <stp/>
        <stp>BDP|12390221487882174626</stp>
        <tr r="I3699" s="2"/>
      </tp>
      <tp t="s">
        <v>#N/A N/A</v>
        <stp/>
        <stp>BDP|12559009880126849088</stp>
        <tr r="A484" s="2"/>
      </tp>
      <tp t="s">
        <v>#N/A N/A</v>
        <stp/>
        <stp>BDP|18443215534740155552</stp>
        <tr r="D3600" s="2"/>
      </tp>
      <tp t="s">
        <v>#N/A N/A</v>
        <stp/>
        <stp>BDP|11345866886554208946</stp>
        <tr r="I4784" s="2"/>
      </tp>
      <tp t="s">
        <v>#N/A N/A</v>
        <stp/>
        <stp>BDP|15915786341428109243</stp>
        <tr r="C3646" s="2"/>
      </tp>
      <tp t="s">
        <v>#N/A N/A</v>
        <stp/>
        <stp>BDP|15279049110878363000</stp>
        <tr r="G1314" s="2"/>
      </tp>
      <tp t="s">
        <v>#N/A N/A</v>
        <stp/>
        <stp>BDP|18311012214755268012</stp>
        <tr r="F4980" s="2"/>
      </tp>
      <tp t="s">
        <v>#N/A N/A</v>
        <stp/>
        <stp>BDP|15174058411620304839</stp>
        <tr r="I2297" s="2"/>
      </tp>
      <tp t="s">
        <v>#N/A N/A</v>
        <stp/>
        <stp>BDP|12518218804388229478</stp>
        <tr r="F3972" s="2"/>
      </tp>
      <tp t="s">
        <v>#N/A N/A</v>
        <stp/>
        <stp>BDP|17045462918498874635</stp>
        <tr r="H3759" s="2"/>
      </tp>
      <tp t="s">
        <v>#N/A N/A</v>
        <stp/>
        <stp>BDP|17040857174070425401</stp>
        <tr r="F802" s="2"/>
      </tp>
      <tp t="s">
        <v>#N/A N/A</v>
        <stp/>
        <stp>BDP|18002463146100670435</stp>
        <tr r="A2621" s="2"/>
      </tp>
      <tp t="s">
        <v>#N/A N/A</v>
        <stp/>
        <stp>BDP|10206975945938321969</stp>
        <tr r="D2248" s="2"/>
      </tp>
      <tp t="s">
        <v>#N/A N/A</v>
        <stp/>
        <stp>BDP|18342656646294521205</stp>
        <tr r="H1643" s="2"/>
      </tp>
      <tp t="s">
        <v>#N/A N/A</v>
        <stp/>
        <stp>BDP|12517554092697079573</stp>
        <tr r="G3356" s="2"/>
      </tp>
      <tp t="s">
        <v>#N/A N/A</v>
        <stp/>
        <stp>BDP|10405613433509731042</stp>
        <tr r="B4322" s="2"/>
      </tp>
      <tp t="s">
        <v>#N/A N/A</v>
        <stp/>
        <stp>BDP|15606446842198330162</stp>
        <tr r="A1771" s="2"/>
      </tp>
      <tp t="s">
        <v>#N/A N/A</v>
        <stp/>
        <stp>BDP|15838520862068444291</stp>
        <tr r="A1291" s="2"/>
      </tp>
      <tp t="s">
        <v>#N/A N/A</v>
        <stp/>
        <stp>BDP|18218730086288753353</stp>
        <tr r="I4625" s="2"/>
      </tp>
      <tp t="s">
        <v>#N/A N/A</v>
        <stp/>
        <stp>BDP|13649471733410277852</stp>
        <tr r="A2723" s="2"/>
      </tp>
      <tp t="s">
        <v>#N/A N/A</v>
        <stp/>
        <stp>BDP|15491432873488739268</stp>
        <tr r="H257" s="2"/>
      </tp>
      <tp t="s">
        <v>#N/A N/A</v>
        <stp/>
        <stp>BDP|10401135902398924590</stp>
        <tr r="C3284" s="2"/>
      </tp>
      <tp t="s">
        <v>#N/A N/A</v>
        <stp/>
        <stp>BDP|16191064670998408560</stp>
        <tr r="C3995" s="2"/>
      </tp>
      <tp t="s">
        <v>#N/A N/A</v>
        <stp/>
        <stp>BDP|12350178332739272519</stp>
        <tr r="C3388" s="2"/>
      </tp>
      <tp t="s">
        <v>#N/A N/A</v>
        <stp/>
        <stp>BDP|16176264582780460059</stp>
        <tr r="F706" s="2"/>
      </tp>
      <tp t="s">
        <v>#N/A N/A</v>
        <stp/>
        <stp>BDP|10023831761341336358</stp>
        <tr r="I4329" s="2"/>
      </tp>
      <tp t="s">
        <v>#N/A N/A</v>
        <stp/>
        <stp>BDP|17084967591262605956</stp>
        <tr r="A3632" s="2"/>
      </tp>
      <tp t="s">
        <v>#N/A N/A</v>
        <stp/>
        <stp>BDP|15846041842975924834</stp>
        <tr r="H3165" s="2"/>
      </tp>
      <tp t="s">
        <v>#N/A N/A</v>
        <stp/>
        <stp>BDP|12654941963364683535</stp>
        <tr r="C2202" s="2"/>
      </tp>
      <tp t="s">
        <v>#N/A N/A</v>
        <stp/>
        <stp>BDP|15490419869843817803</stp>
        <tr r="B2540" s="2"/>
      </tp>
      <tp t="s">
        <v>#N/A N/A</v>
        <stp/>
        <stp>BDP|13797268558210917848</stp>
        <tr r="F1903" s="2"/>
      </tp>
      <tp t="s">
        <v>#N/A N/A</v>
        <stp/>
        <stp>BDP|11354523381166041649</stp>
        <tr r="I3774" s="2"/>
      </tp>
      <tp t="s">
        <v>#N/A N/A</v>
        <stp/>
        <stp>BDP|10587918336564581237</stp>
        <tr r="A419" s="2"/>
      </tp>
      <tp t="s">
        <v>#N/A N/A</v>
        <stp/>
        <stp>BDP|17977150765268949448</stp>
        <tr r="A4743" s="2"/>
      </tp>
      <tp t="s">
        <v>#N/A N/A</v>
        <stp/>
        <stp>BDP|15635130836742441939</stp>
        <tr r="I3998" s="2"/>
      </tp>
      <tp t="s">
        <v>#N/A N/A</v>
        <stp/>
        <stp>BDP|14142708506356368900</stp>
        <tr r="B3825" s="2"/>
      </tp>
      <tp t="s">
        <v>#N/A N/A</v>
        <stp/>
        <stp>BDP|13224950653806354536</stp>
        <tr r="D2748" s="2"/>
      </tp>
      <tp t="s">
        <v>#N/A N/A</v>
        <stp/>
        <stp>BDP|14241461395856066352</stp>
        <tr r="H1465" s="2"/>
      </tp>
      <tp t="s">
        <v>#N/A N/A</v>
        <stp/>
        <stp>BDP|15707957057345782065</stp>
        <tr r="B2354" s="2"/>
      </tp>
      <tp t="s">
        <v>#N/A N/A</v>
        <stp/>
        <stp>BDP|16298838950281324669</stp>
        <tr r="D722" s="2"/>
      </tp>
      <tp t="s">
        <v>#N/A N/A</v>
        <stp/>
        <stp>BDP|15229621584105780272</stp>
        <tr r="I4372" s="2"/>
      </tp>
      <tp t="s">
        <v>#N/A N/A</v>
        <stp/>
        <stp>BDP|14072229948006740892</stp>
        <tr r="I10" s="2"/>
      </tp>
      <tp t="s">
        <v>#N/A N/A</v>
        <stp/>
        <stp>BDP|10585867302570044456</stp>
        <tr r="B4857" s="2"/>
      </tp>
      <tp t="s">
        <v>#N/A N/A</v>
        <stp/>
        <stp>BDP|16198942792188278212</stp>
        <tr r="G1516" s="2"/>
      </tp>
      <tp t="s">
        <v>#N/A N/A</v>
        <stp/>
        <stp>BDP|18410789848280279722</stp>
        <tr r="A843" s="2"/>
      </tp>
      <tp t="s">
        <v>#N/A N/A</v>
        <stp/>
        <stp>BDP|13432572386011482356</stp>
        <tr r="G1612" s="2"/>
      </tp>
      <tp t="s">
        <v>#N/A N/A</v>
        <stp/>
        <stp>BDP|16363522213249497720</stp>
        <tr r="H2835" s="2"/>
      </tp>
      <tp t="s">
        <v>#N/A N/A</v>
        <stp/>
        <stp>BDP|14883424891710761583</stp>
        <tr r="A375" s="2"/>
      </tp>
      <tp t="s">
        <v>#N/A N/A</v>
        <stp/>
        <stp>BDP|17667699438959712749</stp>
        <tr r="B738" s="2"/>
      </tp>
      <tp t="s">
        <v>#N/A N/A</v>
        <stp/>
        <stp>BDP|18215573123432203108</stp>
        <tr r="B4127" s="2"/>
      </tp>
      <tp t="s">
        <v>#N/A N/A</v>
        <stp/>
        <stp>BDP|12533738095126663612</stp>
        <tr r="B3814" s="2"/>
      </tp>
      <tp t="s">
        <v>#N/A N/A</v>
        <stp/>
        <stp>BDP|17816948485078959241</stp>
        <tr r="G4361" s="2"/>
      </tp>
      <tp t="s">
        <v>#N/A N/A</v>
        <stp/>
        <stp>BDP|15164334309369998365</stp>
        <tr r="H911" s="2"/>
      </tp>
      <tp t="s">
        <v>#N/A N/A</v>
        <stp/>
        <stp>BDP|10020146291914858095</stp>
        <tr r="A422" s="2"/>
      </tp>
      <tp t="s">
        <v>#N/A N/A</v>
        <stp/>
        <stp>BDP|15370658823364354924</stp>
        <tr r="F4133" s="2"/>
      </tp>
      <tp t="s">
        <v>#N/A N/A</v>
        <stp/>
        <stp>BDP|11042242235449182547</stp>
        <tr r="F3223" s="2"/>
      </tp>
      <tp t="s">
        <v>#N/A N/A</v>
        <stp/>
        <stp>BDP|13703406804989445236</stp>
        <tr r="G4054" s="2"/>
      </tp>
      <tp t="s">
        <v>#N/A N/A</v>
        <stp/>
        <stp>BDP|11069975642030395026</stp>
        <tr r="H4007" s="2"/>
      </tp>
      <tp t="s">
        <v>#N/A N/A</v>
        <stp/>
        <stp>BDP|14690346013288312260</stp>
        <tr r="G3347" s="2"/>
      </tp>
      <tp t="s">
        <v>#N/A N/A</v>
        <stp/>
        <stp>BDP|12858985766883115235</stp>
        <tr r="A16" s="2"/>
      </tp>
      <tp t="s">
        <v>#N/A N/A</v>
        <stp/>
        <stp>BDP|12238740890404749450</stp>
        <tr r="C4509" s="2"/>
      </tp>
      <tp t="s">
        <v>#N/A N/A</v>
        <stp/>
        <stp>BDP|10759250944309468363</stp>
        <tr r="F3719" s="2"/>
      </tp>
      <tp t="s">
        <v>#N/A N/A</v>
        <stp/>
        <stp>BDP|14074772352763309921</stp>
        <tr r="G1039" s="2"/>
      </tp>
      <tp t="s">
        <v>#N/A N/A</v>
        <stp/>
        <stp>BDP|18409389362955314492</stp>
        <tr r="H4396" s="2"/>
      </tp>
      <tp t="s">
        <v>#N/A N/A</v>
        <stp/>
        <stp>BDP|13901597896263145032</stp>
        <tr r="B450" s="2"/>
      </tp>
      <tp t="s">
        <v>#N/A N/A</v>
        <stp/>
        <stp>BDP|17666734300665315926</stp>
        <tr r="C2298" s="2"/>
      </tp>
      <tp t="s">
        <v>#N/A N/A</v>
        <stp/>
        <stp>BDP|15896759793600972732</stp>
        <tr r="I1132" s="2"/>
      </tp>
      <tp t="s">
        <v>#N/A N/A</v>
        <stp/>
        <stp>BDP|15340970332061247202</stp>
        <tr r="G336" s="2"/>
      </tp>
      <tp t="s">
        <v>#N/A N/A</v>
        <stp/>
        <stp>BDP|12488619613671074821</stp>
        <tr r="A2734" s="2"/>
      </tp>
      <tp t="s">
        <v>#N/A N/A</v>
        <stp/>
        <stp>BDP|16603026324089045143</stp>
        <tr r="C3822" s="2"/>
      </tp>
      <tp t="s">
        <v>#N/A N/A</v>
        <stp/>
        <stp>BDP|13608559392557789425</stp>
        <tr r="C3648" s="2"/>
      </tp>
      <tp t="s">
        <v>#N/A N/A</v>
        <stp/>
        <stp>BDP|16063612722306605816</stp>
        <tr r="H4658" s="2"/>
      </tp>
      <tp t="s">
        <v>#N/A N/A</v>
        <stp/>
        <stp>BDP|13207281352041840944</stp>
        <tr r="C2644" s="2"/>
      </tp>
      <tp t="s">
        <v>#N/A N/A</v>
        <stp/>
        <stp>BDP|14693069055019832492</stp>
        <tr r="B2488" s="2"/>
      </tp>
      <tp t="s">
        <v>#N/A N/A</v>
        <stp/>
        <stp>BDP|13752556742549663721</stp>
        <tr r="I4814" s="2"/>
      </tp>
      <tp t="s">
        <v>#N/A N/A</v>
        <stp/>
        <stp>BDP|10658242997091670670</stp>
        <tr r="I322" s="2"/>
      </tp>
      <tp t="s">
        <v>#N/A N/A</v>
        <stp/>
        <stp>BDP|11022824757394877492</stp>
        <tr r="D4807" s="2"/>
      </tp>
      <tp t="s">
        <v>#N/A N/A</v>
        <stp/>
        <stp>BDP|12918197590262210465</stp>
        <tr r="H2024" s="2"/>
      </tp>
      <tp t="s">
        <v>#N/A N/A</v>
        <stp/>
        <stp>BDP|14028983790231417982</stp>
        <tr r="A4288" s="2"/>
      </tp>
      <tp t="s">
        <v>#N/A N/A</v>
        <stp/>
        <stp>BDP|16740142640569535620</stp>
        <tr r="I4552" s="2"/>
      </tp>
      <tp t="s">
        <v>#N/A N/A</v>
        <stp/>
        <stp>BDP|13711790099896518768</stp>
        <tr r="B4641" s="2"/>
      </tp>
      <tp t="s">
        <v>#N/A N/A</v>
        <stp/>
        <stp>BDP|15521241457387752952</stp>
        <tr r="C2355" s="2"/>
      </tp>
      <tp t="s">
        <v>#N/A N/A</v>
        <stp/>
        <stp>BDP|10952137121776842976</stp>
        <tr r="A4147" s="2"/>
      </tp>
      <tp t="s">
        <v>#N/A N/A</v>
        <stp/>
        <stp>BDP|14577917364861363679</stp>
        <tr r="H2879" s="2"/>
      </tp>
      <tp t="s">
        <v>#N/A N/A</v>
        <stp/>
        <stp>BDP|11841803649599233877</stp>
        <tr r="I1137" s="2"/>
      </tp>
      <tp t="s">
        <v>#N/A N/A</v>
        <stp/>
        <stp>BDP|12966977403632987509</stp>
        <tr r="I3587" s="2"/>
      </tp>
      <tp t="s">
        <v>#N/A N/A</v>
        <stp/>
        <stp>BDP|10283036114198285532</stp>
        <tr r="C1489" s="2"/>
      </tp>
      <tp t="s">
        <v>#N/A N/A</v>
        <stp/>
        <stp>BDP|11186834236696194016</stp>
        <tr r="B562" s="2"/>
      </tp>
      <tp t="s">
        <v>#N/A N/A</v>
        <stp/>
        <stp>BDP|13335501522898773028</stp>
        <tr r="B2951" s="2"/>
      </tp>
      <tp t="s">
        <v>#N/A N/A</v>
        <stp/>
        <stp>BDP|16211439662159247158</stp>
        <tr r="I2021" s="2"/>
      </tp>
      <tp t="s">
        <v>#N/A N/A</v>
        <stp/>
        <stp>BDP|17350834253644643216</stp>
        <tr r="G301" s="2"/>
      </tp>
      <tp t="s">
        <v>#N/A N/A</v>
        <stp/>
        <stp>BDP|11628445355949596563</stp>
        <tr r="I2128" s="2"/>
      </tp>
      <tp t="s">
        <v>#N/A N/A</v>
        <stp/>
        <stp>BDP|16192091592245879669</stp>
        <tr r="D2617" s="2"/>
      </tp>
      <tp t="s">
        <v>#N/A N/A</v>
        <stp/>
        <stp>BDP|12905172450408871225</stp>
        <tr r="G3285" s="2"/>
      </tp>
      <tp t="s">
        <v>#N/A N/A</v>
        <stp/>
        <stp>BDP|15658414890125041130</stp>
        <tr r="H2037" s="2"/>
      </tp>
      <tp t="s">
        <v>#N/A N/A</v>
        <stp/>
        <stp>BDP|10748414622248858283</stp>
        <tr r="D4938" s="2"/>
      </tp>
      <tp t="s">
        <v>#N/A N/A</v>
        <stp/>
        <stp>BDP|12595750991275746514</stp>
        <tr r="C1378" s="2"/>
      </tp>
      <tp t="s">
        <v>#N/A N/A</v>
        <stp/>
        <stp>BDP|13033577299943119087</stp>
        <tr r="G3923" s="2"/>
      </tp>
      <tp t="s">
        <v>#N/A N/A</v>
        <stp/>
        <stp>BDP|18272014795879029412</stp>
        <tr r="B760" s="2"/>
      </tp>
      <tp t="s">
        <v>#N/A N/A</v>
        <stp/>
        <stp>BDP|14284119896200489060</stp>
        <tr r="F4125" s="2"/>
      </tp>
      <tp t="s">
        <v>#N/A N/A</v>
        <stp/>
        <stp>BDP|11696936357970385165</stp>
        <tr r="I1098" s="2"/>
      </tp>
      <tp t="s">
        <v>#N/A N/A</v>
        <stp/>
        <stp>BDP|17906762313608282597</stp>
        <tr r="C2232" s="2"/>
      </tp>
      <tp t="s">
        <v>#N/A N/A</v>
        <stp/>
        <stp>BDP|10688565701030263941</stp>
        <tr r="G3534" s="2"/>
      </tp>
      <tp t="s">
        <v>#N/A N/A</v>
        <stp/>
        <stp>BDP|10228489028529172343</stp>
        <tr r="G3589" s="2"/>
      </tp>
      <tp t="s">
        <v>#N/A N/A</v>
        <stp/>
        <stp>BDP|16778860596238299326</stp>
        <tr r="A244" s="2"/>
      </tp>
      <tp t="s">
        <v>#N/A N/A</v>
        <stp/>
        <stp>BDP|17392254865047102854</stp>
        <tr r="A1112" s="2"/>
      </tp>
      <tp t="s">
        <v>#N/A N/A</v>
        <stp/>
        <stp>BDP|11001719118928700399</stp>
        <tr r="C984" s="2"/>
      </tp>
      <tp t="s">
        <v>#N/A N/A</v>
        <stp/>
        <stp>BDP|12084204623066572814</stp>
        <tr r="C4921" s="2"/>
      </tp>
      <tp t="s">
        <v>#N/A N/A</v>
        <stp/>
        <stp>BDP|14130431095096349339</stp>
        <tr r="A4119" s="2"/>
      </tp>
      <tp t="s">
        <v>#N/A N/A</v>
        <stp/>
        <stp>BDP|15925147982408871808</stp>
        <tr r="A2667" s="2"/>
      </tp>
      <tp t="s">
        <v>#N/A N/A</v>
        <stp/>
        <stp>BDP|18443432117496254759</stp>
        <tr r="B2993" s="2"/>
      </tp>
      <tp t="s">
        <v>#N/A N/A</v>
        <stp/>
        <stp>BDP|17088090317508812212</stp>
        <tr r="A2693" s="2"/>
      </tp>
      <tp t="s">
        <v>#N/A N/A</v>
        <stp/>
        <stp>BDP|13216986685049196793</stp>
        <tr r="B3219" s="2"/>
      </tp>
      <tp t="s">
        <v>#N/A N/A</v>
        <stp/>
        <stp>BDP|12488494663978814418</stp>
        <tr r="B3095" s="2"/>
      </tp>
      <tp t="s">
        <v>#N/A N/A</v>
        <stp/>
        <stp>BDP|12310948060234534554</stp>
        <tr r="G3869" s="2"/>
      </tp>
      <tp t="s">
        <v>#N/A N/A</v>
        <stp/>
        <stp>BDP|14152266237341482834</stp>
        <tr r="H4093" s="2"/>
      </tp>
      <tp t="s">
        <v>#N/A N/A</v>
        <stp/>
        <stp>BDP|16556090129531545978</stp>
        <tr r="F1474" s="2"/>
      </tp>
      <tp t="s">
        <v>#N/A N/A</v>
        <stp/>
        <stp>BDP|12680977078445917576</stp>
        <tr r="I3103" s="2"/>
      </tp>
      <tp t="s">
        <v>#N/A N/A</v>
        <stp/>
        <stp>BDP|10701316091745940396</stp>
        <tr r="D587" s="2"/>
      </tp>
      <tp t="s">
        <v>#N/A N/A</v>
        <stp/>
        <stp>BDP|17606068280404362749</stp>
        <tr r="G198" s="2"/>
      </tp>
      <tp t="s">
        <v>#N/A N/A</v>
        <stp/>
        <stp>BDP|13566784088017167737</stp>
        <tr r="I1930" s="2"/>
      </tp>
      <tp t="s">
        <v>#N/A N/A</v>
        <stp/>
        <stp>BDP|18122159511667078328</stp>
        <tr r="H4910" s="2"/>
      </tp>
      <tp t="s">
        <v>#N/A N/A</v>
        <stp/>
        <stp>BDP|12353721299523822371</stp>
        <tr r="H4437" s="2"/>
      </tp>
      <tp t="s">
        <v>#N/A N/A</v>
        <stp/>
        <stp>BDP|15913693680070403730</stp>
        <tr r="F2923" s="2"/>
      </tp>
      <tp t="s">
        <v>#N/A N/A</v>
        <stp/>
        <stp>BDP|17924485804377635846</stp>
        <tr r="A1166" s="2"/>
      </tp>
      <tp t="s">
        <v>#N/A N/A</v>
        <stp/>
        <stp>BDP|13353641490726877685</stp>
        <tr r="H3943" s="2"/>
      </tp>
      <tp t="s">
        <v>#N/A N/A</v>
        <stp/>
        <stp>BDP|15144065426573075862</stp>
        <tr r="H1912" s="2"/>
      </tp>
      <tp t="s">
        <v>#N/A N/A</v>
        <stp/>
        <stp>BDP|16124058981075283702</stp>
        <tr r="A3430" s="2"/>
      </tp>
      <tp t="s">
        <v>#N/A N/A</v>
        <stp/>
        <stp>BDP|16057976081742846990</stp>
        <tr r="D1688" s="2"/>
      </tp>
      <tp t="s">
        <v>#N/A N/A</v>
        <stp/>
        <stp>BDP|17358127893624037757</stp>
        <tr r="C4463" s="2"/>
      </tp>
      <tp t="s">
        <v>#N/A N/A</v>
        <stp/>
        <stp>BDP|12101235762003072972</stp>
        <tr r="A2498" s="2"/>
      </tp>
      <tp t="s">
        <v>#N/A N/A</v>
        <stp/>
        <stp>BDP|18006933655059332120</stp>
        <tr r="B211" s="2"/>
      </tp>
      <tp t="s">
        <v>#N/A N/A</v>
        <stp/>
        <stp>BDP|15784816407216181774</stp>
        <tr r="D670" s="2"/>
      </tp>
      <tp t="s">
        <v>#N/A N/A</v>
        <stp/>
        <stp>BDP|12833704823272822940</stp>
        <tr r="D9" s="2"/>
      </tp>
      <tp t="s">
        <v>#N/A N/A</v>
        <stp/>
        <stp>BDP|13754743684050559054</stp>
        <tr r="I552" s="2"/>
      </tp>
      <tp t="s">
        <v>#N/A N/A</v>
        <stp/>
        <stp>BDP|17253837352202279460</stp>
        <tr r="C1942" s="2"/>
      </tp>
      <tp t="s">
        <v>#N/A N/A</v>
        <stp/>
        <stp>BDP|15641548506214081831</stp>
        <tr r="H4236" s="2"/>
      </tp>
      <tp t="s">
        <v>#N/A N/A</v>
        <stp/>
        <stp>BDP|10828992917615406151</stp>
        <tr r="I20" s="2"/>
      </tp>
      <tp t="s">
        <v>#N/A N/A</v>
        <stp/>
        <stp>BDP|15514731259073161891</stp>
        <tr r="F2099" s="2"/>
      </tp>
      <tp t="s">
        <v>#N/A N/A</v>
        <stp/>
        <stp>BDP|14335222122228764032</stp>
        <tr r="F1256" s="2"/>
      </tp>
      <tp t="s">
        <v>#N/A N/A</v>
        <stp/>
        <stp>BDP|14745800470241269626</stp>
        <tr r="A4085" s="2"/>
      </tp>
      <tp t="s">
        <v>#N/A N/A</v>
        <stp/>
        <stp>BDP|14545414504368569423</stp>
        <tr r="H301" s="2"/>
      </tp>
      <tp t="s">
        <v>#N/A N/A</v>
        <stp/>
        <stp>BDP|11659047276559110320</stp>
        <tr r="G2212" s="2"/>
      </tp>
      <tp t="s">
        <v>#N/A N/A</v>
        <stp/>
        <stp>BDP|13939180782697230160</stp>
        <tr r="D2763" s="2"/>
      </tp>
      <tp t="s">
        <v>#N/A N/A</v>
        <stp/>
        <stp>BDP|12861485467379154513</stp>
        <tr r="A4096" s="2"/>
      </tp>
      <tp t="s">
        <v>#N/A N/A</v>
        <stp/>
        <stp>BDP|15130836616140413073</stp>
        <tr r="H935" s="2"/>
      </tp>
      <tp t="s">
        <v>#N/A N/A</v>
        <stp/>
        <stp>BDP|10002718099482888072</stp>
        <tr r="F655" s="2"/>
      </tp>
      <tp t="s">
        <v>#N/A N/A</v>
        <stp/>
        <stp>BDP|15619930963662924483</stp>
        <tr r="D3455" s="2"/>
      </tp>
      <tp t="s">
        <v>#N/A N/A</v>
        <stp/>
        <stp>BDP|10156454740769279514</stp>
        <tr r="B4312" s="2"/>
      </tp>
      <tp t="s">
        <v>#N/A N/A</v>
        <stp/>
        <stp>BDP|16646024630471781849</stp>
        <tr r="G3405" s="2"/>
      </tp>
      <tp t="s">
        <v>#N/A N/A</v>
        <stp/>
        <stp>BDP|13800346307094956857</stp>
        <tr r="B667" s="2"/>
      </tp>
      <tp t="s">
        <v>#N/A N/A</v>
        <stp/>
        <stp>BDP|12610856165090838090</stp>
        <tr r="F4087" s="2"/>
      </tp>
      <tp t="s">
        <v>#N/A N/A</v>
        <stp/>
        <stp>BDP|14405870562567173169</stp>
        <tr r="D551" s="2"/>
      </tp>
      <tp t="s">
        <v>#N/A N/A</v>
        <stp/>
        <stp>BDP|16562826278415995006</stp>
        <tr r="B3143" s="2"/>
      </tp>
      <tp t="s">
        <v>#N/A N/A</v>
        <stp/>
        <stp>BDP|11054629383052223155</stp>
        <tr r="B2348" s="2"/>
      </tp>
      <tp t="s">
        <v>#N/A N/A</v>
        <stp/>
        <stp>BDP|17118875736648799810</stp>
        <tr r="B2772" s="2"/>
      </tp>
      <tp t="s">
        <v>#N/A N/A</v>
        <stp/>
        <stp>BDP|16238946180962572951</stp>
        <tr r="F1027" s="2"/>
      </tp>
      <tp t="s">
        <v>#N/A N/A</v>
        <stp/>
        <stp>BDP|12498230775469701237</stp>
        <tr r="A4793" s="2"/>
      </tp>
      <tp t="s">
        <v>#N/A N/A</v>
        <stp/>
        <stp>BDP|11710408591995897583</stp>
        <tr r="D713" s="2"/>
      </tp>
      <tp t="s">
        <v>#N/A N/A</v>
        <stp/>
        <stp>BDP|16209248811330085919</stp>
        <tr r="F3763" s="2"/>
      </tp>
      <tp t="s">
        <v>#N/A N/A</v>
        <stp/>
        <stp>BDP|14522867453461780413</stp>
        <tr r="I3" s="2"/>
      </tp>
      <tp t="s">
        <v>#N/A N/A</v>
        <stp/>
        <stp>BDP|17924326228868178242</stp>
        <tr r="A672" s="2"/>
      </tp>
      <tp t="s">
        <v>#N/A N/A</v>
        <stp/>
        <stp>BDP|18244178574746305442</stp>
        <tr r="D1867" s="2"/>
      </tp>
      <tp t="s">
        <v>#N/A N/A</v>
        <stp/>
        <stp>BDP|11865389523795396969</stp>
        <tr r="H2810" s="2"/>
      </tp>
      <tp t="s">
        <v>#N/A N/A</v>
        <stp/>
        <stp>BDP|15326059206389003060</stp>
        <tr r="D362" s="2"/>
      </tp>
      <tp t="s">
        <v>#N/A N/A</v>
        <stp/>
        <stp>BDP|15276310653846121975</stp>
        <tr r="B2811" s="2"/>
      </tp>
      <tp t="s">
        <v>#N/A N/A</v>
        <stp/>
        <stp>BDP|18196344173795539551</stp>
        <tr r="G881" s="2"/>
      </tp>
      <tp t="s">
        <v>#N/A N/A</v>
        <stp/>
        <stp>BDP|10340378634009520536</stp>
        <tr r="A2578" s="2"/>
      </tp>
      <tp t="s">
        <v>#N/A N/A</v>
        <stp/>
        <stp>BDP|17811957362967064391</stp>
        <tr r="C4389" s="2"/>
      </tp>
      <tp t="s">
        <v>#N/A N/A</v>
        <stp/>
        <stp>BDP|10000810390214290953</stp>
        <tr r="G4305" s="2"/>
      </tp>
      <tp t="s">
        <v>#N/A N/A</v>
        <stp/>
        <stp>BDP|12464019703739808787</stp>
        <tr r="G3077" s="2"/>
      </tp>
      <tp t="s">
        <v>#N/A N/A</v>
        <stp/>
        <stp>BDP|14421629112797153836</stp>
        <tr r="C2354" s="2"/>
      </tp>
      <tp t="s">
        <v>#N/A N/A</v>
        <stp/>
        <stp>BDP|12451037300927255931</stp>
        <tr r="D957" s="2"/>
      </tp>
      <tp t="s">
        <v>#N/A N/A</v>
        <stp/>
        <stp>BDP|17086058464238245559</stp>
        <tr r="B739" s="2"/>
      </tp>
      <tp t="s">
        <v>#N/A N/A</v>
        <stp/>
        <stp>BDP|17771753402845725911</stp>
        <tr r="F1497" s="2"/>
      </tp>
      <tp t="s">
        <v>#N/A N/A</v>
        <stp/>
        <stp>BDP|15644848316700751051</stp>
        <tr r="I1481" s="2"/>
      </tp>
      <tp t="s">
        <v>#N/A N/A</v>
        <stp/>
        <stp>BDP|16339825533025203468</stp>
        <tr r="I628" s="2"/>
      </tp>
      <tp t="s">
        <v>#N/A N/A</v>
        <stp/>
        <stp>BDP|18014785979847362344</stp>
        <tr r="F3130" s="2"/>
      </tp>
      <tp t="s">
        <v>#N/A N/A</v>
        <stp/>
        <stp>BDP|13049719686590845092</stp>
        <tr r="F1532" s="2"/>
      </tp>
      <tp t="s">
        <v>#N/A N/A</v>
        <stp/>
        <stp>BDP|17974849433548057880</stp>
        <tr r="B3352" s="2"/>
      </tp>
      <tp t="s">
        <v>#N/A N/A</v>
        <stp/>
        <stp>BDP|18248976781046172338</stp>
        <tr r="F2362" s="2"/>
      </tp>
      <tp t="s">
        <v>#N/A N/A</v>
        <stp/>
        <stp>BDP|11327337453203538809</stp>
        <tr r="C3803" s="2"/>
      </tp>
      <tp t="s">
        <v>#N/A N/A</v>
        <stp/>
        <stp>BDP|14972351913279119388</stp>
        <tr r="F2420" s="2"/>
      </tp>
      <tp t="s">
        <v>#N/A N/A</v>
        <stp/>
        <stp>BDP|15481620731739758566</stp>
        <tr r="G2639" s="2"/>
      </tp>
      <tp t="s">
        <v>#N/A N/A</v>
        <stp/>
        <stp>BDP|16983760417378739494</stp>
        <tr r="C2958" s="2"/>
      </tp>
      <tp t="s">
        <v>#N/A N/A</v>
        <stp/>
        <stp>BDP|14779831873127586043</stp>
        <tr r="C4320" s="2"/>
      </tp>
      <tp t="s">
        <v>#N/A N/A</v>
        <stp/>
        <stp>BDP|13118645572196015818</stp>
        <tr r="B4860" s="2"/>
      </tp>
      <tp t="s">
        <v>#N/A N/A</v>
        <stp/>
        <stp>BDP|13752872181189505625</stp>
        <tr r="D4418" s="2"/>
      </tp>
      <tp t="s">
        <v>#N/A N/A</v>
        <stp/>
        <stp>BDP|10435910044051417031</stp>
        <tr r="C1228" s="2"/>
      </tp>
      <tp t="s">
        <v>#N/A N/A</v>
        <stp/>
        <stp>BDP|14883435171453526898</stp>
        <tr r="H2588" s="2"/>
      </tp>
      <tp t="s">
        <v>#N/A N/A</v>
        <stp/>
        <stp>BDP|14940403938718779704</stp>
        <tr r="D789" s="2"/>
      </tp>
      <tp t="s">
        <v>#N/A N/A</v>
        <stp/>
        <stp>BDP|10656808726496088062</stp>
        <tr r="I275" s="2"/>
      </tp>
      <tp t="s">
        <v>#N/A N/A</v>
        <stp/>
        <stp>BDP|15726917465763474516</stp>
        <tr r="G943" s="2"/>
      </tp>
      <tp t="s">
        <v>#N/A N/A</v>
        <stp/>
        <stp>BDP|12547827200376179005</stp>
        <tr r="G4033" s="2"/>
      </tp>
      <tp t="s">
        <v>#N/A N/A</v>
        <stp/>
        <stp>BDP|12873637642228753485</stp>
        <tr r="D129" s="2"/>
      </tp>
      <tp t="s">
        <v>#N/A N/A</v>
        <stp/>
        <stp>BDP|16384581346673846839</stp>
        <tr r="H1029" s="2"/>
      </tp>
      <tp t="s">
        <v>#N/A N/A</v>
        <stp/>
        <stp>BDP|13346612613690469834</stp>
        <tr r="D1047" s="2"/>
      </tp>
      <tp t="s">
        <v>#N/A N/A</v>
        <stp/>
        <stp>BDP|14516466585665105113</stp>
        <tr r="C4262" s="2"/>
      </tp>
      <tp t="s">
        <v>#N/A N/A</v>
        <stp/>
        <stp>BDP|17328092486166234583</stp>
        <tr r="H1971" s="2"/>
      </tp>
      <tp t="s">
        <v>#N/A N/A</v>
        <stp/>
        <stp>BDP|17873580196152409547</stp>
        <tr r="H802" s="2"/>
      </tp>
      <tp t="s">
        <v>#N/A N/A</v>
        <stp/>
        <stp>BDP|10761625723141248927</stp>
        <tr r="A161" s="2"/>
      </tp>
      <tp t="s">
        <v>#N/A N/A</v>
        <stp/>
        <stp>BDP|10957965776123661196</stp>
        <tr r="I4101" s="2"/>
      </tp>
      <tp t="s">
        <v>#N/A N/A</v>
        <stp/>
        <stp>BDP|13540697836582561890</stp>
        <tr r="H1192" s="2"/>
      </tp>
      <tp t="s">
        <v>#N/A N/A</v>
        <stp/>
        <stp>BDP|16607214356308354542</stp>
        <tr r="C4064" s="2"/>
      </tp>
      <tp t="s">
        <v>#N/A N/A</v>
        <stp/>
        <stp>BDP|13919213900085635886</stp>
        <tr r="C2410" s="2"/>
      </tp>
      <tp t="s">
        <v>#N/A N/A</v>
        <stp/>
        <stp>BDP|14230264285667418537</stp>
        <tr r="F2847" s="2"/>
      </tp>
      <tp t="s">
        <v>#N/A N/A</v>
        <stp/>
        <stp>BDP|16518011482570402242</stp>
        <tr r="F4988" s="2"/>
      </tp>
      <tp t="s">
        <v>#N/A N/A</v>
        <stp/>
        <stp>BDP|13287348644198120054</stp>
        <tr r="C1158" s="2"/>
      </tp>
      <tp t="s">
        <v>#N/A N/A</v>
        <stp/>
        <stp>BDP|11046385403249931747</stp>
        <tr r="F4642" s="2"/>
      </tp>
      <tp t="s">
        <v>#N/A N/A</v>
        <stp/>
        <stp>BDP|17357150140818384632</stp>
        <tr r="A2155" s="2"/>
      </tp>
      <tp t="s">
        <v>#N/A N/A</v>
        <stp/>
        <stp>BDP|18026578719535900518</stp>
        <tr r="I3431" s="2"/>
      </tp>
      <tp t="s">
        <v>#N/A N/A</v>
        <stp/>
        <stp>BDP|10842188046369008009</stp>
        <tr r="C855" s="2"/>
      </tp>
      <tp t="s">
        <v>#N/A N/A</v>
        <stp/>
        <stp>BDP|13438240572372026844</stp>
        <tr r="G3075" s="2"/>
      </tp>
      <tp t="s">
        <v>#N/A N/A</v>
        <stp/>
        <stp>BDP|16572907242677842094</stp>
        <tr r="F2236" s="2"/>
      </tp>
      <tp t="s">
        <v>#N/A N/A</v>
        <stp/>
        <stp>BDP|15359077003238857190</stp>
        <tr r="B1142" s="2"/>
      </tp>
      <tp t="s">
        <v>#N/A N/A</v>
        <stp/>
        <stp>BDP|14179929192830004873</stp>
        <tr r="B2690" s="2"/>
      </tp>
      <tp t="s">
        <v>#N/A N/A</v>
        <stp/>
        <stp>BDP|13054097950538920260</stp>
        <tr r="B3070" s="2"/>
      </tp>
      <tp t="s">
        <v>#N/A N/A</v>
        <stp/>
        <stp>BDP|12847683346029161514</stp>
        <tr r="H4327" s="2"/>
      </tp>
      <tp t="s">
        <v>#N/A N/A</v>
        <stp/>
        <stp>BDP|14952687181802473428</stp>
        <tr r="A522" s="2"/>
      </tp>
      <tp t="s">
        <v>#N/A N/A</v>
        <stp/>
        <stp>BDP|13474922919164084398</stp>
        <tr r="H4562" s="2"/>
      </tp>
      <tp t="s">
        <v>#N/A N/A</v>
        <stp/>
        <stp>BDP|13987008977229112197</stp>
        <tr r="C3127" s="2"/>
      </tp>
      <tp t="s">
        <v>#N/A N/A</v>
        <stp/>
        <stp>BDP|13255327281211463532</stp>
        <tr r="D727" s="2"/>
      </tp>
      <tp t="s">
        <v>#N/A N/A</v>
        <stp/>
        <stp>BDP|12150070650919990291</stp>
        <tr r="G1739" s="2"/>
      </tp>
      <tp t="s">
        <v>#N/A N/A</v>
        <stp/>
        <stp>BDP|12388317995737844398</stp>
        <tr r="A286" s="2"/>
      </tp>
      <tp t="s">
        <v>#N/A N/A</v>
        <stp/>
        <stp>BDP|18265405927551049336</stp>
        <tr r="D359" s="2"/>
      </tp>
      <tp t="s">
        <v>#N/A N/A</v>
        <stp/>
        <stp>BDP|18417620732137641640</stp>
        <tr r="F1307" s="2"/>
      </tp>
      <tp t="s">
        <v>#N/A N/A</v>
        <stp/>
        <stp>BDP|13165065043393826959</stp>
        <tr r="F1485" s="2"/>
      </tp>
      <tp t="s">
        <v>#N/A N/A</v>
        <stp/>
        <stp>BDP|14956507559130916909</stp>
        <tr r="D2847" s="2"/>
      </tp>
      <tp t="s">
        <v>#N/A N/A</v>
        <stp/>
        <stp>BDP|13445872898837022826</stp>
        <tr r="G2783" s="2"/>
      </tp>
      <tp t="s">
        <v>#N/A N/A</v>
        <stp/>
        <stp>BDP|18350418262523025493</stp>
        <tr r="D4618" s="2"/>
      </tp>
      <tp t="s">
        <v>#N/A N/A</v>
        <stp/>
        <stp>BDP|12724963559617964488</stp>
        <tr r="I187" s="2"/>
      </tp>
      <tp t="s">
        <v>#N/A N/A</v>
        <stp/>
        <stp>BDP|18445225577864082488</stp>
        <tr r="D914" s="2"/>
      </tp>
      <tp t="s">
        <v>#N/A N/A</v>
        <stp/>
        <stp>BDP|12189397389497958316</stp>
        <tr r="D1660" s="2"/>
      </tp>
      <tp t="s">
        <v>#N/A N/A</v>
        <stp/>
        <stp>BDP|11280885920101519765</stp>
        <tr r="H4742" s="2"/>
      </tp>
      <tp t="s">
        <v>#N/A N/A</v>
        <stp/>
        <stp>BDP|16909072825981414865</stp>
        <tr r="A1426" s="2"/>
      </tp>
      <tp t="s">
        <v>#N/A N/A</v>
        <stp/>
        <stp>BDP|12470099963408710104</stp>
        <tr r="A1636" s="2"/>
      </tp>
      <tp t="s">
        <v>#N/A N/A</v>
        <stp/>
        <stp>BDP|12885102857409264247</stp>
        <tr r="D1594" s="2"/>
      </tp>
      <tp t="s">
        <v>#N/A N/A</v>
        <stp/>
        <stp>BDP|13599745545595521884</stp>
        <tr r="H3039" s="2"/>
      </tp>
      <tp t="s">
        <v>#N/A N/A</v>
        <stp/>
        <stp>BDP|10301411470026999826</stp>
        <tr r="F508" s="2"/>
      </tp>
      <tp t="s">
        <v>#N/A N/A</v>
        <stp/>
        <stp>BDP|15851098208781760972</stp>
        <tr r="G673" s="2"/>
      </tp>
      <tp t="s">
        <v>#N/A N/A</v>
        <stp/>
        <stp>BDP|16807750742651284940</stp>
        <tr r="I1289" s="2"/>
      </tp>
      <tp t="s">
        <v>#N/A N/A</v>
        <stp/>
        <stp>BDP|16248998966174736030</stp>
        <tr r="G3359" s="2"/>
      </tp>
      <tp t="s">
        <v>#N/A N/A</v>
        <stp/>
        <stp>BDP|16008998729376954603</stp>
        <tr r="G393" s="2"/>
      </tp>
      <tp t="s">
        <v>#N/A N/A</v>
        <stp/>
        <stp>BDP|11445466585082969279</stp>
        <tr r="A3479" s="2"/>
      </tp>
      <tp t="s">
        <v>#N/A N/A</v>
        <stp/>
        <stp>BDP|14447828528021519221</stp>
        <tr r="G79" s="2"/>
      </tp>
      <tp t="s">
        <v>#N/A N/A</v>
        <stp/>
        <stp>BDP|15784885117529805894</stp>
        <tr r="C2456" s="2"/>
      </tp>
      <tp t="s">
        <v>#N/A N/A</v>
        <stp/>
        <stp>BDP|18383807135817854971</stp>
        <tr r="B1075" s="2"/>
      </tp>
      <tp t="s">
        <v>#N/A N/A</v>
        <stp/>
        <stp>BDP|14550072584040828177</stp>
        <tr r="B4345" s="2"/>
      </tp>
      <tp t="s">
        <v>#N/A N/A</v>
        <stp/>
        <stp>BDP|18409374330570254586</stp>
        <tr r="C2366" s="2"/>
      </tp>
      <tp t="s">
        <v>#N/A N/A</v>
        <stp/>
        <stp>BDP|11722054534577709883</stp>
        <tr r="C2675" s="2"/>
      </tp>
      <tp t="s">
        <v>#N/A N/A</v>
        <stp/>
        <stp>BDP|13170884981578439655</stp>
        <tr r="I666" s="2"/>
      </tp>
      <tp t="s">
        <v>#N/A N/A</v>
        <stp/>
        <stp>BDP|17538125029688236153</stp>
        <tr r="F1844" s="2"/>
      </tp>
      <tp t="s">
        <v>#N/A N/A</v>
        <stp/>
        <stp>BDP|12830018348148940319</stp>
        <tr r="B1806" s="2"/>
      </tp>
      <tp t="s">
        <v>#N/A N/A</v>
        <stp/>
        <stp>BDP|10076837267374903744</stp>
        <tr r="B3439" s="2"/>
      </tp>
      <tp t="s">
        <v>#N/A N/A</v>
        <stp/>
        <stp>BDP|15616619489945136365</stp>
        <tr r="C558" s="2"/>
      </tp>
      <tp t="s">
        <v>#N/A N/A</v>
        <stp/>
        <stp>BDP|11289632468214961898</stp>
        <tr r="I584" s="2"/>
      </tp>
      <tp t="s">
        <v>#N/A N/A</v>
        <stp/>
        <stp>BDP|13619783598467974767</stp>
        <tr r="I3254" s="2"/>
      </tp>
      <tp t="s">
        <v>#N/A N/A</v>
        <stp/>
        <stp>BDP|15954540909644430996</stp>
        <tr r="F4092" s="2"/>
      </tp>
      <tp t="s">
        <v>#N/A N/A</v>
        <stp/>
        <stp>BDP|17216837023005883538</stp>
        <tr r="C3269" s="2"/>
      </tp>
      <tp t="s">
        <v>#N/A N/A</v>
        <stp/>
        <stp>BDP|10285289380770766746</stp>
        <tr r="I3272" s="2"/>
      </tp>
      <tp t="s">
        <v>#N/A N/A</v>
        <stp/>
        <stp>BDP|14425427122348472797</stp>
        <tr r="C2891" s="2"/>
      </tp>
      <tp t="s">
        <v>#N/A N/A</v>
        <stp/>
        <stp>BDP|17008295400018841084</stp>
        <tr r="F1141" s="2"/>
      </tp>
      <tp t="s">
        <v>#N/A N/A</v>
        <stp/>
        <stp>BDP|14219695833275520941</stp>
        <tr r="G1315" s="2"/>
      </tp>
      <tp t="s">
        <v>#N/A N/A</v>
        <stp/>
        <stp>BDP|16654789494157793241</stp>
        <tr r="F3927" s="2"/>
      </tp>
      <tp t="s">
        <v>#N/A N/A</v>
        <stp/>
        <stp>BDP|13499771008880700955</stp>
        <tr r="A1618" s="2"/>
      </tp>
      <tp t="s">
        <v>#N/A N/A</v>
        <stp/>
        <stp>BDP|17493816813861671294</stp>
        <tr r="B3729" s="2"/>
      </tp>
      <tp t="s">
        <v>#N/A N/A</v>
        <stp/>
        <stp>BDP|15552951610759118986</stp>
        <tr r="I115" s="2"/>
      </tp>
      <tp t="s">
        <v>#N/A N/A</v>
        <stp/>
        <stp>BDP|11644283389585774391</stp>
        <tr r="B2218" s="2"/>
      </tp>
      <tp t="s">
        <v>#N/A N/A</v>
        <stp/>
        <stp>BDP|17052285624088308264</stp>
        <tr r="C305" s="2"/>
      </tp>
      <tp t="s">
        <v>#N/A N/A</v>
        <stp/>
        <stp>BDP|14501849276150687684</stp>
        <tr r="G2672" s="2"/>
      </tp>
      <tp t="s">
        <v>#N/A N/A</v>
        <stp/>
        <stp>BDP|13575786464748298734</stp>
        <tr r="B3167" s="2"/>
      </tp>
      <tp t="s">
        <v>#N/A N/A</v>
        <stp/>
        <stp>BDP|10497357424335975941</stp>
        <tr r="C4120" s="2"/>
      </tp>
      <tp t="s">
        <v>#N/A N/A</v>
        <stp/>
        <stp>BDP|14614814087611913819</stp>
        <tr r="G3623" s="2"/>
      </tp>
      <tp t="s">
        <v>#N/A N/A</v>
        <stp/>
        <stp>BDP|17572210037438910329</stp>
        <tr r="I2898" s="2"/>
      </tp>
      <tp t="s">
        <v>#N/A N/A</v>
        <stp/>
        <stp>BDP|11020314338335183906</stp>
        <tr r="H4095" s="2"/>
      </tp>
      <tp t="s">
        <v>#N/A N/A</v>
        <stp/>
        <stp>BDP|14242838569635377236</stp>
        <tr r="F1749" s="2"/>
      </tp>
      <tp t="s">
        <v>#N/A N/A</v>
        <stp/>
        <stp>BDP|14757763125828408484</stp>
        <tr r="F4835" s="2"/>
      </tp>
      <tp t="s">
        <v>#N/A N/A</v>
        <stp/>
        <stp>BDP|17805725873902557843</stp>
        <tr r="C2428" s="2"/>
      </tp>
      <tp t="s">
        <v>#N/A N/A</v>
        <stp/>
        <stp>BDP|14736718036558147590</stp>
        <tr r="B1257" s="2"/>
      </tp>
      <tp t="s">
        <v>#N/A N/A</v>
        <stp/>
        <stp>BDP|14930276203368594305</stp>
        <tr r="A1861" s="2"/>
      </tp>
      <tp t="s">
        <v>#N/A N/A</v>
        <stp/>
        <stp>BDP|14988986009348944890</stp>
        <tr r="D1243" s="2"/>
      </tp>
      <tp t="s">
        <v>#N/A N/A</v>
        <stp/>
        <stp>BDP|15797450923267970905</stp>
        <tr r="B545" s="2"/>
      </tp>
      <tp t="s">
        <v>#N/A N/A</v>
        <stp/>
        <stp>BDP|10871195098896072314</stp>
        <tr r="I3153" s="2"/>
      </tp>
      <tp t="s">
        <v>#N/A N/A</v>
        <stp/>
        <stp>BDP|11291703168018508572</stp>
        <tr r="F2278" s="2"/>
      </tp>
      <tp t="s">
        <v>#N/A N/A</v>
        <stp/>
        <stp>BDP|15665967705815939442</stp>
        <tr r="I2323" s="2"/>
      </tp>
      <tp t="s">
        <v>#N/A N/A</v>
        <stp/>
        <stp>BDP|10674740653857026895</stp>
        <tr r="F1846" s="2"/>
      </tp>
      <tp t="s">
        <v>#N/A N/A</v>
        <stp/>
        <stp>BDP|10058761758499516639</stp>
        <tr r="F1799" s="2"/>
      </tp>
      <tp t="s">
        <v>#N/A N/A</v>
        <stp/>
        <stp>BDP|13242798519381933933</stp>
        <tr r="F1374" s="2"/>
      </tp>
      <tp t="s">
        <v>#N/A N/A</v>
        <stp/>
        <stp>BDP|10904664280951143266</stp>
        <tr r="C4126" s="2"/>
      </tp>
      <tp t="s">
        <v>#N/A N/A</v>
        <stp/>
        <stp>BDP|11706368569400960995</stp>
        <tr r="I2142" s="2"/>
      </tp>
      <tp t="s">
        <v>#N/A N/A</v>
        <stp/>
        <stp>BDP|11441929025314358385</stp>
        <tr r="F4152" s="2"/>
      </tp>
      <tp t="s">
        <v>#N/A N/A</v>
        <stp/>
        <stp>BDP|13704468282065943722</stp>
        <tr r="I2737" s="2"/>
      </tp>
      <tp t="s">
        <v>#N/A N/A</v>
        <stp/>
        <stp>BDP|15756269277008968577</stp>
        <tr r="H4873" s="2"/>
      </tp>
      <tp t="s">
        <v>#N/A N/A</v>
        <stp/>
        <stp>BDP|12063438175175630981</stp>
        <tr r="D1345" s="2"/>
      </tp>
      <tp t="s">
        <v>#N/A N/A</v>
        <stp/>
        <stp>BDP|14087985051415011015</stp>
        <tr r="F3402" s="2"/>
      </tp>
      <tp t="s">
        <v>#N/A N/A</v>
        <stp/>
        <stp>BDP|13180890421594151004</stp>
        <tr r="I4545" s="2"/>
      </tp>
      <tp t="s">
        <v>#N/A N/A</v>
        <stp/>
        <stp>BDP|16635437923944896968</stp>
        <tr r="D1015" s="2"/>
      </tp>
      <tp t="s">
        <v>#N/A N/A</v>
        <stp/>
        <stp>BDP|18220749118467663405</stp>
        <tr r="I2199" s="2"/>
      </tp>
      <tp t="s">
        <v>#N/A N/A</v>
        <stp/>
        <stp>BDP|13212069493300601797</stp>
        <tr r="A760" s="2"/>
      </tp>
      <tp t="s">
        <v>#N/A N/A</v>
        <stp/>
        <stp>BDP|10348989341787515777</stp>
        <tr r="C3305" s="2"/>
      </tp>
      <tp t="s">
        <v>#N/A N/A</v>
        <stp/>
        <stp>BDP|10502880878401867351</stp>
        <tr r="A867" s="2"/>
      </tp>
      <tp t="s">
        <v>#N/A N/A</v>
        <stp/>
        <stp>BDP|13286464182081963379</stp>
        <tr r="G3305" s="2"/>
      </tp>
      <tp t="s">
        <v>#N/A N/A</v>
        <stp/>
        <stp>BDP|15642078942968234495</stp>
        <tr r="G2471" s="2"/>
      </tp>
      <tp t="s">
        <v>#N/A N/A</v>
        <stp/>
        <stp>BDP|16639950618522119124</stp>
        <tr r="H1888" s="2"/>
      </tp>
      <tp t="s">
        <v>#N/A N/A</v>
        <stp/>
        <stp>BDP|17248357289332509333</stp>
        <tr r="B3169" s="2"/>
      </tp>
      <tp t="s">
        <v>#N/A N/A</v>
        <stp/>
        <stp>BDP|14147680895960685627</stp>
        <tr r="F677" s="2"/>
      </tp>
      <tp t="s">
        <v>#N/A N/A</v>
        <stp/>
        <stp>BDP|17846607772938289300</stp>
        <tr r="I4055" s="2"/>
      </tp>
      <tp t="s">
        <v>#N/A N/A</v>
        <stp/>
        <stp>BDP|11753881053787141655</stp>
        <tr r="I2617" s="2"/>
      </tp>
      <tp t="s">
        <v>#N/A N/A</v>
        <stp/>
        <stp>BDP|17576367732602024896</stp>
        <tr r="F3582" s="2"/>
      </tp>
      <tp t="s">
        <v>#N/A N/A</v>
        <stp/>
        <stp>BDP|17815739170182039838</stp>
        <tr r="G2577" s="2"/>
      </tp>
      <tp t="s">
        <v>#N/A N/A</v>
        <stp/>
        <stp>BDP|13070375289261102472</stp>
        <tr r="C3599" s="2"/>
      </tp>
      <tp t="s">
        <v>#N/A N/A</v>
        <stp/>
        <stp>BDP|15282223697506868579</stp>
        <tr r="H4982" s="2"/>
      </tp>
      <tp t="s">
        <v>#N/A N/A</v>
        <stp/>
        <stp>BDP|10137112107219918563</stp>
        <tr r="D3764" s="2"/>
      </tp>
      <tp t="s">
        <v>#N/A N/A</v>
        <stp/>
        <stp>BDP|14654863998728734073</stp>
        <tr r="C3831" s="2"/>
      </tp>
      <tp t="s">
        <v>#N/A N/A</v>
        <stp/>
        <stp>BDP|12417156698563256436</stp>
        <tr r="I4999" s="2"/>
      </tp>
      <tp t="s">
        <v>#N/A N/A</v>
        <stp/>
        <stp>BDP|11507343639368950495</stp>
        <tr r="D2488" s="2"/>
      </tp>
      <tp t="s">
        <v>#N/A N/A</v>
        <stp/>
        <stp>BDP|12588162910856254997</stp>
        <tr r="F638" s="2"/>
      </tp>
      <tp t="s">
        <v>#N/A N/A</v>
        <stp/>
        <stp>BDP|13913868364933540364</stp>
        <tr r="I1605" s="2"/>
      </tp>
      <tp t="s">
        <v>#N/A N/A</v>
        <stp/>
        <stp>BDP|18195108138151972687</stp>
        <tr r="B724" s="2"/>
      </tp>
      <tp t="s">
        <v>#N/A N/A</v>
        <stp/>
        <stp>BDP|15821472687646541252</stp>
        <tr r="I168" s="2"/>
      </tp>
      <tp t="s">
        <v>#N/A N/A</v>
        <stp/>
        <stp>BDP|15578241768638571440</stp>
        <tr r="C4429" s="2"/>
      </tp>
      <tp t="s">
        <v>#N/A N/A</v>
        <stp/>
        <stp>BDP|11324981308653367684</stp>
        <tr r="H3800" s="2"/>
      </tp>
      <tp t="s">
        <v>#N/A N/A</v>
        <stp/>
        <stp>BDP|13823362787262832796</stp>
        <tr r="D2190" s="2"/>
      </tp>
      <tp t="s">
        <v>#N/A N/A</v>
        <stp/>
        <stp>BDP|11308499782045380537</stp>
        <tr r="F3624" s="2"/>
      </tp>
      <tp t="s">
        <v>#N/A N/A</v>
        <stp/>
        <stp>BDP|11467922840617609684</stp>
        <tr r="H2304" s="2"/>
      </tp>
      <tp t="s">
        <v>#N/A N/A</v>
        <stp/>
        <stp>BDP|10025592549445868907</stp>
        <tr r="D135" s="2"/>
      </tp>
      <tp t="s">
        <v>#N/A N/A</v>
        <stp/>
        <stp>BDP|10136937990848398590</stp>
        <tr r="H2557" s="2"/>
      </tp>
      <tp t="s">
        <v>#N/A N/A</v>
        <stp/>
        <stp>BDP|15418136879099654706</stp>
        <tr r="F1018" s="2"/>
      </tp>
      <tp t="s">
        <v>#N/A N/A</v>
        <stp/>
        <stp>BDP|15948533594093538730</stp>
        <tr r="B3043" s="2"/>
      </tp>
      <tp t="s">
        <v>#N/A N/A</v>
        <stp/>
        <stp>BDP|10956122895614420127</stp>
        <tr r="A1853" s="2"/>
      </tp>
      <tp t="s">
        <v>#N/A N/A</v>
        <stp/>
        <stp>BDP|13043846702185962371</stp>
        <tr r="F4956" s="2"/>
      </tp>
      <tp t="s">
        <v>#N/A N/A</v>
        <stp/>
        <stp>BDP|16578186696862248124</stp>
        <tr r="I3047" s="2"/>
      </tp>
      <tp t="s">
        <v>#N/A N/A</v>
        <stp/>
        <stp>BDP|11607767218383552969</stp>
        <tr r="A4448" s="2"/>
      </tp>
      <tp t="s">
        <v>#N/A N/A</v>
        <stp/>
        <stp>BDP|10996110487001469507</stp>
        <tr r="A4852" s="2"/>
      </tp>
      <tp t="s">
        <v>#N/A N/A</v>
        <stp/>
        <stp>BDP|14533649992277888108</stp>
        <tr r="D4128" s="2"/>
      </tp>
      <tp t="s">
        <v>#N/A N/A</v>
        <stp/>
        <stp>BDP|16701995044464780261</stp>
        <tr r="A1189" s="2"/>
      </tp>
      <tp t="s">
        <v>#N/A N/A</v>
        <stp/>
        <stp>BDP|13551515918072775808</stp>
        <tr r="C2269" s="2"/>
      </tp>
      <tp t="s">
        <v>#N/A N/A</v>
        <stp/>
        <stp>BDP|16240870537801860115</stp>
        <tr r="D1440" s="2"/>
      </tp>
      <tp t="s">
        <v>#N/A N/A</v>
        <stp/>
        <stp>BDP|11143424774036876948</stp>
        <tr r="C1024" s="2"/>
      </tp>
      <tp t="s">
        <v>#N/A N/A</v>
        <stp/>
        <stp>BDP|17999872527557718750</stp>
        <tr r="C3892" s="2"/>
      </tp>
      <tp t="s">
        <v>#N/A N/A</v>
        <stp/>
        <stp>BDP|14361812935253802148</stp>
        <tr r="C3545" s="2"/>
      </tp>
      <tp t="s">
        <v>#N/A N/A</v>
        <stp/>
        <stp>BDP|15622743539235841989</stp>
        <tr r="A2911" s="2"/>
      </tp>
      <tp t="s">
        <v>#N/A N/A</v>
        <stp/>
        <stp>BDP|10493276194234504290</stp>
        <tr r="G3936" s="2"/>
      </tp>
      <tp t="s">
        <v>#N/A N/A</v>
        <stp/>
        <stp>BDP|11899687784753619195</stp>
        <tr r="I4680" s="2"/>
      </tp>
      <tp t="s">
        <v>#N/A N/A</v>
        <stp/>
        <stp>BDP|11524972234687994143</stp>
        <tr r="C4924" s="2"/>
      </tp>
      <tp t="s">
        <v>#N/A N/A</v>
        <stp/>
        <stp>BDP|13174614487885839544</stp>
        <tr r="C1231" s="2"/>
      </tp>
      <tp t="s">
        <v>#N/A N/A</v>
        <stp/>
        <stp>BDP|10888315967551454911</stp>
        <tr r="A4060" s="2"/>
      </tp>
      <tp t="s">
        <v>#N/A N/A</v>
        <stp/>
        <stp>BDP|17157276459114170959</stp>
        <tr r="I488" s="2"/>
      </tp>
      <tp t="s">
        <v>#N/A N/A</v>
        <stp/>
        <stp>BDP|10230610921950918908</stp>
        <tr r="D1565" s="2"/>
      </tp>
      <tp t="s">
        <v>#N/A N/A</v>
        <stp/>
        <stp>BDP|16377404045149576287</stp>
        <tr r="D4166" s="2"/>
      </tp>
      <tp t="s">
        <v>#N/A N/A</v>
        <stp/>
        <stp>BDP|12242616328733115816</stp>
        <tr r="F481" s="2"/>
      </tp>
      <tp t="s">
        <v>#N/A N/A</v>
        <stp/>
        <stp>BDP|14118821844557404287</stp>
        <tr r="G2008" s="2"/>
      </tp>
      <tp t="s">
        <v>#N/A N/A</v>
        <stp/>
        <stp>BDP|14184104666847927954</stp>
        <tr r="A2745" s="2"/>
      </tp>
      <tp t="s">
        <v>#N/A N/A</v>
        <stp/>
        <stp>BDP|17894156203339384266</stp>
        <tr r="F1359" s="2"/>
      </tp>
      <tp t="s">
        <v>#N/A N/A</v>
        <stp/>
        <stp>BDP|12020393184446535234</stp>
        <tr r="I4974" s="2"/>
      </tp>
      <tp t="s">
        <v>#N/A N/A</v>
        <stp/>
        <stp>BDP|13358889012017446069</stp>
        <tr r="H3244" s="2"/>
      </tp>
      <tp t="s">
        <v>#N/A N/A</v>
        <stp/>
        <stp>BDP|14538994404725141525</stp>
        <tr r="I4410" s="2"/>
      </tp>
      <tp t="s">
        <v>#N/A N/A</v>
        <stp/>
        <stp>BDP|10939137701365932995</stp>
        <tr r="D4006" s="2"/>
      </tp>
      <tp t="s">
        <v>#N/A N/A</v>
        <stp/>
        <stp>BDP|11751881578307813447</stp>
        <tr r="G3907" s="2"/>
      </tp>
      <tp t="s">
        <v>#N/A N/A</v>
        <stp/>
        <stp>BDP|13203097043692319801</stp>
        <tr r="I66" s="2"/>
      </tp>
      <tp t="s">
        <v>#N/A N/A</v>
        <stp/>
        <stp>BDP|13996131565849318071</stp>
        <tr r="D4101" s="2"/>
      </tp>
      <tp t="s">
        <v>#N/A N/A</v>
        <stp/>
        <stp>BDP|12428995526035839184</stp>
        <tr r="I3784" s="2"/>
      </tp>
      <tp t="s">
        <v>#N/A N/A</v>
        <stp/>
        <stp>BDP|13265435779135427870</stp>
        <tr r="D3281" s="2"/>
      </tp>
      <tp t="s">
        <v>#N/A N/A</v>
        <stp/>
        <stp>BDP|11930981530041350797</stp>
        <tr r="C3890" s="2"/>
      </tp>
      <tp t="s">
        <v>#N/A N/A</v>
        <stp/>
        <stp>BDP|16960212052149865593</stp>
        <tr r="H1378" s="2"/>
      </tp>
      <tp t="s">
        <v>#N/A N/A</v>
        <stp/>
        <stp>BDP|16964356723368429206</stp>
        <tr r="G2859" s="2"/>
      </tp>
      <tp t="s">
        <v>#N/A N/A</v>
        <stp/>
        <stp>BDP|10023553413798515180</stp>
        <tr r="A2524" s="2"/>
      </tp>
      <tp t="s">
        <v>#N/A N/A</v>
        <stp/>
        <stp>BDP|17213382686578744905</stp>
        <tr r="H3678" s="2"/>
      </tp>
      <tp t="s">
        <v>#N/A N/A</v>
        <stp/>
        <stp>BDP|10519708544886914837</stp>
        <tr r="I1910" s="2"/>
      </tp>
      <tp t="s">
        <v>#N/A N/A</v>
        <stp/>
        <stp>BDP|12542080626774800984</stp>
        <tr r="H4008" s="2"/>
      </tp>
      <tp t="s">
        <v>#N/A N/A</v>
        <stp/>
        <stp>BDP|15452190234573564971</stp>
        <tr r="F4504" s="2"/>
      </tp>
      <tp t="s">
        <v>#N/A N/A</v>
        <stp/>
        <stp>BDP|11613338422935469880</stp>
        <tr r="A980" s="2"/>
      </tp>
      <tp t="s">
        <v>#N/A N/A</v>
        <stp/>
        <stp>BDP|15827136981461456053</stp>
        <tr r="D165" s="2"/>
      </tp>
      <tp t="s">
        <v>#N/A N/A</v>
        <stp/>
        <stp>BDP|13599920273890969061</stp>
        <tr r="H3019" s="2"/>
      </tp>
      <tp t="s">
        <v>#N/A N/A</v>
        <stp/>
        <stp>BDP|16300896978330170484</stp>
        <tr r="I4634" s="2"/>
      </tp>
      <tp t="s">
        <v>#N/A N/A</v>
        <stp/>
        <stp>BDP|15120112748264348903</stp>
        <tr r="D3742" s="2"/>
      </tp>
      <tp t="s">
        <v>#N/A N/A</v>
        <stp/>
        <stp>BDP|13582906309884743307</stp>
        <tr r="D1008" s="2"/>
      </tp>
      <tp t="s">
        <v>#N/A N/A</v>
        <stp/>
        <stp>BDP|18395691280739135209</stp>
        <tr r="C3747" s="2"/>
      </tp>
      <tp t="s">
        <v>#N/A N/A</v>
        <stp/>
        <stp>BDP|16535602893122865652</stp>
        <tr r="I1433" s="2"/>
      </tp>
      <tp t="s">
        <v>#N/A N/A</v>
        <stp/>
        <stp>BDP|18121982766158309275</stp>
        <tr r="I1679" s="2"/>
      </tp>
      <tp t="s">
        <v>#N/A N/A</v>
        <stp/>
        <stp>BDP|10723082693216217257</stp>
        <tr r="D1830" s="2"/>
      </tp>
      <tp t="s">
        <v>#N/A N/A</v>
        <stp/>
        <stp>BDP|13599487186157741560</stp>
        <tr r="H2964" s="2"/>
      </tp>
      <tp t="s">
        <v>#N/A N/A</v>
        <stp/>
        <stp>BDP|15549395864025097823</stp>
        <tr r="G1230" s="2"/>
      </tp>
      <tp t="s">
        <v>#N/A N/A</v>
        <stp/>
        <stp>BDP|18182323164262873255</stp>
        <tr r="B4031" s="2"/>
      </tp>
      <tp t="s">
        <v>#N/A N/A</v>
        <stp/>
        <stp>BDP|10771061897521980551</stp>
        <tr r="G1948" s="2"/>
      </tp>
      <tp t="s">
        <v>#N/A N/A</v>
        <stp/>
        <stp>BDP|15685751880137925000</stp>
        <tr r="F4462" s="2"/>
      </tp>
      <tp t="s">
        <v>#N/A N/A</v>
        <stp/>
        <stp>BDP|12576496257869215732</stp>
        <tr r="B947" s="2"/>
      </tp>
      <tp t="s">
        <v>#N/A N/A</v>
        <stp/>
        <stp>BDP|10207581290739085804</stp>
        <tr r="B2398" s="2"/>
      </tp>
      <tp t="s">
        <v>#N/A N/A</v>
        <stp/>
        <stp>BDP|14887829465012592501</stp>
        <tr r="I3733" s="2"/>
      </tp>
      <tp t="s">
        <v>#N/A N/A</v>
        <stp/>
        <stp>BDP|14873340933500122948</stp>
        <tr r="I3780" s="2"/>
      </tp>
      <tp t="s">
        <v>#N/A N/A</v>
        <stp/>
        <stp>BDP|10208390880673792567</stp>
        <tr r="I3365" s="2"/>
      </tp>
      <tp t="s">
        <v>#N/A N/A</v>
        <stp/>
        <stp>BDP|16004745493914906144</stp>
        <tr r="I1384" s="2"/>
      </tp>
      <tp t="s">
        <v>#N/A N/A</v>
        <stp/>
        <stp>BDP|18329001639912377432</stp>
        <tr r="I1842" s="2"/>
      </tp>
      <tp t="s">
        <v>#N/A N/A</v>
        <stp/>
        <stp>BDP|18109123066073684194</stp>
        <tr r="F1807" s="2"/>
      </tp>
      <tp t="s">
        <v>#N/A N/A</v>
        <stp/>
        <stp>BDP|12758256989105682075</stp>
        <tr r="A4662" s="2"/>
      </tp>
      <tp t="s">
        <v>#N/A N/A</v>
        <stp/>
        <stp>BDP|16969966125389184915</stp>
        <tr r="C1573" s="2"/>
      </tp>
      <tp t="s">
        <v>#N/A N/A</v>
        <stp/>
        <stp>BDP|18415930683824971070</stp>
        <tr r="F4646" s="2"/>
      </tp>
      <tp t="s">
        <v>#N/A N/A</v>
        <stp/>
        <stp>BDP|15849566523118082776</stp>
        <tr r="C2826" s="2"/>
      </tp>
      <tp t="s">
        <v>#N/A N/A</v>
        <stp/>
        <stp>BDP|14744857239791591340</stp>
        <tr r="H2968" s="2"/>
      </tp>
      <tp t="s">
        <v>#N/A N/A</v>
        <stp/>
        <stp>BDP|13767388771612256860</stp>
        <tr r="I2048" s="2"/>
      </tp>
      <tp t="s">
        <v>#N/A N/A</v>
        <stp/>
        <stp>BDP|10795735860394925870</stp>
        <tr r="I1588" s="2"/>
      </tp>
      <tp t="s">
        <v>#N/A N/A</v>
        <stp/>
        <stp>BDP|14398843310848590887</stp>
        <tr r="G1407" s="2"/>
      </tp>
      <tp t="s">
        <v>#N/A N/A</v>
        <stp/>
        <stp>BDP|11881370133535317950</stp>
        <tr r="B1931" s="2"/>
      </tp>
      <tp t="s">
        <v>#N/A N/A</v>
        <stp/>
        <stp>BDP|14448409603898503589</stp>
        <tr r="D3477" s="2"/>
      </tp>
      <tp t="s">
        <v>#N/A N/A</v>
        <stp/>
        <stp>BDP|11003075359819521013</stp>
        <tr r="G1984" s="2"/>
      </tp>
      <tp t="s">
        <v>#N/A N/A</v>
        <stp/>
        <stp>BDP|14937511982762545652</stp>
        <tr r="D831" s="2"/>
      </tp>
      <tp t="s">
        <v>#N/A N/A</v>
        <stp/>
        <stp>BDP|12064594808319860335</stp>
        <tr r="C3168" s="2"/>
      </tp>
      <tp t="s">
        <v>#N/A N/A</v>
        <stp/>
        <stp>BDP|10502202888410224756</stp>
        <tr r="H1870" s="2"/>
      </tp>
      <tp t="s">
        <v>#N/A N/A</v>
        <stp/>
        <stp>BDP|17379701599166565253</stp>
        <tr r="F4655" s="2"/>
      </tp>
      <tp t="s">
        <v>#N/A N/A</v>
        <stp/>
        <stp>BDP|12994312393383397623</stp>
        <tr r="A418" s="2"/>
      </tp>
      <tp t="s">
        <v>#N/A N/A</v>
        <stp/>
        <stp>BDP|12574297993042573605</stp>
        <tr r="D3055" s="2"/>
      </tp>
      <tp t="s">
        <v>#N/A N/A</v>
        <stp/>
        <stp>BDP|17570895821456127666</stp>
        <tr r="A4976" s="2"/>
      </tp>
      <tp t="s">
        <v>#N/A N/A</v>
        <stp/>
        <stp>BDP|13014276539107525816</stp>
        <tr r="F2755" s="2"/>
      </tp>
      <tp t="s">
        <v>#N/A N/A</v>
        <stp/>
        <stp>BDP|16794388457755407864</stp>
        <tr r="A2442" s="2"/>
      </tp>
      <tp t="s">
        <v>#N/A N/A</v>
        <stp/>
        <stp>BDP|16246940174982847708</stp>
        <tr r="B2423" s="2"/>
      </tp>
      <tp t="s">
        <v>#N/A N/A</v>
        <stp/>
        <stp>BDP|17729205633449643286</stp>
        <tr r="A2328" s="2"/>
      </tp>
      <tp t="s">
        <v>#N/A N/A</v>
        <stp/>
        <stp>BDP|11357533518140767850</stp>
        <tr r="A1620" s="2"/>
      </tp>
      <tp t="s">
        <v>#N/A N/A</v>
        <stp/>
        <stp>BDP|13830888159181739248</stp>
        <tr r="D602" s="2"/>
      </tp>
      <tp t="s">
        <v>#N/A N/A</v>
        <stp/>
        <stp>BDP|12845548471824370942</stp>
        <tr r="F3566" s="2"/>
      </tp>
      <tp t="s">
        <v>#N/A N/A</v>
        <stp/>
        <stp>BDP|17161116450286959837</stp>
        <tr r="C4972" s="2"/>
      </tp>
      <tp t="s">
        <v>#N/A N/A</v>
        <stp/>
        <stp>BDP|10676090523438000763</stp>
        <tr r="F3575" s="2"/>
      </tp>
      <tp t="s">
        <v>#N/A N/A</v>
        <stp/>
        <stp>BDP|14976201556298179643</stp>
        <tr r="A2047" s="2"/>
      </tp>
      <tp t="s">
        <v>#N/A N/A</v>
        <stp/>
        <stp>BDP|13418434008252714821</stp>
        <tr r="C3926" s="2"/>
      </tp>
      <tp t="s">
        <v>#N/A N/A</v>
        <stp/>
        <stp>BDP|14428873617041871161</stp>
        <tr r="F1272" s="2"/>
      </tp>
      <tp t="s">
        <v>#N/A N/A</v>
        <stp/>
        <stp>BDP|10239807932112836421</stp>
        <tr r="I910" s="2"/>
      </tp>
      <tp t="s">
        <v>#N/A N/A</v>
        <stp/>
        <stp>BDP|14223516978152178905</stp>
        <tr r="I1745" s="2"/>
      </tp>
      <tp t="s">
        <v>#N/A N/A</v>
        <stp/>
        <stp>BDP|17433895554871506669</stp>
        <tr r="G3045" s="2"/>
      </tp>
      <tp t="s">
        <v>#N/A N/A</v>
        <stp/>
        <stp>BDP|12425472738571424950</stp>
        <tr r="C911" s="2"/>
      </tp>
      <tp t="s">
        <v>#N/A N/A</v>
        <stp/>
        <stp>BDP|12132463889437124450</stp>
        <tr r="B447" s="2"/>
      </tp>
      <tp t="s">
        <v>#N/A N/A</v>
        <stp/>
        <stp>BDP|10252597210191970882</stp>
        <tr r="C153" s="2"/>
      </tp>
      <tp t="s">
        <v>#N/A N/A</v>
        <stp/>
        <stp>BDP|13052925479099315927</stp>
        <tr r="C2034" s="2"/>
      </tp>
      <tp t="s">
        <v>#N/A N/A</v>
        <stp/>
        <stp>BDP|16120043858188376641</stp>
        <tr r="H3892" s="2"/>
      </tp>
      <tp t="s">
        <v>#N/A N/A</v>
        <stp/>
        <stp>BDP|10847448885785079439</stp>
        <tr r="I2400" s="2"/>
      </tp>
      <tp t="s">
        <v>#N/A N/A</v>
        <stp/>
        <stp>BDP|18026028174891450382</stp>
        <tr r="F1006" s="2"/>
      </tp>
      <tp t="s">
        <v>#N/A N/A</v>
        <stp/>
        <stp>BDP|11790509939683018943</stp>
        <tr r="A3703" s="2"/>
      </tp>
      <tp t="s">
        <v>#N/A N/A</v>
        <stp/>
        <stp>BDP|15439846699790163920</stp>
        <tr r="H1200" s="2"/>
      </tp>
      <tp t="s">
        <v>#N/A N/A</v>
        <stp/>
        <stp>BDP|13829316947461622826</stp>
        <tr r="D4025" s="2"/>
      </tp>
      <tp t="s">
        <v>#N/A N/A</v>
        <stp/>
        <stp>BDP|11430398163218153158</stp>
        <tr r="C3860" s="2"/>
      </tp>
      <tp t="s">
        <v>#N/A N/A</v>
        <stp/>
        <stp>BDP|12659171938459699422</stp>
        <tr r="D4185" s="2"/>
      </tp>
      <tp t="s">
        <v>#N/A N/A</v>
        <stp/>
        <stp>BDP|10855218281513178444</stp>
        <tr r="F56" s="2"/>
      </tp>
      <tp t="s">
        <v>#N/A N/A</v>
        <stp/>
        <stp>BDP|16164728885922896635</stp>
        <tr r="H266" s="2"/>
      </tp>
      <tp t="s">
        <v>#N/A N/A</v>
        <stp/>
        <stp>BDP|15012994198520994852</stp>
        <tr r="G228" s="2"/>
      </tp>
      <tp t="s">
        <v>#N/A N/A</v>
        <stp/>
        <stp>BDP|12992761172647869882</stp>
        <tr r="A2639" s="2"/>
      </tp>
      <tp t="s">
        <v>#N/A N/A</v>
        <stp/>
        <stp>BDP|12760901121182352689</stp>
        <tr r="F4675" s="2"/>
      </tp>
      <tp t="s">
        <v>#N/A N/A</v>
        <stp/>
        <stp>BDP|13130170485360689782</stp>
        <tr r="H4972" s="2"/>
      </tp>
      <tp t="s">
        <v>#N/A N/A</v>
        <stp/>
        <stp>BDP|11721590025863678804</stp>
        <tr r="I830" s="2"/>
      </tp>
      <tp t="s">
        <v>#N/A N/A</v>
        <stp/>
        <stp>BDP|14705380390183701058</stp>
        <tr r="I520" s="2"/>
      </tp>
      <tp t="s">
        <v>#N/A N/A</v>
        <stp/>
        <stp>BDP|15595307768094932994</stp>
        <tr r="C4046" s="2"/>
      </tp>
      <tp t="s">
        <v>#N/A N/A</v>
        <stp/>
        <stp>BDP|14892761780186707040</stp>
        <tr r="I3759" s="2"/>
      </tp>
      <tp t="s">
        <v>#N/A N/A</v>
        <stp/>
        <stp>BDP|15937918707656444760</stp>
        <tr r="A2856" s="2"/>
      </tp>
      <tp t="s">
        <v>#N/A N/A</v>
        <stp/>
        <stp>BDP|11439052895211880412</stp>
        <tr r="G3482" s="2"/>
      </tp>
      <tp t="s">
        <v>#N/A N/A</v>
        <stp/>
        <stp>BDP|15374365335651892954</stp>
        <tr r="F1463" s="2"/>
      </tp>
      <tp t="s">
        <v>#N/A N/A</v>
        <stp/>
        <stp>BDP|17491026493487059486</stp>
        <tr r="F2771" s="2"/>
      </tp>
      <tp t="s">
        <v>#N/A N/A</v>
        <stp/>
        <stp>BDP|11851155367252036979</stp>
        <tr r="D3013" s="2"/>
      </tp>
      <tp t="s">
        <v>#N/A N/A</v>
        <stp/>
        <stp>BDP|12332100695864322381</stp>
        <tr r="A942" s="2"/>
      </tp>
      <tp t="s">
        <v>#N/A N/A</v>
        <stp/>
        <stp>BDP|15336996031514197671</stp>
        <tr r="H2274" s="2"/>
      </tp>
      <tp t="s">
        <v>#N/A N/A</v>
        <stp/>
        <stp>BDP|11195687943548255651</stp>
        <tr r="G473" s="2"/>
      </tp>
      <tp t="s">
        <v>#N/A N/A</v>
        <stp/>
        <stp>BDP|10300417980471894075</stp>
        <tr r="A2066" s="2"/>
      </tp>
      <tp t="s">
        <v>#N/A N/A</v>
        <stp/>
        <stp>BDP|10442992147212237258</stp>
        <tr r="B479" s="2"/>
      </tp>
      <tp t="s">
        <v>#N/A N/A</v>
        <stp/>
        <stp>BDP|16593516054253431891</stp>
        <tr r="C4049" s="2"/>
      </tp>
      <tp t="s">
        <v>#N/A N/A</v>
        <stp/>
        <stp>BDP|16458187092827649451</stp>
        <tr r="D2841" s="2"/>
      </tp>
      <tp t="s">
        <v>#N/A N/A</v>
        <stp/>
        <stp>BDP|13437553059797001959</stp>
        <tr r="G4103" s="2"/>
      </tp>
      <tp t="s">
        <v>#N/A N/A</v>
        <stp/>
        <stp>BDP|10048298625449562440</stp>
        <tr r="C3660" s="2"/>
      </tp>
      <tp t="s">
        <v>#N/A N/A</v>
        <stp/>
        <stp>BDP|17462005962019252598</stp>
        <tr r="H958" s="2"/>
      </tp>
      <tp t="s">
        <v>#N/A N/A</v>
        <stp/>
        <stp>BDP|16092643750668022090</stp>
        <tr r="I3858" s="2"/>
      </tp>
      <tp t="s">
        <v>#N/A N/A</v>
        <stp/>
        <stp>BDP|11940699984152952004</stp>
        <tr r="H1662" s="2"/>
      </tp>
      <tp t="s">
        <v>#N/A N/A</v>
        <stp/>
        <stp>BDP|11228197202569155458</stp>
        <tr r="A3563" s="2"/>
      </tp>
      <tp t="s">
        <v>#N/A N/A</v>
        <stp/>
        <stp>BDP|10846506743108490427</stp>
        <tr r="A4727" s="2"/>
      </tp>
      <tp t="s">
        <v>#N/A N/A</v>
        <stp/>
        <stp>BDP|16493395035073188848</stp>
        <tr r="D2706" s="2"/>
      </tp>
      <tp t="s">
        <v>#N/A N/A</v>
        <stp/>
        <stp>BDP|16516903740592099482</stp>
        <tr r="C1357" s="2"/>
      </tp>
      <tp t="s">
        <v>#N/A N/A</v>
        <stp/>
        <stp>BDP|10083515975099181689</stp>
        <tr r="G1133" s="2"/>
      </tp>
      <tp t="s">
        <v>#N/A N/A</v>
        <stp/>
        <stp>BDP|17842214315491777860</stp>
        <tr r="F4834" s="2"/>
      </tp>
      <tp t="s">
        <v>#N/A N/A</v>
        <stp/>
        <stp>BDP|10109144659471166805</stp>
        <tr r="F399" s="2"/>
      </tp>
      <tp t="s">
        <v>#N/A N/A</v>
        <stp/>
        <stp>BDP|13840222492522768726</stp>
        <tr r="A3946" s="2"/>
      </tp>
      <tp t="s">
        <v>#N/A N/A</v>
        <stp/>
        <stp>BDP|16562907339006606772</stp>
        <tr r="I234" s="2"/>
      </tp>
      <tp t="s">
        <v>#N/A N/A</v>
        <stp/>
        <stp>BDP|10872458563816650951</stp>
        <tr r="H3028" s="2"/>
      </tp>
      <tp t="s">
        <v>#N/A N/A</v>
        <stp/>
        <stp>BDP|11009739593512991047</stp>
        <tr r="H3025" s="2"/>
      </tp>
      <tp t="s">
        <v>#N/A N/A</v>
        <stp/>
        <stp>BDP|13924610184682331225</stp>
        <tr r="D3172" s="2"/>
      </tp>
      <tp t="s">
        <v>#N/A N/A</v>
        <stp/>
        <stp>BDP|12571495814482704824</stp>
        <tr r="B2720" s="2"/>
      </tp>
      <tp t="s">
        <v>#N/A N/A</v>
        <stp/>
        <stp>BDP|16710225670448866604</stp>
        <tr r="G1390" s="2"/>
      </tp>
      <tp t="s">
        <v>#N/A N/A</v>
        <stp/>
        <stp>BDP|15036130074218228682</stp>
        <tr r="D3728" s="2"/>
      </tp>
      <tp t="s">
        <v>#N/A N/A</v>
        <stp/>
        <stp>BDP|17533397062816389904</stp>
        <tr r="B1368" s="2"/>
      </tp>
      <tp t="s">
        <v>#N/A N/A</v>
        <stp/>
        <stp>BDP|15200025932593706880</stp>
        <tr r="D147" s="2"/>
      </tp>
      <tp t="s">
        <v>#N/A N/A</v>
        <stp/>
        <stp>BDP|12670906380718941622</stp>
        <tr r="I687" s="2"/>
      </tp>
      <tp t="s">
        <v>#N/A N/A</v>
        <stp/>
        <stp>BDP|11921996058246679636</stp>
        <tr r="C1494" s="2"/>
      </tp>
      <tp t="s">
        <v>#N/A N/A</v>
        <stp/>
        <stp>BDP|12659634632069337395</stp>
        <tr r="D2667" s="2"/>
      </tp>
      <tp t="s">
        <v>#N/A N/A</v>
        <stp/>
        <stp>BDP|10439312711548872714</stp>
        <tr r="D1344" s="2"/>
      </tp>
      <tp t="s">
        <v>#N/A N/A</v>
        <stp/>
        <stp>BDP|10873812023405554223</stp>
        <tr r="I1083" s="2"/>
      </tp>
      <tp t="s">
        <v>#N/A N/A</v>
        <stp/>
        <stp>BDP|12825227645370232902</stp>
        <tr r="C4857" s="2"/>
      </tp>
      <tp t="s">
        <v>#N/A N/A</v>
        <stp/>
        <stp>BDP|15807215202658360252</stp>
        <tr r="C1266" s="2"/>
      </tp>
      <tp t="s">
        <v>#N/A N/A</v>
        <stp/>
        <stp>BDP|13244646869796146836</stp>
        <tr r="A1724" s="2"/>
      </tp>
      <tp t="s">
        <v>#N/A N/A</v>
        <stp/>
        <stp>BDP|10741321115617571882</stp>
        <tr r="A3326" s="2"/>
      </tp>
      <tp t="s">
        <v>#N/A N/A</v>
        <stp/>
        <stp>BDP|14340409408259611408</stp>
        <tr r="F2719" s="2"/>
      </tp>
      <tp t="s">
        <v>#N/A N/A</v>
        <stp/>
        <stp>BDP|13127737510860898871</stp>
        <tr r="G1434" s="2"/>
      </tp>
      <tp t="s">
        <v>#N/A N/A</v>
        <stp/>
        <stp>BDP|11097225168821751904</stp>
        <tr r="D902" s="2"/>
      </tp>
      <tp t="s">
        <v>#N/A N/A</v>
        <stp/>
        <stp>BDP|15910637902789357761</stp>
        <tr r="I547" s="2"/>
      </tp>
      <tp t="s">
        <v>#N/A N/A</v>
        <stp/>
        <stp>BDP|12902436006869195202</stp>
        <tr r="F2922" s="2"/>
      </tp>
      <tp t="s">
        <v>#N/A N/A</v>
        <stp/>
        <stp>BDP|17558351986118292999</stp>
        <tr r="I3691" s="2"/>
      </tp>
      <tp t="s">
        <v>#N/A N/A</v>
        <stp/>
        <stp>BDP|13766043690082945575</stp>
        <tr r="B2184" s="2"/>
      </tp>
      <tp t="s">
        <v>#N/A N/A</v>
        <stp/>
        <stp>BDP|16264190354318538772</stp>
        <tr r="H4438" s="2"/>
      </tp>
      <tp t="s">
        <v>#N/A N/A</v>
        <stp/>
        <stp>BDP|14870837107094102504</stp>
        <tr r="H4622" s="2"/>
      </tp>
      <tp t="s">
        <v>#N/A N/A</v>
        <stp/>
        <stp>BDP|12839873677680346066</stp>
        <tr r="F1647" s="2"/>
      </tp>
      <tp t="s">
        <v>#N/A N/A</v>
        <stp/>
        <stp>BDP|11363502484845975420</stp>
        <tr r="G4174" s="2"/>
      </tp>
      <tp t="s">
        <v>#N/A N/A</v>
        <stp/>
        <stp>BDP|16810173681964091629</stp>
        <tr r="C649" s="2"/>
      </tp>
      <tp t="s">
        <v>#N/A N/A</v>
        <stp/>
        <stp>BDP|14843899829072701137</stp>
        <tr r="I1751" s="2"/>
      </tp>
      <tp t="s">
        <v>#N/A N/A</v>
        <stp/>
        <stp>BDP|17682306513091011995</stp>
        <tr r="I932" s="2"/>
      </tp>
      <tp t="s">
        <v>#N/A N/A</v>
        <stp/>
        <stp>BDP|10821279934984208858</stp>
        <tr r="B4032" s="2"/>
      </tp>
      <tp t="s">
        <v>#N/A N/A</v>
        <stp/>
        <stp>BDP|17131833930609950879</stp>
        <tr r="F1289" s="2"/>
      </tp>
      <tp t="s">
        <v>#N/A N/A</v>
        <stp/>
        <stp>BDP|12430002795910471695</stp>
        <tr r="G2904" s="2"/>
      </tp>
      <tp t="s">
        <v>#N/A N/A</v>
        <stp/>
        <stp>BDP|12142324089820230441</stp>
        <tr r="F185" s="2"/>
      </tp>
      <tp t="s">
        <v>#N/A N/A</v>
        <stp/>
        <stp>BDP|18379015256915819500</stp>
        <tr r="I3745" s="2"/>
      </tp>
      <tp t="s">
        <v>#N/A N/A</v>
        <stp/>
        <stp>BDP|17834337703301184856</stp>
        <tr r="D3258" s="2"/>
      </tp>
      <tp t="s">
        <v>#N/A N/A</v>
        <stp/>
        <stp>BDP|12875216099552851648</stp>
        <tr r="G3911" s="2"/>
      </tp>
      <tp t="s">
        <v>#N/A N/A</v>
        <stp/>
        <stp>BDP|10798566426442907823</stp>
        <tr r="H3289" s="2"/>
      </tp>
      <tp t="s">
        <v>#N/A N/A</v>
        <stp/>
        <stp>BDP|14966371893906917587</stp>
        <tr r="G2333" s="2"/>
      </tp>
      <tp t="s">
        <v>#N/A N/A</v>
        <stp/>
        <stp>BDP|17085377168679636652</stp>
        <tr r="H2788" s="2"/>
      </tp>
      <tp t="s">
        <v>#N/A N/A</v>
        <stp/>
        <stp>BDP|13899093199116718132</stp>
        <tr r="C1936" s="2"/>
      </tp>
      <tp t="s">
        <v>#N/A N/A</v>
        <stp/>
        <stp>BDP|10617389844232527837</stp>
        <tr r="F2625" s="2"/>
      </tp>
      <tp t="s">
        <v>#N/A N/A</v>
        <stp/>
        <stp>BDP|11959415969929565780</stp>
        <tr r="F1973" s="2"/>
      </tp>
      <tp t="s">
        <v>#N/A N/A</v>
        <stp/>
        <stp>BDP|11982919579824955643</stp>
        <tr r="D1203" s="2"/>
      </tp>
      <tp t="s">
        <v>#N/A N/A</v>
        <stp/>
        <stp>BDP|11314090384232056629</stp>
        <tr r="D2427" s="2"/>
      </tp>
      <tp t="s">
        <v>#N/A N/A</v>
        <stp/>
        <stp>BDP|11407818850480978105</stp>
        <tr r="B3666" s="2"/>
      </tp>
      <tp t="s">
        <v>#N/A N/A</v>
        <stp/>
        <stp>BDP|13904198999873162548</stp>
        <tr r="I3621" s="2"/>
      </tp>
      <tp t="s">
        <v>#N/A N/A</v>
        <stp/>
        <stp>BDP|18317241055766609489</stp>
        <tr r="G2105" s="2"/>
      </tp>
      <tp t="s">
        <v>#N/A N/A</v>
        <stp/>
        <stp>BDP|11593420882761157185</stp>
        <tr r="F1058" s="2"/>
      </tp>
      <tp t="s">
        <v>#N/A N/A</v>
        <stp/>
        <stp>BDP|10914625614019580362</stp>
        <tr r="A1403" s="2"/>
      </tp>
      <tp t="s">
        <v>#N/A N/A</v>
        <stp/>
        <stp>BDP|10026793427320189837</stp>
        <tr r="A3157" s="2"/>
      </tp>
      <tp t="s">
        <v>#N/A N/A</v>
        <stp/>
        <stp>BDP|13550977429580738509</stp>
        <tr r="A2589" s="2"/>
      </tp>
      <tp t="s">
        <v>#N/A N/A</v>
        <stp/>
        <stp>BDP|11242458625632674880</stp>
        <tr r="G1074" s="2"/>
      </tp>
      <tp t="s">
        <v>#N/A N/A</v>
        <stp/>
        <stp>BDP|10560490187102736308</stp>
        <tr r="B4923" s="2"/>
      </tp>
      <tp t="s">
        <v>#N/A N/A</v>
        <stp/>
        <stp>BDP|10378677919943113904</stp>
        <tr r="H3282" s="2"/>
      </tp>
      <tp t="s">
        <v>#N/A N/A</v>
        <stp/>
        <stp>BDP|16548300590740926102</stp>
        <tr r="F455" s="2"/>
      </tp>
      <tp t="s">
        <v>#N/A N/A</v>
        <stp/>
        <stp>BDP|16334955760605968135</stp>
        <tr r="B1654" s="2"/>
      </tp>
      <tp t="s">
        <v>#N/A N/A</v>
        <stp/>
        <stp>BDP|12979121212806191944</stp>
        <tr r="H3604" s="2"/>
      </tp>
      <tp t="s">
        <v>#N/A N/A</v>
        <stp/>
        <stp>BDP|17858198700079598287</stp>
        <tr r="G807" s="2"/>
      </tp>
      <tp t="s">
        <v>#N/A N/A</v>
        <stp/>
        <stp>BDP|15773656083613910545</stp>
        <tr r="A4456" s="2"/>
      </tp>
      <tp t="s">
        <v>#N/A N/A</v>
        <stp/>
        <stp>BDP|11999410304268204029</stp>
        <tr r="I1865" s="2"/>
      </tp>
      <tp t="s">
        <v>#N/A N/A</v>
        <stp/>
        <stp>BDP|10208972457490961172</stp>
        <tr r="H3747" s="2"/>
      </tp>
      <tp t="s">
        <v>#N/A N/A</v>
        <stp/>
        <stp>BDP|13280944580137370898</stp>
        <tr r="C1929" s="2"/>
      </tp>
      <tp t="s">
        <v>#N/A N/A</v>
        <stp/>
        <stp>BDP|13271691162398328665</stp>
        <tr r="G2610" s="2"/>
      </tp>
      <tp t="s">
        <v>#N/A N/A</v>
        <stp/>
        <stp>BDP|14663182226822491807</stp>
        <tr r="A996" s="2"/>
      </tp>
      <tp t="s">
        <v>#N/A N/A</v>
        <stp/>
        <stp>BDP|10701882903561347432</stp>
        <tr r="H2672" s="2"/>
      </tp>
      <tp t="s">
        <v>#N/A N/A</v>
        <stp/>
        <stp>BDP|18237381131095226051</stp>
        <tr r="D3898" s="2"/>
      </tp>
      <tp t="s">
        <v>#N/A N/A</v>
        <stp/>
        <stp>BDP|13569625993939088883</stp>
        <tr r="F3335" s="2"/>
      </tp>
      <tp t="s">
        <v>#N/A N/A</v>
        <stp/>
        <stp>BDP|13925691229539410316</stp>
        <tr r="C358" s="2"/>
      </tp>
      <tp t="s">
        <v>#N/A N/A</v>
        <stp/>
        <stp>BDP|12522326181495918130</stp>
        <tr r="H4091" s="2"/>
      </tp>
      <tp t="s">
        <v>#N/A N/A</v>
        <stp/>
        <stp>BDP|11231467141989885515</stp>
        <tr r="C417" s="2"/>
      </tp>
      <tp t="s">
        <v>#N/A N/A</v>
        <stp/>
        <stp>BDP|14738247768028204554</stp>
        <tr r="H3094" s="2"/>
      </tp>
      <tp t="s">
        <v>#N/A N/A</v>
        <stp/>
        <stp>BDP|13095718638249300363</stp>
        <tr r="G3120" s="2"/>
      </tp>
      <tp t="s">
        <v>#N/A N/A</v>
        <stp/>
        <stp>BDP|14442515289231465545</stp>
        <tr r="D4318" s="2"/>
      </tp>
      <tp t="s">
        <v>#N/A N/A</v>
        <stp/>
        <stp>BDP|14880094143088722599</stp>
        <tr r="A1745" s="2"/>
      </tp>
      <tp t="s">
        <v>#N/A N/A</v>
        <stp/>
        <stp>BDP|12245192374019350004</stp>
        <tr r="F2215" s="2"/>
      </tp>
      <tp t="s">
        <v>#N/A N/A</v>
        <stp/>
        <stp>BDP|15915395598357787538</stp>
        <tr r="H3498" s="2"/>
      </tp>
      <tp t="s">
        <v>#N/A N/A</v>
        <stp/>
        <stp>BDP|13002746989580969183</stp>
        <tr r="G4850" s="2"/>
      </tp>
      <tp t="s">
        <v>#N/A N/A</v>
        <stp/>
        <stp>BDP|10757411199245347504</stp>
        <tr r="F1090" s="2"/>
      </tp>
      <tp t="s">
        <v>#N/A N/A</v>
        <stp/>
        <stp>BDP|17731040764278966421</stp>
        <tr r="D2245" s="2"/>
      </tp>
      <tp t="s">
        <v>#N/A N/A</v>
        <stp/>
        <stp>BDP|11309980158782776286</stp>
        <tr r="G3780" s="2"/>
      </tp>
      <tp t="s">
        <v>#N/A N/A</v>
        <stp/>
        <stp>BDP|18131268406875942241</stp>
        <tr r="C3624" s="2"/>
      </tp>
      <tp t="s">
        <v>#N/A N/A</v>
        <stp/>
        <stp>BDP|18317867983003266685</stp>
        <tr r="I1541" s="2"/>
      </tp>
      <tp t="s">
        <v>#N/A N/A</v>
        <stp/>
        <stp>BDP|15846708493141501728</stp>
        <tr r="A2796" s="2"/>
      </tp>
      <tp t="s">
        <v>#N/A N/A</v>
        <stp/>
        <stp>BDP|10776179971298990340</stp>
        <tr r="F3774" s="2"/>
      </tp>
      <tp t="s">
        <v>#N/A N/A</v>
        <stp/>
        <stp>BDP|10482488324029713234</stp>
        <tr r="G1537" s="2"/>
      </tp>
      <tp t="s">
        <v>#N/A N/A</v>
        <stp/>
        <stp>BDP|11624549759505221959</stp>
        <tr r="I4155" s="2"/>
      </tp>
      <tp t="s">
        <v>#N/A N/A</v>
        <stp/>
        <stp>BDP|10324131173703819871</stp>
        <tr r="G2337" s="2"/>
      </tp>
      <tp t="s">
        <v>#N/A N/A</v>
        <stp/>
        <stp>BDP|14975429800839411433</stp>
        <tr r="B706" s="2"/>
      </tp>
      <tp t="s">
        <v>#N/A N/A</v>
        <stp/>
        <stp>BDP|16462412986131962667</stp>
        <tr r="C1241" s="2"/>
      </tp>
      <tp t="s">
        <v>#N/A N/A</v>
        <stp/>
        <stp>BDP|11899564211641894989</stp>
        <tr r="F560" s="2"/>
      </tp>
      <tp t="s">
        <v>#N/A N/A</v>
        <stp/>
        <stp>BDP|14221188190834405519</stp>
        <tr r="A3053" s="2"/>
      </tp>
      <tp t="s">
        <v>#N/A N/A</v>
        <stp/>
        <stp>BDP|17285431288053144576</stp>
        <tr r="G3612" s="2"/>
      </tp>
      <tp t="s">
        <v>#N/A N/A</v>
        <stp/>
        <stp>BDP|12658550609648095250</stp>
        <tr r="D3607" s="2"/>
      </tp>
      <tp t="s">
        <v>#N/A N/A</v>
        <stp/>
        <stp>BDP|15449354139840645816</stp>
        <tr r="H3519" s="2"/>
      </tp>
      <tp t="s">
        <v>#N/A N/A</v>
        <stp/>
        <stp>BDP|16656031031618301088</stp>
        <tr r="G4531" s="2"/>
      </tp>
      <tp t="s">
        <v>#N/A N/A</v>
        <stp/>
        <stp>BDP|14712058417790224885</stp>
        <tr r="C115" s="2"/>
      </tp>
      <tp t="s">
        <v>#N/A N/A</v>
        <stp/>
        <stp>BDP|13488345717364003887</stp>
        <tr r="F4972" s="2"/>
      </tp>
      <tp t="s">
        <v>#N/A N/A</v>
        <stp/>
        <stp>BDP|13714893067875216542</stp>
        <tr r="C15" s="2"/>
      </tp>
      <tp t="s">
        <v>#N/A N/A</v>
        <stp/>
        <stp>BDP|17810048583066810481</stp>
        <tr r="H2702" s="2"/>
      </tp>
      <tp t="s">
        <v>#N/A N/A</v>
        <stp/>
        <stp>BDP|11337753980652879118</stp>
        <tr r="I3273" s="2"/>
      </tp>
      <tp t="s">
        <v>#N/A N/A</v>
        <stp/>
        <stp>BDP|17822834801406035459</stp>
        <tr r="D823" s="2"/>
      </tp>
      <tp t="s">
        <v>#N/A N/A</v>
        <stp/>
        <stp>BDP|14755113784919578980</stp>
        <tr r="D266" s="2"/>
      </tp>
      <tp t="s">
        <v>#N/A N/A</v>
        <stp/>
        <stp>BDP|15205408638158446715</stp>
        <tr r="F3971" s="2"/>
      </tp>
      <tp t="s">
        <v>#N/A N/A</v>
        <stp/>
        <stp>BDP|13762437474888631595</stp>
        <tr r="A4351" s="2"/>
      </tp>
      <tp t="s">
        <v>#N/A N/A</v>
        <stp/>
        <stp>BDP|14262820094578940028</stp>
        <tr r="I960" s="2"/>
      </tp>
      <tp t="s">
        <v>#N/A N/A</v>
        <stp/>
        <stp>BDP|13866014331658131568</stp>
        <tr r="I3028" s="2"/>
      </tp>
      <tp t="s">
        <v>#N/A N/A</v>
        <stp/>
        <stp>BDP|14632502694613410698</stp>
        <tr r="B3221" s="2"/>
      </tp>
      <tp t="s">
        <v>#N/A N/A</v>
        <stp/>
        <stp>BDP|18170250416945974347</stp>
        <tr r="D3465" s="2"/>
      </tp>
      <tp t="s">
        <v>#N/A N/A</v>
        <stp/>
        <stp>BDP|17966990533808971857</stp>
        <tr r="I4291" s="2"/>
      </tp>
      <tp t="s">
        <v>#N/A N/A</v>
        <stp/>
        <stp>BDP|14517994960525243319</stp>
        <tr r="I236" s="2"/>
      </tp>
      <tp t="s">
        <v>#N/A N/A</v>
        <stp/>
        <stp>BDP|13144585952956543811</stp>
        <tr r="F982" s="2"/>
      </tp>
      <tp t="s">
        <v>#N/A N/A</v>
        <stp/>
        <stp>BDP|17373287182842710214</stp>
        <tr r="A4783" s="2"/>
      </tp>
      <tp t="s">
        <v>#N/A N/A</v>
        <stp/>
        <stp>BDP|18104809485553869636</stp>
        <tr r="D2497" s="2"/>
      </tp>
      <tp t="s">
        <v>#N/A N/A</v>
        <stp/>
        <stp>BDP|17380727167213138882</stp>
        <tr r="G4500" s="2"/>
      </tp>
      <tp t="s">
        <v>#N/A N/A</v>
        <stp/>
        <stp>BDP|16496356106301042984</stp>
        <tr r="I160" s="2"/>
      </tp>
      <tp t="s">
        <v>#N/A N/A</v>
        <stp/>
        <stp>BDP|10778832326862989549</stp>
        <tr r="H4275" s="2"/>
      </tp>
      <tp t="s">
        <v>#N/A N/A</v>
        <stp/>
        <stp>BDP|14759431715038742493</stp>
        <tr r="F1042" s="2"/>
      </tp>
      <tp t="s">
        <v>#N/A N/A</v>
        <stp/>
        <stp>BDP|15824928137986552475</stp>
        <tr r="B828" s="2"/>
      </tp>
      <tp t="s">
        <v>#N/A N/A</v>
        <stp/>
        <stp>BDP|10444215899725077332</stp>
        <tr r="H2629" s="2"/>
      </tp>
      <tp t="s">
        <v>#N/A N/A</v>
        <stp/>
        <stp>BDP|13701331802899932409</stp>
        <tr r="I1151" s="2"/>
      </tp>
      <tp t="s">
        <v>#N/A N/A</v>
        <stp/>
        <stp>BDP|10783588841255616971</stp>
        <tr r="G1376" s="2"/>
      </tp>
      <tp t="s">
        <v>#N/A N/A</v>
        <stp/>
        <stp>BDP|16484086220689484072</stp>
        <tr r="B2283" s="2"/>
      </tp>
      <tp t="s">
        <v>#N/A N/A</v>
        <stp/>
        <stp>BDP|16231321447495039987</stp>
        <tr r="H91" s="2"/>
      </tp>
      <tp t="s">
        <v>#N/A N/A</v>
        <stp/>
        <stp>BDP|14037217476339911514</stp>
        <tr r="D3039" s="2"/>
      </tp>
      <tp t="s">
        <v>#N/A N/A</v>
        <stp/>
        <stp>BDP|10322361676848838149</stp>
        <tr r="H2560" s="2"/>
      </tp>
      <tp t="s">
        <v>#N/A N/A</v>
        <stp/>
        <stp>BDP|14774265798694452620</stp>
        <tr r="F4952" s="2"/>
      </tp>
      <tp t="s">
        <v>#N/A N/A</v>
        <stp/>
        <stp>BDP|18407371515065110281</stp>
        <tr r="G34" s="2"/>
      </tp>
      <tp t="s">
        <v>#N/A N/A</v>
        <stp/>
        <stp>BDP|11158555897755977551</stp>
        <tr r="B2703" s="2"/>
      </tp>
      <tp t="s">
        <v>#N/A N/A</v>
        <stp/>
        <stp>BDP|11763977493424879842</stp>
        <tr r="A2060" s="2"/>
      </tp>
      <tp t="s">
        <v>#N/A N/A</v>
        <stp/>
        <stp>BDP|10436982449459919934</stp>
        <tr r="H3615" s="2"/>
      </tp>
      <tp t="s">
        <v>#N/A N/A</v>
        <stp/>
        <stp>BDP|16150954268844013038</stp>
        <tr r="C3576" s="2"/>
      </tp>
      <tp t="s">
        <v>#N/A N/A</v>
        <stp/>
        <stp>BDP|14160742938598734552</stp>
        <tr r="B1284" s="2"/>
      </tp>
      <tp t="s">
        <v>#N/A N/A</v>
        <stp/>
        <stp>BDP|14903832370956727029</stp>
        <tr r="C1189" s="2"/>
      </tp>
      <tp t="s">
        <v>#N/A N/A</v>
        <stp/>
        <stp>BDP|16428897286243142854</stp>
        <tr r="G408" s="2"/>
      </tp>
      <tp t="s">
        <v>#N/A N/A</v>
        <stp/>
        <stp>BDP|10423147010888885572</stp>
        <tr r="D4134" s="2"/>
      </tp>
      <tp t="s">
        <v>#N/A N/A</v>
        <stp/>
        <stp>BDP|13663846323926896267</stp>
        <tr r="H347" s="2"/>
      </tp>
      <tp t="s">
        <v>#N/A N/A</v>
        <stp/>
        <stp>BDP|15023630368079573112</stp>
        <tr r="A4256" s="2"/>
      </tp>
      <tp t="s">
        <v>#N/A N/A</v>
        <stp/>
        <stp>BDP|17926495578210312943</stp>
        <tr r="C2901" s="2"/>
      </tp>
      <tp t="s">
        <v>#N/A N/A</v>
        <stp/>
        <stp>BDP|10983312032488709529</stp>
        <tr r="D369" s="2"/>
      </tp>
      <tp t="s">
        <v>#N/A N/A</v>
        <stp/>
        <stp>BDP|16663903939496641762</stp>
        <tr r="H1101" s="2"/>
      </tp>
      <tp t="s">
        <v>#N/A N/A</v>
        <stp/>
        <stp>BDP|13971506494692032022</stp>
        <tr r="I1148" s="2"/>
      </tp>
      <tp t="s">
        <v>#N/A N/A</v>
        <stp/>
        <stp>BDP|17283283380430508009</stp>
        <tr r="C680" s="2"/>
      </tp>
      <tp t="s">
        <v>#N/A N/A</v>
        <stp/>
        <stp>BDP|17425846046654815215</stp>
        <tr r="B918" s="2"/>
      </tp>
      <tp t="s">
        <v>#N/A N/A</v>
        <stp/>
        <stp>BDP|13999401656278689764</stp>
        <tr r="F3677" s="2"/>
      </tp>
      <tp t="s">
        <v>#N/A N/A</v>
        <stp/>
        <stp>BDP|11762002714174942957</stp>
        <tr r="A1534" s="2"/>
      </tp>
      <tp t="s">
        <v>#N/A N/A</v>
        <stp/>
        <stp>BDP|11577284955848599324</stp>
        <tr r="I1695" s="2"/>
      </tp>
      <tp t="s">
        <v>#N/A N/A</v>
        <stp/>
        <stp>BDP|11280774278005090923</stp>
        <tr r="I4425" s="2"/>
      </tp>
      <tp t="s">
        <v>#N/A N/A</v>
        <stp/>
        <stp>BDP|10334996419774419186</stp>
        <tr r="I529" s="2"/>
      </tp>
      <tp t="s">
        <v>#N/A N/A</v>
        <stp/>
        <stp>BDP|11231886360444340660</stp>
        <tr r="H3675" s="2"/>
      </tp>
      <tp t="s">
        <v>#N/A N/A</v>
        <stp/>
        <stp>BDP|17760491092136342107</stp>
        <tr r="A1524" s="2"/>
      </tp>
      <tp t="s">
        <v>#N/A N/A</v>
        <stp/>
        <stp>BDP|15543735128748426551</stp>
        <tr r="B4346" s="2"/>
      </tp>
      <tp t="s">
        <v>#N/A N/A</v>
        <stp/>
        <stp>BDP|18098419710446924672</stp>
        <tr r="H4787" s="2"/>
      </tp>
      <tp t="s">
        <v>#N/A N/A</v>
        <stp/>
        <stp>BDP|10278419203908912162</stp>
        <tr r="A2050" s="2"/>
      </tp>
      <tp t="s">
        <v>#N/A N/A</v>
        <stp/>
        <stp>BDP|12749215298760675475</stp>
        <tr r="D2461" s="2"/>
      </tp>
      <tp t="s">
        <v>#N/A N/A</v>
        <stp/>
        <stp>BDP|11235623809399510336</stp>
        <tr r="D1612" s="2"/>
      </tp>
      <tp t="s">
        <v>#N/A N/A</v>
        <stp/>
        <stp>BDP|11371762987005981656</stp>
        <tr r="D1647" s="2"/>
      </tp>
      <tp t="s">
        <v>#N/A N/A</v>
        <stp/>
        <stp>BDP|12690415449819486647</stp>
        <tr r="H330" s="2"/>
      </tp>
      <tp t="s">
        <v>#N/A N/A</v>
        <stp/>
        <stp>BDP|13521230060663865909</stp>
        <tr r="D3406" s="2"/>
      </tp>
      <tp t="s">
        <v>#N/A N/A</v>
        <stp/>
        <stp>BDP|14450131884828946842</stp>
        <tr r="B4653" s="2"/>
      </tp>
      <tp t="s">
        <v>#N/A N/A</v>
        <stp/>
        <stp>BDP|12339606427212943939</stp>
        <tr r="A482" s="2"/>
      </tp>
      <tp t="s">
        <v>#N/A N/A</v>
        <stp/>
        <stp>BDP|12690754890897496696</stp>
        <tr r="C3716" s="2"/>
      </tp>
      <tp t="s">
        <v>#N/A N/A</v>
        <stp/>
        <stp>BDP|10535944429923450521</stp>
        <tr r="I1759" s="2"/>
      </tp>
      <tp t="s">
        <v>#N/A N/A</v>
        <stp/>
        <stp>BDP|14564304458686045939</stp>
        <tr r="I1554" s="2"/>
      </tp>
      <tp t="s">
        <v>#N/A N/A</v>
        <stp/>
        <stp>BDP|12781007808599468655</stp>
        <tr r="I199" s="2"/>
      </tp>
      <tp t="s">
        <v>#N/A N/A</v>
        <stp/>
        <stp>BDP|11906261255148085341</stp>
        <tr r="B17" s="2"/>
      </tp>
      <tp t="s">
        <v>#N/A N/A</v>
        <stp/>
        <stp>BDP|11014878198079431452</stp>
        <tr r="C905" s="2"/>
      </tp>
      <tp t="s">
        <v>#N/A N/A</v>
        <stp/>
        <stp>BDP|14384282147189221606</stp>
        <tr r="G668" s="2"/>
      </tp>
      <tp t="s">
        <v>#N/A N/A</v>
        <stp/>
        <stp>BDP|16655287704948136157</stp>
        <tr r="B4940" s="2"/>
      </tp>
      <tp t="s">
        <v>#N/A N/A</v>
        <stp/>
        <stp>BDP|12597147857528970312</stp>
        <tr r="A3043" s="2"/>
      </tp>
      <tp t="s">
        <v>#N/A N/A</v>
        <stp/>
        <stp>BDP|12196399340780211848</stp>
        <tr r="G195" s="2"/>
      </tp>
      <tp t="s">
        <v>#N/A N/A</v>
        <stp/>
        <stp>BDP|15995511606184321935</stp>
        <tr r="A132" s="2"/>
      </tp>
      <tp t="s">
        <v>#N/A N/A</v>
        <stp/>
        <stp>BDP|14911470446638406129</stp>
        <tr r="I706" s="2"/>
      </tp>
      <tp t="s">
        <v>#N/A N/A</v>
        <stp/>
        <stp>BDP|16576234413651297992</stp>
        <tr r="H3412" s="2"/>
      </tp>
      <tp t="s">
        <v>#N/A N/A</v>
        <stp/>
        <stp>BDP|12393614100731802844</stp>
        <tr r="B1217" s="2"/>
      </tp>
      <tp t="s">
        <v>#N/A N/A</v>
        <stp/>
        <stp>BDP|13899261613084375901</stp>
        <tr r="G1782" s="2"/>
      </tp>
      <tp t="s">
        <v>#N/A N/A</v>
        <stp/>
        <stp>BDP|17942856094292286945</stp>
        <tr r="B1503" s="2"/>
      </tp>
      <tp t="s">
        <v>#N/A N/A</v>
        <stp/>
        <stp>BDP|17651972948966646117</stp>
        <tr r="G220" s="2"/>
      </tp>
      <tp t="s">
        <v>#N/A N/A</v>
        <stp/>
        <stp>BDP|12683027492221172797</stp>
        <tr r="I779" s="2"/>
      </tp>
      <tp t="s">
        <v>#N/A N/A</v>
        <stp/>
        <stp>BDP|13039361395225448199</stp>
        <tr r="F1591" s="2"/>
      </tp>
      <tp t="s">
        <v>#N/A N/A</v>
        <stp/>
        <stp>BDP|13955728793672649203</stp>
        <tr r="A1212" s="2"/>
      </tp>
      <tp t="s">
        <v>#N/A N/A</v>
        <stp/>
        <stp>BDP|11063514094099984926</stp>
        <tr r="A3135" s="2"/>
      </tp>
      <tp t="s">
        <v>#N/A N/A</v>
        <stp/>
        <stp>BDP|13997016286254967297</stp>
        <tr r="C4870" s="2"/>
      </tp>
      <tp t="s">
        <v>#N/A N/A</v>
        <stp/>
        <stp>BDP|14293540569099525348</stp>
        <tr r="A3981" s="2"/>
      </tp>
      <tp t="s">
        <v>#N/A N/A</v>
        <stp/>
        <stp>BDP|10377812169574226771</stp>
        <tr r="C935" s="2"/>
      </tp>
      <tp t="s">
        <v>#N/A N/A</v>
        <stp/>
        <stp>BDP|11200035429408559636</stp>
        <tr r="C523" s="2"/>
      </tp>
      <tp t="s">
        <v>#N/A N/A</v>
        <stp/>
        <stp>BDP|10086275286955634295</stp>
        <tr r="D4460" s="2"/>
      </tp>
      <tp t="s">
        <v>#N/A N/A</v>
        <stp/>
        <stp>BDP|12464740162116478881</stp>
        <tr r="C2249" s="2"/>
      </tp>
      <tp t="s">
        <v>#N/A N/A</v>
        <stp/>
        <stp>BDP|17925150896794558611</stp>
        <tr r="F1527" s="2"/>
      </tp>
      <tp t="s">
        <v>#N/A N/A</v>
        <stp/>
        <stp>BDP|16246397196634716545</stp>
        <tr r="C3197" s="2"/>
      </tp>
      <tp t="s">
        <v>#N/A N/A</v>
        <stp/>
        <stp>BDP|11088088084031067526</stp>
        <tr r="C12" s="2"/>
      </tp>
      <tp t="s">
        <v>#N/A N/A</v>
        <stp/>
        <stp>BDP|17630732989223075624</stp>
        <tr r="C3973" s="2"/>
      </tp>
      <tp t="s">
        <v>#N/A N/A</v>
        <stp/>
        <stp>BDP|15986925675234461249</stp>
        <tr r="C3371" s="2"/>
      </tp>
      <tp t="s">
        <v>#N/A N/A</v>
        <stp/>
        <stp>BDP|12816924351193523001</stp>
        <tr r="H471" s="2"/>
      </tp>
      <tp t="s">
        <v>#N/A N/A</v>
        <stp/>
        <stp>BDP|10890634600442184946</stp>
        <tr r="C682" s="2"/>
      </tp>
      <tp t="s">
        <v>#N/A N/A</v>
        <stp/>
        <stp>BDP|14389968928212634057</stp>
        <tr r="I3490" s="2"/>
      </tp>
      <tp t="s">
        <v>#N/A N/A</v>
        <stp/>
        <stp>BDP|15615459741821946952</stp>
        <tr r="H3161" s="2"/>
      </tp>
      <tp t="s">
        <v>#N/A N/A</v>
        <stp/>
        <stp>BDP|14745412288775531054</stp>
        <tr r="D4566" s="2"/>
      </tp>
      <tp t="s">
        <v>#N/A N/A</v>
        <stp/>
        <stp>BDP|15753485726489778706</stp>
        <tr r="G2233" s="2"/>
      </tp>
      <tp t="s">
        <v>#N/A N/A</v>
        <stp/>
        <stp>BDP|11485753273825822944</stp>
        <tr r="H1289" s="2"/>
      </tp>
      <tp t="s">
        <v>#N/A N/A</v>
        <stp/>
        <stp>BDP|11275020600835780992</stp>
        <tr r="I515" s="2"/>
      </tp>
      <tp t="s">
        <v>#N/A N/A</v>
        <stp/>
        <stp>BDP|17542935621660842116</stp>
        <tr r="B3587" s="2"/>
      </tp>
      <tp t="s">
        <v>#N/A N/A</v>
        <stp/>
        <stp>BDP|12628495974749460512</stp>
        <tr r="F4108" s="2"/>
      </tp>
      <tp t="s">
        <v>#N/A N/A</v>
        <stp/>
        <stp>BDP|10465137556338774181</stp>
        <tr r="H4731" s="2"/>
      </tp>
      <tp t="s">
        <v>#N/A N/A</v>
        <stp/>
        <stp>BDP|16675582113338859749</stp>
        <tr r="A1936" s="2"/>
      </tp>
      <tp t="s">
        <v>#N/A N/A</v>
        <stp/>
        <stp>BDP|17585816672693223650</stp>
        <tr r="A222" s="2"/>
      </tp>
      <tp t="s">
        <v>#N/A N/A</v>
        <stp/>
        <stp>BDP|13836175996396092086</stp>
        <tr r="D2302" s="2"/>
      </tp>
      <tp t="s">
        <v>#N/A N/A</v>
        <stp/>
        <stp>BDP|10280651190937631509</stp>
        <tr r="H328" s="2"/>
      </tp>
      <tp t="s">
        <v>#N/A N/A</v>
        <stp/>
        <stp>BDP|10694818566647496444</stp>
        <tr r="D4222" s="2"/>
      </tp>
      <tp t="s">
        <v>#N/A N/A</v>
        <stp/>
        <stp>BDP|11148033645980455821</stp>
        <tr r="A3296" s="2"/>
      </tp>
      <tp t="s">
        <v>#N/A N/A</v>
        <stp/>
        <stp>BDP|15491673132504362933</stp>
        <tr r="I3744" s="2"/>
      </tp>
      <tp t="s">
        <v>#N/A N/A</v>
        <stp/>
        <stp>BDP|12591635617121248920</stp>
        <tr r="D3838" s="2"/>
      </tp>
      <tp t="s">
        <v>#N/A N/A</v>
        <stp/>
        <stp>BDP|10164426820879240205</stp>
        <tr r="F4896" s="2"/>
      </tp>
      <tp t="s">
        <v>#N/A N/A</v>
        <stp/>
        <stp>BDP|10778118716485753867</stp>
        <tr r="B3885" s="2"/>
      </tp>
      <tp t="s">
        <v>#N/A N/A</v>
        <stp/>
        <stp>BDP|10791936618401503482</stp>
        <tr r="C4220" s="2"/>
      </tp>
      <tp t="s">
        <v>#N/A N/A</v>
        <stp/>
        <stp>BDP|12858111953493388881</stp>
        <tr r="A1492" s="2"/>
      </tp>
      <tp t="s">
        <v>#N/A N/A</v>
        <stp/>
        <stp>BDP|10243550217871464853</stp>
        <tr r="I2363" s="2"/>
      </tp>
      <tp t="s">
        <v>#N/A N/A</v>
        <stp/>
        <stp>BDP|11144819448687133780</stp>
        <tr r="A1220" s="2"/>
      </tp>
      <tp t="s">
        <v>#N/A N/A</v>
        <stp/>
        <stp>BDP|13445034266171707979</stp>
        <tr r="G1688" s="2"/>
      </tp>
      <tp t="s">
        <v>#N/A N/A</v>
        <stp/>
        <stp>BDP|13385919844975208650</stp>
        <tr r="B401" s="2"/>
      </tp>
      <tp t="s">
        <v>#N/A N/A</v>
        <stp/>
        <stp>BDP|13634058986255750333</stp>
        <tr r="D693" s="2"/>
      </tp>
      <tp t="s">
        <v>#N/A N/A</v>
        <stp/>
        <stp>BDP|14440972738472248189</stp>
        <tr r="C329" s="2"/>
      </tp>
      <tp t="s">
        <v>#N/A N/A</v>
        <stp/>
        <stp>BDP|17270974834985148511</stp>
        <tr r="H1952" s="2"/>
      </tp>
      <tp t="s">
        <v>#N/A N/A</v>
        <stp/>
        <stp>BDP|11499223881543543534</stp>
        <tr r="I1641" s="2"/>
      </tp>
      <tp t="s">
        <v>#N/A N/A</v>
        <stp/>
        <stp>BDP|18006526753944269127</stp>
        <tr r="G3301" s="2"/>
      </tp>
      <tp t="s">
        <v>#N/A N/A</v>
        <stp/>
        <stp>BDP|17143331147005039848</stp>
        <tr r="F4322" s="2"/>
      </tp>
      <tp t="s">
        <v>#N/A N/A</v>
        <stp/>
        <stp>BDP|11554658046767357941</stp>
        <tr r="G3887" s="2"/>
      </tp>
      <tp t="s">
        <v>#N/A N/A</v>
        <stp/>
        <stp>BDP|10392488858034588877</stp>
        <tr r="D3770" s="2"/>
      </tp>
      <tp t="s">
        <v>#N/A N/A</v>
        <stp/>
        <stp>BDP|16718567782495685344</stp>
        <tr r="B883" s="2"/>
      </tp>
      <tp t="s">
        <v>#N/A N/A</v>
        <stp/>
        <stp>BDP|13034491210792082980</stp>
        <tr r="D1834" s="2"/>
      </tp>
      <tp t="s">
        <v>#N/A N/A</v>
        <stp/>
        <stp>BDP|15568663667949374166</stp>
        <tr r="B2627" s="2"/>
      </tp>
      <tp t="s">
        <v>#N/A N/A</v>
        <stp/>
        <stp>BDP|16778684455941871930</stp>
        <tr r="F3434" s="2"/>
      </tp>
      <tp t="s">
        <v>#N/A N/A</v>
        <stp/>
        <stp>BDP|17161958475674109015</stp>
        <tr r="I8" s="2"/>
      </tp>
      <tp t="s">
        <v>#N/A N/A</v>
        <stp/>
        <stp>BDP|13694620266576421872</stp>
        <tr r="H3537" s="2"/>
      </tp>
      <tp t="s">
        <v>#N/A N/A</v>
        <stp/>
        <stp>BDP|15733713833834421809</stp>
        <tr r="D3073" s="2"/>
      </tp>
      <tp t="s">
        <v>#N/A N/A</v>
        <stp/>
        <stp>BDP|16703732887061798558</stp>
        <tr r="F1976" s="2"/>
      </tp>
      <tp t="s">
        <v>#N/A N/A</v>
        <stp/>
        <stp>BDP|13390354313235457909</stp>
        <tr r="H3648" s="2"/>
      </tp>
      <tp t="s">
        <v>#N/A N/A</v>
        <stp/>
        <stp>BDP|13291954741625285650</stp>
        <tr r="A5000" s="2"/>
      </tp>
      <tp t="s">
        <v>#N/A N/A</v>
        <stp/>
        <stp>BDP|17070271406730346836</stp>
        <tr r="D3834" s="2"/>
      </tp>
      <tp t="s">
        <v>#N/A N/A</v>
        <stp/>
        <stp>BDP|14074288938868118005</stp>
        <tr r="I1469" s="2"/>
      </tp>
      <tp t="s">
        <v>#N/A N/A</v>
        <stp/>
        <stp>BDP|13351963916656640046</stp>
        <tr r="A4378" s="2"/>
      </tp>
      <tp t="s">
        <v>#N/A N/A</v>
        <stp/>
        <stp>BDP|10868320888491330703</stp>
        <tr r="I4973" s="2"/>
      </tp>
      <tp t="s">
        <v>#N/A N/A</v>
        <stp/>
        <stp>BDP|17875659349731782923</stp>
        <tr r="D3096" s="2"/>
      </tp>
      <tp t="s">
        <v>#N/A N/A</v>
        <stp/>
        <stp>BDP|16146147914443376831</stp>
        <tr r="I1846" s="2"/>
      </tp>
      <tp t="s">
        <v>#N/A N/A</v>
        <stp/>
        <stp>BDP|12050002900128757762</stp>
        <tr r="G389" s="2"/>
      </tp>
      <tp t="s">
        <v>#N/A N/A</v>
        <stp/>
        <stp>BDP|12398767766656003829</stp>
        <tr r="H3768" s="2"/>
      </tp>
      <tp t="s">
        <v>#N/A N/A</v>
        <stp/>
        <stp>BDP|14699531383662688617</stp>
        <tr r="F2577" s="2"/>
      </tp>
      <tp t="s">
        <v>#N/A N/A</v>
        <stp/>
        <stp>BDP|14079852151367613337</stp>
        <tr r="D1205" s="2"/>
      </tp>
      <tp t="s">
        <v>#N/A N/A</v>
        <stp/>
        <stp>BDP|13577835791726127977</stp>
        <tr r="C4450" s="2"/>
      </tp>
      <tp t="s">
        <v>#N/A N/A</v>
        <stp/>
        <stp>BDP|14415571798341827421</stp>
        <tr r="C4058" s="2"/>
      </tp>
      <tp t="s">
        <v>#N/A N/A</v>
        <stp/>
        <stp>BDP|10851585491509116814</stp>
        <tr r="H2209" s="2"/>
      </tp>
      <tp t="s">
        <v>#N/A N/A</v>
        <stp/>
        <stp>BDP|14576771382985083310</stp>
        <tr r="C4041" s="2"/>
      </tp>
      <tp t="s">
        <v>#N/A N/A</v>
        <stp/>
        <stp>BDP|10609782652119527686</stp>
        <tr r="H58" s="2"/>
      </tp>
      <tp t="s">
        <v>#N/A N/A</v>
        <stp/>
        <stp>BDP|14289304386983309162</stp>
        <tr r="F4430" s="2"/>
      </tp>
      <tp t="s">
        <v>#N/A N/A</v>
        <stp/>
        <stp>BDP|12747224993732738603</stp>
        <tr r="G3935" s="2"/>
      </tp>
      <tp t="s">
        <v>#N/A N/A</v>
        <stp/>
        <stp>BDP|17732301807681707863</stp>
        <tr r="G1216" s="2"/>
      </tp>
      <tp t="s">
        <v>#N/A N/A</v>
        <stp/>
        <stp>BDP|17234132631311353920</stp>
        <tr r="D4165" s="2"/>
      </tp>
      <tp t="s">
        <v>#N/A N/A</v>
        <stp/>
        <stp>BDP|16952811161244154194</stp>
        <tr r="I4232" s="2"/>
      </tp>
      <tp t="s">
        <v>#N/A N/A</v>
        <stp/>
        <stp>BDP|12761400779234837870</stp>
        <tr r="F505" s="2"/>
      </tp>
      <tp t="s">
        <v>#N/A N/A</v>
        <stp/>
        <stp>BDP|18008651124725059404</stp>
        <tr r="F983" s="2"/>
      </tp>
      <tp t="s">
        <v>#N/A N/A</v>
        <stp/>
        <stp>BDP|10808236396535535396</stp>
        <tr r="F4882" s="2"/>
      </tp>
      <tp t="s">
        <v>#N/A N/A</v>
        <stp/>
        <stp>BDP|13063303907774770913</stp>
        <tr r="C1945" s="2"/>
      </tp>
      <tp t="s">
        <v>#N/A N/A</v>
        <stp/>
        <stp>BDP|12441263907675771830</stp>
        <tr r="G3275" s="2"/>
      </tp>
      <tp t="s">
        <v>#N/A N/A</v>
        <stp/>
        <stp>BDP|11419245939429858403</stp>
        <tr r="G4307" s="2"/>
      </tp>
      <tp t="s">
        <v>#N/A N/A</v>
        <stp/>
        <stp>BDP|12514280579708334263</stp>
        <tr r="G105" s="2"/>
      </tp>
      <tp t="s">
        <v>#N/A N/A</v>
        <stp/>
        <stp>BDP|10476655306112310954</stp>
        <tr r="A1246" s="2"/>
      </tp>
      <tp t="s">
        <v>#N/A N/A</v>
        <stp/>
        <stp>BDP|17862965318656702403</stp>
        <tr r="F4509" s="2"/>
      </tp>
      <tp t="s">
        <v>#N/A N/A</v>
        <stp/>
        <stp>BDP|17915007381487152582</stp>
        <tr r="B3888" s="2"/>
      </tp>
      <tp t="s">
        <v>#N/A N/A</v>
        <stp/>
        <stp>BDP|18086801650400805898</stp>
        <tr r="F4668" s="2"/>
      </tp>
      <tp t="s">
        <v>#N/A N/A</v>
        <stp/>
        <stp>BDP|13906322199400212413</stp>
        <tr r="H1290" s="2"/>
      </tp>
      <tp t="s">
        <v>#N/A N/A</v>
        <stp/>
        <stp>BDP|14523004768238873747</stp>
        <tr r="F4571" s="2"/>
      </tp>
      <tp t="s">
        <v>#N/A N/A</v>
        <stp/>
        <stp>BDP|11007315193476746041</stp>
        <tr r="A957" s="2"/>
      </tp>
      <tp t="s">
        <v>#N/A N/A</v>
        <stp/>
        <stp>BDP|12005993233723897639</stp>
        <tr r="I1708" s="2"/>
      </tp>
      <tp t="s">
        <v>#N/A N/A</v>
        <stp/>
        <stp>BDP|17070613683857511369</stp>
        <tr r="F1684" s="2"/>
      </tp>
      <tp t="s">
        <v>#N/A N/A</v>
        <stp/>
        <stp>BDP|17573691160319911340</stp>
        <tr r="H4202" s="2"/>
      </tp>
      <tp t="s">
        <v>#N/A N/A</v>
        <stp/>
        <stp>BDP|14259759858412650996</stp>
        <tr r="H4368" s="2"/>
      </tp>
      <tp t="s">
        <v>#N/A N/A</v>
        <stp/>
        <stp>BDP|15587453622329560775</stp>
        <tr r="I1169" s="2"/>
      </tp>
      <tp t="s">
        <v>#N/A N/A</v>
        <stp/>
        <stp>BDP|12070890849230582357</stp>
        <tr r="D2806" s="2"/>
      </tp>
      <tp t="s">
        <v>#N/A N/A</v>
        <stp/>
        <stp>BDP|12425188898024646324</stp>
        <tr r="A2364" s="2"/>
      </tp>
      <tp t="s">
        <v>#N/A N/A</v>
        <stp/>
        <stp>BDP|17542368384156653712</stp>
        <tr r="D1331" s="2"/>
      </tp>
      <tp t="s">
        <v>#N/A N/A</v>
        <stp/>
        <stp>BDP|18394040291948434429</stp>
        <tr r="A4139" s="2"/>
      </tp>
      <tp t="s">
        <v>#N/A N/A</v>
        <stp/>
        <stp>BDP|13115070318616847969</stp>
        <tr r="G3949" s="2"/>
      </tp>
      <tp t="s">
        <v>#N/A N/A</v>
        <stp/>
        <stp>BDP|18070357498247482890</stp>
        <tr r="C1756" s="2"/>
      </tp>
      <tp t="s">
        <v>#N/A N/A</v>
        <stp/>
        <stp>BDP|15610222631981640837</stp>
        <tr r="I3789" s="2"/>
      </tp>
      <tp t="s">
        <v>#N/A N/A</v>
        <stp/>
        <stp>BDP|12789552786317327572</stp>
        <tr r="G1545" s="2"/>
      </tp>
      <tp t="s">
        <v>#N/A N/A</v>
        <stp/>
        <stp>BDP|14079614671158333039</stp>
        <tr r="B1385" s="2"/>
      </tp>
      <tp t="s">
        <v>#N/A N/A</v>
        <stp/>
        <stp>BDP|15868896398071817819</stp>
        <tr r="C697" s="2"/>
      </tp>
      <tp t="s">
        <v>#N/A N/A</v>
        <stp/>
        <stp>BDP|14655858224130537327</stp>
        <tr r="A3557" s="2"/>
      </tp>
      <tp t="s">
        <v>#N/A N/A</v>
        <stp/>
        <stp>BDP|11027673442429725728</stp>
        <tr r="H4679" s="2"/>
      </tp>
      <tp t="s">
        <v>#N/A N/A</v>
        <stp/>
        <stp>BDP|11553529369146705993</stp>
        <tr r="B3234" s="2"/>
      </tp>
      <tp t="s">
        <v>#N/A N/A</v>
        <stp/>
        <stp>BDP|14930314908212629869</stp>
        <tr r="G334" s="2"/>
      </tp>
      <tp t="s">
        <v>#N/A N/A</v>
        <stp/>
        <stp>BDP|16022134271904471966</stp>
        <tr r="A1119" s="2"/>
      </tp>
      <tp t="s">
        <v>#N/A N/A</v>
        <stp/>
        <stp>BDP|17078949044695130215</stp>
        <tr r="C4885" s="2"/>
      </tp>
      <tp t="s">
        <v>#N/A N/A</v>
        <stp/>
        <stp>BDP|17389982673770836403</stp>
        <tr r="F4240" s="2"/>
      </tp>
      <tp t="s">
        <v>#N/A N/A</v>
        <stp/>
        <stp>BDP|14432988719158129945</stp>
        <tr r="G3479" s="2"/>
      </tp>
      <tp t="s">
        <v>#N/A N/A</v>
        <stp/>
        <stp>BDP|15995902468955981287</stp>
        <tr r="A2308" s="2"/>
      </tp>
      <tp t="s">
        <v>#N/A N/A</v>
        <stp/>
        <stp>BDP|13970542362334794982</stp>
        <tr r="I407" s="2"/>
      </tp>
      <tp t="s">
        <v>#N/A N/A</v>
        <stp/>
        <stp>BDP|16531540996771398640</stp>
        <tr r="I1637" s="2"/>
      </tp>
      <tp t="s">
        <v>#N/A N/A</v>
        <stp/>
        <stp>BDP|13655810132555782025</stp>
        <tr r="C470" s="2"/>
      </tp>
      <tp t="s">
        <v>#N/A N/A</v>
        <stp/>
        <stp>BDP|13706713414911240903</stp>
        <tr r="F1021" s="2"/>
      </tp>
      <tp t="s">
        <v>#N/A N/A</v>
        <stp/>
        <stp>BDP|14592247425039319073</stp>
        <tr r="H158" s="2"/>
      </tp>
      <tp t="s">
        <v>#N/A N/A</v>
        <stp/>
        <stp>BDP|15029849501127157743</stp>
        <tr r="C3557" s="2"/>
      </tp>
      <tp t="s">
        <v>#N/A N/A</v>
        <stp/>
        <stp>BDP|18260519935222759114</stp>
        <tr r="C3203" s="2"/>
      </tp>
      <tp t="s">
        <v>#N/A N/A</v>
        <stp/>
        <stp>BDP|11916385644249218274</stp>
        <tr r="A962" s="2"/>
      </tp>
      <tp t="s">
        <v>#N/A N/A</v>
        <stp/>
        <stp>BDP|14548901137401026220</stp>
        <tr r="C3593" s="2"/>
      </tp>
      <tp t="s">
        <v>#N/A N/A</v>
        <stp/>
        <stp>BDP|12264824022544315115</stp>
        <tr r="G1011" s="2"/>
      </tp>
      <tp t="s">
        <v>#N/A N/A</v>
        <stp/>
        <stp>BDP|14912984860553608573</stp>
        <tr r="D380" s="2"/>
      </tp>
      <tp t="s">
        <v>#N/A N/A</v>
        <stp/>
        <stp>BDP|17583431741143227959</stp>
        <tr r="G3270" s="2"/>
      </tp>
      <tp t="s">
        <v>#N/A N/A</v>
        <stp/>
        <stp>BDP|15890923259427192324</stp>
        <tr r="H758" s="2"/>
      </tp>
      <tp t="s">
        <v>#N/A N/A</v>
        <stp/>
        <stp>BDP|18139654081753077855</stp>
        <tr r="G4383" s="2"/>
      </tp>
      <tp t="s">
        <v>#N/A N/A</v>
        <stp/>
        <stp>BDP|16923811552404907235</stp>
        <tr r="C2453" s="2"/>
      </tp>
      <tp t="s">
        <v>#N/A N/A</v>
        <stp/>
        <stp>BDP|12945008199755601369</stp>
        <tr r="A3778" s="2"/>
      </tp>
      <tp t="s">
        <v>#N/A N/A</v>
        <stp/>
        <stp>BDP|15903684339864986916</stp>
        <tr r="G3391" s="2"/>
      </tp>
      <tp t="s">
        <v>#N/A N/A</v>
        <stp/>
        <stp>BDP|13301537076505113971</stp>
        <tr r="H2544" s="2"/>
      </tp>
      <tp t="s">
        <v>#N/A N/A</v>
        <stp/>
        <stp>BDP|11553029194790121528</stp>
        <tr r="A2122" s="2"/>
      </tp>
      <tp t="s">
        <v>#N/A N/A</v>
        <stp/>
        <stp>BDP|13677481027278021097</stp>
        <tr r="I2427" s="2"/>
      </tp>
      <tp t="s">
        <v>#N/A N/A</v>
        <stp/>
        <stp>BDP|13727516894421364316</stp>
        <tr r="F610" s="2"/>
      </tp>
      <tp t="s">
        <v>#N/A N/A</v>
        <stp/>
        <stp>BDP|13675526537439308105</stp>
        <tr r="A1300" s="2"/>
      </tp>
      <tp t="s">
        <v>#N/A N/A</v>
        <stp/>
        <stp>BDP|14271862071652170444</stp>
        <tr r="C2303" s="2"/>
      </tp>
      <tp t="s">
        <v>#N/A N/A</v>
        <stp/>
        <stp>BDP|10488168994517356250</stp>
        <tr r="F4178" s="2"/>
      </tp>
      <tp t="s">
        <v>#N/A N/A</v>
        <stp/>
        <stp>BDP|18117720812674918786</stp>
        <tr r="F4044" s="2"/>
      </tp>
      <tp t="s">
        <v>#N/A N/A</v>
        <stp/>
        <stp>BDP|11108159953000682811</stp>
        <tr r="D2162" s="2"/>
      </tp>
      <tp t="s">
        <v>#N/A N/A</v>
        <stp/>
        <stp>BDP|11528459550378787577</stp>
        <tr r="G4979" s="2"/>
      </tp>
      <tp t="s">
        <v>#N/A N/A</v>
        <stp/>
        <stp>BDP|16058721803555809996</stp>
        <tr r="G1084" s="2"/>
      </tp>
      <tp t="s">
        <v>#N/A N/A</v>
        <stp/>
        <stp>BDP|17345953921013562226</stp>
        <tr r="A4084" s="2"/>
      </tp>
      <tp t="s">
        <v>#N/A N/A</v>
        <stp/>
        <stp>BDP|14655376040296034815</stp>
        <tr r="A325" s="2"/>
      </tp>
      <tp t="s">
        <v>#N/A N/A</v>
        <stp/>
        <stp>BDP|16502815837573236314</stp>
        <tr r="H64" s="2"/>
      </tp>
      <tp t="s">
        <v>#N/A N/A</v>
        <stp/>
        <stp>BDP|15093194182431961028</stp>
        <tr r="H1212" s="2"/>
      </tp>
      <tp t="s">
        <v>#N/A N/A</v>
        <stp/>
        <stp>BDP|16606327890511143050</stp>
        <tr r="G471" s="2"/>
      </tp>
      <tp t="s">
        <v>#N/A N/A</v>
        <stp/>
        <stp>BDP|10430686832000677884</stp>
        <tr r="C4121" s="2"/>
      </tp>
      <tp t="s">
        <v>#N/A N/A</v>
        <stp/>
        <stp>BDP|14354369115889634261</stp>
        <tr r="I1511" s="2"/>
      </tp>
      <tp t="s">
        <v>#N/A N/A</v>
        <stp/>
        <stp>BDP|10692836023621788617</stp>
        <tr r="D3046" s="2"/>
      </tp>
      <tp t="s">
        <v>#N/A N/A</v>
        <stp/>
        <stp>BDP|10405898773045762798</stp>
        <tr r="I1396" s="2"/>
      </tp>
      <tp t="s">
        <v>#N/A N/A</v>
        <stp/>
        <stp>BDP|14774142052315461856</stp>
        <tr r="C3068" s="2"/>
      </tp>
      <tp t="s">
        <v>#N/A N/A</v>
        <stp/>
        <stp>BDP|15664180288698469920</stp>
        <tr r="H3275" s="2"/>
      </tp>
      <tp t="s">
        <v>#N/A N/A</v>
        <stp/>
        <stp>BDP|14931353238829460008</stp>
        <tr r="F1763" s="2"/>
      </tp>
      <tp t="s">
        <v>#N/A N/A</v>
        <stp/>
        <stp>BDP|18355354757623480059</stp>
        <tr r="C148" s="2"/>
      </tp>
      <tp t="s">
        <v>#N/A N/A</v>
        <stp/>
        <stp>BDP|11025488492829810825</stp>
        <tr r="A1035" s="2"/>
      </tp>
      <tp t="s">
        <v>#N/A N/A</v>
        <stp/>
        <stp>BDP|14901222538399031137</stp>
        <tr r="F274" s="2"/>
      </tp>
      <tp t="s">
        <v>#N/A N/A</v>
        <stp/>
        <stp>BDP|15534132388746947777</stp>
        <tr r="A168" s="2"/>
      </tp>
      <tp t="s">
        <v>#N/A N/A</v>
        <stp/>
        <stp>BDP|10505213288540925751</stp>
        <tr r="A2588" s="2"/>
      </tp>
      <tp t="s">
        <v>#N/A N/A</v>
        <stp/>
        <stp>BDP|16311946044574660251</stp>
        <tr r="D1583" s="2"/>
      </tp>
      <tp t="s">
        <v>#N/A N/A</v>
        <stp/>
        <stp>BDP|15539167635479419324</stp>
        <tr r="B2291" s="2"/>
      </tp>
      <tp t="s">
        <v>#N/A N/A</v>
        <stp/>
        <stp>BDP|18233915736218799729</stp>
        <tr r="C2440" s="2"/>
      </tp>
      <tp t="s">
        <v>#N/A N/A</v>
        <stp/>
        <stp>BDP|16733399529073164968</stp>
        <tr r="H2801" s="2"/>
      </tp>
      <tp t="s">
        <v>#N/A N/A</v>
        <stp/>
        <stp>BDP|15770799648879210243</stp>
        <tr r="F2736" s="2"/>
      </tp>
      <tp t="s">
        <v>#N/A N/A</v>
        <stp/>
        <stp>BDP|10705148086211267578</stp>
        <tr r="B2650" s="2"/>
      </tp>
      <tp t="s">
        <v>#N/A N/A</v>
        <stp/>
        <stp>BDP|10700420607880673974</stp>
        <tr r="D777" s="2"/>
      </tp>
      <tp t="s">
        <v>#N/A N/A</v>
        <stp/>
        <stp>BDP|14019406333246172819</stp>
        <tr r="H4585" s="2"/>
      </tp>
      <tp t="s">
        <v>#N/A N/A</v>
        <stp/>
        <stp>BDP|12196863914671417746</stp>
        <tr r="H4868" s="2"/>
      </tp>
      <tp t="s">
        <v>#N/A N/A</v>
        <stp/>
        <stp>BDP|12946224338096435848</stp>
        <tr r="I4188" s="2"/>
      </tp>
      <tp t="s">
        <v>#N/A N/A</v>
        <stp/>
        <stp>BDP|11181966614283675760</stp>
        <tr r="I4191" s="2"/>
      </tp>
      <tp t="s">
        <v>#N/A N/A</v>
        <stp/>
        <stp>BDP|12349048813139006776</stp>
        <tr r="D512" s="2"/>
      </tp>
      <tp t="s">
        <v>#N/A N/A</v>
        <stp/>
        <stp>BDP|14004742254623292816</stp>
        <tr r="G4868" s="2"/>
      </tp>
      <tp t="s">
        <v>#N/A N/A</v>
        <stp/>
        <stp>BDP|14044612390681391713</stp>
        <tr r="G2184" s="2"/>
      </tp>
      <tp t="s">
        <v>#N/A N/A</v>
        <stp/>
        <stp>BDP|13952624873167895833</stp>
        <tr r="I1647" s="2"/>
      </tp>
      <tp t="s">
        <v>#N/A N/A</v>
        <stp/>
        <stp>BDP|15743218313332749911</stp>
        <tr r="H2720" s="2"/>
      </tp>
      <tp t="s">
        <v>#N/A N/A</v>
        <stp/>
        <stp>BDP|17717240235758787324</stp>
        <tr r="A1810" s="2"/>
      </tp>
      <tp t="s">
        <v>#N/A N/A</v>
        <stp/>
        <stp>BDP|15553656146029297373</stp>
        <tr r="I4090" s="2"/>
      </tp>
      <tp t="s">
        <v>#N/A N/A</v>
        <stp/>
        <stp>BDP|12601537362275555919</stp>
        <tr r="F1579" s="2"/>
      </tp>
      <tp t="s">
        <v>#N/A N/A</v>
        <stp/>
        <stp>BDP|13898327298570722461</stp>
        <tr r="G2468" s="2"/>
      </tp>
      <tp t="s">
        <v>#N/A N/A</v>
        <stp/>
        <stp>BDP|10799938013553782634</stp>
        <tr r="A2751" s="2"/>
      </tp>
      <tp t="s">
        <v>#N/A N/A</v>
        <stp/>
        <stp>BDP|14339496886207879278</stp>
        <tr r="D4640" s="2"/>
      </tp>
      <tp t="s">
        <v>#N/A N/A</v>
        <stp/>
        <stp>BDP|11502167643530691953</stp>
        <tr r="F545" s="2"/>
      </tp>
      <tp t="s">
        <v>#N/A N/A</v>
        <stp/>
        <stp>BDP|14268345734919873092</stp>
        <tr r="B1892" s="2"/>
      </tp>
      <tp t="s">
        <v>#N/A N/A</v>
        <stp/>
        <stp>BDP|16677749117379771415</stp>
        <tr r="I329" s="2"/>
      </tp>
      <tp t="s">
        <v>#N/A N/A</v>
        <stp/>
        <stp>BDP|16936849418395057762</stp>
        <tr r="A746" s="2"/>
      </tp>
      <tp t="s">
        <v>#N/A N/A</v>
        <stp/>
        <stp>BDP|17919305266268581790</stp>
        <tr r="F4915" s="2"/>
      </tp>
      <tp t="s">
        <v>#N/A N/A</v>
        <stp/>
        <stp>BDP|17735800724835560553</stp>
        <tr r="A1047" s="2"/>
      </tp>
      <tp t="s">
        <v>#N/A N/A</v>
        <stp/>
        <stp>BDP|18411298735537935321</stp>
        <tr r="D2689" s="2"/>
      </tp>
      <tp t="s">
        <v>#N/A N/A</v>
        <stp/>
        <stp>BDP|14627041333193683947</stp>
        <tr r="F130" s="2"/>
      </tp>
      <tp t="s">
        <v>#N/A N/A</v>
        <stp/>
        <stp>BDP|16768767064753635908</stp>
        <tr r="B2593" s="2"/>
      </tp>
      <tp t="s">
        <v>#N/A N/A</v>
        <stp/>
        <stp>BDP|11119875265185899781</stp>
        <tr r="B1312" s="2"/>
      </tp>
      <tp t="s">
        <v>#N/A N/A</v>
        <stp/>
        <stp>BDP|16923522819387676879</stp>
        <tr r="C627" s="2"/>
      </tp>
      <tp t="s">
        <v>#N/A N/A</v>
        <stp/>
        <stp>BDP|17744860522340724078</stp>
        <tr r="A4031" s="2"/>
      </tp>
      <tp t="s">
        <v>#N/A N/A</v>
        <stp/>
        <stp>BDP|18317948781152015654</stp>
        <tr r="B1583" s="2"/>
      </tp>
      <tp t="s">
        <v>#N/A N/A</v>
        <stp/>
        <stp>BDP|16130432515627395973</stp>
        <tr r="A214" s="2"/>
      </tp>
      <tp t="s">
        <v>#N/A N/A</v>
        <stp/>
        <stp>BDP|16783945244942312479</stp>
        <tr r="D1624" s="2"/>
      </tp>
      <tp t="s">
        <v>#N/A N/A</v>
        <stp/>
        <stp>BDP|17732532486992168502</stp>
        <tr r="F3967" s="2"/>
      </tp>
      <tp t="s">
        <v>#N/A N/A</v>
        <stp/>
        <stp>BDP|18287196138586809187</stp>
        <tr r="A3597" s="2"/>
      </tp>
      <tp t="s">
        <v>#N/A N/A</v>
        <stp/>
        <stp>BDP|11954484958884367993</stp>
        <tr r="F701" s="2"/>
      </tp>
      <tp t="s">
        <v>#N/A N/A</v>
        <stp/>
        <stp>BDP|11830356565780950924</stp>
        <tr r="H2257" s="2"/>
      </tp>
      <tp t="s">
        <v>#N/A N/A</v>
        <stp/>
        <stp>BDP|13403939665499970889</stp>
        <tr r="D2983" s="2"/>
      </tp>
      <tp t="s">
        <v>#N/A N/A</v>
        <stp/>
        <stp>BDP|16758973174735516023</stp>
        <tr r="B4699" s="2"/>
      </tp>
      <tp t="s">
        <v>#N/A N/A</v>
        <stp/>
        <stp>BDP|16230060653006028842</stp>
        <tr r="I4141" s="2"/>
      </tp>
      <tp t="s">
        <v>#N/A N/A</v>
        <stp/>
        <stp>BDP|16135153884045422771</stp>
        <tr r="G2569" s="2"/>
      </tp>
      <tp t="s">
        <v>#N/A N/A</v>
        <stp/>
        <stp>BDP|14979485878628957232</stp>
        <tr r="G4291" s="2"/>
      </tp>
      <tp t="s">
        <v>#N/A N/A</v>
        <stp/>
        <stp>BDP|11219973072076799438</stp>
        <tr r="D470" s="2"/>
      </tp>
      <tp t="s">
        <v>#N/A N/A</v>
        <stp/>
        <stp>BDP|10106964285554512843</stp>
        <tr r="F1887" s="2"/>
      </tp>
      <tp t="s">
        <v>#N/A N/A</v>
        <stp/>
        <stp>BDP|11344715984092027150</stp>
        <tr r="G1129" s="2"/>
      </tp>
      <tp t="s">
        <v>#N/A N/A</v>
        <stp/>
        <stp>BDP|15532581229196407931</stp>
        <tr r="B4134" s="2"/>
      </tp>
      <tp t="s">
        <v>#N/A N/A</v>
        <stp/>
        <stp>BDP|15526583598391723512</stp>
        <tr r="I2499" s="2"/>
      </tp>
      <tp t="s">
        <v>#N/A N/A</v>
        <stp/>
        <stp>BDP|10453960404644106041</stp>
        <tr r="G3549" s="2"/>
      </tp>
      <tp t="s">
        <v>#N/A N/A</v>
        <stp/>
        <stp>BDP|10652193329109347761</stp>
        <tr r="G908" s="2"/>
      </tp>
      <tp t="s">
        <v>#N/A N/A</v>
        <stp/>
        <stp>BDP|17321177414222177822</stp>
        <tr r="D2833" s="2"/>
      </tp>
      <tp t="s">
        <v>#N/A N/A</v>
        <stp/>
        <stp>BDP|15675660944688356246</stp>
        <tr r="A2086" s="2"/>
      </tp>
      <tp t="s">
        <v>#N/A N/A</v>
        <stp/>
        <stp>BDP|10411034125496701960</stp>
        <tr r="B2529" s="2"/>
      </tp>
      <tp t="s">
        <v>#N/A N/A</v>
        <stp/>
        <stp>BDP|14177409348699295080</stp>
        <tr r="H1047" s="2"/>
      </tp>
      <tp t="s">
        <v>#N/A N/A</v>
        <stp/>
        <stp>BDP|13636039688171732799</stp>
        <tr r="A298" s="2"/>
      </tp>
      <tp t="s">
        <v>#N/A N/A</v>
        <stp/>
        <stp>BDP|10739043434537368972</stp>
        <tr r="A4088" s="2"/>
      </tp>
      <tp t="s">
        <v>#N/A N/A</v>
        <stp/>
        <stp>BDP|10189906952244155518</stp>
        <tr r="G3898" s="2"/>
      </tp>
      <tp t="s">
        <v>#N/A N/A</v>
        <stp/>
        <stp>BDP|12427862467804193570</stp>
        <tr r="H597" s="2"/>
      </tp>
      <tp t="s">
        <v>#N/A N/A</v>
        <stp/>
        <stp>BDP|11255732198521219383</stp>
        <tr r="H79" s="2"/>
      </tp>
      <tp t="s">
        <v>#N/A N/A</v>
        <stp/>
        <stp>BDP|13942860247083903124</stp>
        <tr r="F2328" s="2"/>
      </tp>
      <tp t="s">
        <v>#N/A N/A</v>
        <stp/>
        <stp>BDP|12506821246344204702</stp>
        <tr r="A1552" s="2"/>
      </tp>
      <tp t="s">
        <v>#N/A N/A</v>
        <stp/>
        <stp>BDP|17480828725802690261</stp>
        <tr r="D4867" s="2"/>
      </tp>
      <tp t="s">
        <v>#N/A N/A</v>
        <stp/>
        <stp>BDP|12823164773571925871</stp>
        <tr r="I4241" s="2"/>
      </tp>
      <tp t="s">
        <v>#N/A N/A</v>
        <stp/>
        <stp>BDP|15548031935629562255</stp>
        <tr r="G2882" s="2"/>
      </tp>
      <tp t="s">
        <v>#N/A N/A</v>
        <stp/>
        <stp>BDP|11319492371466072987</stp>
        <tr r="G4096" s="2"/>
      </tp>
      <tp t="s">
        <v>#N/A N/A</v>
        <stp/>
        <stp>BDP|14248736267149746121</stp>
        <tr r="H993" s="2"/>
      </tp>
      <tp t="s">
        <v>#N/A N/A</v>
        <stp/>
        <stp>BDP|16618077725230418933</stp>
        <tr r="G4479" s="2"/>
      </tp>
      <tp t="s">
        <v>#N/A N/A</v>
        <stp/>
        <stp>BDP|17618007394024459755</stp>
        <tr r="I2380" s="2"/>
      </tp>
      <tp t="s">
        <v>#N/A N/A</v>
        <stp/>
        <stp>BDP|10985274425579885407</stp>
        <tr r="H3071" s="2"/>
      </tp>
      <tp t="s">
        <v>#N/A N/A</v>
        <stp/>
        <stp>BDP|11656920047016033703</stp>
        <tr r="H2976" s="2"/>
      </tp>
      <tp t="s">
        <v>#N/A N/A</v>
        <stp/>
        <stp>BDP|14256257375925093917</stp>
        <tr r="A3795" s="2"/>
      </tp>
      <tp t="s">
        <v>#N/A N/A</v>
        <stp/>
        <stp>BDP|16965263081956806759</stp>
        <tr r="D2993" s="2"/>
      </tp>
      <tp t="s">
        <v>#N/A N/A</v>
        <stp/>
        <stp>BDP|11007611381445611751</stp>
        <tr r="G3951" s="2"/>
      </tp>
      <tp t="s">
        <v>#N/A N/A</v>
        <stp/>
        <stp>BDP|11554823104041801583</stp>
        <tr r="G882" s="2"/>
      </tp>
      <tp t="s">
        <v>#N/A N/A</v>
        <stp/>
        <stp>BDP|10182946332804473304</stp>
        <tr r="B2087" s="2"/>
      </tp>
      <tp t="s">
        <v>#N/A N/A</v>
        <stp/>
        <stp>BDP|11299248454169934287</stp>
        <tr r="B1346" s="2"/>
      </tp>
      <tp t="s">
        <v>#N/A N/A</v>
        <stp/>
        <stp>BDP|13345804936006468322</stp>
        <tr r="D1509" s="2"/>
      </tp>
      <tp t="s">
        <v>#N/A N/A</v>
        <stp/>
        <stp>BDP|14298747781580091646</stp>
        <tr r="B2962" s="2"/>
      </tp>
      <tp t="s">
        <v>#N/A N/A</v>
        <stp/>
        <stp>BDP|13961285151510721940</stp>
        <tr r="D4824" s="2"/>
      </tp>
      <tp t="s">
        <v>#N/A N/A</v>
        <stp/>
        <stp>BDP|14392965636924906791</stp>
        <tr r="B902" s="2"/>
      </tp>
      <tp t="s">
        <v>#N/A N/A</v>
        <stp/>
        <stp>BDP|13821119401966251993</stp>
        <tr r="A4887" s="2"/>
      </tp>
      <tp t="s">
        <v>#N/A N/A</v>
        <stp/>
        <stp>BDP|12516660392834509462</stp>
        <tr r="G4142" s="2"/>
      </tp>
      <tp t="s">
        <v>#N/A N/A</v>
        <stp/>
        <stp>BDP|13875278633698960774</stp>
        <tr r="D302" s="2"/>
      </tp>
      <tp t="s">
        <v>#N/A N/A</v>
        <stp/>
        <stp>BDP|13755185636309387580</stp>
        <tr r="G1605" s="2"/>
      </tp>
      <tp t="s">
        <v>#N/A N/A</v>
        <stp/>
        <stp>BDP|13212335099830853422</stp>
        <tr r="F3356" s="2"/>
      </tp>
      <tp t="s">
        <v>#N/A N/A</v>
        <stp/>
        <stp>BDP|14443504808798950479</stp>
        <tr r="I3627" s="2"/>
      </tp>
      <tp t="s">
        <v>#N/A N/A</v>
        <stp/>
        <stp>BDP|11805821958661240029</stp>
        <tr r="C410" s="2"/>
      </tp>
      <tp t="s">
        <v>#N/A N/A</v>
        <stp/>
        <stp>BDP|11214659945628719675</stp>
        <tr r="B2857" s="2"/>
      </tp>
      <tp t="s">
        <v>#N/A N/A</v>
        <stp/>
        <stp>BDP|13131959156020681268</stp>
        <tr r="B1447" s="2"/>
      </tp>
      <tp t="s">
        <v>#N/A N/A</v>
        <stp/>
        <stp>BDP|13125174990895219366</stp>
        <tr r="C3014" s="2"/>
      </tp>
      <tp t="s">
        <v>#N/A N/A</v>
        <stp/>
        <stp>BDP|10662619083382731116</stp>
        <tr r="C1484" s="2"/>
      </tp>
      <tp t="s">
        <v>#N/A N/A</v>
        <stp/>
        <stp>BDP|18132172310914041145</stp>
        <tr r="F4185" s="2"/>
      </tp>
      <tp t="s">
        <v>#N/A N/A</v>
        <stp/>
        <stp>BDP|10473928641629599908</stp>
        <tr r="H1472" s="2"/>
      </tp>
      <tp t="s">
        <v>#N/A N/A</v>
        <stp/>
        <stp>BDP|11431333592197593120</stp>
        <tr r="I3455" s="2"/>
      </tp>
      <tp t="s">
        <v>#N/A N/A</v>
        <stp/>
        <stp>BDP|17517108086281916282</stp>
        <tr r="B4541" s="2"/>
      </tp>
      <tp t="s">
        <v>#N/A N/A</v>
        <stp/>
        <stp>BDP|16656168128278936034</stp>
        <tr r="A2607" s="2"/>
      </tp>
      <tp t="s">
        <v>#N/A N/A</v>
        <stp/>
        <stp>BDP|17421125395840277230</stp>
        <tr r="C191" s="2"/>
      </tp>
      <tp t="s">
        <v>#N/A N/A</v>
        <stp/>
        <stp>BDP|15521230095615242638</stp>
        <tr r="B33" s="2"/>
      </tp>
      <tp t="s">
        <v>#N/A N/A</v>
        <stp/>
        <stp>BDP|18307225147963322076</stp>
        <tr r="B4756" s="2"/>
      </tp>
      <tp t="s">
        <v>#N/A N/A</v>
        <stp/>
        <stp>BDP|15818319582840887317</stp>
        <tr r="G4348" s="2"/>
      </tp>
      <tp t="s">
        <v>#N/A N/A</v>
        <stp/>
        <stp>BDP|16197178597324688755</stp>
        <tr r="H4951" s="2"/>
      </tp>
      <tp t="s">
        <v>#N/A N/A</v>
        <stp/>
        <stp>BDP|11203218030658523543</stp>
        <tr r="F2595" s="2"/>
      </tp>
      <tp t="s">
        <v>#N/A N/A</v>
        <stp/>
        <stp>BDP|17011656084665468179</stp>
        <tr r="D3850" s="2"/>
      </tp>
      <tp t="s">
        <v>#N/A N/A</v>
        <stp/>
        <stp>BDP|14571902010974208552</stp>
        <tr r="D115" s="2"/>
      </tp>
      <tp t="s">
        <v>#N/A N/A</v>
        <stp/>
        <stp>BDP|13134630119951837817</stp>
        <tr r="C1206" s="2"/>
      </tp>
      <tp t="s">
        <v>#N/A N/A</v>
        <stp/>
        <stp>BDP|10475453441964306913</stp>
        <tr r="A2944" s="2"/>
      </tp>
      <tp t="s">
        <v>#N/A N/A</v>
        <stp/>
        <stp>BDP|15887732704666527980</stp>
        <tr r="I593" s="2"/>
      </tp>
      <tp t="s">
        <v>#N/A N/A</v>
        <stp/>
        <stp>BDP|17167460540398683230</stp>
        <tr r="G4892" s="2"/>
      </tp>
      <tp t="s">
        <v>#N/A N/A</v>
        <stp/>
        <stp>BDP|15888290762774443857</stp>
        <tr r="G4464" s="2"/>
      </tp>
      <tp t="s">
        <v>#N/A N/A</v>
        <stp/>
        <stp>BDP|17343263227098799272</stp>
        <tr r="F1056" s="2"/>
      </tp>
      <tp t="s">
        <v>#N/A N/A</v>
        <stp/>
        <stp>BDP|17318993923195336483</stp>
        <tr r="D2044" s="2"/>
      </tp>
      <tp t="s">
        <v>#N/A N/A</v>
        <stp/>
        <stp>BDP|12301087728345736864</stp>
        <tr r="I27" s="2"/>
      </tp>
      <tp t="s">
        <v>#N/A N/A</v>
        <stp/>
        <stp>BDP|18150160395625637863</stp>
        <tr r="D1103" s="2"/>
      </tp>
      <tp t="s">
        <v>#N/A N/A</v>
        <stp/>
        <stp>BDP|10083944779182894176</stp>
        <tr r="B2672" s="2"/>
      </tp>
      <tp t="s">
        <v>#N/A N/A</v>
        <stp/>
        <stp>BDP|18357841935076161810</stp>
        <tr r="I34" s="2"/>
      </tp>
      <tp t="s">
        <v>#N/A N/A</v>
        <stp/>
        <stp>BDP|16416483689381712602</stp>
        <tr r="G2571" s="2"/>
      </tp>
      <tp t="s">
        <v>#N/A N/A</v>
        <stp/>
        <stp>BDP|13765324664252712943</stp>
        <tr r="H4470" s="2"/>
      </tp>
      <tp t="s">
        <v>#N/A N/A</v>
        <stp/>
        <stp>BDP|16202626474732474824</stp>
        <tr r="A2942" s="2"/>
      </tp>
      <tp t="s">
        <v>#N/A N/A</v>
        <stp/>
        <stp>BDP|16009722538988988712</stp>
        <tr r="D262" s="2"/>
      </tp>
      <tp t="s">
        <v>#N/A N/A</v>
        <stp/>
        <stp>BDP|10438623580123321072</stp>
        <tr r="I2665" s="2"/>
      </tp>
      <tp t="s">
        <v>#N/A N/A</v>
        <stp/>
        <stp>BDP|12885339389767049303</stp>
        <tr r="I2369" s="2"/>
      </tp>
      <tp t="s">
        <v>#N/A N/A</v>
        <stp/>
        <stp>BDP|12433925445600130202</stp>
        <tr r="H1462" s="2"/>
      </tp>
      <tp t="s">
        <v>#N/A N/A</v>
        <stp/>
        <stp>BDP|13520887352266935545</stp>
        <tr r="D76" s="2"/>
      </tp>
      <tp t="s">
        <v>#N/A N/A</v>
        <stp/>
        <stp>BDP|12651055121578404544</stp>
        <tr r="F3826" s="2"/>
      </tp>
      <tp t="s">
        <v>#N/A N/A</v>
        <stp/>
        <stp>BDP|15910830774192400580</stp>
        <tr r="G2123" s="2"/>
      </tp>
      <tp t="s">
        <v>#N/A N/A</v>
        <stp/>
        <stp>BDP|17025103002692268921</stp>
        <tr r="B3484" s="2"/>
      </tp>
      <tp t="s">
        <v>#N/A N/A</v>
        <stp/>
        <stp>BDP|16386665537329297727</stp>
        <tr r="D4923" s="2"/>
      </tp>
      <tp t="s">
        <v>#N/A N/A</v>
        <stp/>
        <stp>BDP|14796806467161200609</stp>
        <tr r="F1611" s="2"/>
      </tp>
      <tp t="s">
        <v>#N/A N/A</v>
        <stp/>
        <stp>BDP|16528185185474938637</stp>
        <tr r="D1397" s="2"/>
      </tp>
      <tp t="s">
        <v>#N/A N/A</v>
        <stp/>
        <stp>BDP|17858131989071260225</stp>
        <tr r="B2390" s="2"/>
      </tp>
      <tp t="s">
        <v>#N/A N/A</v>
        <stp/>
        <stp>BDP|13284638123442640867</stp>
        <tr r="A2740" s="2"/>
      </tp>
      <tp t="s">
        <v>#N/A N/A</v>
        <stp/>
        <stp>BDP|11147533591159585949</stp>
        <tr r="D3662" s="2"/>
      </tp>
      <tp t="s">
        <v>#N/A N/A</v>
        <stp/>
        <stp>BDP|17816987683282127900</stp>
        <tr r="D4159" s="2"/>
      </tp>
      <tp t="s">
        <v>#N/A N/A</v>
        <stp/>
        <stp>BDP|11442126996705535170</stp>
        <tr r="H271" s="2"/>
      </tp>
      <tp t="s">
        <v>#N/A N/A</v>
        <stp/>
        <stp>BDP|15171611913617072811</stp>
        <tr r="I2138" s="2"/>
      </tp>
      <tp t="s">
        <v>#N/A N/A</v>
        <stp/>
        <stp>BDP|10904135909705278933</stp>
        <tr r="I131" s="2"/>
      </tp>
      <tp t="s">
        <v>#N/A N/A</v>
        <stp/>
        <stp>BDP|11650853525916417008</stp>
        <tr r="C4150" s="2"/>
      </tp>
      <tp t="s">
        <v>#N/A N/A</v>
        <stp/>
        <stp>BDP|10490515032882475916</stp>
        <tr r="I3191" s="2"/>
      </tp>
      <tp t="s">
        <v>#N/A N/A</v>
        <stp/>
        <stp>BDP|15609317703109512232</stp>
        <tr r="G4523" s="2"/>
      </tp>
      <tp t="s">
        <v>#N/A N/A</v>
        <stp/>
        <stp>BDP|16781136364685444969</stp>
        <tr r="C4719" s="2"/>
      </tp>
      <tp t="s">
        <v>#N/A N/A</v>
        <stp/>
        <stp>BDP|14438023695059312924</stp>
        <tr r="A722" s="2"/>
      </tp>
      <tp t="s">
        <v>#N/A N/A</v>
        <stp/>
        <stp>BDP|15009843646533734770</stp>
        <tr r="H3387" s="2"/>
      </tp>
      <tp t="s">
        <v>#N/A N/A</v>
        <stp/>
        <stp>BDP|13912646788081116163</stp>
        <tr r="I3377" s="2"/>
      </tp>
      <tp t="s">
        <v>#N/A N/A</v>
        <stp/>
        <stp>BDP|15480903096819452143</stp>
        <tr r="I2352" s="2"/>
      </tp>
      <tp t="s">
        <v>#N/A N/A</v>
        <stp/>
        <stp>BDP|17887679198625359066</stp>
        <tr r="H3884" s="2"/>
      </tp>
      <tp t="s">
        <v>#N/A N/A</v>
        <stp/>
        <stp>BDP|12799159230154615964</stp>
        <tr r="H3454" s="2"/>
      </tp>
      <tp t="s">
        <v>#N/A N/A</v>
        <stp/>
        <stp>BDP|17577379030083995993</stp>
        <tr r="F2531" s="2"/>
      </tp>
      <tp t="s">
        <v>#N/A N/A</v>
        <stp/>
        <stp>BDP|17798680362962617895</stp>
        <tr r="H1013" s="2"/>
      </tp>
      <tp t="s">
        <v>#N/A N/A</v>
        <stp/>
        <stp>BDP|13556477996194072760</stp>
        <tr r="C3834" s="2"/>
      </tp>
      <tp t="s">
        <v>#N/A N/A</v>
        <stp/>
        <stp>BDP|15005034433309320211</stp>
        <tr r="H2636" s="2"/>
      </tp>
      <tp t="s">
        <v>#N/A N/A</v>
        <stp/>
        <stp>BDP|17741981665634800178</stp>
        <tr r="H1866" s="2"/>
      </tp>
      <tp t="s">
        <v>#N/A N/A</v>
        <stp/>
        <stp>BDP|17450258360177324975</stp>
        <tr r="I2808" s="2"/>
      </tp>
      <tp t="s">
        <v>#N/A N/A</v>
        <stp/>
        <stp>BDP|12498747397723254206</stp>
        <tr r="I4520" s="2"/>
      </tp>
      <tp t="s">
        <v>#N/A N/A</v>
        <stp/>
        <stp>BDP|14493624725695621803</stp>
        <tr r="D821" s="2"/>
      </tp>
      <tp t="s">
        <v>#N/A N/A</v>
        <stp/>
        <stp>BDP|13361450530231468878</stp>
        <tr r="G264" s="2"/>
      </tp>
      <tp t="s">
        <v>#N/A N/A</v>
        <stp/>
        <stp>BDP|16100495568408380163</stp>
        <tr r="G3624" s="2"/>
      </tp>
      <tp t="s">
        <v>#N/A N/A</v>
        <stp/>
        <stp>BDP|12156310243858058061</stp>
        <tr r="C3057" s="2"/>
      </tp>
      <tp t="s">
        <v>#N/A N/A</v>
        <stp/>
        <stp>BDP|15816812781030428898</stp>
        <tr r="A1129" s="2"/>
      </tp>
      <tp t="s">
        <v>#N/A N/A</v>
        <stp/>
        <stp>BDP|11654470982935278542</stp>
        <tr r="A1458" s="2"/>
      </tp>
      <tp t="s">
        <v>#N/A N/A</v>
        <stp/>
        <stp>BDP|13049746584654656539</stp>
        <tr r="A4445" s="2"/>
      </tp>
      <tp t="s">
        <v>#N/A N/A</v>
        <stp/>
        <stp>BDP|13906675318990174923</stp>
        <tr r="F3992" s="2"/>
      </tp>
      <tp t="s">
        <v>#N/A N/A</v>
        <stp/>
        <stp>BDP|17756062962999675501</stp>
        <tr r="A4792" s="2"/>
      </tp>
      <tp t="s">
        <v>#N/A N/A</v>
        <stp/>
        <stp>BDP|16063423327935379834</stp>
        <tr r="H2003" s="2"/>
      </tp>
      <tp t="s">
        <v>#N/A N/A</v>
        <stp/>
        <stp>BDP|12654538520449141112</stp>
        <tr r="F3051" s="2"/>
      </tp>
      <tp t="s">
        <v>#N/A N/A</v>
        <stp/>
        <stp>BDP|15094837296450357930</stp>
        <tr r="H135" s="2"/>
      </tp>
      <tp t="s">
        <v>#N/A N/A</v>
        <stp/>
        <stp>BDP|14490845255790164413</stp>
        <tr r="D4381" s="2"/>
      </tp>
      <tp t="s">
        <v>#N/A N/A</v>
        <stp/>
        <stp>BDP|11600610937898028157</stp>
        <tr r="A4038" s="2"/>
      </tp>
      <tp t="s">
        <v>#N/A N/A</v>
        <stp/>
        <stp>BDP|11833267220839302581</stp>
        <tr r="D4988" s="2"/>
      </tp>
      <tp t="s">
        <v>#N/A N/A</v>
        <stp/>
        <stp>BDP|17068709388977580282</stp>
        <tr r="C3763" s="2"/>
      </tp>
      <tp t="s">
        <v>#N/A N/A</v>
        <stp/>
        <stp>BDP|16438857030432452209</stp>
        <tr r="I4409" s="2"/>
      </tp>
      <tp t="s">
        <v>#N/A N/A</v>
        <stp/>
        <stp>BDP|16878427724169980425</stp>
        <tr r="A4940" s="2"/>
      </tp>
      <tp t="s">
        <v>#N/A N/A</v>
        <stp/>
        <stp>BDP|12210839304693260424</stp>
        <tr r="H2529" s="2"/>
      </tp>
      <tp t="s">
        <v>#N/A N/A</v>
        <stp/>
        <stp>BDP|18238742942387763168</stp>
        <tr r="I2683" s="2"/>
      </tp>
      <tp t="s">
        <v>#N/A N/A</v>
        <stp/>
        <stp>BDP|16300391015980985933</stp>
        <tr r="A1720" s="2"/>
      </tp>
      <tp t="s">
        <v>#N/A N/A</v>
        <stp/>
        <stp>BDP|16516442995101634772</stp>
        <tr r="A1369" s="2"/>
      </tp>
      <tp t="s">
        <v>#N/A N/A</v>
        <stp/>
        <stp>BDP|11276404830783421835</stp>
        <tr r="D875" s="2"/>
      </tp>
      <tp t="s">
        <v>#N/A N/A</v>
        <stp/>
        <stp>BDP|14199741374908560115</stp>
        <tr r="B1146" s="2"/>
      </tp>
      <tp t="s">
        <v>#N/A N/A</v>
        <stp/>
        <stp>BDP|12738782111858899132</stp>
        <tr r="I1658" s="2"/>
      </tp>
      <tp t="s">
        <v>#N/A N/A</v>
        <stp/>
        <stp>BDP|10572211804259208676</stp>
        <tr r="C4676" s="2"/>
      </tp>
      <tp t="s">
        <v>#N/A N/A</v>
        <stp/>
        <stp>BDP|10591459541465005846</stp>
        <tr r="A3631" s="2"/>
      </tp>
      <tp t="s">
        <v>#N/A N/A</v>
        <stp/>
        <stp>BDP|16745159288492938068</stp>
        <tr r="G4429" s="2"/>
      </tp>
      <tp t="s">
        <v>#N/A N/A</v>
        <stp/>
        <stp>BDP|18176743957575024272</stp>
        <tr r="G4991" s="2"/>
      </tp>
      <tp t="s">
        <v>#N/A N/A</v>
        <stp/>
        <stp>BDP|12374836241205553617</stp>
        <tr r="B3305" s="2"/>
      </tp>
      <tp t="s">
        <v>#N/A N/A</v>
        <stp/>
        <stp>BDP|18289449873007691169</stp>
        <tr r="B1851" s="2"/>
      </tp>
      <tp t="s">
        <v>#N/A N/A</v>
        <stp/>
        <stp>BDP|12622752081181537122</stp>
        <tr r="H1021" s="2"/>
      </tp>
      <tp t="s">
        <v>#N/A N/A</v>
        <stp/>
        <stp>BDP|13356539622189685015</stp>
        <tr r="B540" s="2"/>
      </tp>
      <tp t="s">
        <v>#N/A N/A</v>
        <stp/>
        <stp>BDP|15447332699293944120</stp>
        <tr r="A591" s="2"/>
      </tp>
      <tp t="s">
        <v>#N/A N/A</v>
        <stp/>
        <stp>BDP|17277933725624349526</stp>
        <tr r="G2650" s="2"/>
      </tp>
      <tp t="s">
        <v>#N/A N/A</v>
        <stp/>
        <stp>BDP|11646813973500535341</stp>
        <tr r="B2353" s="2"/>
      </tp>
      <tp t="s">
        <v>#N/A N/A</v>
        <stp/>
        <stp>BDP|16234568293054289303</stp>
        <tr r="I1936" s="2"/>
      </tp>
      <tp t="s">
        <v>#N/A N/A</v>
        <stp/>
        <stp>BDP|15679235491764061714</stp>
        <tr r="D1735" s="2"/>
      </tp>
      <tp t="s">
        <v>#N/A N/A</v>
        <stp/>
        <stp>BDP|16081060648379947628</stp>
        <tr r="G4928" s="2"/>
      </tp>
      <tp t="s">
        <v>#N/A N/A</v>
        <stp/>
        <stp>BDP|13063942520511171401</stp>
        <tr r="C893" s="2"/>
      </tp>
      <tp t="s">
        <v>#N/A N/A</v>
        <stp/>
        <stp>BDP|18111364184637532937</stp>
        <tr r="I4996" s="2"/>
      </tp>
      <tp t="s">
        <v>#N/A N/A</v>
        <stp/>
        <stp>BDP|12085489580102912146</stp>
        <tr r="C2451" s="2"/>
      </tp>
      <tp t="s">
        <v>#N/A N/A</v>
        <stp/>
        <stp>BDP|16985025888962015163</stp>
        <tr r="G482" s="2"/>
      </tp>
      <tp t="s">
        <v>#N/A N/A</v>
        <stp/>
        <stp>BDP|17225357872716007804</stp>
        <tr r="A1142" s="2"/>
      </tp>
      <tp t="s">
        <v>#N/A N/A</v>
        <stp/>
        <stp>BDP|16603655645761047830</stp>
        <tr r="F3493" s="2"/>
      </tp>
      <tp t="s">
        <v>#N/A N/A</v>
        <stp/>
        <stp>BDP|16702514798761814634</stp>
        <tr r="H4387" s="2"/>
      </tp>
      <tp t="s">
        <v>#N/A N/A</v>
        <stp/>
        <stp>BDP|15114078526022781827</stp>
        <tr r="B471" s="2"/>
      </tp>
      <tp t="s">
        <v>#N/A N/A</v>
        <stp/>
        <stp>BDP|16405425137048749434</stp>
        <tr r="H102" s="2"/>
      </tp>
      <tp t="s">
        <v>#N/A N/A</v>
        <stp/>
        <stp>BDP|14099919466610737650</stp>
        <tr r="F744" s="2"/>
      </tp>
      <tp t="s">
        <v>#N/A N/A</v>
        <stp/>
        <stp>BDP|15051964547761208463</stp>
        <tr r="H1454" s="2"/>
      </tp>
      <tp t="s">
        <v>#N/A N/A</v>
        <stp/>
        <stp>BDP|14741831652276065234</stp>
        <tr r="D2533" s="2"/>
      </tp>
      <tp t="s">
        <v>#N/A N/A</v>
        <stp/>
        <stp>BDP|15033750741253116805</stp>
        <tr r="C2010" s="2"/>
      </tp>
      <tp t="s">
        <v>#N/A N/A</v>
        <stp/>
        <stp>BDP|14221647374608654013</stp>
        <tr r="B1995" s="2"/>
      </tp>
      <tp t="s">
        <v>#N/A N/A</v>
        <stp/>
        <stp>BDP|12951918070772866359</stp>
        <tr r="I4032" s="2"/>
      </tp>
      <tp t="s">
        <v>#N/A N/A</v>
        <stp/>
        <stp>BDP|13731889458787591470</stp>
        <tr r="B4093" s="2"/>
      </tp>
      <tp t="s">
        <v>#N/A N/A</v>
        <stp/>
        <stp>BDP|16666114956019026644</stp>
        <tr r="F1737" s="2"/>
      </tp>
      <tp t="s">
        <v>#N/A N/A</v>
        <stp/>
        <stp>BDP|12010946521843936798</stp>
        <tr r="C2033" s="2"/>
      </tp>
      <tp t="s">
        <v>#N/A N/A</v>
        <stp/>
        <stp>BDP|16541231467656621925</stp>
        <tr r="A1454" s="2"/>
      </tp>
      <tp t="s">
        <v>#N/A N/A</v>
        <stp/>
        <stp>BDP|16222048185871614207</stp>
        <tr r="D2714" s="2"/>
      </tp>
      <tp t="s">
        <v>#N/A N/A</v>
        <stp/>
        <stp>BDP|16340091149656244943</stp>
        <tr r="C3750" s="2"/>
      </tp>
      <tp t="s">
        <v>#N/A N/A</v>
        <stp/>
        <stp>BDP|16038423392294370261</stp>
        <tr r="C1724" s="2"/>
      </tp>
      <tp t="s">
        <v>#N/A N/A</v>
        <stp/>
        <stp>BDP|16884264483181931005</stp>
        <tr r="H3506" s="2"/>
      </tp>
      <tp t="s">
        <v>#N/A N/A</v>
        <stp/>
        <stp>BDP|18080915480400276475</stp>
        <tr r="F1478" s="2"/>
      </tp>
      <tp t="s">
        <v>#N/A N/A</v>
        <stp/>
        <stp>BDP|17024300146904680949</stp>
        <tr r="D4675" s="2"/>
      </tp>
      <tp t="s">
        <v>#N/A N/A</v>
        <stp/>
        <stp>BDP|14427868135083798149</stp>
        <tr r="H1532" s="2"/>
      </tp>
      <tp t="s">
        <v>#N/A N/A</v>
        <stp/>
        <stp>BDP|17038957373502405668</stp>
        <tr r="G3707" s="2"/>
      </tp>
      <tp t="s">
        <v>#N/A N/A</v>
        <stp/>
        <stp>BDP|17626893331566990734</stp>
        <tr r="A3449" s="2"/>
      </tp>
      <tp t="s">
        <v>#N/A N/A</v>
        <stp/>
        <stp>BDP|18089999580621892556</stp>
        <tr r="I1277" s="2"/>
      </tp>
      <tp t="s">
        <v>#N/A N/A</v>
        <stp/>
        <stp>BDP|12242575580714198607</stp>
        <tr r="B2224" s="2"/>
      </tp>
      <tp t="s">
        <v>#N/A N/A</v>
        <stp/>
        <stp>BDP|10584763689435828765</stp>
        <tr r="G4826" s="2"/>
      </tp>
      <tp t="s">
        <v>#N/A N/A</v>
        <stp/>
        <stp>BDP|11695878898819419490</stp>
        <tr r="B3087" s="2"/>
      </tp>
      <tp t="s">
        <v>#N/A N/A</v>
        <stp/>
        <stp>BDP|17360721516869776540</stp>
        <tr r="G414" s="2"/>
      </tp>
      <tp t="s">
        <v>#N/A N/A</v>
        <stp/>
        <stp>BDP|14415877125544584773</stp>
        <tr r="D1363" s="2"/>
      </tp>
      <tp t="s">
        <v>#N/A N/A</v>
        <stp/>
        <stp>BDP|12481597761045825905</stp>
        <tr r="D516" s="2"/>
      </tp>
      <tp t="s">
        <v>#N/A N/A</v>
        <stp/>
        <stp>BDP|17397900126943803298</stp>
        <tr r="D688" s="2"/>
      </tp>
      <tp t="s">
        <v>#N/A N/A</v>
        <stp/>
        <stp>BDP|18352019909170821570</stp>
        <tr r="D1301" s="2"/>
      </tp>
      <tp t="s">
        <v>#N/A N/A</v>
        <stp/>
        <stp>BDP|16644763785174188001</stp>
        <tr r="F1248" s="2"/>
      </tp>
      <tp t="s">
        <v>#N/A N/A</v>
        <stp/>
        <stp>BDP|16689619242939400057</stp>
        <tr r="H1953" s="2"/>
      </tp>
      <tp t="s">
        <v>#N/A N/A</v>
        <stp/>
        <stp>BDP|17757017096941544210</stp>
        <tr r="D85" s="2"/>
      </tp>
      <tp t="s">
        <v>#N/A N/A</v>
        <stp/>
        <stp>BDP|10423946834786983194</stp>
        <tr r="I2313" s="2"/>
      </tp>
      <tp t="s">
        <v>#N/A N/A</v>
        <stp/>
        <stp>BDP|13775204170133487875</stp>
        <tr r="A2063" s="2"/>
      </tp>
      <tp t="s">
        <v>#N/A N/A</v>
        <stp/>
        <stp>BDP|14453839561250388718</stp>
        <tr r="H2767" s="2"/>
      </tp>
      <tp t="s">
        <v>#N/A N/A</v>
        <stp/>
        <stp>BDP|14007758676411644816</stp>
        <tr r="D1393" s="2"/>
      </tp>
      <tp t="s">
        <v>#N/A N/A</v>
        <stp/>
        <stp>BDP|18197455761221565646</stp>
        <tr r="A3065" s="2"/>
      </tp>
      <tp t="s">
        <v>#N/A N/A</v>
        <stp/>
        <stp>BDP|15623395884996694599</stp>
        <tr r="G1704" s="2"/>
      </tp>
      <tp t="s">
        <v>#N/A N/A</v>
        <stp/>
        <stp>BDP|10892596373157726812</stp>
        <tr r="C225" s="2"/>
      </tp>
      <tp t="s">
        <v>#N/A N/A</v>
        <stp/>
        <stp>BDP|10271268351479548342</stp>
        <tr r="I1761" s="2"/>
      </tp>
      <tp t="s">
        <v>#N/A N/A</v>
        <stp/>
        <stp>BDP|14446198099093487249</stp>
        <tr r="C2555" s="2"/>
      </tp>
      <tp t="s">
        <v>#N/A N/A</v>
        <stp/>
        <stp>BDP|13246349995507654310</stp>
        <tr r="B3987" s="2"/>
      </tp>
      <tp t="s">
        <v>#N/A N/A</v>
        <stp/>
        <stp>BDP|14081702305839594746</stp>
        <tr r="G726" s="2"/>
      </tp>
      <tp t="s">
        <v>#N/A N/A</v>
        <stp/>
        <stp>BDP|14500964419683973279</stp>
        <tr r="A3520" s="2"/>
      </tp>
      <tp t="s">
        <v>#N/A N/A</v>
        <stp/>
        <stp>BDP|17184639025806198823</stp>
        <tr r="H3596" s="2"/>
      </tp>
      <tp t="s">
        <v>#N/A N/A</v>
        <stp/>
        <stp>BDP|15742410032797563856</stp>
        <tr r="H2930" s="2"/>
      </tp>
      <tp t="s">
        <v>#N/A N/A</v>
        <stp/>
        <stp>BDP|18213070271003859187</stp>
        <tr r="A3928" s="2"/>
      </tp>
      <tp t="s">
        <v>#N/A N/A</v>
        <stp/>
        <stp>BDP|16730153644719650741</stp>
        <tr r="G29" s="2"/>
      </tp>
      <tp t="s">
        <v>#N/A N/A</v>
        <stp/>
        <stp>BDP|17777817809987321588</stp>
        <tr r="B3646" s="2"/>
      </tp>
      <tp t="s">
        <v>#N/A N/A</v>
        <stp/>
        <stp>BDP|11790041490942775704</stp>
        <tr r="I690" s="2"/>
      </tp>
      <tp t="s">
        <v>#N/A N/A</v>
        <stp/>
        <stp>BDP|14458166812029263067</stp>
        <tr r="H17" s="2"/>
      </tp>
      <tp t="s">
        <v>#N/A N/A</v>
        <stp/>
        <stp>BDP|18281819298250877476</stp>
        <tr r="G1193" s="2"/>
      </tp>
      <tp t="s">
        <v>#N/A N/A</v>
        <stp/>
        <stp>BDP|10250442053558195409</stp>
        <tr r="I1421" s="2"/>
      </tp>
      <tp t="s">
        <v>#N/A N/A</v>
        <stp/>
        <stp>BDP|15846550318324717864</stp>
        <tr r="D1071" s="2"/>
      </tp>
      <tp t="s">
        <v>#N/A N/A</v>
        <stp/>
        <stp>BDP|11141406865319696769</stp>
        <tr r="H4332" s="2"/>
      </tp>
      <tp t="s">
        <v>#N/A N/A</v>
        <stp/>
        <stp>BDP|11238109596117698363</stp>
        <tr r="F3124" s="2"/>
      </tp>
      <tp t="s">
        <v>#N/A N/A</v>
        <stp/>
        <stp>BDP|16346343667417755937</stp>
        <tr r="C3150" s="2"/>
      </tp>
      <tp t="s">
        <v>#N/A N/A</v>
        <stp/>
        <stp>BDP|16742494471909811139</stp>
        <tr r="B62" s="2"/>
      </tp>
      <tp t="s">
        <v>#N/A N/A</v>
        <stp/>
        <stp>BDP|17845246006330617881</stp>
        <tr r="I1500" s="2"/>
      </tp>
      <tp t="s">
        <v>#N/A N/A</v>
        <stp/>
        <stp>BDP|13518837947136121444</stp>
        <tr r="F4840" s="2"/>
      </tp>
      <tp t="s">
        <v>#N/A N/A</v>
        <stp/>
        <stp>BDP|11221936555552963296</stp>
        <tr r="A2046" s="2"/>
      </tp>
      <tp t="s">
        <v>#N/A N/A</v>
        <stp/>
        <stp>BDP|15460970921382053161</stp>
        <tr r="C661" s="2"/>
      </tp>
      <tp t="s">
        <v>#N/A N/A</v>
        <stp/>
        <stp>BDP|11222974501314269123</stp>
        <tr r="I73" s="2"/>
      </tp>
      <tp t="s">
        <v>#N/A N/A</v>
        <stp/>
        <stp>BDP|11710776897693679156</stp>
        <tr r="D1902" s="2"/>
      </tp>
      <tp t="s">
        <v>#N/A N/A</v>
        <stp/>
        <stp>BDP|11793561534463358929</stp>
        <tr r="I4698" s="2"/>
      </tp>
      <tp t="s">
        <v>#N/A N/A</v>
        <stp/>
        <stp>BDP|12419840854243030100</stp>
        <tr r="A1224" s="2"/>
      </tp>
      <tp t="s">
        <v>#N/A N/A</v>
        <stp/>
        <stp>BDP|17185840581159092300</stp>
        <tr r="A2571" s="2"/>
      </tp>
      <tp t="s">
        <v>#N/A N/A</v>
        <stp/>
        <stp>BDP|15297662836668588535</stp>
        <tr r="H1037" s="2"/>
      </tp>
      <tp t="s">
        <v>#N/A N/A</v>
        <stp/>
        <stp>BDP|16592300732979753245</stp>
        <tr r="B727" s="2"/>
      </tp>
      <tp t="s">
        <v>#N/A N/A</v>
        <stp/>
        <stp>BDP|16010584714759138696</stp>
        <tr r="A848" s="2"/>
      </tp>
      <tp t="s">
        <v>#N/A N/A</v>
        <stp/>
        <stp>BDP|15666825011283239235</stp>
        <tr r="A3696" s="2"/>
      </tp>
      <tp t="s">
        <v>#N/A N/A</v>
        <stp/>
        <stp>BDP|15432316886784212754</stp>
        <tr r="F4472" s="2"/>
      </tp>
      <tp t="s">
        <v>#N/A N/A</v>
        <stp/>
        <stp>BDP|13650334329169158693</stp>
        <tr r="G4547" s="2"/>
      </tp>
      <tp t="s">
        <v>#N/A N/A</v>
        <stp/>
        <stp>BDP|11528738489705223699</stp>
        <tr r="H915" s="2"/>
      </tp>
      <tp t="s">
        <v>#N/A N/A</v>
        <stp/>
        <stp>BDP|12737841462380034154</stp>
        <tr r="A425" s="2"/>
      </tp>
      <tp t="s">
        <v>#N/A N/A</v>
        <stp/>
        <stp>BDP|16384159377058279570</stp>
        <tr r="D839" s="2"/>
      </tp>
      <tp t="s">
        <v>#N/A N/A</v>
        <stp/>
        <stp>BDP|15305954957484740022</stp>
        <tr r="G1767" s="2"/>
      </tp>
      <tp t="s">
        <v>#N/A N/A</v>
        <stp/>
        <stp>BDP|11424450081818586814</stp>
        <tr r="I785" s="2"/>
      </tp>
      <tp t="s">
        <v>#N/A N/A</v>
        <stp/>
        <stp>BDP|17243853297942186950</stp>
        <tr r="D3238" s="2"/>
      </tp>
      <tp t="s">
        <v>#N/A N/A</v>
        <stp/>
        <stp>BDP|10321866315373348776</stp>
        <tr r="G3721" s="2"/>
      </tp>
      <tp t="s">
        <v>#N/A N/A</v>
        <stp/>
        <stp>BDP|13100134817149632773</stp>
        <tr r="C1504" s="2"/>
      </tp>
      <tp t="s">
        <v>#N/A N/A</v>
        <stp/>
        <stp>BDP|18441104837325032275</stp>
        <tr r="A1822" s="2"/>
      </tp>
      <tp t="s">
        <v>#N/A N/A</v>
        <stp/>
        <stp>BDP|13060078861618583075</stp>
        <tr r="F4041" s="2"/>
      </tp>
      <tp t="s">
        <v>#N/A N/A</v>
        <stp/>
        <stp>BDP|13713910090319148733</stp>
        <tr r="G3459" s="2"/>
      </tp>
      <tp t="s">
        <v>#N/A N/A</v>
        <stp/>
        <stp>BDP|11494123188973916637</stp>
        <tr r="G3449" s="2"/>
      </tp>
      <tp t="s">
        <v>#N/A N/A</v>
        <stp/>
        <stp>BDP|13406671797513717270</stp>
        <tr r="D3346" s="2"/>
      </tp>
      <tp t="s">
        <v>#N/A N/A</v>
        <stp/>
        <stp>BDP|12134809997169282707</stp>
        <tr r="D1029" s="2"/>
      </tp>
      <tp t="s">
        <v>#N/A N/A</v>
        <stp/>
        <stp>BDP|18325180427451963714</stp>
        <tr r="G225" s="2"/>
      </tp>
      <tp t="s">
        <v>#N/A N/A</v>
        <stp/>
        <stp>BDP|17614439082954227217</stp>
        <tr r="B385" s="2"/>
      </tp>
      <tp t="s">
        <v>#N/A N/A</v>
        <stp/>
        <stp>BDP|17382131225660462963</stp>
        <tr r="F4546" s="2"/>
      </tp>
      <tp t="s">
        <v>#N/A N/A</v>
        <stp/>
        <stp>BDP|12920519493614865741</stp>
        <tr r="I2704" s="2"/>
      </tp>
      <tp t="s">
        <v>#N/A N/A</v>
        <stp/>
        <stp>BDP|11447879232253039465</stp>
        <tr r="G2249" s="2"/>
      </tp>
      <tp t="s">
        <v>#N/A N/A</v>
        <stp/>
        <stp>BDP|11788446437808067339</stp>
        <tr r="C256" s="2"/>
      </tp>
      <tp t="s">
        <v>#N/A N/A</v>
        <stp/>
        <stp>BDP|12582914803690276624</stp>
        <tr r="I846" s="2"/>
      </tp>
      <tp t="s">
        <v>#N/A N/A</v>
        <stp/>
        <stp>BDP|14114898431163773196</stp>
        <tr r="B2968" s="2"/>
      </tp>
      <tp t="s">
        <v>#N/A N/A</v>
        <stp/>
        <stp>BDP|16943256708978415172</stp>
        <tr r="A4617" s="2"/>
      </tp>
      <tp t="s">
        <v>#N/A N/A</v>
        <stp/>
        <stp>BDP|18128449004231576031</stp>
        <tr r="A2501" s="2"/>
      </tp>
      <tp t="s">
        <v>#N/A N/A</v>
        <stp/>
        <stp>BDP|13288390236909366798</stp>
        <tr r="B2336" s="2"/>
      </tp>
      <tp t="s">
        <v>#N/A N/A</v>
        <stp/>
        <stp>BDP|14527234994907337563</stp>
        <tr r="I2920" s="2"/>
      </tp>
      <tp t="s">
        <v>#N/A N/A</v>
        <stp/>
        <stp>BDP|16040155693680417359</stp>
        <tr r="F1195" s="2"/>
      </tp>
      <tp t="s">
        <v>#N/A N/A</v>
        <stp/>
        <stp>BDP|10163419296823519349</stp>
        <tr r="I1860" s="2"/>
      </tp>
      <tp t="s">
        <v>#N/A N/A</v>
        <stp/>
        <stp>BDP|14436915726977411501</stp>
        <tr r="G1003" s="2"/>
      </tp>
      <tp t="s">
        <v>#N/A N/A</v>
        <stp/>
        <stp>BDP|13687806729740936415</stp>
        <tr r="H2308" s="2"/>
      </tp>
      <tp t="s">
        <v>#N/A N/A</v>
        <stp/>
        <stp>BDP|17000049457226428907</stp>
        <tr r="F3419" s="2"/>
      </tp>
      <tp t="s">
        <v>#N/A N/A</v>
        <stp/>
        <stp>BDP|16864103958047481833</stp>
        <tr r="I3086" s="2"/>
      </tp>
      <tp t="s">
        <v>#N/A N/A</v>
        <stp/>
        <stp>BDP|13747975713974323274</stp>
        <tr r="B4005" s="2"/>
      </tp>
      <tp t="s">
        <v>#N/A N/A</v>
        <stp/>
        <stp>BDP|16299848470382797665</stp>
        <tr r="H1759" s="2"/>
      </tp>
      <tp t="s">
        <v>#N/A N/A</v>
        <stp/>
        <stp>BDP|13874899555494226715</stp>
        <tr r="G409" s="2"/>
      </tp>
      <tp t="s">
        <v>#N/A N/A</v>
        <stp/>
        <stp>BDP|18372889423257686899</stp>
        <tr r="H3283" s="2"/>
      </tp>
      <tp t="s">
        <v>#N/A N/A</v>
        <stp/>
        <stp>BDP|12274064016357756928</stp>
        <tr r="F3520" s="2"/>
      </tp>
      <tp t="s">
        <v>#N/A N/A</v>
        <stp/>
        <stp>BDP|10792537482032764265</stp>
        <tr r="H4519" s="2"/>
      </tp>
      <tp t="s">
        <v>#N/A N/A</v>
        <stp/>
        <stp>BDP|16238572051013798845</stp>
        <tr r="C4036" s="2"/>
      </tp>
      <tp t="s">
        <v>#N/A N/A</v>
        <stp/>
        <stp>BDP|12486439315702537808</stp>
        <tr r="D2914" s="2"/>
      </tp>
      <tp t="s">
        <v>#N/A N/A</v>
        <stp/>
        <stp>BDP|12078149470200574967</stp>
        <tr r="D406" s="2"/>
      </tp>
      <tp t="s">
        <v>#N/A N/A</v>
        <stp/>
        <stp>BDP|11069118469338914360</stp>
        <tr r="A978" s="2"/>
      </tp>
      <tp t="s">
        <v>#N/A N/A</v>
        <stp/>
        <stp>BDP|14899816037177914503</stp>
        <tr r="D1057" s="2"/>
      </tp>
      <tp t="s">
        <v>#N/A N/A</v>
        <stp/>
        <stp>BDP|12183699194931916125</stp>
        <tr r="D1054" s="2"/>
      </tp>
      <tp t="s">
        <v>#N/A N/A</v>
        <stp/>
        <stp>BDP|10013446688522981326</stp>
        <tr r="H2070" s="2"/>
      </tp>
      <tp t="s">
        <v>#N/A N/A</v>
        <stp/>
        <stp>BDP|15294331553367237974</stp>
        <tr r="B4376" s="2"/>
      </tp>
      <tp t="s">
        <v>#N/A N/A</v>
        <stp/>
        <stp>BDP|18185416804180625151</stp>
        <tr r="H1908" s="2"/>
      </tp>
      <tp t="s">
        <v>#N/A N/A</v>
        <stp/>
        <stp>BDP|13770574108399854276</stp>
        <tr r="A4232" s="2"/>
      </tp>
      <tp t="s">
        <v>#N/A N/A</v>
        <stp/>
        <stp>BDP|11616710443216066936</stp>
        <tr r="C4953" s="2"/>
      </tp>
      <tp t="s">
        <v>#N/A N/A</v>
        <stp/>
        <stp>BDP|10731626191355701745</stp>
        <tr r="B3725" s="2"/>
      </tp>
      <tp t="s">
        <v>#N/A N/A</v>
        <stp/>
        <stp>BDP|14859266147798640783</stp>
        <tr r="I2154" s="2"/>
      </tp>
      <tp t="s">
        <v>#N/A N/A</v>
        <stp/>
        <stp>BDP|10229740098184103780</stp>
        <tr r="C853" s="2"/>
      </tp>
      <tp t="s">
        <v>#N/A N/A</v>
        <stp/>
        <stp>BDP|10037946358105863430</stp>
        <tr r="G3999" s="2"/>
      </tp>
      <tp t="s">
        <v>#N/A N/A</v>
        <stp/>
        <stp>BDP|14514098693718883804</stp>
        <tr r="A1750" s="2"/>
      </tp>
      <tp t="s">
        <v>#N/A N/A</v>
        <stp/>
        <stp>BDP|14623804490181002916</stp>
        <tr r="B4234" s="2"/>
      </tp>
      <tp t="s">
        <v>#N/A N/A</v>
        <stp/>
        <stp>BDP|14402136339133119887</stp>
        <tr r="I3844" s="2"/>
      </tp>
      <tp t="s">
        <v>#N/A N/A</v>
        <stp/>
        <stp>BDP|16904834027965848428</stp>
        <tr r="F348" s="2"/>
      </tp>
      <tp t="s">
        <v>#N/A N/A</v>
        <stp/>
        <stp>BDP|15591203312829215222</stp>
        <tr r="C4318" s="2"/>
      </tp>
      <tp t="s">
        <v>#N/A N/A</v>
        <stp/>
        <stp>BDP|14509407857660431813</stp>
        <tr r="D3934" s="2"/>
      </tp>
      <tp t="s">
        <v>#N/A N/A</v>
        <stp/>
        <stp>BDP|14204921617454906594</stp>
        <tr r="F2003" s="2"/>
      </tp>
      <tp t="s">
        <v>#N/A N/A</v>
        <stp/>
        <stp>BDP|16780524886591190751</stp>
        <tr r="H2577" s="2"/>
      </tp>
      <tp t="s">
        <v>#N/A N/A</v>
        <stp/>
        <stp>BDP|12467556177818594540</stp>
        <tr r="H3754" s="2"/>
      </tp>
      <tp t="s">
        <v>#N/A N/A</v>
        <stp/>
        <stp>BDP|15408513021509337605</stp>
        <tr r="G1969" s="2"/>
      </tp>
      <tp t="s">
        <v>#N/A N/A</v>
        <stp/>
        <stp>BDP|17830662685820586491</stp>
        <tr r="G1759" s="2"/>
      </tp>
      <tp t="s">
        <v>#N/A N/A</v>
        <stp/>
        <stp>BDP|12021769557635388852</stp>
        <tr r="I697" s="2"/>
      </tp>
      <tp t="s">
        <v>#N/A N/A</v>
        <stp/>
        <stp>BDP|15847860848340350425</stp>
        <tr r="B2793" s="2"/>
      </tp>
      <tp t="s">
        <v>#N/A N/A</v>
        <stp/>
        <stp>BDP|17193765884366097341</stp>
        <tr r="A4493" s="2"/>
      </tp>
      <tp t="s">
        <v>#N/A N/A</v>
        <stp/>
        <stp>BDP|17640001492885438679</stp>
        <tr r="B4814" s="2"/>
      </tp>
      <tp t="s">
        <v>#N/A N/A</v>
        <stp/>
        <stp>BDP|10480529792034635555</stp>
        <tr r="C1636" s="2"/>
      </tp>
      <tp t="s">
        <v>#N/A N/A</v>
        <stp/>
        <stp>BDP|10365423585745654450</stp>
        <tr r="A1392" s="2"/>
      </tp>
      <tp t="s">
        <v>#N/A N/A</v>
        <stp/>
        <stp>BDP|11925939544168948908</stp>
        <tr r="B1347" s="2"/>
      </tp>
      <tp t="s">
        <v>#N/A N/A</v>
        <stp/>
        <stp>BDP|13855840449113144136</stp>
        <tr r="F4755" s="2"/>
      </tp>
      <tp t="s">
        <v>#N/A N/A</v>
        <stp/>
        <stp>BDP|17617474699690968763</stp>
        <tr r="G3247" s="2"/>
      </tp>
      <tp t="s">
        <v>#N/A N/A</v>
        <stp/>
        <stp>BDP|18103038525406826188</stp>
        <tr r="B4512" s="2"/>
      </tp>
      <tp t="s">
        <v>#N/A N/A</v>
        <stp/>
        <stp>BDP|15607684792003907421</stp>
        <tr r="I1017" s="2"/>
      </tp>
      <tp t="s">
        <v>#N/A N/A</v>
        <stp/>
        <stp>BDP|14882035822853823863</stp>
        <tr r="H921" s="2"/>
      </tp>
      <tp t="s">
        <v>#N/A N/A</v>
        <stp/>
        <stp>BDP|14939078692332840238</stp>
        <tr r="B1395" s="2"/>
      </tp>
      <tp t="s">
        <v>#N/A N/A</v>
        <stp/>
        <stp>BDP|10640157750681368877</stp>
        <tr r="G4484" s="2"/>
      </tp>
      <tp t="s">
        <v>#N/A N/A</v>
        <stp/>
        <stp>BDP|10644669751106393851</stp>
        <tr r="F374" s="2"/>
      </tp>
      <tp t="s">
        <v>#N/A N/A</v>
        <stp/>
        <stp>BDP|16973617731806808873</stp>
        <tr r="I3088" s="2"/>
      </tp>
      <tp t="s">
        <v>#N/A N/A</v>
        <stp/>
        <stp>BDP|16467858810023262153</stp>
        <tr r="D1383" s="2"/>
      </tp>
      <tp t="s">
        <v>#N/A N/A</v>
        <stp/>
        <stp>BDP|11624936765764381750</stp>
        <tr r="F4584" s="2"/>
      </tp>
      <tp t="s">
        <v>#N/A N/A</v>
        <stp/>
        <stp>BDP|17165587288310412738</stp>
        <tr r="D942" s="2"/>
      </tp>
      <tp t="s">
        <v>#N/A N/A</v>
        <stp/>
        <stp>BDP|11671974746712271338</stp>
        <tr r="H3370" s="2"/>
      </tp>
      <tp t="s">
        <v>#N/A N/A</v>
        <stp/>
        <stp>BDP|18198627105567289428</stp>
        <tr r="A2293" s="2"/>
      </tp>
      <tp t="s">
        <v>#N/A N/A</v>
        <stp/>
        <stp>BDP|17449913329317896627</stp>
        <tr r="D958" s="2"/>
      </tp>
      <tp t="s">
        <v>#N/A N/A</v>
        <stp/>
        <stp>BDP|17226722196653581754</stp>
        <tr r="F4548" s="2"/>
      </tp>
      <tp t="s">
        <v>#N/A N/A</v>
        <stp/>
        <stp>BDP|14108505403464795831</stp>
        <tr r="G764" s="2"/>
      </tp>
      <tp t="s">
        <v>#N/A N/A</v>
        <stp/>
        <stp>BDP|10693686888447726470</stp>
        <tr r="A1799" s="2"/>
      </tp>
      <tp t="s">
        <v>#N/A N/A</v>
        <stp/>
        <stp>BDP|14196475483282162721</stp>
        <tr r="B988" s="2"/>
      </tp>
      <tp t="s">
        <v>#N/A N/A</v>
        <stp/>
        <stp>BDP|17958808854233800436</stp>
        <tr r="B3157" s="2"/>
      </tp>
      <tp t="s">
        <v>#N/A N/A</v>
        <stp/>
        <stp>BDP|18142708924185170523</stp>
        <tr r="B2481" s="2"/>
      </tp>
      <tp t="s">
        <v>#N/A N/A</v>
        <stp/>
        <stp>BDP|11321079903358068416</stp>
        <tr r="A3170" s="2"/>
      </tp>
      <tp t="s">
        <v>#N/A N/A</v>
        <stp/>
        <stp>BDP|14626309279159816413</stp>
        <tr r="F139" s="2"/>
      </tp>
      <tp t="s">
        <v>#N/A N/A</v>
        <stp/>
        <stp>BDP|15275353692276592467</stp>
        <tr r="A1272" s="2"/>
      </tp>
      <tp t="s">
        <v>#N/A N/A</v>
        <stp/>
        <stp>BDP|17254020591956727506</stp>
        <tr r="C1699" s="2"/>
      </tp>
      <tp t="s">
        <v>#N/A N/A</v>
        <stp/>
        <stp>BDP|17721477637514285930</stp>
        <tr r="C3864" s="2"/>
      </tp>
      <tp t="s">
        <v>#N/A N/A</v>
        <stp/>
        <stp>BDP|12666118965018273066</stp>
        <tr r="I3168" s="2"/>
      </tp>
      <tp t="s">
        <v>#N/A N/A</v>
        <stp/>
        <stp>BDP|16315068891525257706</stp>
        <tr r="F3089" s="2"/>
      </tp>
      <tp t="s">
        <v>#N/A N/A</v>
        <stp/>
        <stp>BDP|13894820480637834943</stp>
        <tr r="D3065" s="2"/>
      </tp>
      <tp t="s">
        <v>#N/A N/A</v>
        <stp/>
        <stp>BDP|18196700324140322005</stp>
        <tr r="I1000" s="2"/>
      </tp>
      <tp t="s">
        <v>#N/A N/A</v>
        <stp/>
        <stp>BDP|14300831950154382056</stp>
        <tr r="C454" s="2"/>
      </tp>
      <tp t="s">
        <v>#N/A N/A</v>
        <stp/>
        <stp>BDP|15270072655149788412</stp>
        <tr r="G4019" s="2"/>
      </tp>
      <tp t="s">
        <v>#N/A N/A</v>
        <stp/>
        <stp>BDP|10737966120126314048</stp>
        <tr r="C864" s="2"/>
      </tp>
      <tp t="s">
        <v>#N/A N/A</v>
        <stp/>
        <stp>BDP|12792077722429237464</stp>
        <tr r="B3583" s="2"/>
      </tp>
      <tp t="s">
        <v>#N/A N/A</v>
        <stp/>
        <stp>BDP|10055578601899302139</stp>
        <tr r="D3715" s="2"/>
      </tp>
      <tp t="s">
        <v>#N/A N/A</v>
        <stp/>
        <stp>BDP|12800080106869252621</stp>
        <tr r="H1787" s="2"/>
      </tp>
      <tp t="s">
        <v>#N/A N/A</v>
        <stp/>
        <stp>BDP|18317655470912857684</stp>
        <tr r="D2926" s="2"/>
      </tp>
      <tp t="s">
        <v>#N/A N/A</v>
        <stp/>
        <stp>BDP|15865401889876579224</stp>
        <tr r="F3997" s="2"/>
      </tp>
      <tp t="s">
        <v>#N/A N/A</v>
        <stp/>
        <stp>BDP|10145052550190011825</stp>
        <tr r="I4812" s="2"/>
      </tp>
      <tp t="s">
        <v>#N/A N/A</v>
        <stp/>
        <stp>BDP|17926455501658921620</stp>
        <tr r="G2907" s="2"/>
      </tp>
      <tp t="s">
        <v>#N/A N/A</v>
        <stp/>
        <stp>BDP|10534598929278292212</stp>
        <tr r="F3680" s="2"/>
      </tp>
      <tp t="s">
        <v>#N/A N/A</v>
        <stp/>
        <stp>BDP|10059873257563346355</stp>
        <tr r="D2215" s="2"/>
      </tp>
      <tp t="s">
        <v>#N/A N/A</v>
        <stp/>
        <stp>BDP|16363644942368116122</stp>
        <tr r="G4030" s="2"/>
      </tp>
      <tp t="s">
        <v>#N/A N/A</v>
        <stp/>
        <stp>BDP|10680665608168793397</stp>
        <tr r="B553" s="2"/>
      </tp>
      <tp t="s">
        <v>#N/A N/A</v>
        <stp/>
        <stp>BDP|13159738782255195477</stp>
        <tr r="G4473" s="2"/>
      </tp>
      <tp t="s">
        <v>#N/A N/A</v>
        <stp/>
        <stp>BDP|11350006645039960194</stp>
        <tr r="F4076" s="2"/>
      </tp>
      <tp t="s">
        <v>#N/A N/A</v>
        <stp/>
        <stp>BDP|10480553904700098834</stp>
        <tr r="A3511" s="2"/>
      </tp>
      <tp t="s">
        <v>#N/A N/A</v>
        <stp/>
        <stp>BDP|16268394090724800555</stp>
        <tr r="B2190" s="2"/>
      </tp>
      <tp t="s">
        <v>#N/A N/A</v>
        <stp/>
        <stp>BDP|18216187863242730087</stp>
        <tr r="F2404" s="2"/>
      </tp>
      <tp t="s">
        <v>#N/A N/A</v>
        <stp/>
        <stp>BDP|13380187634905873911</stp>
        <tr r="D191" s="2"/>
      </tp>
      <tp t="s">
        <v>#N/A N/A</v>
        <stp/>
        <stp>BDP|17903556977598457091</stp>
        <tr r="D1625" s="2"/>
      </tp>
      <tp t="s">
        <v>#N/A N/A</v>
        <stp/>
        <stp>BDP|13843306350089758190</stp>
        <tr r="D4745" s="2"/>
      </tp>
      <tp t="s">
        <v>#N/A N/A</v>
        <stp/>
        <stp>BDP|17944943764506873372</stp>
        <tr r="F4562" s="2"/>
      </tp>
      <tp t="s">
        <v>#N/A N/A</v>
        <stp/>
        <stp>BDP|10637996400524022095</stp>
        <tr r="H3864" s="2"/>
      </tp>
      <tp t="s">
        <v>#N/A N/A</v>
        <stp/>
        <stp>BDP|12088963426002340659</stp>
        <tr r="D2301" s="2"/>
      </tp>
      <tp t="s">
        <v>#N/A N/A</v>
        <stp/>
        <stp>BDP|17416000010063064821</stp>
        <tr r="F1095" s="2"/>
      </tp>
      <tp t="s">
        <v>#N/A N/A</v>
        <stp/>
        <stp>BDP|17876711650170946865</stp>
        <tr r="C1401" s="2"/>
      </tp>
      <tp t="s">
        <v>#N/A N/A</v>
        <stp/>
        <stp>BDP|18022971177462137972</stp>
        <tr r="D3725" s="2"/>
      </tp>
      <tp t="s">
        <v>#N/A N/A</v>
        <stp/>
        <stp>BDP|12384952036922018767</stp>
        <tr r="A4271" s="2"/>
      </tp>
      <tp t="s">
        <v>#N/A N/A</v>
        <stp/>
        <stp>BDP|16408006089114320780</stp>
        <tr r="F4857" s="2"/>
      </tp>
      <tp t="s">
        <v>#N/A N/A</v>
        <stp/>
        <stp>BDP|16432852135712328211</stp>
        <tr r="D4266" s="2"/>
      </tp>
      <tp t="s">
        <v>#N/A N/A</v>
        <stp/>
        <stp>BDP|15393470606144451808</stp>
        <tr r="C873" s="2"/>
      </tp>
      <tp t="s">
        <v>#N/A N/A</v>
        <stp/>
        <stp>BDP|16736744377768551370</stp>
        <tr r="F4814" s="2"/>
      </tp>
      <tp t="s">
        <v>#N/A N/A</v>
        <stp/>
        <stp>BDP|13301090589290160640</stp>
        <tr r="B2754" s="2"/>
      </tp>
      <tp t="s">
        <v>#N/A N/A</v>
        <stp/>
        <stp>BDP|13818636990087557686</stp>
        <tr r="D1678" s="2"/>
      </tp>
      <tp t="s">
        <v>#N/A N/A</v>
        <stp/>
        <stp>BDP|13019905305216452177</stp>
        <tr r="D3246" s="2"/>
      </tp>
      <tp t="s">
        <v>#N/A N/A</v>
        <stp/>
        <stp>BDP|15237140202480704953</stp>
        <tr r="F2389" s="2"/>
      </tp>
      <tp t="s">
        <v>#N/A N/A</v>
        <stp/>
        <stp>BDP|13420127960180429942</stp>
        <tr r="D1218" s="2"/>
      </tp>
      <tp t="s">
        <v>#N/A N/A</v>
        <stp/>
        <stp>BDP|13261937899059736796</stp>
        <tr r="A2476" s="2"/>
      </tp>
      <tp t="s">
        <v>#N/A N/A</v>
        <stp/>
        <stp>BDP|14660851697059264105</stp>
        <tr r="A4764" s="2"/>
      </tp>
      <tp t="s">
        <v>#N/A N/A</v>
        <stp/>
        <stp>BDP|12002000992687723130</stp>
        <tr r="G354" s="2"/>
      </tp>
      <tp t="s">
        <v>#N/A N/A</v>
        <stp/>
        <stp>BDP|11564375632435042967</stp>
        <tr r="D2851" s="2"/>
      </tp>
      <tp t="s">
        <v>#N/A N/A</v>
        <stp/>
        <stp>BDP|12742595500967548227</stp>
        <tr r="C1136" s="2"/>
      </tp>
      <tp t="s">
        <v>#N/A N/A</v>
        <stp/>
        <stp>BDP|13088756332627622281</stp>
        <tr r="D3526" s="2"/>
      </tp>
      <tp t="s">
        <v>#N/A N/A</v>
        <stp/>
        <stp>BDP|13499720066673974303</stp>
        <tr r="F2831" s="2"/>
      </tp>
      <tp t="s">
        <v>#N/A N/A</v>
        <stp/>
        <stp>BDP|17791353743153199199</stp>
        <tr r="B215" s="2"/>
      </tp>
      <tp t="s">
        <v>#N/A N/A</v>
        <stp/>
        <stp>BDP|12698231567234849035</stp>
        <tr r="H2297" s="2"/>
      </tp>
      <tp t="s">
        <v>#N/A N/A</v>
        <stp/>
        <stp>BDP|14110900369100631978</stp>
        <tr r="D1922" s="2"/>
      </tp>
      <tp t="s">
        <v>#N/A N/A</v>
        <stp/>
        <stp>BDP|11711023368387126259</stp>
        <tr r="F846" s="2"/>
      </tp>
      <tp t="s">
        <v>#N/A N/A</v>
        <stp/>
        <stp>BDP|13840718000956399036</stp>
        <tr r="G2724" s="2"/>
      </tp>
      <tp t="s">
        <v>#N/A N/A</v>
        <stp/>
        <stp>BDP|14408831379501074879</stp>
        <tr r="G3085" s="2"/>
      </tp>
      <tp t="s">
        <v>#N/A N/A</v>
        <stp/>
        <stp>BDP|12759289673725108041</stp>
        <tr r="D3951" s="2"/>
      </tp>
      <tp t="s">
        <v>#N/A N/A</v>
        <stp/>
        <stp>BDP|12782387344430373716</stp>
        <tr r="B99" s="2"/>
      </tp>
      <tp t="s">
        <v>#N/A N/A</v>
        <stp/>
        <stp>BDP|15495495237931087137</stp>
        <tr r="B2104" s="2"/>
      </tp>
      <tp t="s">
        <v>#N/A N/A</v>
        <stp/>
        <stp>BDP|13129549046601234187</stp>
        <tr r="F77" s="2"/>
      </tp>
      <tp t="s">
        <v>#N/A N/A</v>
        <stp/>
        <stp>BDP|15930179345393414161</stp>
        <tr r="D1127" s="2"/>
      </tp>
      <tp t="s">
        <v>#N/A N/A</v>
        <stp/>
        <stp>BDP|17536191230193034459</stp>
        <tr r="D1826" s="2"/>
      </tp>
      <tp t="s">
        <v>#N/A N/A</v>
        <stp/>
        <stp>BDP|13218707695759880660</stp>
        <tr r="C3928" s="2"/>
      </tp>
      <tp t="s">
        <v>#N/A N/A</v>
        <stp/>
        <stp>BDP|10126280102164584472</stp>
        <tr r="G2473" s="2"/>
      </tp>
      <tp t="s">
        <v>#N/A N/A</v>
        <stp/>
        <stp>BDP|12171715118976030011</stp>
        <tr r="A1805" s="2"/>
      </tp>
      <tp t="s">
        <v>#N/A N/A</v>
        <stp/>
        <stp>BDP|10316032730901000093</stp>
        <tr r="H130" s="2"/>
      </tp>
      <tp t="s">
        <v>#N/A N/A</v>
        <stp/>
        <stp>BDP|16973121524524627308</stp>
        <tr r="D4697" s="2"/>
      </tp>
      <tp t="s">
        <v>#N/A N/A</v>
        <stp/>
        <stp>BDP|13939309703592249013</stp>
        <tr r="B4051" s="2"/>
      </tp>
      <tp t="s">
        <v>#N/A N/A</v>
        <stp/>
        <stp>BDP|13715093886568093116</stp>
        <tr r="B1559" s="2"/>
      </tp>
      <tp t="s">
        <v>#N/A N/A</v>
        <stp/>
        <stp>BDP|12856232422513999393</stp>
        <tr r="I4713" s="2"/>
      </tp>
      <tp t="s">
        <v>#N/A N/A</v>
        <stp/>
        <stp>BDP|13703170801948075886</stp>
        <tr r="B3517" s="2"/>
      </tp>
      <tp t="s">
        <v>#N/A N/A</v>
        <stp/>
        <stp>BDP|10807248139537502495</stp>
        <tr r="G4384" s="2"/>
      </tp>
      <tp t="s">
        <v>#N/A N/A</v>
        <stp/>
        <stp>BDP|15105422773366178289</stp>
        <tr r="D939" s="2"/>
      </tp>
      <tp t="s">
        <v>#N/A N/A</v>
        <stp/>
        <stp>BDP|10544022681498885275</stp>
        <tr r="H1251" s="2"/>
      </tp>
      <tp t="s">
        <v>#N/A N/A</v>
        <stp/>
        <stp>BDP|10970744808900800545</stp>
        <tr r="H544" s="2"/>
      </tp>
      <tp t="s">
        <v>#N/A N/A</v>
        <stp/>
        <stp>BDP|10840062255493650448</stp>
        <tr r="F3918" s="2"/>
      </tp>
      <tp t="s">
        <v>#N/A N/A</v>
        <stp/>
        <stp>BDP|15009123234345698096</stp>
        <tr r="D607" s="2"/>
      </tp>
      <tp t="s">
        <v>#N/A N/A</v>
        <stp/>
        <stp>BDP|10493807345148995619</stp>
        <tr r="A126" s="2"/>
      </tp>
      <tp t="s">
        <v>#N/A N/A</v>
        <stp/>
        <stp>BDP|14957598284208535383</stp>
        <tr r="A2520" s="2"/>
      </tp>
      <tp t="s">
        <v>#N/A N/A</v>
        <stp/>
        <stp>BDP|10895999022751902838</stp>
        <tr r="B4918" s="2"/>
      </tp>
      <tp t="s">
        <v>#N/A N/A</v>
        <stp/>
        <stp>BDP|13306387754714699307</stp>
        <tr r="C2949" s="2"/>
      </tp>
      <tp t="s">
        <v>#N/A N/A</v>
        <stp/>
        <stp>BDP|13892829633583294922</stp>
        <tr r="G39" s="2"/>
      </tp>
      <tp t="s">
        <v>#N/A N/A</v>
        <stp/>
        <stp>BDP|10185471065790898029</stp>
        <tr r="C1172" s="2"/>
      </tp>
      <tp t="s">
        <v>#N/A N/A</v>
        <stp/>
        <stp>BDP|14715912592052896454</stp>
        <tr r="A6" s="2"/>
      </tp>
      <tp t="s">
        <v>#N/A N/A</v>
        <stp/>
        <stp>BDP|14113403441514999203</stp>
        <tr r="B2943" s="2"/>
      </tp>
      <tp t="s">
        <v>#N/A N/A</v>
        <stp/>
        <stp>BDP|17308078040419806851</stp>
        <tr r="F4809" s="2"/>
      </tp>
      <tp t="s">
        <v>#N/A N/A</v>
        <stp/>
        <stp>BDP|11482619409162058758</stp>
        <tr r="G4153" s="2"/>
      </tp>
      <tp t="s">
        <v>#N/A N/A</v>
        <stp/>
        <stp>BDP|16039166848822608310</stp>
        <tr r="H2360" s="2"/>
      </tp>
      <tp t="s">
        <v>#N/A N/A</v>
        <stp/>
        <stp>BDP|17064622126758976949</stp>
        <tr r="A742" s="2"/>
      </tp>
      <tp t="s">
        <v>#N/A N/A</v>
        <stp/>
        <stp>BDP|13943068966063162416</stp>
        <tr r="C1314" s="2"/>
      </tp>
      <tp t="s">
        <v>#N/A N/A</v>
        <stp/>
        <stp>BDP|10178266938304389756</stp>
        <tr r="I2526" s="2"/>
      </tp>
      <tp t="s">
        <v>#N/A N/A</v>
        <stp/>
        <stp>BDP|11123083425883245271</stp>
        <tr r="D628" s="2"/>
      </tp>
      <tp t="s">
        <v>#N/A N/A</v>
        <stp/>
        <stp>BDP|10712203873883964440</stp>
        <tr r="H2599" s="2"/>
      </tp>
      <tp t="s">
        <v>#N/A N/A</v>
        <stp/>
        <stp>BDP|17117776300816833470</stp>
        <tr r="F476" s="2"/>
      </tp>
      <tp t="s">
        <v>#N/A N/A</v>
        <stp/>
        <stp>BDP|18200928089073935897</stp>
        <tr r="F287" s="2"/>
      </tp>
      <tp t="s">
        <v>#N/A N/A</v>
        <stp/>
        <stp>BDP|10241117931046270697</stp>
        <tr r="A3275" s="2"/>
      </tp>
      <tp t="s">
        <v>#N/A N/A</v>
        <stp/>
        <stp>BDP|13768446019515421174</stp>
        <tr r="H4801" s="2"/>
      </tp>
      <tp t="s">
        <v>#N/A N/A</v>
        <stp/>
        <stp>BDP|15762243721987388087</stp>
        <tr r="I4495" s="2"/>
      </tp>
      <tp t="s">
        <v>#N/A N/A</v>
        <stp/>
        <stp>BDP|17745120814686910310</stp>
        <tr r="D3625" s="2"/>
      </tp>
      <tp t="s">
        <v>#N/A N/A</v>
        <stp/>
        <stp>BDP|10691220117531294086</stp>
        <tr r="A229" s="2"/>
      </tp>
      <tp t="s">
        <v>#N/A N/A</v>
        <stp/>
        <stp>BDP|11728340264181679786</stp>
        <tr r="I138" s="2"/>
      </tp>
      <tp t="s">
        <v>#N/A N/A</v>
        <stp/>
        <stp>BDP|11734350890500907924</stp>
        <tr r="F3290" s="2"/>
      </tp>
      <tp t="s">
        <v>#N/A N/A</v>
        <stp/>
        <stp>BDP|12840445675350115311</stp>
        <tr r="G2658" s="2"/>
      </tp>
      <tp t="s">
        <v>#N/A N/A</v>
        <stp/>
        <stp>BDP|11715458617481588797</stp>
        <tr r="F3594" s="2"/>
      </tp>
      <tp t="s">
        <v>#N/A N/A</v>
        <stp/>
        <stp>BDP|14849860106277044913</stp>
        <tr r="A1827" s="2"/>
      </tp>
      <tp t="s">
        <v>#N/A N/A</v>
        <stp/>
        <stp>BDP|12601407661532932070</stp>
        <tr r="F3936" s="2"/>
      </tp>
      <tp t="s">
        <v>#N/A N/A</v>
        <stp/>
        <stp>BDP|10167022605965997765</stp>
        <tr r="D991" s="2"/>
      </tp>
      <tp t="s">
        <v>#N/A N/A</v>
        <stp/>
        <stp>BDP|14011109279494480444</stp>
        <tr r="F4810" s="2"/>
      </tp>
      <tp t="s">
        <v>#N/A N/A</v>
        <stp/>
        <stp>BDP|15662314229514472230</stp>
        <tr r="C2933" s="2"/>
      </tp>
      <tp t="s">
        <v>#N/A N/A</v>
        <stp/>
        <stp>BDP|13744012307486133796</stp>
        <tr r="B3942" s="2"/>
      </tp>
      <tp t="s">
        <v>#N/A N/A</v>
        <stp/>
        <stp>BDP|14514723504080242181</stp>
        <tr r="A1156" s="2"/>
      </tp>
      <tp t="s">
        <v>#N/A N/A</v>
        <stp/>
        <stp>BDP|10201352263630415792</stp>
        <tr r="B2766" s="2"/>
      </tp>
      <tp t="s">
        <v>#N/A N/A</v>
        <stp/>
        <stp>BDP|13840079600817400622</stp>
        <tr r="C3267" s="2"/>
      </tp>
      <tp t="s">
        <v>#N/A N/A</v>
        <stp/>
        <stp>BDP|14334364301277401292</stp>
        <tr r="B4864" s="2"/>
      </tp>
      <tp t="s">
        <v>#N/A N/A</v>
        <stp/>
        <stp>BDP|10178707598485145917</stp>
        <tr r="H3112" s="2"/>
      </tp>
      <tp t="s">
        <v>#N/A N/A</v>
        <stp/>
        <stp>BDP|17497548309546912692</stp>
        <tr r="B4423" s="2"/>
      </tp>
      <tp t="s">
        <v>#N/A N/A</v>
        <stp/>
        <stp>BDP|14266655164185361392</stp>
        <tr r="B2622" s="2"/>
      </tp>
      <tp t="s">
        <v>#N/A N/A</v>
        <stp/>
        <stp>BDP|15152847379010144840</stp>
        <tr r="I219" s="2"/>
      </tp>
      <tp t="s">
        <v>#N/A N/A</v>
        <stp/>
        <stp>BDP|11530477045343645085</stp>
        <tr r="H2310" s="2"/>
      </tp>
      <tp t="s">
        <v>#N/A N/A</v>
        <stp/>
        <stp>BDP|10005075778786236344</stp>
        <tr r="I2606" s="2"/>
      </tp>
      <tp t="s">
        <v>#N/A N/A</v>
        <stp/>
        <stp>BDP|11681449868264513567</stp>
        <tr r="F3002" s="2"/>
      </tp>
      <tp t="s">
        <v>#N/A N/A</v>
        <stp/>
        <stp>BDP|17150303538236798378</stp>
        <tr r="I3371" s="2"/>
      </tp>
      <tp t="s">
        <v>#N/A N/A</v>
        <stp/>
        <stp>BDP|13874491619061330520</stp>
        <tr r="I259" s="2"/>
      </tp>
      <tp t="s">
        <v>#N/A N/A</v>
        <stp/>
        <stp>BDP|15708746589321328902</stp>
        <tr r="H4442" s="2"/>
      </tp>
      <tp t="s">
        <v>#N/A N/A</v>
        <stp/>
        <stp>BDP|17680469543040846520</stp>
        <tr r="D1451" s="2"/>
      </tp>
      <tp t="s">
        <v>#N/A N/A</v>
        <stp/>
        <stp>BDP|11826961491404644706</stp>
        <tr r="I2542" s="2"/>
      </tp>
      <tp t="s">
        <v>#N/A N/A</v>
        <stp/>
        <stp>BDP|12495244224471586184</stp>
        <tr r="C1300" s="2"/>
      </tp>
      <tp t="s">
        <v>#N/A N/A</v>
        <stp/>
        <stp>BDP|12645655368210267000</stp>
        <tr r="D261" s="2"/>
      </tp>
      <tp t="s">
        <v>#N/A N/A</v>
        <stp/>
        <stp>BDP|13374965601799462197</stp>
        <tr r="B3160" s="2"/>
      </tp>
      <tp t="s">
        <v>#N/A N/A</v>
        <stp/>
        <stp>BDP|16742392537741626567</stp>
        <tr r="F2490" s="2"/>
      </tp>
      <tp t="s">
        <v>#N/A N/A</v>
        <stp/>
        <stp>BDP|13735719373635512499</stp>
        <tr r="D1313" s="2"/>
      </tp>
      <tp t="s">
        <v>#N/A N/A</v>
        <stp/>
        <stp>BDP|14182121243571194281</stp>
        <tr r="C2369" s="2"/>
      </tp>
      <tp t="s">
        <v>#N/A N/A</v>
        <stp/>
        <stp>BDP|14743607463777433193</stp>
        <tr r="B4514" s="2"/>
      </tp>
      <tp t="s">
        <v>#N/A N/A</v>
        <stp/>
        <stp>BDP|16801500160327300027</stp>
        <tr r="D1577" s="2"/>
      </tp>
      <tp t="s">
        <v>#N/A N/A</v>
        <stp/>
        <stp>BDP|13838474566955526647</stp>
        <tr r="C3869" s="2"/>
      </tp>
      <tp t="s">
        <v>#N/A N/A</v>
        <stp/>
        <stp>BDP|16268465069624792227</stp>
        <tr r="A4120" s="2"/>
      </tp>
      <tp t="s">
        <v>#N/A N/A</v>
        <stp/>
        <stp>BDP|18174292283885565560</stp>
        <tr r="G1389" s="2"/>
      </tp>
      <tp t="s">
        <v>#N/A N/A</v>
        <stp/>
        <stp>BDP|15565245150920027093</stp>
        <tr r="H3657" s="2"/>
      </tp>
      <tp t="s">
        <v>#N/A N/A</v>
        <stp/>
        <stp>BDP|13084691437484620005</stp>
        <tr r="F1843" s="2"/>
      </tp>
      <tp t="s">
        <v>#N/A N/A</v>
        <stp/>
        <stp>BDP|13823556208094462098</stp>
        <tr r="A1619" s="2"/>
      </tp>
      <tp t="s">
        <v>#N/A N/A</v>
        <stp/>
        <stp>BDP|12309778062260658185</stp>
        <tr r="H3175" s="2"/>
      </tp>
      <tp t="s">
        <v>#N/A N/A</v>
        <stp/>
        <stp>BDP|15040438038652513261</stp>
        <tr r="H567" s="2"/>
      </tp>
      <tp t="s">
        <v>#N/A N/A</v>
        <stp/>
        <stp>BDP|16486032718247747206</stp>
        <tr r="A1462" s="2"/>
      </tp>
      <tp t="s">
        <v>#N/A N/A</v>
        <stp/>
        <stp>BDP|11138606615162894644</stp>
        <tr r="F4406" s="2"/>
      </tp>
      <tp t="s">
        <v>#N/A N/A</v>
        <stp/>
        <stp>BDP|12021005569017779169</stp>
        <tr r="I2010" s="2"/>
      </tp>
      <tp t="s">
        <v>#N/A N/A</v>
        <stp/>
        <stp>BDP|14987445283688664204</stp>
        <tr r="F3239" s="2"/>
      </tp>
      <tp t="s">
        <v>#N/A N/A</v>
        <stp/>
        <stp>BDP|10664806528871343955</stp>
        <tr r="D3021" s="2"/>
      </tp>
      <tp t="s">
        <v>#N/A N/A</v>
        <stp/>
        <stp>BDP|12614817324949357383</stp>
        <tr r="A2192" s="2"/>
      </tp>
      <tp t="s">
        <v>#N/A N/A</v>
        <stp/>
        <stp>BDP|15643456029875542477</stp>
        <tr r="H1107" s="2"/>
      </tp>
      <tp t="s">
        <v>#N/A N/A</v>
        <stp/>
        <stp>BDP|10914125537168387874</stp>
        <tr r="F3029" s="2"/>
      </tp>
      <tp t="s">
        <v>#N/A N/A</v>
        <stp/>
        <stp>BDP|10585010231276972744</stp>
        <tr r="B305" s="2"/>
      </tp>
      <tp t="s">
        <v>#N/A N/A</v>
        <stp/>
        <stp>BDP|16967149752454348447</stp>
        <tr r="D3114" s="2"/>
      </tp>
      <tp t="s">
        <v>#N/A N/A</v>
        <stp/>
        <stp>BDP|13225914372487121888</stp>
        <tr r="D2526" s="2"/>
      </tp>
      <tp t="s">
        <v>#N/A N/A</v>
        <stp/>
        <stp>BDP|14146129111746216083</stp>
        <tr r="F3696" s="2"/>
      </tp>
      <tp t="s">
        <v>#N/A N/A</v>
        <stp/>
        <stp>BDP|17020000488068427548</stp>
        <tr r="G3010" s="2"/>
      </tp>
      <tp t="s">
        <v>#N/A N/A</v>
        <stp/>
        <stp>BDP|18250215351118806529</stp>
        <tr r="B4547" s="2"/>
      </tp>
      <tp t="s">
        <v>#N/A N/A</v>
        <stp/>
        <stp>BDP|13770018005120344182</stp>
        <tr r="B303" s="2"/>
      </tp>
      <tp t="s">
        <v>#N/A N/A</v>
        <stp/>
        <stp>BDP|17979371953867560400</stp>
        <tr r="G4577" s="2"/>
      </tp>
      <tp t="s">
        <v>#N/A N/A</v>
        <stp/>
        <stp>BDP|15104594991213900889</stp>
        <tr r="B1895" s="2"/>
      </tp>
      <tp t="s">
        <v>#N/A N/A</v>
        <stp/>
        <stp>BDP|12077397903572397113</stp>
        <tr r="H3975" s="2"/>
      </tp>
      <tp t="s">
        <v>#N/A N/A</v>
        <stp/>
        <stp>BDP|13587840875739887748</stp>
        <tr r="D2120" s="2"/>
      </tp>
      <tp t="s">
        <v>#N/A N/A</v>
        <stp/>
        <stp>BDP|10823334761950295709</stp>
        <tr r="H361" s="2"/>
      </tp>
      <tp t="s">
        <v>#N/A N/A</v>
        <stp/>
        <stp>BDP|14218849883205832356</stp>
        <tr r="H232" s="2"/>
      </tp>
      <tp t="s">
        <v>#N/A N/A</v>
        <stp/>
        <stp>BDP|10581455333322828732</stp>
        <tr r="A1459" s="2"/>
      </tp>
      <tp t="s">
        <v>#N/A N/A</v>
        <stp/>
        <stp>BDP|14852009925536555201</stp>
        <tr r="C3347" s="2"/>
      </tp>
      <tp t="s">
        <v>#N/A N/A</v>
        <stp/>
        <stp>BDP|16691781956766121010</stp>
        <tr r="F2184" s="2"/>
      </tp>
      <tp t="s">
        <v>#N/A N/A</v>
        <stp/>
        <stp>BDP|17382269396968208695</stp>
        <tr r="B1296" s="2"/>
      </tp>
      <tp t="s">
        <v>#N/A N/A</v>
        <stp/>
        <stp>BDP|15210198878342942323</stp>
        <tr r="G756" s="2"/>
      </tp>
      <tp t="s">
        <v>#N/A N/A</v>
        <stp/>
        <stp>BDP|17981817692032046626</stp>
        <tr r="I3791" s="2"/>
      </tp>
      <tp t="s">
        <v>#N/A N/A</v>
        <stp/>
        <stp>BDP|11522375849666291214</stp>
        <tr r="G2329" s="2"/>
      </tp>
      <tp t="s">
        <v>#N/A N/A</v>
        <stp/>
        <stp>BDP|15773086971370260048</stp>
        <tr r="I943" s="2"/>
      </tp>
      <tp t="s">
        <v>#N/A N/A</v>
        <stp/>
        <stp>BDP|12395000775741869664</stp>
        <tr r="H275" s="2"/>
      </tp>
      <tp t="s">
        <v>#N/A N/A</v>
        <stp/>
        <stp>BDP|13897764853120785328</stp>
        <tr r="G933" s="2"/>
      </tp>
      <tp t="s">
        <v>#N/A N/A</v>
        <stp/>
        <stp>BDP|11404188501010367262</stp>
        <tr r="F4622" s="2"/>
      </tp>
      <tp t="s">
        <v>#N/A N/A</v>
        <stp/>
        <stp>BDP|15317228611636905213</stp>
        <tr r="F4995" s="2"/>
      </tp>
      <tp t="s">
        <v>#N/A N/A</v>
        <stp/>
        <stp>BDP|18356594805989717605</stp>
        <tr r="D4182" s="2"/>
      </tp>
      <tp t="s">
        <v>#N/A N/A</v>
        <stp/>
        <stp>BDP|14494260359258622955</stp>
        <tr r="D3138" s="2"/>
      </tp>
      <tp t="s">
        <v>#N/A N/A</v>
        <stp/>
        <stp>BDP|17879293694846588888</stp>
        <tr r="A532" s="2"/>
      </tp>
      <tp t="s">
        <v>#N/A N/A</v>
        <stp/>
        <stp>BDP|17952031122230444741</stp>
        <tr r="H3555" s="2"/>
      </tp>
      <tp t="s">
        <v>#N/A N/A</v>
        <stp/>
        <stp>BDP|11987318104569022944</stp>
        <tr r="I3989" s="2"/>
      </tp>
      <tp t="s">
        <v>#N/A N/A</v>
        <stp/>
        <stp>BDP|17413036219586335253</stp>
        <tr r="A49" s="2"/>
      </tp>
      <tp t="s">
        <v>#N/A N/A</v>
        <stp/>
        <stp>BDP|12870572940771381048</stp>
        <tr r="A1354" s="2"/>
      </tp>
      <tp t="s">
        <v>#N/A N/A</v>
        <stp/>
        <stp>BDP|11507794960756000441</stp>
        <tr r="A1747" s="2"/>
      </tp>
      <tp t="s">
        <v>#N/A N/A</v>
        <stp/>
        <stp>BDP|12705064181408821000</stp>
        <tr r="F4959" s="2"/>
      </tp>
      <tp t="s">
        <v>#N/A N/A</v>
        <stp/>
        <stp>BDP|12006034704669801970</stp>
        <tr r="C287" s="2"/>
      </tp>
      <tp t="s">
        <v>#N/A N/A</v>
        <stp/>
        <stp>BDP|16655494246611436556</stp>
        <tr r="I3518" s="2"/>
      </tp>
      <tp t="s">
        <v>#N/A N/A</v>
        <stp/>
        <stp>BDP|15103544104622013091</stp>
        <tr r="C3536" s="2"/>
      </tp>
      <tp t="s">
        <v>#N/A N/A</v>
        <stp/>
        <stp>BDP|11219485025681593429</stp>
        <tr r="A345" s="2"/>
      </tp>
      <tp t="s">
        <v>#N/A N/A</v>
        <stp/>
        <stp>BDP|17816162759284754585</stp>
        <tr r="A3766" s="2"/>
      </tp>
      <tp t="s">
        <v>#N/A N/A</v>
        <stp/>
        <stp>BDP|10110010877554842171</stp>
        <tr r="B50" s="2"/>
      </tp>
      <tp t="s">
        <v>#N/A N/A</v>
        <stp/>
        <stp>BDP|14909630269165925322</stp>
        <tr r="B4764" s="2"/>
      </tp>
      <tp t="s">
        <v>#N/A N/A</v>
        <stp/>
        <stp>BDP|13704192570677523037</stp>
        <tr r="F2340" s="2"/>
      </tp>
      <tp t="s">
        <v>#N/A N/A</v>
        <stp/>
        <stp>BDP|11465692359749925950</stp>
        <tr r="G873" s="2"/>
      </tp>
      <tp t="s">
        <v>#N/A N/A</v>
        <stp/>
        <stp>BDP|13332636871222868210</stp>
        <tr r="F4252" s="2"/>
      </tp>
      <tp t="s">
        <v>#N/A N/A</v>
        <stp/>
        <stp>BDP|16455820766392808807</stp>
        <tr r="C2132" s="2"/>
      </tp>
      <tp t="s">
        <v>#N/A N/A</v>
        <stp/>
        <stp>BDP|17341948984982333687</stp>
        <tr r="F4949" s="2"/>
      </tp>
      <tp t="s">
        <v>#N/A N/A</v>
        <stp/>
        <stp>BDP|10151432404986874069</stp>
        <tr r="F2900" s="2"/>
      </tp>
      <tp t="s">
        <v>#N/A N/A</v>
        <stp/>
        <stp>BDP|10514565756687812553</stp>
        <tr r="G1614" s="2"/>
      </tp>
      <tp t="s">
        <v>#N/A N/A</v>
        <stp/>
        <stp>BDP|17765646959661041722</stp>
        <tr r="H1631" s="2"/>
      </tp>
      <tp t="s">
        <v>#N/A N/A</v>
        <stp/>
        <stp>BDP|17557711361103543781</stp>
        <tr r="C1148" s="2"/>
      </tp>
      <tp t="s">
        <v>#N/A N/A</v>
        <stp/>
        <stp>BDP|14189929035095836962</stp>
        <tr r="H4600" s="2"/>
      </tp>
      <tp t="s">
        <v>#N/A N/A</v>
        <stp/>
        <stp>BDP|10297883533721640879</stp>
        <tr r="F1367" s="2"/>
      </tp>
      <tp t="s">
        <v>#N/A N/A</v>
        <stp/>
        <stp>BDP|11975869356338757668</stp>
        <tr r="D4887" s="2"/>
      </tp>
      <tp t="s">
        <v>#N/A N/A</v>
        <stp/>
        <stp>BDP|15966510976465315054</stp>
        <tr r="C1363" s="2"/>
      </tp>
      <tp t="s">
        <v>#N/A N/A</v>
        <stp/>
        <stp>BDP|18420166532288031082</stp>
        <tr r="D3110" s="2"/>
      </tp>
      <tp t="s">
        <v>#N/A N/A</v>
        <stp/>
        <stp>BDP|11253081888712225986</stp>
        <tr r="G612" s="2"/>
      </tp>
      <tp t="s">
        <v>#N/A N/A</v>
        <stp/>
        <stp>BDP|13748383820096487638</stp>
        <tr r="I3194" s="2"/>
      </tp>
      <tp t="s">
        <v>#N/A N/A</v>
        <stp/>
        <stp>BDP|17163899840949878086</stp>
        <tr r="A1502" s="2"/>
      </tp>
      <tp t="s">
        <v>#N/A N/A</v>
        <stp/>
        <stp>BDP|10506575560367344695</stp>
        <tr r="G958" s="2"/>
      </tp>
      <tp t="s">
        <v>#N/A N/A</v>
        <stp/>
        <stp>BDP|13810607243664479771</stp>
        <tr r="D2206" s="2"/>
      </tp>
      <tp t="s">
        <v>#N/A N/A</v>
        <stp/>
        <stp>BDP|17437605365397972204</stp>
        <tr r="H2234" s="2"/>
      </tp>
      <tp t="s">
        <v>#N/A N/A</v>
        <stp/>
        <stp>BDP|14926135721860782541</stp>
        <tr r="C1903" s="2"/>
      </tp>
      <tp t="s">
        <v>#N/A N/A</v>
        <stp/>
        <stp>BDP|16900261493559474605</stp>
        <tr r="A2771" s="2"/>
      </tp>
      <tp t="s">
        <v>#N/A N/A</v>
        <stp/>
        <stp>BDP|12090087537337122469</stp>
        <tr r="G1016" s="2"/>
      </tp>
      <tp t="s">
        <v>#N/A N/A</v>
        <stp/>
        <stp>BDP|12194820011701382890</stp>
        <tr r="G629" s="2"/>
      </tp>
      <tp t="s">
        <v>#N/A N/A</v>
        <stp/>
        <stp>BDP|15576522179674316154</stp>
        <tr r="F4597" s="2"/>
      </tp>
      <tp t="s">
        <v>#N/A N/A</v>
        <stp/>
        <stp>BDP|17998365763241727139</stp>
        <tr r="G4377" s="2"/>
      </tp>
      <tp t="s">
        <v>#N/A N/A</v>
        <stp/>
        <stp>BDP|11143958822039996170</stp>
        <tr r="F3560" s="2"/>
      </tp>
      <tp t="s">
        <v>#N/A N/A</v>
        <stp/>
        <stp>BDP|17580852995997918347</stp>
        <tr r="I1727" s="2"/>
      </tp>
      <tp t="s">
        <v>#N/A N/A</v>
        <stp/>
        <stp>BDP|17335248638863510727</stp>
        <tr r="F3601" s="2"/>
      </tp>
      <tp t="s">
        <v>#N/A N/A</v>
        <stp/>
        <stp>BDP|18244575788233612437</stp>
        <tr r="D234" s="2"/>
      </tp>
      <tp t="s">
        <v>#N/A N/A</v>
        <stp/>
        <stp>BDP|14143396640952688367</stp>
        <tr r="A3392" s="2"/>
      </tp>
      <tp t="s">
        <v>#N/A N/A</v>
        <stp/>
        <stp>BDP|11112554962052945275</stp>
        <tr r="A1614" s="2"/>
      </tp>
      <tp t="s">
        <v>#N/A N/A</v>
        <stp/>
        <stp>BDP|12659468828847090108</stp>
        <tr r="A2984" s="2"/>
      </tp>
      <tp t="s">
        <v>#N/A N/A</v>
        <stp/>
        <stp>BDP|16250086632112412547</stp>
        <tr r="B1093" s="2"/>
      </tp>
      <tp t="s">
        <v>#N/A N/A</v>
        <stp/>
        <stp>BDP|12810320757941480714</stp>
        <tr r="I2844" s="2"/>
      </tp>
      <tp t="s">
        <v>#N/A N/A</v>
        <stp/>
        <stp>BDP|14913812091060708758</stp>
        <tr r="D3280" s="2"/>
      </tp>
      <tp t="s">
        <v>#N/A N/A</v>
        <stp/>
        <stp>BDP|16281440929410612226</stp>
        <tr r="F385" s="2"/>
      </tp>
      <tp t="s">
        <v>#N/A N/A</v>
        <stp/>
        <stp>BDP|10362188657241024775</stp>
        <tr r="C1468" s="2"/>
      </tp>
      <tp t="s">
        <v>#N/A N/A</v>
        <stp/>
        <stp>BDP|14584388941121289052</stp>
        <tr r="B2681" s="2"/>
      </tp>
      <tp t="s">
        <v>#N/A N/A</v>
        <stp/>
        <stp>BDP|11913935283095679748</stp>
        <tr r="G1675" s="2"/>
      </tp>
      <tp t="s">
        <v>#N/A N/A</v>
        <stp/>
        <stp>BDP|14928298628434027236</stp>
        <tr r="G3689" s="2"/>
      </tp>
      <tp t="s">
        <v>#N/A N/A</v>
        <stp/>
        <stp>BDP|10469174779697370329</stp>
        <tr r="D2268" s="2"/>
      </tp>
      <tp t="s">
        <v>#N/A N/A</v>
        <stp/>
        <stp>BDP|16750380602823168472</stp>
        <tr r="I3314" s="2"/>
      </tp>
      <tp t="s">
        <v>#N/A N/A</v>
        <stp/>
        <stp>BDP|10352079929106271643</stp>
        <tr r="C4224" s="2"/>
      </tp>
      <tp t="s">
        <v>#N/A N/A</v>
        <stp/>
        <stp>BDP|15207757350854877141</stp>
        <tr r="F4142" s="2"/>
      </tp>
      <tp t="s">
        <v>#N/A N/A</v>
        <stp/>
        <stp>BDP|18068521834904826855</stp>
        <tr r="H2225" s="2"/>
      </tp>
      <tp t="s">
        <v>#N/A N/A</v>
        <stp/>
        <stp>BDP|12382129711417985724</stp>
        <tr r="G7" s="2"/>
      </tp>
      <tp t="s">
        <v>#N/A N/A</v>
        <stp/>
        <stp>BDP|13627901463696748898</stp>
        <tr r="B3137" s="2"/>
      </tp>
      <tp t="s">
        <v>#N/A N/A</v>
        <stp/>
        <stp>BDP|16528125173970867270</stp>
        <tr r="H3589" s="2"/>
      </tp>
      <tp t="s">
        <v>#N/A N/A</v>
        <stp/>
        <stp>BDP|16662200049274791635</stp>
        <tr r="B935" s="2"/>
      </tp>
      <tp t="s">
        <v>#N/A N/A</v>
        <stp/>
        <stp>BDP|11741624413623480796</stp>
        <tr r="H1188" s="2"/>
      </tp>
      <tp t="s">
        <v>#N/A N/A</v>
        <stp/>
        <stp>BDP|18418394472948564615</stp>
        <tr r="A1058" s="2"/>
      </tp>
      <tp t="s">
        <v>#N/A N/A</v>
        <stp/>
        <stp>BDP|10532123001137599487</stp>
        <tr r="I389" s="2"/>
      </tp>
      <tp t="s">
        <v>#N/A N/A</v>
        <stp/>
        <stp>BDP|11421940160795331989</stp>
        <tr r="I1694" s="2"/>
      </tp>
      <tp t="s">
        <v>#N/A N/A</v>
        <stp/>
        <stp>BDP|12943341636061398133</stp>
        <tr r="A714" s="2"/>
      </tp>
      <tp t="s">
        <v>#N/A N/A</v>
        <stp/>
        <stp>BDP|17747849322778208785</stp>
        <tr r="B1115" s="2"/>
      </tp>
      <tp t="s">
        <v>#N/A N/A</v>
        <stp/>
        <stp>BDP|16369278285469218784</stp>
        <tr r="D3149" s="2"/>
      </tp>
      <tp t="s">
        <v>#N/A N/A</v>
        <stp/>
        <stp>BDP|13126756378468783907</stp>
        <tr r="H4033" s="2"/>
      </tp>
      <tp t="s">
        <v>#N/A N/A</v>
        <stp/>
        <stp>BDP|10690237366143845504</stp>
        <tr r="I490" s="2"/>
      </tp>
      <tp t="s">
        <v>#N/A N/A</v>
        <stp/>
        <stp>BDP|13335726020731982534</stp>
        <tr r="I2498" s="2"/>
      </tp>
      <tp t="s">
        <v>#N/A N/A</v>
        <stp/>
        <stp>BDP|18261552165558061199</stp>
        <tr r="A4213" s="2"/>
      </tp>
      <tp t="s">
        <v>#N/A N/A</v>
        <stp/>
        <stp>BDP|11973307413389199804</stp>
        <tr r="H1432" s="2"/>
      </tp>
      <tp t="s">
        <v>#N/A N/A</v>
        <stp/>
        <stp>BDP|15946217283835374832</stp>
        <tr r="F2845" s="2"/>
      </tp>
      <tp t="s">
        <v>#N/A N/A</v>
        <stp/>
        <stp>BDP|12813194832470193295</stp>
        <tr r="H4758" s="2"/>
      </tp>
      <tp t="s">
        <v>#N/A N/A</v>
        <stp/>
        <stp>BDP|17664080648772552389</stp>
        <tr r="I3374" s="2"/>
      </tp>
      <tp t="s">
        <v>#N/A N/A</v>
        <stp/>
        <stp>BDP|12710795801201737639</stp>
        <tr r="G2949" s="2"/>
      </tp>
      <tp t="s">
        <v>#N/A N/A</v>
        <stp/>
        <stp>BDP|14835108290919463778</stp>
        <tr r="B1407" s="2"/>
      </tp>
      <tp t="s">
        <v>#N/A N/A</v>
        <stp/>
        <stp>BDP|12788499387885351910</stp>
        <tr r="F3517" s="2"/>
      </tp>
      <tp t="s">
        <v>#N/A N/A</v>
        <stp/>
        <stp>BDP|14789931649629543238</stp>
        <tr r="F3694" s="2"/>
      </tp>
      <tp t="s">
        <v>#N/A N/A</v>
        <stp/>
        <stp>BDP|14344838673990952913</stp>
        <tr r="A951" s="2"/>
      </tp>
      <tp t="s">
        <v>#N/A N/A</v>
        <stp/>
        <stp>BDP|11947495824435838075</stp>
        <tr r="G722" s="2"/>
      </tp>
      <tp t="s">
        <v>#N/A N/A</v>
        <stp/>
        <stp>BDP|12055602470631835031</stp>
        <tr r="H4575" s="2"/>
      </tp>
      <tp t="s">
        <v>#N/A N/A</v>
        <stp/>
        <stp>BDP|17976773189493868945</stp>
        <tr r="H3659" s="2"/>
      </tp>
      <tp t="s">
        <v>#N/A N/A</v>
        <stp/>
        <stp>BDP|12933642645235324702</stp>
        <tr r="A3060" s="2"/>
      </tp>
      <tp t="s">
        <v>#N/A N/A</v>
        <stp/>
        <stp>BDP|17997326639631120488</stp>
        <tr r="B2351" s="2"/>
      </tp>
      <tp t="s">
        <v>#N/A N/A</v>
        <stp/>
        <stp>BDP|12928642362531442103</stp>
        <tr r="I956" s="2"/>
      </tp>
      <tp t="s">
        <v>#N/A N/A</v>
        <stp/>
        <stp>BDP|13703186051205506006</stp>
        <tr r="B791" s="2"/>
      </tp>
      <tp t="s">
        <v>#N/A N/A</v>
        <stp/>
        <stp>BDP|12579265939942812398</stp>
        <tr r="B3207" s="2"/>
      </tp>
      <tp t="s">
        <v>#N/A N/A</v>
        <stp/>
        <stp>BDP|17999804680361295406</stp>
        <tr r="D3805" s="2"/>
      </tp>
      <tp t="s">
        <v>#N/A N/A</v>
        <stp/>
        <stp>BDP|14221081211496145112</stp>
        <tr r="C3493" s="2"/>
      </tp>
      <tp t="s">
        <v>#N/A N/A</v>
        <stp/>
        <stp>BDP|14011884887195055340</stp>
        <tr r="I4385" s="2"/>
      </tp>
      <tp t="s">
        <v>#N/A N/A</v>
        <stp/>
        <stp>BDP|17805924087406272246</stp>
        <tr r="B2901" s="2"/>
      </tp>
      <tp t="s">
        <v>#N/A N/A</v>
        <stp/>
        <stp>BDP|10303423147024571685</stp>
        <tr r="B2751" s="2"/>
      </tp>
      <tp t="s">
        <v>#N/A N/A</v>
        <stp/>
        <stp>BDP|17789843193037839339</stp>
        <tr r="G4044" s="2"/>
      </tp>
      <tp t="s">
        <v>#N/A N/A</v>
        <stp/>
        <stp>BDP|17318044008400654524</stp>
        <tr r="A1067" s="2"/>
      </tp>
      <tp t="s">
        <v>#N/A N/A</v>
        <stp/>
        <stp>BDP|14012657759483165664</stp>
        <tr r="F4692" s="2"/>
      </tp>
      <tp t="s">
        <v>#N/A N/A</v>
        <stp/>
        <stp>BDP|15557071539850890485</stp>
        <tr r="F4433" s="2"/>
      </tp>
      <tp t="s">
        <v>#N/A N/A</v>
        <stp/>
        <stp>BDP|14765081413632411530</stp>
        <tr r="H4074" s="2"/>
      </tp>
      <tp t="s">
        <v>#N/A N/A</v>
        <stp/>
        <stp>BDP|13764896122582171965</stp>
        <tr r="I1561" s="2"/>
      </tp>
      <tp t="s">
        <v>#N/A N/A</v>
        <stp/>
        <stp>BDP|16343681626028348856</stp>
        <tr r="G3594" s="2"/>
      </tp>
      <tp t="s">
        <v>#N/A N/A</v>
        <stp/>
        <stp>BDP|14942776254176959281</stp>
        <tr r="A4010" s="2"/>
      </tp>
      <tp t="s">
        <v>#N/A N/A</v>
        <stp/>
        <stp>BDP|10849065415630767376</stp>
        <tr r="G260" s="2"/>
      </tp>
      <tp t="s">
        <v>#N/A N/A</v>
        <stp/>
        <stp>BDP|11832676506560758552</stp>
        <tr r="H2971" s="2"/>
      </tp>
      <tp t="s">
        <v>#N/A N/A</v>
        <stp/>
        <stp>BDP|12143574889198077541</stp>
        <tr r="G3878" s="2"/>
      </tp>
      <tp t="s">
        <v>#N/A N/A</v>
        <stp/>
        <stp>BDP|11105402528515321012</stp>
        <tr r="C1183" s="2"/>
      </tp>
      <tp t="s">
        <v>#N/A N/A</v>
        <stp/>
        <stp>BDP|11669662141537206687</stp>
        <tr r="D1923" s="2"/>
      </tp>
      <tp t="s">
        <v>#N/A N/A</v>
        <stp/>
        <stp>BDP|14341040671332859354</stp>
        <tr r="I3670" s="2"/>
      </tp>
      <tp t="s">
        <v>#N/A N/A</v>
        <stp/>
        <stp>BDP|13531702950363965072</stp>
        <tr r="D2673" s="2"/>
      </tp>
      <tp t="s">
        <v>#N/A N/A</v>
        <stp/>
        <stp>BDP|17987669369486557386</stp>
        <tr r="A1096" s="2"/>
      </tp>
      <tp t="s">
        <v>#N/A N/A</v>
        <stp/>
        <stp>BDP|10074960609708668320</stp>
        <tr r="B2275" s="2"/>
      </tp>
      <tp t="s">
        <v>#N/A N/A</v>
        <stp/>
        <stp>BDP|17529484842463059642</stp>
        <tr r="A1068" s="2"/>
      </tp>
      <tp t="s">
        <v>#N/A N/A</v>
        <stp/>
        <stp>BDP|15758497035288079802</stp>
        <tr r="H1857" s="2"/>
      </tp>
      <tp t="s">
        <v>#N/A N/A</v>
        <stp/>
        <stp>BDP|11237881034090326865</stp>
        <tr r="I4214" s="2"/>
      </tp>
      <tp t="s">
        <v>#N/A N/A</v>
        <stp/>
        <stp>BDP|10404853383700870216</stp>
        <tr r="B3368" s="2"/>
      </tp>
      <tp t="s">
        <v>#N/A N/A</v>
        <stp/>
        <stp>BDP|10840290852676868301</stp>
        <tr r="I4493" s="2"/>
      </tp>
      <tp t="s">
        <v>#N/A N/A</v>
        <stp/>
        <stp>BDP|18144387252624382838</stp>
        <tr r="G2104" s="2"/>
      </tp>
      <tp t="s">
        <v>#N/A N/A</v>
        <stp/>
        <stp>BDP|13854832396026634601</stp>
        <tr r="I1832" s="2"/>
      </tp>
      <tp t="s">
        <v>#N/A N/A</v>
        <stp/>
        <stp>BDP|16654080025217856187</stp>
        <tr r="I2402" s="2"/>
      </tp>
      <tp t="s">
        <v>#N/A N/A</v>
        <stp/>
        <stp>BDP|14146871820618460491</stp>
        <tr r="D1050" s="2"/>
      </tp>
      <tp t="s">
        <v>#N/A N/A</v>
        <stp/>
        <stp>BDP|16455733503041903262</stp>
        <tr r="H3821" s="2"/>
      </tp>
      <tp t="s">
        <v>#N/A N/A</v>
        <stp/>
        <stp>BDP|16059688924939690919</stp>
        <tr r="H2212" s="2"/>
      </tp>
      <tp t="s">
        <v>#N/A N/A</v>
        <stp/>
        <stp>BDP|12482680336520601579</stp>
        <tr r="C1403" s="2"/>
      </tp>
      <tp t="s">
        <v>#N/A N/A</v>
        <stp/>
        <stp>BDP|10398384336202307044</stp>
        <tr r="G486" s="2"/>
      </tp>
      <tp t="s">
        <v>#N/A N/A</v>
        <stp/>
        <stp>BDP|13411767306892647481</stp>
        <tr r="D3640" s="2"/>
      </tp>
      <tp t="s">
        <v>#N/A N/A</v>
        <stp/>
        <stp>BDP|17654741248017468149</stp>
        <tr r="G2194" s="2"/>
      </tp>
      <tp t="s">
        <v>#N/A N/A</v>
        <stp/>
        <stp>BDP|17382394108820898606</stp>
        <tr r="F4620" s="2"/>
      </tp>
      <tp t="s">
        <v>#N/A N/A</v>
        <stp/>
        <stp>BDP|13304361618541363249</stp>
        <tr r="F3628" s="2"/>
      </tp>
      <tp t="s">
        <v>#N/A N/A</v>
        <stp/>
        <stp>BDP|10618779435435669381</stp>
        <tr r="I4333" s="2"/>
      </tp>
      <tp t="s">
        <v>#N/A N/A</v>
        <stp/>
        <stp>BDP|10135782126920546707</stp>
        <tr r="D3009" s="2"/>
      </tp>
      <tp t="s">
        <v>#N/A N/A</v>
        <stp/>
        <stp>BDP|11892756442565213570</stp>
        <tr r="F4829" s="2"/>
      </tp>
      <tp t="s">
        <v>#N/A N/A</v>
        <stp/>
        <stp>BDP|12401798807552044503</stp>
        <tr r="I1591" s="2"/>
      </tp>
      <tp t="s">
        <v>#N/A N/A</v>
        <stp/>
        <stp>BDP|13284155218397635637</stp>
        <tr r="F3248" s="2"/>
      </tp>
      <tp t="s">
        <v>#N/A N/A</v>
        <stp/>
        <stp>BDP|14169179695179102784</stp>
        <tr r="C1066" s="2"/>
      </tp>
      <tp t="s">
        <v>#N/A N/A</v>
        <stp/>
        <stp>BDP|16833846500948565430</stp>
        <tr r="C2016" s="2"/>
      </tp>
      <tp t="s">
        <v>#N/A N/A</v>
        <stp/>
        <stp>BDP|18117376045868061593</stp>
        <tr r="H3878" s="2"/>
      </tp>
      <tp t="s">
        <v>#N/A N/A</v>
        <stp/>
        <stp>BDP|13202538765153643187</stp>
        <tr r="D2888" s="2"/>
      </tp>
      <tp t="s">
        <v>#N/A N/A</v>
        <stp/>
        <stp>BDP|11918839232308264004</stp>
        <tr r="C4910" s="2"/>
      </tp>
      <tp t="s">
        <v>#N/A N/A</v>
        <stp/>
        <stp>BDP|12212587631133283536</stp>
        <tr r="D1372" s="2"/>
      </tp>
      <tp t="s">
        <v>#N/A N/A</v>
        <stp/>
        <stp>BDP|12956538204304345173</stp>
        <tr r="B3672" s="2"/>
      </tp>
      <tp t="s">
        <v>#N/A N/A</v>
        <stp/>
        <stp>BDP|16621852176803691898</stp>
        <tr r="H1825" s="2"/>
      </tp>
      <tp t="s">
        <v>#N/A N/A</v>
        <stp/>
        <stp>BDP|12599214429497784708</stp>
        <tr r="I3466" s="2"/>
      </tp>
      <tp t="s">
        <v>#N/A N/A</v>
        <stp/>
        <stp>BDP|14887474175563470647</stp>
        <tr r="G1431" s="2"/>
      </tp>
      <tp t="s">
        <v>#N/A N/A</v>
        <stp/>
        <stp>BDP|13567098868820963778</stp>
        <tr r="C4801" s="2"/>
      </tp>
      <tp t="s">
        <v>#N/A N/A</v>
        <stp/>
        <stp>BDP|17317450078772765438</stp>
        <tr r="F2578" s="2"/>
      </tp>
      <tp t="s">
        <v>#N/A N/A</v>
        <stp/>
        <stp>BDP|11366933298701780252</stp>
        <tr r="G3760" s="2"/>
      </tp>
      <tp t="s">
        <v>#N/A N/A</v>
        <stp/>
        <stp>BDP|15095864985080902705</stp>
        <tr r="G2600" s="2"/>
      </tp>
      <tp t="s">
        <v>#N/A N/A</v>
        <stp/>
        <stp>BDP|11323201618486314629</stp>
        <tr r="G4185" s="2"/>
      </tp>
      <tp t="s">
        <v>#N/A N/A</v>
        <stp/>
        <stp>BDP|16594074555278883958</stp>
        <tr r="A3194" s="2"/>
      </tp>
      <tp t="s">
        <v>#N/A N/A</v>
        <stp/>
        <stp>BDP|12942267986259170328</stp>
        <tr r="B263" s="2"/>
      </tp>
      <tp t="s">
        <v>#N/A N/A</v>
        <stp/>
        <stp>BDP|17167740425186208689</stp>
        <tr r="B3374" s="2"/>
      </tp>
      <tp t="s">
        <v>#N/A N/A</v>
        <stp/>
        <stp>BDP|14310181350936642473</stp>
        <tr r="F1922" s="2"/>
      </tp>
      <tp t="s">
        <v>#N/A N/A</v>
        <stp/>
        <stp>BDP|15758050274762578298</stp>
        <tr r="C2777" s="2"/>
      </tp>
      <tp t="s">
        <v>#N/A N/A</v>
        <stp/>
        <stp>BDP|13792781430513348665</stp>
        <tr r="C281" s="2"/>
      </tp>
      <tp t="s">
        <v>#N/A N/A</v>
        <stp/>
        <stp>BDP|14249177929966708316</stp>
        <tr r="D1538" s="2"/>
      </tp>
      <tp t="s">
        <v>#N/A N/A</v>
        <stp/>
        <stp>BDP|15458381605775580167</stp>
        <tr r="D2961" s="2"/>
      </tp>
      <tp t="s">
        <v>#N/A N/A</v>
        <stp/>
        <stp>BDP|11738473338651439569</stp>
        <tr r="F3040" s="2"/>
      </tp>
      <tp t="s">
        <v>#N/A N/A</v>
        <stp/>
        <stp>BDP|15530601949474660103</stp>
        <tr r="C1598" s="2"/>
      </tp>
      <tp t="s">
        <v>#N/A N/A</v>
        <stp/>
        <stp>BDP|10222750021424419384</stp>
        <tr r="C4182" s="2"/>
      </tp>
      <tp t="s">
        <v>#N/A N/A</v>
        <stp/>
        <stp>BDP|13477021829524778727</stp>
        <tr r="C430" s="2"/>
      </tp>
      <tp t="s">
        <v>#N/A N/A</v>
        <stp/>
        <stp>BDP|16485322396469291784</stp>
        <tr r="B822" s="2"/>
      </tp>
      <tp t="s">
        <v>#N/A N/A</v>
        <stp/>
        <stp>BDP|11484042428368626948</stp>
        <tr r="H761" s="2"/>
      </tp>
      <tp t="s">
        <v>#N/A N/A</v>
        <stp/>
        <stp>BDP|13660930299177256641</stp>
        <tr r="A3306" s="2"/>
      </tp>
      <tp t="s">
        <v>#N/A N/A</v>
        <stp/>
        <stp>BDP|13856860686926280707</stp>
        <tr r="C3640" s="2"/>
      </tp>
      <tp t="s">
        <v>#N/A N/A</v>
        <stp/>
        <stp>BDP|13811231914334207671</stp>
        <tr r="F1555" s="2"/>
      </tp>
      <tp t="s">
        <v>#N/A N/A</v>
        <stp/>
        <stp>BDP|12181140730211718389</stp>
        <tr r="B959" s="2"/>
      </tp>
      <tp t="s">
        <v>#N/A N/A</v>
        <stp/>
        <stp>BDP|16690454901509930919</stp>
        <tr r="D11" s="2"/>
      </tp>
      <tp t="s">
        <v>#N/A N/A</v>
        <stp/>
        <stp>BDP|14523688981739369159</stp>
        <tr r="H366" s="2"/>
      </tp>
      <tp t="s">
        <v>#N/A N/A</v>
        <stp/>
        <stp>BDP|15729533401550707285</stp>
        <tr r="I3592" s="2"/>
      </tp>
      <tp t="s">
        <v>#N/A N/A</v>
        <stp/>
        <stp>BDP|14890349488288655586</stp>
        <tr r="A4089" s="2"/>
      </tp>
      <tp t="s">
        <v>#N/A N/A</v>
        <stp/>
        <stp>BDP|10818768452335787513</stp>
        <tr r="H903" s="2"/>
      </tp>
      <tp t="s">
        <v>#N/A N/A</v>
        <stp/>
        <stp>BDP|16901452204913487362</stp>
        <tr r="G1405" s="2"/>
      </tp>
      <tp t="s">
        <v>#N/A N/A</v>
        <stp/>
        <stp>BDP|13519375551654879314</stp>
        <tr r="F4540" s="2"/>
      </tp>
      <tp t="s">
        <v>#N/A N/A</v>
        <stp/>
        <stp>BDP|17916462070587325164</stp>
        <tr r="D4509" s="2"/>
      </tp>
      <tp t="s">
        <v>#N/A N/A</v>
        <stp/>
        <stp>BDP|18318446575120958913</stp>
        <tr r="A606" s="2"/>
      </tp>
      <tp t="s">
        <v>#N/A N/A</v>
        <stp/>
        <stp>BDP|16210043509075533101</stp>
        <tr r="C4111" s="2"/>
      </tp>
      <tp t="s">
        <v>#N/A N/A</v>
        <stp/>
        <stp>BDP|15387016841644967709</stp>
        <tr r="B411" s="2"/>
      </tp>
      <tp t="s">
        <v>#N/A N/A</v>
        <stp/>
        <stp>BDP|16697449819069637874</stp>
        <tr r="C2538" s="2"/>
      </tp>
      <tp t="s">
        <v>#N/A N/A</v>
        <stp/>
        <stp>BDP|13675355053564236383</stp>
        <tr r="H3031" s="2"/>
      </tp>
      <tp t="s">
        <v>#N/A N/A</v>
        <stp/>
        <stp>BDP|14766299376435583674</stp>
        <tr r="B1283" s="2"/>
      </tp>
      <tp t="s">
        <v>#N/A N/A</v>
        <stp/>
        <stp>BDP|13751032639565035776</stp>
        <tr r="G2256" s="2"/>
      </tp>
      <tp t="s">
        <v>#N/A N/A</v>
        <stp/>
        <stp>BDP|12197916421062212999</stp>
        <tr r="A1330" s="2"/>
      </tp>
      <tp t="s">
        <v>#N/A N/A</v>
        <stp/>
        <stp>BDP|16370445862920789684</stp>
        <tr r="H2059" s="2"/>
      </tp>
      <tp t="s">
        <v>#N/A N/A</v>
        <stp/>
        <stp>BDP|17715573403384836414</stp>
        <tr r="A4624" s="2"/>
      </tp>
      <tp t="s">
        <v>#N/A N/A</v>
        <stp/>
        <stp>BDP|14912581550951894736</stp>
        <tr r="F957" s="2"/>
      </tp>
      <tp t="s">
        <v>#N/A N/A</v>
        <stp/>
        <stp>BDP|12672110909257473607</stp>
        <tr r="D1390" s="2"/>
      </tp>
      <tp t="s">
        <v>#N/A N/A</v>
        <stp/>
        <stp>BDP|14003457172631448490</stp>
        <tr r="B2578" s="2"/>
      </tp>
      <tp t="s">
        <v>#N/A N/A</v>
        <stp/>
        <stp>BDP|11836047461424618114</stp>
        <tr r="H1140" s="2"/>
      </tp>
      <tp t="s">
        <v>#N/A N/A</v>
        <stp/>
        <stp>BDP|11939540257213531057</stp>
        <tr r="D3367" s="2"/>
      </tp>
      <tp t="s">
        <v>#N/A N/A</v>
        <stp/>
        <stp>BDP|11844174335128641960</stp>
        <tr r="D2496" s="2"/>
      </tp>
      <tp t="s">
        <v>#N/A N/A</v>
        <stp/>
        <stp>BDP|14205713578323950580</stp>
        <tr r="B1999" s="2"/>
      </tp>
      <tp t="s">
        <v>#N/A N/A</v>
        <stp/>
        <stp>BDP|10020536907856981170</stp>
        <tr r="D905" s="2"/>
      </tp>
      <tp t="s">
        <v>#N/A N/A</v>
        <stp/>
        <stp>BDP|10144124007294962770</stp>
        <tr r="H4252" s="2"/>
      </tp>
      <tp t="s">
        <v>#N/A N/A</v>
        <stp/>
        <stp>BDP|13651782077017609653</stp>
        <tr r="C4439" s="2"/>
      </tp>
      <tp t="s">
        <v>#N/A N/A</v>
        <stp/>
        <stp>BDP|12632742019200159602</stp>
        <tr r="I2394" s="2"/>
      </tp>
      <tp t="s">
        <v>#N/A N/A</v>
        <stp/>
        <stp>BDP|17505873026098747793</stp>
        <tr r="F4756" s="2"/>
      </tp>
      <tp t="s">
        <v>#N/A N/A</v>
        <stp/>
        <stp>BDP|12750535302111835446</stp>
        <tr r="I1762" s="2"/>
      </tp>
      <tp t="s">
        <v>#N/A N/A</v>
        <stp/>
        <stp>BDP|17828845200544479921</stp>
        <tr r="F1764" s="2"/>
      </tp>
      <tp t="s">
        <v>#N/A N/A</v>
        <stp/>
        <stp>BDP|18101258493073945248</stp>
        <tr r="H1067" s="2"/>
      </tp>
      <tp t="s">
        <v>#N/A N/A</v>
        <stp/>
        <stp>BDP|11824351312645452414</stp>
        <tr r="F2275" s="2"/>
      </tp>
      <tp t="s">
        <v>#N/A N/A</v>
        <stp/>
        <stp>BDP|15433569324844835445</stp>
        <tr r="B4079" s="2"/>
      </tp>
      <tp t="s">
        <v>#N/A N/A</v>
        <stp/>
        <stp>BDP|12816638063412195230</stp>
        <tr r="F1002" s="2"/>
      </tp>
      <tp t="s">
        <v>#N/A N/A</v>
        <stp/>
        <stp>BDP|13477547505493679797</stp>
        <tr r="D69" s="2"/>
      </tp>
      <tp t="s">
        <v>#N/A N/A</v>
        <stp/>
        <stp>BDP|18445036823189627185</stp>
        <tr r="C3727" s="2"/>
      </tp>
      <tp t="s">
        <v>#N/A N/A</v>
        <stp/>
        <stp>BDP|10347865359509891696</stp>
        <tr r="G4503" s="2"/>
      </tp>
      <tp t="s">
        <v>#N/A N/A</v>
        <stp/>
        <stp>BDP|15062273048968503977</stp>
        <tr r="C1630" s="2"/>
      </tp>
      <tp t="s">
        <v>#N/A N/A</v>
        <stp/>
        <stp>BDP|10730070029900021043</stp>
        <tr r="C1305" s="2"/>
      </tp>
      <tp t="s">
        <v>#N/A N/A</v>
        <stp/>
        <stp>BDP|16301896372443317868</stp>
        <tr r="F801" s="2"/>
      </tp>
      <tp t="s">
        <v>#N/A N/A</v>
        <stp/>
        <stp>BDP|15437216997088874479</stp>
        <tr r="A1629" s="2"/>
      </tp>
      <tp t="s">
        <v>#N/A N/A</v>
        <stp/>
        <stp>BDP|10949104826751592074</stp>
        <tr r="H3104" s="2"/>
      </tp>
      <tp t="s">
        <v>#N/A N/A</v>
        <stp/>
        <stp>BDP|13544682715805203374</stp>
        <tr r="H4700" s="2"/>
      </tp>
      <tp t="s">
        <v>#N/A N/A</v>
        <stp/>
        <stp>BDP|12299671808773039505</stp>
        <tr r="C4493" s="2"/>
      </tp>
      <tp t="s">
        <v>#N/A N/A</v>
        <stp/>
        <stp>BDP|17472135961062894032</stp>
        <tr r="I4876" s="2"/>
      </tp>
      <tp t="s">
        <v>#N/A N/A</v>
        <stp/>
        <stp>BDP|10381074144053460593</stp>
        <tr r="G4544" s="2"/>
      </tp>
      <tp t="s">
        <v>#N/A N/A</v>
        <stp/>
        <stp>BDP|17163756414961805250</stp>
        <tr r="F199" s="2"/>
      </tp>
      <tp t="s">
        <v>#N/A N/A</v>
        <stp/>
        <stp>BDP|16758597947327795231</stp>
        <tr r="H1523" s="2"/>
      </tp>
      <tp t="s">
        <v>#N/A N/A</v>
        <stp/>
        <stp>BDP|12313920255904900801</stp>
        <tr r="H827" s="2"/>
      </tp>
      <tp t="s">
        <v>#N/A N/A</v>
        <stp/>
        <stp>BDP|11470605098058986483</stp>
        <tr r="F3087" s="2"/>
      </tp>
      <tp t="s">
        <v>#N/A N/A</v>
        <stp/>
        <stp>BDP|14114465200626939439</stp>
        <tr r="I2318" s="2"/>
      </tp>
      <tp t="s">
        <v>#N/A N/A</v>
        <stp/>
        <stp>BDP|17159585479466485194</stp>
        <tr r="I4" s="2"/>
      </tp>
      <tp t="s">
        <v>#N/A N/A</v>
        <stp/>
        <stp>BDP|17173594925914451647</stp>
        <tr r="D684" s="2"/>
      </tp>
      <tp t="s">
        <v>#N/A N/A</v>
        <stp/>
        <stp>BDP|14006279128017093128</stp>
        <tr r="F2572" s="2"/>
      </tp>
      <tp t="s">
        <v>#N/A N/A</v>
        <stp/>
        <stp>BDP|14515628404404971472</stp>
        <tr r="A3399" s="2"/>
      </tp>
      <tp t="s">
        <v>#N/A N/A</v>
        <stp/>
        <stp>BDP|11597020479141605550</stp>
        <tr r="C1949" s="2"/>
      </tp>
      <tp t="s">
        <v>#N/A N/A</v>
        <stp/>
        <stp>BDP|17432418429096733567</stp>
        <tr r="F1022" s="2"/>
      </tp>
      <tp t="s">
        <v>#N/A N/A</v>
        <stp/>
        <stp>BDP|15699090873295502544</stp>
        <tr r="A4380" s="2"/>
      </tp>
      <tp t="s">
        <v>#N/A N/A</v>
        <stp/>
        <stp>BDP|15702419426479810853</stp>
        <tr r="A2877" s="2"/>
      </tp>
      <tp t="s">
        <v>#N/A N/A</v>
        <stp/>
        <stp>BDP|13775759938346638311</stp>
        <tr r="D4070" s="2"/>
      </tp>
      <tp t="s">
        <v>#N/A N/A</v>
        <stp/>
        <stp>BDP|13038311665751084593</stp>
        <tr r="G2410" s="2"/>
      </tp>
      <tp t="s">
        <v>#N/A N/A</v>
        <stp/>
        <stp>BDP|10931672537127388076</stp>
        <tr r="I790" s="2"/>
      </tp>
      <tp t="s">
        <v>#N/A N/A</v>
        <stp/>
        <stp>BDP|17682738951161869619</stp>
        <tr r="G768" s="2"/>
      </tp>
      <tp t="s">
        <v>#N/A N/A</v>
        <stp/>
        <stp>BDP|11402459786439361695</stp>
        <tr r="H901" s="2"/>
      </tp>
      <tp t="s">
        <v>#N/A N/A</v>
        <stp/>
        <stp>BDP|10776370113003986371</stp>
        <tr r="F1316" s="2"/>
      </tp>
      <tp t="s">
        <v>#N/A N/A</v>
        <stp/>
        <stp>BDP|11770080215121613319</stp>
        <tr r="G4890" s="2"/>
      </tp>
      <tp t="s">
        <v>#N/A N/A</v>
        <stp/>
        <stp>BDP|12105636222341591582</stp>
        <tr r="C1026" s="2"/>
      </tp>
      <tp t="s">
        <v>#N/A N/A</v>
        <stp/>
        <stp>BDP|13514077216854925401</stp>
        <tr r="I4399" s="2"/>
      </tp>
      <tp t="s">
        <v>#N/A N/A</v>
        <stp/>
        <stp>BDP|13461690771328905888</stp>
        <tr r="D911" s="2"/>
      </tp>
      <tp t="s">
        <v>#N/A N/A</v>
        <stp/>
        <stp>BDP|13471391003537083536</stp>
        <tr r="F3766" s="2"/>
      </tp>
      <tp t="s">
        <v>#N/A N/A</v>
        <stp/>
        <stp>BDP|15922604171107692133</stp>
        <tr r="A498" s="2"/>
      </tp>
      <tp t="s">
        <v>#N/A N/A</v>
        <stp/>
        <stp>BDP|17236528100327939747</stp>
        <tr r="A449" s="2"/>
      </tp>
      <tp t="s">
        <v>#N/A N/A</v>
        <stp/>
        <stp>BDP|11193792704881996586</stp>
        <tr r="D3569" s="2"/>
      </tp>
      <tp t="s">
        <v>#N/A N/A</v>
        <stp/>
        <stp>BDP|13232476239215981383</stp>
        <tr r="B2500" s="2"/>
      </tp>
      <tp t="s">
        <v>#N/A N/A</v>
        <stp/>
        <stp>BDP|14262368326197843078</stp>
        <tr r="I1662" s="2"/>
      </tp>
      <tp t="s">
        <v>#N/A N/A</v>
        <stp/>
        <stp>BDP|10779476589016048846</stp>
        <tr r="B4885" s="2"/>
      </tp>
      <tp t="s">
        <v>#N/A N/A</v>
        <stp/>
        <stp>BDP|12635840339379326251</stp>
        <tr r="D1821" s="2"/>
      </tp>
      <tp t="s">
        <v>#N/A N/A</v>
        <stp/>
        <stp>BDP|12059196075191499759</stp>
        <tr r="A315" s="2"/>
      </tp>
      <tp t="s">
        <v>#N/A N/A</v>
        <stp/>
        <stp>BDP|13941111421004461601</stp>
        <tr r="G1101" s="2"/>
      </tp>
      <tp t="s">
        <v>#N/A N/A</v>
        <stp/>
        <stp>BDP|12764543050455740597</stp>
        <tr r="I2705" s="2"/>
      </tp>
      <tp t="s">
        <v>#N/A N/A</v>
        <stp/>
        <stp>BDP|14435068477868865907</stp>
        <tr r="H4419" s="2"/>
      </tp>
      <tp t="s">
        <v>#N/A N/A</v>
        <stp/>
        <stp>BDP|17821955460053672962</stp>
        <tr r="A3175" s="2"/>
      </tp>
      <tp t="s">
        <v>#N/A N/A</v>
        <stp/>
        <stp>BDP|16527710915790517295</stp>
        <tr r="C857" s="2"/>
      </tp>
      <tp t="s">
        <v>#N/A N/A</v>
        <stp/>
        <stp>BDP|15229285446779059814</stp>
        <tr r="B3097" s="2"/>
      </tp>
      <tp t="s">
        <v>#N/A N/A</v>
        <stp/>
        <stp>BDP|15560479351987864160</stp>
        <tr r="B2335" s="2"/>
      </tp>
      <tp t="s">
        <v>#N/A N/A</v>
        <stp/>
        <stp>BDP|12552491220615409352</stp>
        <tr r="F4714" s="2"/>
      </tp>
      <tp t="s">
        <v>#N/A N/A</v>
        <stp/>
        <stp>BDP|14635396435205000377</stp>
        <tr r="D2758" s="2"/>
      </tp>
      <tp t="s">
        <v>#N/A N/A</v>
        <stp/>
        <stp>BDP|16938337902770349760</stp>
        <tr r="C3355" s="2"/>
      </tp>
      <tp t="s">
        <v>#N/A N/A</v>
        <stp/>
        <stp>BDP|15916844890972523459</stp>
        <tr r="B3272" s="2"/>
      </tp>
      <tp t="s">
        <v>#N/A N/A</v>
        <stp/>
        <stp>BDP|16239073538223724477</stp>
        <tr r="I1401" s="2"/>
      </tp>
      <tp t="s">
        <v>#N/A N/A</v>
        <stp/>
        <stp>BDP|13541605170374940411</stp>
        <tr r="F1344" s="2"/>
      </tp>
      <tp t="s">
        <v>#N/A N/A</v>
        <stp/>
        <stp>BDP|17676685330107744740</stp>
        <tr r="C295" s="2"/>
      </tp>
      <tp t="s">
        <v>#N/A N/A</v>
        <stp/>
        <stp>BDP|10584236031966232583</stp>
        <tr r="C3105" s="2"/>
      </tp>
      <tp t="s">
        <v>#N/A N/A</v>
        <stp/>
        <stp>BDP|13303415444016354787</stp>
        <tr r="A4302" s="2"/>
      </tp>
      <tp t="s">
        <v>#N/A N/A</v>
        <stp/>
        <stp>BDP|12660871834242128991</stp>
        <tr r="C1730" s="2"/>
      </tp>
      <tp t="s">
        <v>#N/A N/A</v>
        <stp/>
        <stp>BDP|17830211672468796819</stp>
        <tr r="F2626" s="2"/>
      </tp>
      <tp t="s">
        <v>#N/A N/A</v>
        <stp/>
        <stp>BDP|16007197003402276752</stp>
        <tr r="I3457" s="2"/>
      </tp>
      <tp t="s">
        <v>#N/A N/A</v>
        <stp/>
        <stp>BDP|12460161661746941172</stp>
        <tr r="B4488" s="2"/>
      </tp>
      <tp t="s">
        <v>#N/A N/A</v>
        <stp/>
        <stp>BDP|17470530554612636784</stp>
        <tr r="C1057" s="2"/>
      </tp>
      <tp t="s">
        <v>#N/A N/A</v>
        <stp/>
        <stp>BDP|15937249461971559243</stp>
        <tr r="C3583" s="2"/>
      </tp>
      <tp t="s">
        <v>#N/A N/A</v>
        <stp/>
        <stp>BDP|17264620908546434515</stp>
        <tr r="C4614" s="2"/>
      </tp>
      <tp t="s">
        <v>#N/A N/A</v>
        <stp/>
        <stp>BDP|14133160839760674456</stp>
        <tr r="I1737" s="2"/>
      </tp>
      <tp t="s">
        <v>#N/A N/A</v>
        <stp/>
        <stp>BDP|13503330048511409770</stp>
        <tr r="I4444" s="2"/>
      </tp>
      <tp t="s">
        <v>#N/A N/A</v>
        <stp/>
        <stp>BDP|10663951645057923820</stp>
        <tr r="C1147" s="2"/>
      </tp>
      <tp t="s">
        <v>#N/A N/A</v>
        <stp/>
        <stp>BDP|15768142040026786498</stp>
        <tr r="B3027" s="2"/>
      </tp>
      <tp t="s">
        <v>#N/A N/A</v>
        <stp/>
        <stp>BDP|13168703535250807513</stp>
        <tr r="H1082" s="2"/>
      </tp>
      <tp t="s">
        <v>#N/A N/A</v>
        <stp/>
        <stp>BDP|15400031824595798099</stp>
        <tr r="F3363" s="2"/>
      </tp>
      <tp t="s">
        <v>#N/A N/A</v>
        <stp/>
        <stp>BDP|17349441185001763887</stp>
        <tr r="H3409" s="2"/>
      </tp>
      <tp t="s">
        <v>#N/A N/A</v>
        <stp/>
        <stp>BDP|15000206771781525397</stp>
        <tr r="G2983" s="2"/>
      </tp>
      <tp t="s">
        <v>#N/A N/A</v>
        <stp/>
        <stp>BDP|11409016164584424185</stp>
        <tr r="G2157" s="2"/>
      </tp>
      <tp t="s">
        <v>#N/A N/A</v>
        <stp/>
        <stp>BDP|11709464404053959415</stp>
        <tr r="H1686" s="2"/>
      </tp>
      <tp t="s">
        <v>#N/A N/A</v>
        <stp/>
        <stp>BDP|18239574531758034488</stp>
        <tr r="B1255" s="2"/>
      </tp>
      <tp t="s">
        <v>#N/A N/A</v>
        <stp/>
        <stp>BDP|17189292056965719759</stp>
        <tr r="C1411" s="2"/>
      </tp>
      <tp t="s">
        <v>#N/A N/A</v>
        <stp/>
        <stp>BDP|15841448761531914483</stp>
        <tr r="F2800" s="2"/>
      </tp>
      <tp t="s">
        <v>#N/A N/A</v>
        <stp/>
        <stp>BDP|16584604691732880908</stp>
        <tr r="B984" s="2"/>
      </tp>
      <tp t="s">
        <v>#N/A N/A</v>
        <stp/>
        <stp>BDP|17300362658025797660</stp>
        <tr r="C2799" s="2"/>
      </tp>
      <tp t="s">
        <v>#N/A N/A</v>
        <stp/>
        <stp>BDP|12221305234732999233</stp>
        <tr r="H2695" s="2"/>
      </tp>
      <tp t="s">
        <v>#N/A N/A</v>
        <stp/>
        <stp>BDP|15105911851963923840</stp>
        <tr r="A450" s="2"/>
      </tp>
      <tp t="s">
        <v>#N/A N/A</v>
        <stp/>
        <stp>BDP|15227487759907625194</stp>
        <tr r="H3225" s="2"/>
      </tp>
      <tp t="s">
        <v>#N/A N/A</v>
        <stp/>
        <stp>BDP|15846264755651692115</stp>
        <tr r="D3757" s="2"/>
      </tp>
      <tp t="s">
        <v>#N/A N/A</v>
        <stp/>
        <stp>BDP|11868870705339444228</stp>
        <tr r="G2562" s="2"/>
      </tp>
      <tp t="s">
        <v>#N/A N/A</v>
        <stp/>
        <stp>BDP|13733267349735396273</stp>
        <tr r="B3178" s="2"/>
      </tp>
      <tp t="s">
        <v>#N/A N/A</v>
        <stp/>
        <stp>BDP|10187140327256819763</stp>
        <tr r="B4083" s="2"/>
      </tp>
      <tp t="s">
        <v>#N/A N/A</v>
        <stp/>
        <stp>BDP|12704389663662052702</stp>
        <tr r="H2631" s="2"/>
      </tp>
      <tp t="s">
        <v>#N/A N/A</v>
        <stp/>
        <stp>BDP|18011399372667449935</stp>
        <tr r="F2286" s="2"/>
      </tp>
      <tp t="s">
        <v>#N/A N/A</v>
        <stp/>
        <stp>BDP|10272611129371038769</stp>
        <tr r="C2746" s="2"/>
      </tp>
      <tp t="s">
        <v>#N/A N/A</v>
        <stp/>
        <stp>BDP|10925299649187240371</stp>
        <tr r="H768" s="2"/>
      </tp>
      <tp t="s">
        <v>#N/A N/A</v>
        <stp/>
        <stp>BDP|15892083869086637737</stp>
        <tr r="G2694" s="2"/>
      </tp>
      <tp t="s">
        <v>#N/A N/A</v>
        <stp/>
        <stp>BDP|14806204740854358474</stp>
        <tr r="G2092" s="2"/>
      </tp>
      <tp t="s">
        <v>#N/A N/A</v>
        <stp/>
        <stp>BDP|12063209993772605995</stp>
        <tr r="F4399" s="2"/>
      </tp>
      <tp t="s">
        <v>#N/A N/A</v>
        <stp/>
        <stp>BDP|11198987651187303872</stp>
        <tr r="D2912" s="2"/>
      </tp>
      <tp t="s">
        <v>#N/A N/A</v>
        <stp/>
        <stp>BDP|11163956074348899546</stp>
        <tr r="D504" s="2"/>
      </tp>
      <tp t="s">
        <v>#N/A N/A</v>
        <stp/>
        <stp>BDP|14337523442362871578</stp>
        <tr r="A3283" s="2"/>
      </tp>
      <tp t="s">
        <v>#N/A N/A</v>
        <stp/>
        <stp>BDP|15801033409395888264</stp>
        <tr r="D951" s="2"/>
      </tp>
      <tp t="s">
        <v>#N/A N/A</v>
        <stp/>
        <stp>BDP|10641505449544507768</stp>
        <tr r="C4702" s="2"/>
      </tp>
      <tp t="s">
        <v>#N/A N/A</v>
        <stp/>
        <stp>BDP|14330148823784056185</stp>
        <tr r="A1307" s="2"/>
      </tp>
      <tp t="s">
        <v>#N/A N/A</v>
        <stp/>
        <stp>BDP|14968330619707667394</stp>
        <tr r="G1879" s="2"/>
      </tp>
      <tp t="s">
        <v>#N/A N/A</v>
        <stp/>
        <stp>BDP|12424533428556745143</stp>
        <tr r="G2322" s="2"/>
      </tp>
      <tp t="s">
        <v>#N/A N/A</v>
        <stp/>
        <stp>BDP|15162445530300808012</stp>
        <tr r="G2866" s="2"/>
      </tp>
      <tp t="s">
        <v>#N/A N/A</v>
        <stp/>
        <stp>BDP|16217144459394734447</stp>
        <tr r="F3955" s="2"/>
      </tp>
      <tp t="s">
        <v>#N/A N/A</v>
        <stp/>
        <stp>BDP|12567365264544345180</stp>
        <tr r="G333" s="2"/>
      </tp>
      <tp t="s">
        <v>#N/A N/A</v>
        <stp/>
        <stp>BDP|14312377629595719260</stp>
        <tr r="A881" s="2"/>
      </tp>
      <tp t="s">
        <v>#N/A N/A</v>
        <stp/>
        <stp>BDP|15094046260802901315</stp>
        <tr r="F3036" s="2"/>
      </tp>
      <tp t="s">
        <v>#N/A N/A</v>
        <stp/>
        <stp>BDP|16368198900383454629</stp>
        <tr r="I3370" s="2"/>
      </tp>
      <tp t="s">
        <v>#N/A N/A</v>
        <stp/>
        <stp>BDP|10920704772052546023</stp>
        <tr r="C1149" s="2"/>
      </tp>
      <tp t="s">
        <v>#N/A N/A</v>
        <stp/>
        <stp>BDP|17775635363251267497</stp>
        <tr r="F4962" s="2"/>
      </tp>
      <tp t="s">
        <v>#N/A N/A</v>
        <stp/>
        <stp>BDP|13333680423753305675</stp>
        <tr r="G4948" s="2"/>
      </tp>
      <tp t="s">
        <v>#N/A N/A</v>
        <stp/>
        <stp>BDP|15845272635435676304</stp>
        <tr r="A1421" s="2"/>
      </tp>
      <tp t="s">
        <v>#N/A N/A</v>
        <stp/>
        <stp>BDP|17866306092498559730</stp>
        <tr r="H895" s="2"/>
      </tp>
      <tp t="s">
        <v>#N/A N/A</v>
        <stp/>
        <stp>BDP|11261141538002677340</stp>
        <tr r="G4992" s="2"/>
      </tp>
      <tp t="s">
        <v>#N/A N/A</v>
        <stp/>
        <stp>BDP|14830403593363101863</stp>
        <tr r="D1272" s="2"/>
      </tp>
      <tp t="s">
        <v>#N/A N/A</v>
        <stp/>
        <stp>BDP|11031054587163928873</stp>
        <tr r="I541" s="2"/>
      </tp>
      <tp t="s">
        <v>#N/A N/A</v>
        <stp/>
        <stp>BDP|10457814658279803694</stp>
        <tr r="F1467" s="2"/>
      </tp>
      <tp t="s">
        <v>#N/A N/A</v>
        <stp/>
        <stp>BDP|10581636049566393605</stp>
        <tr r="B3546" s="2"/>
      </tp>
      <tp t="s">
        <v>#N/A N/A</v>
        <stp/>
        <stp>BDP|14488674434615249699</stp>
        <tr r="G2007" s="2"/>
      </tp>
      <tp t="s">
        <v>#N/A N/A</v>
        <stp/>
        <stp>BDP|16487544203023926269</stp>
        <tr r="H670" s="2"/>
      </tp>
      <tp t="s">
        <v>#N/A N/A</v>
        <stp/>
        <stp>BDP|16134846038467721864</stp>
        <tr r="C3101" s="2"/>
      </tp>
      <tp t="s">
        <v>#N/A N/A</v>
        <stp/>
        <stp>BDP|14041207308406440204</stp>
        <tr r="I3617" s="2"/>
      </tp>
      <tp t="s">
        <v>#N/A N/A</v>
        <stp/>
        <stp>BDP|14128013069266701625</stp>
        <tr r="C3715" s="2"/>
      </tp>
      <tp t="s">
        <v>#N/A N/A</v>
        <stp/>
        <stp>BDP|13610701409136142023</stp>
        <tr r="I1382" s="2"/>
      </tp>
      <tp t="s">
        <v>#N/A N/A</v>
        <stp/>
        <stp>BDP|16957632247826501049</stp>
        <tr r="F4544" s="2"/>
      </tp>
      <tp t="s">
        <v>#N/A N/A</v>
        <stp/>
        <stp>BDP|15349912048719359352</stp>
        <tr r="B1735" s="2"/>
      </tp>
      <tp t="s">
        <v>#N/A N/A</v>
        <stp/>
        <stp>BDP|13476071910954980462</stp>
        <tr r="A1266" s="2"/>
      </tp>
      <tp t="s">
        <v>#N/A N/A</v>
        <stp/>
        <stp>BDP|17364262127955905078</stp>
        <tr r="C50" s="2"/>
      </tp>
      <tp t="s">
        <v>#N/A N/A</v>
        <stp/>
        <stp>BDP|12911814876458168732</stp>
        <tr r="I2453" s="2"/>
      </tp>
      <tp t="s">
        <v>#N/A N/A</v>
        <stp/>
        <stp>BDP|13061043349866590341</stp>
        <tr r="H4271" s="2"/>
      </tp>
      <tp t="s">
        <v>#N/A N/A</v>
        <stp/>
        <stp>BDP|13436431506843580687</stp>
        <tr r="B1512" s="2"/>
      </tp>
      <tp t="s">
        <v>#N/A N/A</v>
        <stp/>
        <stp>BDP|10829033710987180465</stp>
        <tr r="A165" s="2"/>
      </tp>
      <tp t="s">
        <v>#N/A N/A</v>
        <stp/>
        <stp>BDP|12374484001747651304</stp>
        <tr r="B2293" s="2"/>
      </tp>
      <tp t="s">
        <v>#N/A N/A</v>
        <stp/>
        <stp>BDP|13767701351170302393</stp>
        <tr r="H4999" s="2"/>
      </tp>
      <tp t="s">
        <v>#N/A N/A</v>
        <stp/>
        <stp>BDP|12426513468981785264</stp>
        <tr r="A1341" s="2"/>
      </tp>
      <tp t="s">
        <v>#N/A N/A</v>
        <stp/>
        <stp>BDP|16593768324288246993</stp>
        <tr r="D3303" s="2"/>
      </tp>
      <tp t="s">
        <v>#N/A N/A</v>
        <stp/>
        <stp>BDP|13835432859312934275</stp>
        <tr r="A3513" s="2"/>
      </tp>
      <tp t="s">
        <v>#N/A N/A</v>
        <stp/>
        <stp>BDP|10219783448610909170</stp>
        <tr r="I4021" s="2"/>
      </tp>
      <tp t="s">
        <v>#N/A N/A</v>
        <stp/>
        <stp>BDP|13137827398465465532</stp>
        <tr r="A3054" s="2"/>
      </tp>
      <tp t="s">
        <v>#N/A N/A</v>
        <stp/>
        <stp>BDP|10169677148192157231</stp>
        <tr r="B1886" s="2"/>
      </tp>
      <tp t="s">
        <v>#N/A N/A</v>
        <stp/>
        <stp>BDP|16642063425755152381</stp>
        <tr r="I3380" s="2"/>
      </tp>
      <tp t="s">
        <v>#N/A N/A</v>
        <stp/>
        <stp>BDP|18014050142036925827</stp>
        <tr r="I1319" s="2"/>
      </tp>
      <tp t="s">
        <v>#N/A N/A</v>
        <stp/>
        <stp>BDP|14808228538734932347</stp>
        <tr r="F761" s="2"/>
      </tp>
      <tp t="s">
        <v>#N/A N/A</v>
        <stp/>
        <stp>BDP|14492790461812699553</stp>
        <tr r="D1447" s="2"/>
      </tp>
      <tp t="s">
        <v>#N/A N/A</v>
        <stp/>
        <stp>BDP|15462624378592246438</stp>
        <tr r="D35" s="2"/>
      </tp>
      <tp t="s">
        <v>#N/A N/A</v>
        <stp/>
        <stp>BDP|17969667296938266245</stp>
        <tr r="D4103" s="2"/>
      </tp>
      <tp t="s">
        <v>#N/A N/A</v>
        <stp/>
        <stp>BDP|10380141897163718982</stp>
        <tr r="C309" s="2"/>
      </tp>
      <tp t="s">
        <v>#N/A N/A</v>
        <stp/>
        <stp>BDP|11584756184265902927</stp>
        <tr r="H1358" s="2"/>
      </tp>
      <tp t="s">
        <v>#N/A N/A</v>
        <stp/>
        <stp>BDP|13390914786512827231</stp>
        <tr r="D3704" s="2"/>
      </tp>
      <tp t="s">
        <v>#N/A N/A</v>
        <stp/>
        <stp>BDP|14974371661105042608</stp>
        <tr r="F1182" s="2"/>
      </tp>
      <tp t="s">
        <v>#N/A N/A</v>
        <stp/>
        <stp>BDP|14212048028327073316</stp>
        <tr r="F663" s="2"/>
      </tp>
      <tp t="s">
        <v>#N/A N/A</v>
        <stp/>
        <stp>BDP|12807827782951000174</stp>
        <tr r="I3892" s="2"/>
      </tp>
      <tp t="s">
        <v>#N/A N/A</v>
        <stp/>
        <stp>BDP|17371979062042942800</stp>
        <tr r="C4963" s="2"/>
      </tp>
      <tp t="s">
        <v>#N/A N/A</v>
        <stp/>
        <stp>BDP|13953134622811525321</stp>
        <tr r="C183" s="2"/>
      </tp>
      <tp t="s">
        <v>#N/A N/A</v>
        <stp/>
        <stp>BDP|11656522711740897720</stp>
        <tr r="D3831" s="2"/>
      </tp>
      <tp t="s">
        <v>#N/A N/A</v>
        <stp/>
        <stp>BDP|11285371707089911940</stp>
        <tr r="A1347" s="2"/>
      </tp>
      <tp t="s">
        <v>#N/A N/A</v>
        <stp/>
        <stp>BDP|11597519145644988676</stp>
        <tr r="H4492" s="2"/>
      </tp>
      <tp t="s">
        <v>#N/A N/A</v>
        <stp/>
        <stp>BDP|11987312840634308044</stp>
        <tr r="C915" s="2"/>
      </tp>
      <tp t="s">
        <v>#N/A N/A</v>
        <stp/>
        <stp>BDP|16728495820714716669</stp>
        <tr r="F1863" s="2"/>
      </tp>
      <tp t="s">
        <v>#N/A N/A</v>
        <stp/>
        <stp>BDP|18007826758532335568</stp>
        <tr r="I1672" s="2"/>
      </tp>
      <tp t="s">
        <v>#N/A N/A</v>
        <stp/>
        <stp>BDP|11596409328536287305</stp>
        <tr r="I2170" s="2"/>
      </tp>
      <tp t="s">
        <v>#N/A N/A</v>
        <stp/>
        <stp>BDP|15137637682289615098</stp>
        <tr r="D1684" s="2"/>
      </tp>
      <tp t="s">
        <v>#N/A N/A</v>
        <stp/>
        <stp>BDP|14937676869670193695</stp>
        <tr r="B839" s="2"/>
      </tp>
      <tp t="s">
        <v>#N/A N/A</v>
        <stp/>
        <stp>BDP|15087691991600114861</stp>
        <tr r="C1798" s="2"/>
      </tp>
      <tp t="s">
        <v>#N/A N/A</v>
        <stp/>
        <stp>BDP|17114240121763896630</stp>
        <tr r="A2752" s="2"/>
      </tp>
      <tp t="s">
        <v>#N/A N/A</v>
        <stp/>
        <stp>BDP|11182372259262277720</stp>
        <tr r="B1687" s="2"/>
      </tp>
      <tp t="s">
        <v>#N/A N/A</v>
        <stp/>
        <stp>BDP|16819024372816576524</stp>
        <tr r="A2758" s="2"/>
      </tp>
      <tp t="s">
        <v>#N/A N/A</v>
        <stp/>
        <stp>BDP|17831025562414256759</stp>
        <tr r="A2287" s="2"/>
      </tp>
      <tp t="s">
        <v>#N/A N/A</v>
        <stp/>
        <stp>BDP|10313293409024861449</stp>
        <tr r="C388" s="2"/>
      </tp>
      <tp t="s">
        <v>#N/A N/A</v>
        <stp/>
        <stp>BDP|12725005209939652976</stp>
        <tr r="A4891" s="2"/>
      </tp>
      <tp t="s">
        <v>#N/A N/A</v>
        <stp/>
        <stp>BDP|15275270335202810479</stp>
        <tr r="I4637" s="2"/>
      </tp>
      <tp t="s">
        <v>#N/A N/A</v>
        <stp/>
        <stp>BDP|13929042164782421528</stp>
        <tr r="D2810" s="2"/>
      </tp>
      <tp t="s">
        <v>#N/A N/A</v>
        <stp/>
        <stp>BDP|12106786844642188135</stp>
        <tr r="B4503" s="2"/>
      </tp>
      <tp t="s">
        <v>#N/A N/A</v>
        <stp/>
        <stp>BDP|14162890176028833198</stp>
        <tr r="F690" s="2"/>
      </tp>
      <tp t="s">
        <v>#N/A N/A</v>
        <stp/>
        <stp>BDP|16251647676913631694</stp>
        <tr r="H87" s="2"/>
      </tp>
      <tp t="s">
        <v>#N/A N/A</v>
        <stp/>
        <stp>BDP|18094839950437906057</stp>
        <tr r="G3118" s="2"/>
      </tp>
      <tp t="s">
        <v>#N/A N/A</v>
        <stp/>
        <stp>BDP|13799455587049393496</stp>
        <tr r="H4032" s="2"/>
      </tp>
      <tp t="s">
        <v>#N/A N/A</v>
        <stp/>
        <stp>BDP|14391218548590577000</stp>
        <tr r="B2027" s="2"/>
      </tp>
      <tp t="s">
        <v>#N/A N/A</v>
        <stp/>
        <stp>BDP|14464423047293819565</stp>
        <tr r="G3829" s="2"/>
      </tp>
      <tp t="s">
        <v>#N/A N/A</v>
        <stp/>
        <stp>BDP|12514071269191049746</stp>
        <tr r="H2721" s="2"/>
      </tp>
      <tp t="s">
        <v>#N/A N/A</v>
        <stp/>
        <stp>BDP|13340388115233943089</stp>
        <tr r="I130" s="2"/>
      </tp>
      <tp t="s">
        <v>#N/A N/A</v>
        <stp/>
        <stp>BDP|12613444128161444713</stp>
        <tr r="B3977" s="2"/>
      </tp>
      <tp t="s">
        <v>#N/A N/A</v>
        <stp/>
        <stp>BDP|11636656051522458297</stp>
        <tr r="F58" s="2"/>
      </tp>
      <tp t="s">
        <v>#N/A N/A</v>
        <stp/>
        <stp>BDP|10972026755123859497</stp>
        <tr r="F4600" s="2"/>
      </tp>
      <tp t="s">
        <v>#N/A N/A</v>
        <stp/>
        <stp>BDP|12122687512566338171</stp>
        <tr r="I3794" s="2"/>
      </tp>
      <tp t="s">
        <v>#N/A N/A</v>
        <stp/>
        <stp>BDP|10837559574630579039</stp>
        <tr r="B324" s="2"/>
      </tp>
      <tp t="s">
        <v>#N/A N/A</v>
        <stp/>
        <stp>BDP|13411285023158900997</stp>
        <tr r="H1320" s="2"/>
      </tp>
      <tp t="s">
        <v>#N/A N/A</v>
        <stp/>
        <stp>BDP|13827300606056924482</stp>
        <tr r="G4061" s="2"/>
      </tp>
      <tp t="s">
        <v>#N/A N/A</v>
        <stp/>
        <stp>BDP|13135286753594468214</stp>
        <tr r="A4200" s="2"/>
      </tp>
      <tp t="s">
        <v>#N/A N/A</v>
        <stp/>
        <stp>BDP|15559876068408041152</stp>
        <tr r="H2066" s="2"/>
      </tp>
      <tp t="s">
        <v>#N/A N/A</v>
        <stp/>
        <stp>BDP|14776892577581301851</stp>
        <tr r="H4660" s="2"/>
      </tp>
      <tp t="s">
        <v>#N/A N/A</v>
        <stp/>
        <stp>BDP|14797543211866873454</stp>
        <tr r="C4825" s="2"/>
      </tp>
      <tp t="s">
        <v>#N/A N/A</v>
        <stp/>
        <stp>BDP|15699310919796489357</stp>
        <tr r="D4884" s="2"/>
      </tp>
      <tp t="s">
        <v>#N/A N/A</v>
        <stp/>
        <stp>BDP|17620081344954289572</stp>
        <tr r="B243" s="2"/>
      </tp>
      <tp t="s">
        <v>#N/A N/A</v>
        <stp/>
        <stp>BDP|14915043590096717953</stp>
        <tr r="G834" s="2"/>
      </tp>
      <tp t="s">
        <v>#N/A N/A</v>
        <stp/>
        <stp>BDP|16899472357816152366</stp>
        <tr r="C524" s="2"/>
      </tp>
      <tp t="s">
        <v>#N/A N/A</v>
        <stp/>
        <stp>BDP|10075625964132124081</stp>
        <tr r="A4905" s="2"/>
      </tp>
      <tp t="s">
        <v>#N/A N/A</v>
        <stp/>
        <stp>BDP|16920757737298114856</stp>
        <tr r="D1863" s="2"/>
      </tp>
      <tp t="s">
        <v>#N/A N/A</v>
        <stp/>
        <stp>BDP|14130526629593002257</stp>
        <tr r="G2533" s="2"/>
      </tp>
      <tp t="s">
        <v>#N/A N/A</v>
        <stp/>
        <stp>BDP|18258336359279519527</stp>
        <tr r="F2114" s="2"/>
      </tp>
      <tp t="s">
        <v>#N/A N/A</v>
        <stp/>
        <stp>BDP|17357260223861933409</stp>
        <tr r="C1926" s="2"/>
      </tp>
      <tp t="s">
        <v>#N/A N/A</v>
        <stp/>
        <stp>BDP|10696416439170896590</stp>
        <tr r="C4690" s="2"/>
      </tp>
      <tp t="s">
        <v>#N/A N/A</v>
        <stp/>
        <stp>BDP|11947379584841315963</stp>
        <tr r="F49" s="2"/>
      </tp>
      <tp t="s">
        <v>#N/A N/A</v>
        <stp/>
        <stp>BDP|15177381117180541545</stp>
        <tr r="I3479" s="2"/>
      </tp>
      <tp t="s">
        <v>#N/A N/A</v>
        <stp/>
        <stp>BDP|16597000208126693247</stp>
        <tr r="A3780" s="2"/>
      </tp>
      <tp t="s">
        <v>#N/A N/A</v>
        <stp/>
        <stp>BDP|16604909006219996464</stp>
        <tr r="F3608" s="2"/>
      </tp>
      <tp t="s">
        <v>#N/A N/A</v>
        <stp/>
        <stp>BDP|16537327646047698488</stp>
        <tr r="C4408" s="2"/>
      </tp>
      <tp t="s">
        <v>#N/A N/A</v>
        <stp/>
        <stp>BDP|17589195652910443155</stp>
        <tr r="C368" s="2"/>
      </tp>
      <tp t="s">
        <v>#N/A N/A</v>
        <stp/>
        <stp>BDP|17133070319887577359</stp>
        <tr r="A4866" s="2"/>
      </tp>
      <tp t="s">
        <v>#N/A N/A</v>
        <stp/>
        <stp>BDP|12976093112882911348</stp>
        <tr r="C3375" s="2"/>
      </tp>
      <tp t="s">
        <v>#N/A N/A</v>
        <stp/>
        <stp>BDP|14425424862061812532</stp>
        <tr r="A4646" s="2"/>
      </tp>
      <tp t="s">
        <v>#N/A N/A</v>
        <stp/>
        <stp>BDP|17367267879178453870</stp>
        <tr r="D4232" s="2"/>
      </tp>
      <tp t="s">
        <v>#N/A N/A</v>
        <stp/>
        <stp>BDP|18209625353091419881</stp>
        <tr r="C2139" s="2"/>
      </tp>
      <tp t="s">
        <v>#N/A N/A</v>
        <stp/>
        <stp>BDP|15188660338145388734</stp>
        <tr r="I4893" s="2"/>
      </tp>
      <tp t="s">
        <v>#N/A N/A</v>
        <stp/>
        <stp>BDP|17010894889202878775</stp>
        <tr r="D1157" s="2"/>
      </tp>
      <tp t="s">
        <v>#N/A N/A</v>
        <stp/>
        <stp>BDP|11168786213353523605</stp>
        <tr r="C4555" s="2"/>
      </tp>
      <tp t="s">
        <v>#N/A N/A</v>
        <stp/>
        <stp>BDP|13934473870301856392</stp>
        <tr r="D4607" s="2"/>
      </tp>
      <tp t="s">
        <v>#N/A N/A</v>
        <stp/>
        <stp>BDP|16893793711830912267</stp>
        <tr r="A3714" s="2"/>
      </tp>
      <tp t="s">
        <v>#N/A N/A</v>
        <stp/>
        <stp>BDP|17829977626836619808</stp>
        <tr r="B3317" s="2"/>
      </tp>
      <tp t="s">
        <v>#N/A N/A</v>
        <stp/>
        <stp>BDP|12722707665445834456</stp>
        <tr r="D1487" s="2"/>
      </tp>
      <tp t="s">
        <v>#N/A N/A</v>
        <stp/>
        <stp>BDP|16702954791375524191</stp>
        <tr r="D3499" s="2"/>
      </tp>
      <tp t="s">
        <v>#N/A N/A</v>
        <stp/>
        <stp>BDP|12914124556542336617</stp>
        <tr r="G3664" s="2"/>
      </tp>
      <tp t="s">
        <v>#N/A N/A</v>
        <stp/>
        <stp>BDP|14142616753132488790</stp>
        <tr r="D1211" s="2"/>
      </tp>
      <tp t="s">
        <v>#N/A N/A</v>
        <stp/>
        <stp>BDP|12129442137766957159</stp>
        <tr r="G3944" s="2"/>
      </tp>
      <tp t="s">
        <v>#N/A N/A</v>
        <stp/>
        <stp>BDP|11695384787749011170</stp>
        <tr r="I1724" s="2"/>
      </tp>
      <tp t="s">
        <v>#N/A N/A</v>
        <stp/>
        <stp>BDP|11780754248714704430</stp>
        <tr r="A4732" s="2"/>
      </tp>
      <tp t="s">
        <v>#N/A N/A</v>
        <stp/>
        <stp>BDP|14253937986952168586</stp>
        <tr r="I4674" s="2"/>
      </tp>
      <tp t="s">
        <v>#N/A N/A</v>
        <stp/>
        <stp>BDP|13609393073992773756</stp>
        <tr r="B4528" s="2"/>
      </tp>
      <tp t="s">
        <v>#N/A N/A</v>
        <stp/>
        <stp>BDP|16075142152288080885</stp>
        <tr r="H4358" s="2"/>
      </tp>
      <tp t="s">
        <v>#N/A N/A</v>
        <stp/>
        <stp>BDP|13985413927420530746</stp>
        <tr r="D2858" s="2"/>
      </tp>
      <tp t="s">
        <v>#N/A N/A</v>
        <stp/>
        <stp>BDP|12444201102690185291</stp>
        <tr r="H3595" s="2"/>
      </tp>
      <tp t="s">
        <v>#N/A N/A</v>
        <stp/>
        <stp>BDP|18001387612379768138</stp>
        <tr r="F2968" s="2"/>
      </tp>
      <tp t="s">
        <v>#N/A N/A</v>
        <stp/>
        <stp>BDP|10668276491231914879</stp>
        <tr r="B2864" s="2"/>
      </tp>
      <tp t="s">
        <v>#N/A N/A</v>
        <stp/>
        <stp>BDP|11097156637939595895</stp>
        <tr r="B2569" s="2"/>
      </tp>
      <tp t="s">
        <v>#N/A N/A</v>
        <stp/>
        <stp>BDP|15440104594309913678</stp>
        <tr r="H3433" s="2"/>
      </tp>
      <tp t="s">
        <v>#N/A N/A</v>
        <stp/>
        <stp>BDP|10791308076070834678</stp>
        <tr r="C4231" s="2"/>
      </tp>
      <tp t="s">
        <v>#N/A N/A</v>
        <stp/>
        <stp>BDP|15175258908706101331</stp>
        <tr r="H1169" s="2"/>
      </tp>
      <tp t="s">
        <v>#N/A N/A</v>
        <stp/>
        <stp>BDP|15581810928208677544</stp>
        <tr r="B499" s="2"/>
      </tp>
      <tp t="s">
        <v>#N/A N/A</v>
        <stp/>
        <stp>BDP|11232256754722892652</stp>
        <tr r="B1226" s="2"/>
      </tp>
      <tp t="s">
        <v>#N/A N/A</v>
        <stp/>
        <stp>BDP|16657583716243380355</stp>
        <tr r="B3505" s="2"/>
      </tp>
      <tp t="s">
        <v>#N/A N/A</v>
        <stp/>
        <stp>BDP|15530025058500287232</stp>
        <tr r="A233" s="2"/>
      </tp>
      <tp t="s">
        <v>#N/A N/A</v>
        <stp/>
        <stp>BDP|17282693153612605404</stp>
        <tr r="A3883" s="2"/>
      </tp>
      <tp t="s">
        <v>#N/A N/A</v>
        <stp/>
        <stp>BDP|11169330811606411798</stp>
        <tr r="G2749" s="2"/>
      </tp>
      <tp t="s">
        <v>#N/A N/A</v>
        <stp/>
        <stp>BDP|17558461252911649590</stp>
        <tr r="C2490" s="2"/>
      </tp>
      <tp t="s">
        <v>#N/A N/A</v>
        <stp/>
        <stp>BDP|10926652160164488661</stp>
        <tr r="B115" s="2"/>
      </tp>
      <tp t="s">
        <v>#N/A N/A</v>
        <stp/>
        <stp>BDP|12709787442950703346</stp>
        <tr r="B3550" s="2"/>
      </tp>
      <tp t="s">
        <v>#N/A N/A</v>
        <stp/>
        <stp>BDP|10796834345018830676</stp>
        <tr r="H3729" s="2"/>
      </tp>
      <tp t="s">
        <v>#N/A N/A</v>
        <stp/>
        <stp>BDP|10245404355937193488</stp>
        <tr r="D669" s="2"/>
      </tp>
      <tp t="s">
        <v>#N/A N/A</v>
        <stp/>
        <stp>BDP|17570016107962969741</stp>
        <tr r="C929" s="2"/>
      </tp>
      <tp t="s">
        <v>#N/A N/A</v>
        <stp/>
        <stp>BDP|12510638579227173603</stp>
        <tr r="B3351" s="2"/>
      </tp>
      <tp t="s">
        <v>#N/A N/A</v>
        <stp/>
        <stp>BDP|15344705361442534499</stp>
        <tr r="D771" s="2"/>
      </tp>
      <tp t="s">
        <v>#N/A N/A</v>
        <stp/>
        <stp>BDP|18088491468481764984</stp>
        <tr r="D2011" s="2"/>
      </tp>
      <tp t="s">
        <v>#N/A N/A</v>
        <stp/>
        <stp>BDP|16737405580649195186</stp>
        <tr r="D2519" s="2"/>
      </tp>
      <tp t="s">
        <v>#N/A N/A</v>
        <stp/>
        <stp>BDP|12572009814600656193</stp>
        <tr r="A2145" s="2"/>
      </tp>
      <tp t="s">
        <v>#N/A N/A</v>
        <stp/>
        <stp>BDP|16481227810025024283</stp>
        <tr r="H4109" s="2"/>
      </tp>
      <tp t="s">
        <v>#N/A N/A</v>
        <stp/>
        <stp>BDP|18239124188823593038</stp>
        <tr r="D4702" s="2"/>
      </tp>
      <tp t="s">
        <v>#N/A N/A</v>
        <stp/>
        <stp>BDP|15394976588002064427</stp>
        <tr r="F3969" s="2"/>
      </tp>
      <tp t="s">
        <v>#N/A N/A</v>
        <stp/>
        <stp>BDP|17989638977587199322</stp>
        <tr r="F3012" s="2"/>
      </tp>
      <tp t="s">
        <v>#N/A N/A</v>
        <stp/>
        <stp>BDP|10755358126120876325</stp>
        <tr r="G4330" s="2"/>
      </tp>
      <tp t="s">
        <v>#N/A N/A</v>
        <stp/>
        <stp>BDP|10581198231678507868</stp>
        <tr r="G3086" s="2"/>
      </tp>
      <tp t="s">
        <v>#N/A N/A</v>
        <stp/>
        <stp>BDP|15783903223339240582</stp>
        <tr r="D3913" s="2"/>
      </tp>
      <tp t="s">
        <v>#N/A N/A</v>
        <stp/>
        <stp>BDP|13883708507912848490</stp>
        <tr r="C732" s="2"/>
      </tp>
      <tp t="s">
        <v>#N/A N/A</v>
        <stp/>
        <stp>BDP|14850134510156689035</stp>
        <tr r="G1742" s="2"/>
      </tp>
      <tp t="s">
        <v>#N/A N/A</v>
        <stp/>
        <stp>BDP|11094800134340205887</stp>
        <tr r="B1585" s="2"/>
      </tp>
      <tp t="s">
        <v>#N/A N/A</v>
        <stp/>
        <stp>BDP|15140006779022783217</stp>
        <tr r="D4242" s="2"/>
      </tp>
      <tp t="s">
        <v>#N/A N/A</v>
        <stp/>
        <stp>BDP|10515851269444182861</stp>
        <tr r="H3375" s="2"/>
      </tp>
      <tp t="s">
        <v>#N/A N/A</v>
        <stp/>
        <stp>BDP|14623894666979302142</stp>
        <tr r="G662" s="2"/>
      </tp>
      <tp t="s">
        <v>#N/A N/A</v>
        <stp/>
        <stp>BDP|10370689357029565874</stp>
        <tr r="C3823" s="2"/>
      </tp>
      <tp t="s">
        <v>#N/A N/A</v>
        <stp/>
        <stp>BDP|15946046681719315618</stp>
        <tr r="F359" s="2"/>
      </tp>
      <tp t="s">
        <v>#N/A N/A</v>
        <stp/>
        <stp>BDP|17922223240320175349</stp>
        <tr r="F4233" s="2"/>
      </tp>
      <tp t="s">
        <v>#N/A N/A</v>
        <stp/>
        <stp>BDP|12680070355771366495</stp>
        <tr r="C342" s="2"/>
      </tp>
      <tp t="s">
        <v>#N/A N/A</v>
        <stp/>
        <stp>BDP|11200446802720256787</stp>
        <tr r="F2943" s="2"/>
      </tp>
      <tp t="s">
        <v>#N/A N/A</v>
        <stp/>
        <stp>BDP|12354404858741334066</stp>
        <tr r="A3805" s="2"/>
      </tp>
      <tp t="s">
        <v>#N/A N/A</v>
        <stp/>
        <stp>BDP|13101518169623687115</stp>
        <tr r="H3146" s="2"/>
      </tp>
      <tp t="s">
        <v>#N/A N/A</v>
        <stp/>
        <stp>BDP|12735087752562222710</stp>
        <tr r="I2842" s="2"/>
      </tp>
      <tp t="s">
        <v>#N/A N/A</v>
        <stp/>
        <stp>BDP|14216486484719075304</stp>
        <tr r="G1722" s="2"/>
      </tp>
      <tp t="s">
        <v>#N/A N/A</v>
        <stp/>
        <stp>BDP|13892246173910830496</stp>
        <tr r="I2620" s="2"/>
      </tp>
      <tp t="s">
        <v>#N/A N/A</v>
        <stp/>
        <stp>BDP|10762960848108317744</stp>
        <tr r="F879" s="2"/>
      </tp>
      <tp t="s">
        <v>#N/A N/A</v>
        <stp/>
        <stp>BDP|17640643825803845219</stp>
        <tr r="B3034" s="2"/>
      </tp>
      <tp t="s">
        <v>#N/A N/A</v>
        <stp/>
        <stp>BDP|13879959271746383913</stp>
        <tr r="F2518" s="2"/>
      </tp>
      <tp t="s">
        <v>#N/A N/A</v>
        <stp/>
        <stp>BDP|10933501137171164517</stp>
        <tr r="H2335" s="2"/>
      </tp>
      <tp t="s">
        <v>#N/A N/A</v>
        <stp/>
        <stp>BDP|14860121347376619554</stp>
        <tr r="B2873" s="2"/>
      </tp>
      <tp t="s">
        <v>#N/A N/A</v>
        <stp/>
        <stp>BDP|10995219874954084320</stp>
        <tr r="G424" s="2"/>
      </tp>
      <tp t="s">
        <v>#N/A N/A</v>
        <stp/>
        <stp>BDP|17317076201196872330</stp>
        <tr r="H386" s="2"/>
      </tp>
      <tp t="s">
        <v>#N/A N/A</v>
        <stp/>
        <stp>BDP|14944548934902469232</stp>
        <tr r="F4424" s="2"/>
      </tp>
      <tp t="s">
        <v>#N/A N/A</v>
        <stp/>
        <stp>BDP|16751966702319593488</stp>
        <tr r="F4538" s="2"/>
      </tp>
      <tp t="s">
        <v>#N/A N/A</v>
        <stp/>
        <stp>BDP|13938923151719318477</stp>
        <tr r="F4581" s="2"/>
      </tp>
      <tp t="s">
        <v>#N/A N/A</v>
        <stp/>
        <stp>BDP|12464644333574862150</stp>
        <tr r="G1256" s="2"/>
      </tp>
      <tp t="s">
        <v>#N/A N/A</v>
        <stp/>
        <stp>BDP|14518395671261267310</stp>
        <tr r="G2088" s="2"/>
      </tp>
      <tp t="s">
        <v>#N/A N/A</v>
        <stp/>
        <stp>BDP|11148526143230812261</stp>
        <tr r="H4866" s="2"/>
      </tp>
      <tp t="s">
        <v>#N/A N/A</v>
        <stp/>
        <stp>BDP|10462663117563250695</stp>
        <tr r="H3141" s="2"/>
      </tp>
      <tp t="s">
        <v>#N/A N/A</v>
        <stp/>
        <stp>BDP|17835061881409519447</stp>
        <tr r="H3318" s="2"/>
      </tp>
      <tp t="s">
        <v>#N/A N/A</v>
        <stp/>
        <stp>BDP|10524611724745924376</stp>
        <tr r="G3708" s="2"/>
      </tp>
      <tp t="s">
        <v>#N/A N/A</v>
        <stp/>
        <stp>BDP|16185389423974069149</stp>
        <tr r="F3749" s="2"/>
      </tp>
      <tp t="s">
        <v>#N/A N/A</v>
        <stp/>
        <stp>BDP|12942817927118704265</stp>
        <tr r="G459" s="2"/>
      </tp>
      <tp t="s">
        <v>#N/A N/A</v>
        <stp/>
        <stp>BDP|10759074029388518824</stp>
        <tr r="C2993" s="2"/>
      </tp>
      <tp t="s">
        <v>#N/A N/A</v>
        <stp/>
        <stp>BDP|15450569436257289681</stp>
        <tr r="H1390" s="2"/>
      </tp>
      <tp t="s">
        <v>#N/A N/A</v>
        <stp/>
        <stp>BDP|14113687532802393160</stp>
        <tr r="F4684" s="2"/>
      </tp>
      <tp t="s">
        <v>#N/A N/A</v>
        <stp/>
        <stp>BDP|16985665228141195182</stp>
        <tr r="C4199" s="2"/>
      </tp>
      <tp t="s">
        <v>#N/A N/A</v>
        <stp/>
        <stp>BDP|18294405313016629998</stp>
        <tr r="B1601" s="2"/>
      </tp>
      <tp t="s">
        <v>#N/A N/A</v>
        <stp/>
        <stp>BDP|11148837216519952335</stp>
        <tr r="F3886" s="2"/>
      </tp>
      <tp t="s">
        <v>#N/A N/A</v>
        <stp/>
        <stp>BDP|13206484459209556985</stp>
        <tr r="B2501" s="2"/>
      </tp>
      <tp t="s">
        <v>#N/A N/A</v>
        <stp/>
        <stp>BDP|14160935389141553601</stp>
        <tr r="G634" s="2"/>
      </tp>
      <tp t="s">
        <v>#N/A N/A</v>
        <stp/>
        <stp>BDP|17222936781813790793</stp>
        <tr r="D2335" s="2"/>
      </tp>
      <tp t="s">
        <v>#N/A N/A</v>
        <stp/>
        <stp>BDP|17677960277949887210</stp>
        <tr r="I4710" s="2"/>
      </tp>
      <tp t="s">
        <v>#N/A N/A</v>
        <stp/>
        <stp>BDP|11174342135066752596</stp>
        <tr r="G4028" s="2"/>
      </tp>
      <tp t="s">
        <v>#N/A N/A</v>
        <stp/>
        <stp>BDP|11594732027800847671</stp>
        <tr r="I3695" s="2"/>
      </tp>
      <tp t="s">
        <v>#N/A N/A</v>
        <stp/>
        <stp>BDP|12604569252527586792</stp>
        <tr r="F4608" s="2"/>
      </tp>
      <tp t="s">
        <v>#N/A N/A</v>
        <stp/>
        <stp>BDP|14154070047695827774</stp>
        <tr r="G4956" s="2"/>
      </tp>
      <tp t="s">
        <v>#N/A N/A</v>
        <stp/>
        <stp>BDP|17610075938123731503</stp>
        <tr r="C1110" s="2"/>
      </tp>
      <tp t="s">
        <v>#N/A N/A</v>
        <stp/>
        <stp>BDP|11223474324507867270</stp>
        <tr r="H955" s="2"/>
      </tp>
      <tp t="s">
        <v>#N/A N/A</v>
        <stp/>
        <stp>BDP|10628832108288742243</stp>
        <tr r="C488" s="2"/>
      </tp>
      <tp t="s">
        <v>#N/A N/A</v>
        <stp/>
        <stp>BDP|10741112633563322384</stp>
        <tr r="H2779" s="2"/>
      </tp>
      <tp t="s">
        <v>#N/A N/A</v>
        <stp/>
        <stp>BDP|12436606247922814058</stp>
        <tr r="F2830" s="2"/>
      </tp>
      <tp t="s">
        <v>#N/A N/A</v>
        <stp/>
        <stp>BDP|12871607243140645230</stp>
        <tr r="H3947" s="2"/>
      </tp>
      <tp t="s">
        <v>#N/A N/A</v>
        <stp/>
        <stp>BDP|12304242465557539390</stp>
        <tr r="G2601" s="2"/>
      </tp>
      <tp t="s">
        <v>#N/A N/A</v>
        <stp/>
        <stp>BDP|17891004692564358879</stp>
        <tr r="D460" s="2"/>
      </tp>
      <tp t="s">
        <v>#N/A N/A</v>
        <stp/>
        <stp>BDP|10607356916817834739</stp>
        <tr r="C1069" s="2"/>
      </tp>
      <tp t="s">
        <v>#N/A N/A</v>
        <stp/>
        <stp>BDP|18226608799883303666</stp>
        <tr r="F2917" s="2"/>
      </tp>
      <tp t="s">
        <v>#N/A N/A</v>
        <stp/>
        <stp>BDP|15338511635962087368</stp>
        <tr r="G4238" s="2"/>
      </tp>
      <tp t="s">
        <v>#N/A N/A</v>
        <stp/>
        <stp>BDP|17437363662897540747</stp>
        <tr r="H3048" s="2"/>
      </tp>
      <tp t="s">
        <v>#N/A N/A</v>
        <stp/>
        <stp>BDP|13590721854962799153</stp>
        <tr r="C526" s="2"/>
      </tp>
      <tp t="s">
        <v>#N/A N/A</v>
        <stp/>
        <stp>BDP|12150972310771432938</stp>
        <tr r="B196" s="2"/>
      </tp>
      <tp t="s">
        <v>#N/A N/A</v>
        <stp/>
        <stp>BDP|12989343056090256685</stp>
        <tr r="H4383" s="2"/>
      </tp>
      <tp t="s">
        <v>#N/A N/A</v>
        <stp/>
        <stp>BDP|16311550586461882896</stp>
        <tr r="G2837" s="2"/>
      </tp>
      <tp t="s">
        <v>#N/A N/A</v>
        <stp/>
        <stp>BDP|12337444502175656128</stp>
        <tr r="C938" s="2"/>
      </tp>
      <tp t="s">
        <v>#N/A N/A</v>
        <stp/>
        <stp>BDP|12344662974323574258</stp>
        <tr r="C3962" s="2"/>
      </tp>
      <tp t="s">
        <v>#N/A N/A</v>
        <stp/>
        <stp>BDP|11426709736430778742</stp>
        <tr r="C2790" s="2"/>
      </tp>
      <tp t="s">
        <v>#N/A N/A</v>
        <stp/>
        <stp>BDP|11191336671365473261</stp>
        <tr r="C2655" s="2"/>
      </tp>
      <tp t="s">
        <v>#N/A N/A</v>
        <stp/>
        <stp>BDP|14129192965270598192</stp>
        <tr r="C4151" s="2"/>
      </tp>
      <tp t="s">
        <v>#N/A N/A</v>
        <stp/>
        <stp>BDP|11491464757506308471</stp>
        <tr r="A3869" s="2"/>
      </tp>
      <tp t="s">
        <v>#N/A N/A</v>
        <stp/>
        <stp>BDP|17952041038271380777</stp>
        <tr r="G170" s="2"/>
      </tp>
      <tp t="s">
        <v>#N/A N/A</v>
        <stp/>
        <stp>BDP|12186021810281215003</stp>
        <tr r="C2724" s="2"/>
      </tp>
      <tp t="s">
        <v>#N/A N/A</v>
        <stp/>
        <stp>BDP|16655770627837658610</stp>
        <tr r="A1647" s="2"/>
      </tp>
      <tp t="s">
        <v>#N/A N/A</v>
        <stp/>
        <stp>BDP|10260001531028671948</stp>
        <tr r="I4785" s="2"/>
      </tp>
      <tp t="s">
        <v>#N/A N/A</v>
        <stp/>
        <stp>BDP|10866488731154694169</stp>
        <tr r="G4980" s="2"/>
      </tp>
      <tp t="s">
        <v>#N/A N/A</v>
        <stp/>
        <stp>BDP|14384411946191507707</stp>
        <tr r="F375" s="2"/>
      </tp>
      <tp t="s">
        <v>#N/A N/A</v>
        <stp/>
        <stp>BDP|17787907334429438666</stp>
        <tr r="D57" s="2"/>
      </tp>
      <tp t="s">
        <v>#N/A N/A</v>
        <stp/>
        <stp>BDP|14031373107737717268</stp>
        <tr r="H2611" s="2"/>
      </tp>
      <tp t="s">
        <v>#N/A N/A</v>
        <stp/>
        <stp>BDP|18255355717078381026</stp>
        <tr r="A4479" s="2"/>
      </tp>
      <tp t="s">
        <v>#N/A N/A</v>
        <stp/>
        <stp>BDP|16721354519865970337</stp>
        <tr r="G3880" s="2"/>
      </tp>
      <tp t="s">
        <v>#N/A N/A</v>
        <stp/>
        <stp>BDP|17672709878650842571</stp>
        <tr r="F1066" s="2"/>
      </tp>
      <tp t="s">
        <v>#N/A N/A</v>
        <stp/>
        <stp>BDP|14258399298179132533</stp>
        <tr r="C4525" s="2"/>
      </tp>
      <tp t="s">
        <v>#N/A N/A</v>
        <stp/>
        <stp>BDP|17302130652295575468</stp>
        <tr r="B3562" s="2"/>
      </tp>
      <tp t="s">
        <v>#N/A N/A</v>
        <stp/>
        <stp>BDP|14028561017810263220</stp>
        <tr r="A4706" s="2"/>
      </tp>
      <tp t="s">
        <v>#N/A N/A</v>
        <stp/>
        <stp>BDP|11016637519826354286</stp>
        <tr r="C2706" s="2"/>
      </tp>
      <tp t="s">
        <v>#N/A N/A</v>
        <stp/>
        <stp>BDP|13109094298358628078</stp>
        <tr r="D2735" s="2"/>
      </tp>
      <tp t="s">
        <v>#N/A N/A</v>
        <stp/>
        <stp>BDP|13480180109582228262</stp>
        <tr r="C1045" s="2"/>
      </tp>
      <tp t="s">
        <v>#N/A N/A</v>
        <stp/>
        <stp>BDP|11400907044836843896</stp>
        <tr r="I485" s="2"/>
      </tp>
      <tp t="s">
        <v>#N/A N/A</v>
        <stp/>
        <stp>BDP|14712089453454500781</stp>
        <tr r="H621" s="2"/>
      </tp>
      <tp t="s">
        <v>#N/A N/A</v>
        <stp/>
        <stp>BDP|15300327824820753636</stp>
        <tr r="C1254" s="2"/>
      </tp>
      <tp t="s">
        <v>#N/A N/A</v>
        <stp/>
        <stp>BDP|13081651522606341357</stp>
        <tr r="C1216" s="2"/>
      </tp>
      <tp t="s">
        <v>#N/A N/A</v>
        <stp/>
        <stp>BDP|13703578774160575302</stp>
        <tr r="B3347" s="2"/>
      </tp>
      <tp t="s">
        <v>#N/A N/A</v>
        <stp/>
        <stp>BDP|15881008035866444280</stp>
        <tr r="B729" s="2"/>
      </tp>
      <tp t="s">
        <v>#N/A N/A</v>
        <stp/>
        <stp>BDP|10609030736637260603</stp>
        <tr r="G4331" s="2"/>
      </tp>
      <tp t="s">
        <v>#N/A N/A</v>
        <stp/>
        <stp>BDP|16513520172061538711</stp>
        <tr r="I2505" s="2"/>
      </tp>
      <tp t="s">
        <v>#N/A N/A</v>
        <stp/>
        <stp>BDP|14669170322962683744</stp>
        <tr r="D1957" s="2"/>
      </tp>
      <tp t="s">
        <v>#N/A N/A</v>
        <stp/>
        <stp>BDP|14895952002236689982</stp>
        <tr r="A4412" s="2"/>
      </tp>
      <tp t="s">
        <v>#N/A N/A</v>
        <stp/>
        <stp>BDP|18344841835605073437</stp>
        <tr r="G1509" s="2"/>
      </tp>
      <tp t="s">
        <v>#N/A N/A</v>
        <stp/>
        <stp>BDP|12592389849695008255</stp>
        <tr r="C4902" s="2"/>
      </tp>
      <tp t="s">
        <v>#N/A N/A</v>
        <stp/>
        <stp>BDP|10306463517305526261</stp>
        <tr r="D444" s="2"/>
      </tp>
      <tp t="s">
        <v>#N/A N/A</v>
        <stp/>
        <stp>BDP|11594304606552783253</stp>
        <tr r="F3073" s="2"/>
      </tp>
      <tp t="s">
        <v>#N/A N/A</v>
        <stp/>
        <stp>BDP|15116743430564449701</stp>
        <tr r="F1447" s="2"/>
      </tp>
      <tp t="s">
        <v>#N/A N/A</v>
        <stp/>
        <stp>BDP|12274370735692475254</stp>
        <tr r="C4840" s="2"/>
      </tp>
      <tp t="s">
        <v>#N/A N/A</v>
        <stp/>
        <stp>BDP|10020191839705200536</stp>
        <tr r="C3170" s="2"/>
      </tp>
      <tp t="s">
        <v>#N/A N/A</v>
        <stp/>
        <stp>BDP|15419223705325626041</stp>
        <tr r="C4999" s="2"/>
      </tp>
      <tp t="s">
        <v>#N/A N/A</v>
        <stp/>
        <stp>BDP|10153040812675428623</stp>
        <tr r="D1337" s="2"/>
      </tp>
      <tp t="s">
        <v>#N/A N/A</v>
        <stp/>
        <stp>BDP|10057526160495768443</stp>
        <tr r="C3784" s="2"/>
      </tp>
      <tp t="s">
        <v>#N/A N/A</v>
        <stp/>
        <stp>BDP|16043639337390289174</stp>
        <tr r="A4432" s="2"/>
      </tp>
      <tp t="s">
        <v>#N/A N/A</v>
        <stp/>
        <stp>BDP|17295677791978065253</stp>
        <tr r="H152" s="2"/>
      </tp>
      <tp t="s">
        <v>#N/A N/A</v>
        <stp/>
        <stp>BDP|10874207398949831098</stp>
        <tr r="I544" s="2"/>
      </tp>
      <tp t="s">
        <v>#N/A N/A</v>
        <stp/>
        <stp>BDP|15019166404957565169</stp>
        <tr r="A4773" s="2"/>
      </tp>
      <tp t="s">
        <v>#N/A N/A</v>
        <stp/>
        <stp>BDP|17578731515976577579</stp>
        <tr r="B4950" s="2"/>
      </tp>
      <tp t="s">
        <v>#N/A N/A</v>
        <stp/>
        <stp>BDP|17114735645453268547</stp>
        <tr r="F4" s="2"/>
      </tp>
      <tp t="s">
        <v>#N/A N/A</v>
        <stp/>
        <stp>BDP|12777049690288251108</stp>
        <tr r="D2101" s="2"/>
      </tp>
      <tp t="s">
        <v>#N/A N/A</v>
        <stp/>
        <stp>BDP|14568233015745337010</stp>
        <tr r="B2678" s="2"/>
      </tp>
      <tp t="s">
        <v>#N/A N/A</v>
        <stp/>
        <stp>BDP|11877004306511700287</stp>
        <tr r="H4897" s="2"/>
      </tp>
      <tp t="s">
        <v>#N/A N/A</v>
        <stp/>
        <stp>BDP|11259165829323577395</stp>
        <tr r="I4554" s="2"/>
      </tp>
      <tp t="s">
        <v>#N/A N/A</v>
        <stp/>
        <stp>BDP|11412217229390928346</stp>
        <tr r="H2231" s="2"/>
      </tp>
      <tp t="s">
        <v>#N/A N/A</v>
        <stp/>
        <stp>BDP|13256567777690767352</stp>
        <tr r="A4091" s="2"/>
      </tp>
      <tp t="s">
        <v>#N/A N/A</v>
        <stp/>
        <stp>BDP|17167424440727048221</stp>
        <tr r="C4590" s="2"/>
      </tp>
      <tp t="s">
        <v>#N/A N/A</v>
        <stp/>
        <stp>BDP|11807200521083081088</stp>
        <tr r="C1924" s="2"/>
      </tp>
      <tp t="s">
        <v>#N/A N/A</v>
        <stp/>
        <stp>BDP|13223773373424167563</stp>
        <tr r="B566" s="2"/>
      </tp>
      <tp t="s">
        <v>#N/A N/A</v>
        <stp/>
        <stp>BDP|17305042324714166333</stp>
        <tr r="C3403" s="2"/>
      </tp>
      <tp t="s">
        <v>#N/A N/A</v>
        <stp/>
        <stp>BDP|14743756237542207067</stp>
        <tr r="F40" s="2"/>
      </tp>
      <tp t="s">
        <v>#N/A N/A</v>
        <stp/>
        <stp>BDP|18034982816711832372</stp>
        <tr r="I1039" s="2"/>
      </tp>
      <tp t="s">
        <v>#N/A N/A</v>
        <stp/>
        <stp>BDP|15917694316262036273</stp>
        <tr r="I3131" s="2"/>
      </tp>
      <tp t="s">
        <v>#N/A N/A</v>
        <stp/>
        <stp>BDP|11220414119260876634</stp>
        <tr r="D1766" s="2"/>
      </tp>
      <tp t="s">
        <v>#N/A N/A</v>
        <stp/>
        <stp>BDP|18300459140459435339</stp>
        <tr r="D1109" s="2"/>
      </tp>
      <tp t="s">
        <v>#N/A N/A</v>
        <stp/>
        <stp>BDP|15088676650013183770</stp>
        <tr r="G1729" s="2"/>
      </tp>
      <tp t="s">
        <v>#N/A N/A</v>
        <stp/>
        <stp>BDP|11532152924744371467</stp>
        <tr r="H2624" s="2"/>
      </tp>
      <tp t="s">
        <v>#N/A N/A</v>
        <stp/>
        <stp>BDP|11188529912817264029</stp>
        <tr r="H1065" s="2"/>
      </tp>
      <tp t="s">
        <v>#N/A N/A</v>
        <stp/>
        <stp>BDP|15033536202036565455</stp>
        <tr r="C3090" s="2"/>
      </tp>
      <tp t="s">
        <v>#N/A N/A</v>
        <stp/>
        <stp>BDP|10586896408753761929</stp>
        <tr r="I2190" s="2"/>
      </tp>
      <tp t="s">
        <v>#N/A N/A</v>
        <stp/>
        <stp>BDP|15030487547574901377</stp>
        <tr r="A2430" s="2"/>
      </tp>
      <tp t="s">
        <v>#N/A N/A</v>
        <stp/>
        <stp>BDP|16988898480137202334</stp>
        <tr r="B1194" s="2"/>
      </tp>
      <tp t="s">
        <v>#N/A N/A</v>
        <stp/>
        <stp>BDP|16228451872481626620</stp>
        <tr r="D2658" s="2"/>
      </tp>
      <tp t="s">
        <v>#N/A N/A</v>
        <stp/>
        <stp>BDP|16630653404590333253</stp>
        <tr r="F3873" s="2"/>
      </tp>
      <tp t="s">
        <v>#N/A N/A</v>
        <stp/>
        <stp>BDP|10230231632666169537</stp>
        <tr r="D1693" s="2"/>
      </tp>
      <tp t="s">
        <v>#N/A N/A</v>
        <stp/>
        <stp>BDP|11355342556983992692</stp>
        <tr r="H1792" s="2"/>
      </tp>
      <tp t="s">
        <v>#N/A N/A</v>
        <stp/>
        <stp>BDP|11164672150525053571</stp>
        <tr r="B2663" s="2"/>
      </tp>
      <tp t="s">
        <v>#N/A N/A</v>
        <stp/>
        <stp>BDP|15150570128865881570</stp>
        <tr r="G1824" s="2"/>
      </tp>
      <tp t="s">
        <v>#N/A N/A</v>
        <stp/>
        <stp>BDP|17759654742997446059</stp>
        <tr r="I1317" s="2"/>
      </tp>
      <tp t="s">
        <v>#N/A N/A</v>
        <stp/>
        <stp>BDP|14041084801423986518</stp>
        <tr r="I1001" s="2"/>
      </tp>
      <tp t="s">
        <v>#N/A N/A</v>
        <stp/>
        <stp>BDP|16398673431796469710</stp>
        <tr r="F671" s="2"/>
      </tp>
      <tp t="s">
        <v>#N/A N/A</v>
        <stp/>
        <stp>BDP|13589054427203765003</stp>
        <tr r="C4483" s="2"/>
      </tp>
      <tp t="s">
        <v>#N/A N/A</v>
        <stp/>
        <stp>BDP|13690982824208939231</stp>
        <tr r="G1255" s="2"/>
      </tp>
      <tp t="s">
        <v>#N/A N/A</v>
        <stp/>
        <stp>BDP|11743394156644056188</stp>
        <tr r="C1940" s="2"/>
      </tp>
      <tp t="s">
        <v>#N/A N/A</v>
        <stp/>
        <stp>BDP|10588402349314427681</stp>
        <tr r="F592" s="2"/>
      </tp>
      <tp t="s">
        <v>#N/A N/A</v>
        <stp/>
        <stp>BDP|11918218340235060087</stp>
        <tr r="C428" s="2"/>
      </tp>
      <tp t="s">
        <v>#N/A N/A</v>
        <stp/>
        <stp>BDP|15771751585890708804</stp>
        <tr r="G3236" s="2"/>
      </tp>
      <tp t="s">
        <v>#N/A N/A</v>
        <stp/>
        <stp>BDP|16340623841891074702</stp>
        <tr r="G2955" s="2"/>
      </tp>
      <tp t="s">
        <v>#N/A N/A</v>
        <stp/>
        <stp>BDP|14138649641473208764</stp>
        <tr r="F561" s="2"/>
      </tp>
      <tp t="s">
        <v>#N/A N/A</v>
        <stp/>
        <stp>BDP|13553270000957139436</stp>
        <tr r="H4075" s="2"/>
      </tp>
      <tp t="s">
        <v>#N/A N/A</v>
        <stp/>
        <stp>BDP|16754933895233554748</stp>
        <tr r="H2678" s="2"/>
      </tp>
      <tp t="s">
        <v>#N/A N/A</v>
        <stp/>
        <stp>BDP|14334330941452379329</stp>
        <tr r="A507" s="2"/>
      </tp>
      <tp t="s">
        <v>#N/A N/A</v>
        <stp/>
        <stp>BDP|13090111752344113123</stp>
        <tr r="G3585" s="2"/>
      </tp>
      <tp t="s">
        <v>#N/A N/A</v>
        <stp/>
        <stp>BDP|17563819885474320121</stp>
        <tr r="A3085" s="2"/>
      </tp>
      <tp t="s">
        <v>#N/A N/A</v>
        <stp/>
        <stp>BDP|10142230425006158469</stp>
        <tr r="B1802" s="2"/>
      </tp>
      <tp t="s">
        <v>#N/A N/A</v>
        <stp/>
        <stp>BDP|18407869773664718166</stp>
        <tr r="F1820" s="2"/>
      </tp>
      <tp t="s">
        <v>#N/A N/A</v>
        <stp/>
        <stp>BDP|16185340834527837396</stp>
        <tr r="A3146" s="2"/>
      </tp>
      <tp t="s">
        <v>#N/A N/A</v>
        <stp/>
        <stp>BDP|16493104343859391844</stp>
        <tr r="G3856" s="2"/>
      </tp>
      <tp t="s">
        <v>#N/A N/A</v>
        <stp/>
        <stp>BDP|17790656641446145127</stp>
        <tr r="I480" s="2"/>
      </tp>
      <tp t="s">
        <v>#N/A N/A</v>
        <stp/>
        <stp>BDP|13958275110481843368</stp>
        <tr r="G3209" s="2"/>
      </tp>
      <tp t="s">
        <v>#N/A N/A</v>
        <stp/>
        <stp>BDP|17269105839287986026</stp>
        <tr r="C3387" s="2"/>
      </tp>
      <tp t="s">
        <v>#N/A N/A</v>
        <stp/>
        <stp>BDP|17422521537404009718</stp>
        <tr r="D2124" s="2"/>
      </tp>
      <tp t="s">
        <v>#N/A N/A</v>
        <stp/>
        <stp>BDP|11193543855065704675</stp>
        <tr r="F1343" s="2"/>
      </tp>
      <tp t="s">
        <v>#N/A N/A</v>
        <stp/>
        <stp>BDP|17486610612321742300</stp>
        <tr r="D2692" s="2"/>
      </tp>
      <tp t="s">
        <v>#N/A N/A</v>
        <stp/>
        <stp>BDP|14977728045945980071</stp>
        <tr r="G955" s="2"/>
      </tp>
      <tp t="s">
        <v>#N/A N/A</v>
        <stp/>
        <stp>BDP|14816356839717085146</stp>
        <tr r="D3405" s="2"/>
      </tp>
      <tp t="s">
        <v>#N/A N/A</v>
        <stp/>
        <stp>BDP|18218551671758001069</stp>
        <tr r="H4294" s="2"/>
      </tp>
      <tp t="s">
        <v>#N/A N/A</v>
        <stp/>
        <stp>BDP|14170599574357555396</stp>
        <tr r="C3924" s="2"/>
      </tp>
      <tp t="s">
        <v>#N/A N/A</v>
        <stp/>
        <stp>BDP|17292013280755653856</stp>
        <tr r="A1516" s="2"/>
      </tp>
      <tp t="s">
        <v>#N/A N/A</v>
        <stp/>
        <stp>BDP|13314554715024220119</stp>
        <tr r="H4547" s="2"/>
      </tp>
      <tp t="s">
        <v>#N/A N/A</v>
        <stp/>
        <stp>BDP|12056241191549096255</stp>
        <tr r="H4196" s="2"/>
      </tp>
      <tp t="s">
        <v>#N/A N/A</v>
        <stp/>
        <stp>BDP|14637333391515280960</stp>
        <tr r="H4561" s="2"/>
      </tp>
      <tp t="s">
        <v>#N/A N/A</v>
        <stp/>
        <stp>BDP|14735098821057619397</stp>
        <tr r="A4838" s="2"/>
      </tp>
      <tp t="s">
        <v>#N/A N/A</v>
        <stp/>
        <stp>BDP|13477028875551418776</stp>
        <tr r="I2988" s="2"/>
      </tp>
      <tp t="s">
        <v>#N/A N/A</v>
        <stp/>
        <stp>BDP|15170722145940057464</stp>
        <tr r="D932" s="2"/>
      </tp>
      <tp t="s">
        <v>#N/A N/A</v>
        <stp/>
        <stp>BDP|16092622210476555577</stp>
        <tr r="D3037" s="2"/>
      </tp>
      <tp t="s">
        <v>#N/A N/A</v>
        <stp/>
        <stp>BDP|14933879856432977915</stp>
        <tr r="A1218" s="2"/>
      </tp>
      <tp t="s">
        <v>#N/A N/A</v>
        <stp/>
        <stp>BDP|14693005134111086429</stp>
        <tr r="G4916" s="2"/>
      </tp>
      <tp t="s">
        <v>#N/A N/A</v>
        <stp/>
        <stp>BDP|16950032994649788495</stp>
        <tr r="C4714" s="2"/>
      </tp>
      <tp t="s">
        <v>#N/A N/A</v>
        <stp/>
        <stp>BDP|13188662726595571044</stp>
        <tr r="D3052" s="2"/>
      </tp>
      <tp t="s">
        <v>#N/A N/A</v>
        <stp/>
        <stp>BDP|13453360477026512308</stp>
        <tr r="B58" s="2"/>
      </tp>
      <tp t="s">
        <v>#N/A N/A</v>
        <stp/>
        <stp>BDP|18427195289166626527</stp>
        <tr r="B4556" s="2"/>
      </tp>
      <tp t="s">
        <v>#N/A N/A</v>
        <stp/>
        <stp>BDP|10015261747340941484</stp>
        <tr r="I874" s="2"/>
      </tp>
      <tp t="s">
        <v>#N/A N/A</v>
        <stp/>
        <stp>BDP|10582408240327590509</stp>
        <tr r="I1704" s="2"/>
      </tp>
      <tp t="s">
        <v>#N/A N/A</v>
        <stp/>
        <stp>BDP|10730719371895227752</stp>
        <tr r="H2511" s="2"/>
      </tp>
      <tp t="s">
        <v>#N/A N/A</v>
        <stp/>
        <stp>BDP|11381766878164854758</stp>
        <tr r="G1287" s="2"/>
      </tp>
      <tp t="s">
        <v>#N/A N/A</v>
        <stp/>
        <stp>BDP|17846700079135070010</stp>
        <tr r="D3965" s="2"/>
      </tp>
      <tp t="s">
        <v>#N/A N/A</v>
        <stp/>
        <stp>BDP|13606247256413671526</stp>
        <tr r="H1959" s="2"/>
      </tp>
      <tp t="s">
        <v>#N/A N/A</v>
        <stp/>
        <stp>BDP|13626405653244660431</stp>
        <tr r="F73" s="2"/>
      </tp>
      <tp t="s">
        <v>#N/A N/A</v>
        <stp/>
        <stp>BDP|15354061626482365707</stp>
        <tr r="I1260" s="2"/>
      </tp>
      <tp t="s">
        <v>#N/A N/A</v>
        <stp/>
        <stp>BDP|10485099941194500291</stp>
        <tr r="A4767" s="2"/>
      </tp>
      <tp t="s">
        <v>#N/A N/A</v>
        <stp/>
        <stp>BDP|10192043421983223361</stp>
        <tr r="B1470" s="2"/>
      </tp>
      <tp t="s">
        <v>#N/A N/A</v>
        <stp/>
        <stp>BDP|15019076011563123570</stp>
        <tr r="D4442" s="2"/>
      </tp>
      <tp t="s">
        <v>#N/A N/A</v>
        <stp/>
        <stp>BDP|12239861044124362835</stp>
        <tr r="F4705" s="2"/>
      </tp>
      <tp t="s">
        <v>#N/A N/A</v>
        <stp/>
        <stp>BDP|10711429213097290046</stp>
        <tr r="I3274" s="2"/>
      </tp>
      <tp t="s">
        <v>#N/A N/A</v>
        <stp/>
        <stp>BDP|14410532687143415844</stp>
        <tr r="B1554" s="2"/>
      </tp>
      <tp t="s">
        <v>#N/A N/A</v>
        <stp/>
        <stp>BDP|11236295141687269281</stp>
        <tr r="C3562" s="2"/>
      </tp>
      <tp t="s">
        <v>#N/A N/A</v>
        <stp/>
        <stp>BDP|13361611833487607374</stp>
        <tr r="D3597" s="2"/>
      </tp>
      <tp t="s">
        <v>#N/A N/A</v>
        <stp/>
        <stp>BDP|14878579634147319789</stp>
        <tr r="D1217" s="2"/>
      </tp>
      <tp t="s">
        <v>#N/A N/A</v>
        <stp/>
        <stp>BDP|13742264036167326744</stp>
        <tr r="H314" s="2"/>
      </tp>
      <tp t="s">
        <v>#N/A N/A</v>
        <stp/>
        <stp>BDP|16225294443324911613</stp>
        <tr r="H1485" s="2"/>
      </tp>
      <tp t="s">
        <v>#N/A N/A</v>
        <stp/>
        <stp>BDP|14666907831128573421</stp>
        <tr r="I4120" s="2"/>
      </tp>
      <tp t="s">
        <v>#N/A N/A</v>
        <stp/>
        <stp>BDP|16848655139209466803</stp>
        <tr r="C3548" s="2"/>
      </tp>
      <tp t="s">
        <v>#N/A N/A</v>
        <stp/>
        <stp>BDP|16541490308146058646</stp>
        <tr r="A190" s="2"/>
      </tp>
      <tp t="s">
        <v>#N/A N/A</v>
        <stp/>
        <stp>BDP|14155714570664243225</stp>
        <tr r="G2147" s="2"/>
      </tp>
      <tp t="s">
        <v>#N/A N/A</v>
        <stp/>
        <stp>BDP|12588795333482893676</stp>
        <tr r="H1279" s="2"/>
      </tp>
      <tp t="s">
        <v>#N/A N/A</v>
        <stp/>
        <stp>BDP|10423055933566145733</stp>
        <tr r="I1972" s="2"/>
      </tp>
      <tp t="s">
        <v>#N/A N/A</v>
        <stp/>
        <stp>BDP|12276963130302230861</stp>
        <tr r="H3799" s="2"/>
      </tp>
      <tp t="s">
        <v>#N/A N/A</v>
        <stp/>
        <stp>BDP|11127511523033342702</stp>
        <tr r="A2786" s="2"/>
      </tp>
      <tp t="s">
        <v>#N/A N/A</v>
        <stp/>
        <stp>BDP|17321350775274773542</stp>
        <tr r="I937" s="2"/>
      </tp>
      <tp t="s">
        <v>#N/A N/A</v>
        <stp/>
        <stp>BDP|16053531563514518354</stp>
        <tr r="H1342" s="2"/>
      </tp>
      <tp t="s">
        <v>#N/A N/A</v>
        <stp/>
        <stp>BDP|18286270592390661119</stp>
        <tr r="D339" s="2"/>
      </tp>
      <tp t="s">
        <v>#N/A N/A</v>
        <stp/>
        <stp>BDP|12685931486951241010</stp>
        <tr r="H1627" s="2"/>
      </tp>
      <tp t="s">
        <v>#N/A N/A</v>
        <stp/>
        <stp>BDP|15832214008883146630</stp>
        <tr r="F3235" s="2"/>
      </tp>
      <tp t="s">
        <v>#N/A N/A</v>
        <stp/>
        <stp>BDP|12944714860550896137</stp>
        <tr r="I4616" s="2"/>
      </tp>
      <tp t="s">
        <v>#N/A N/A</v>
        <stp/>
        <stp>BDP|10438776625205790225</stp>
        <tr r="D70" s="2"/>
      </tp>
      <tp t="s">
        <v>#N/A N/A</v>
        <stp/>
        <stp>BDP|11024966314952378921</stp>
        <tr r="C1415" s="2"/>
      </tp>
      <tp t="s">
        <v>#N/A N/A</v>
        <stp/>
        <stp>BDP|16742076167041202369</stp>
        <tr r="B3563" s="2"/>
      </tp>
      <tp t="s">
        <v>#N/A N/A</v>
        <stp/>
        <stp>BDP|16781641234572322375</stp>
        <tr r="F4721" s="2"/>
      </tp>
      <tp t="s">
        <v>#N/A N/A</v>
        <stp/>
        <stp>BDP|16147758516542917083</stp>
        <tr r="G1270" s="2"/>
      </tp>
      <tp t="s">
        <v>#N/A N/A</v>
        <stp/>
        <stp>BDP|10002465238346454398</stp>
        <tr r="I507" s="2"/>
      </tp>
      <tp t="s">
        <v>#N/A N/A</v>
        <stp/>
        <stp>BDP|15678338421470144665</stp>
        <tr r="G2902" s="2"/>
      </tp>
      <tp t="s">
        <v>#N/A N/A</v>
        <stp/>
        <stp>BDP|17626832887461781466</stp>
        <tr r="F233" s="2"/>
      </tp>
      <tp t="s">
        <v>#N/A N/A</v>
        <stp/>
        <stp>BDP|14151744813837710722</stp>
        <tr r="B3041" s="2"/>
      </tp>
      <tp t="s">
        <v>#N/A N/A</v>
        <stp/>
        <stp>BDP|16743504906114785550</stp>
        <tr r="B4974" s="2"/>
      </tp>
      <tp t="s">
        <v>#N/A N/A</v>
        <stp/>
        <stp>BDP|11287922543867690962</stp>
        <tr r="D4061" s="2"/>
      </tp>
      <tp t="s">
        <v>#N/A N/A</v>
        <stp/>
        <stp>BDP|12596549833671568749</stp>
        <tr r="D764" s="2"/>
      </tp>
      <tp t="s">
        <v>#N/A N/A</v>
        <stp/>
        <stp>BDP|13440398458504054365</stp>
        <tr r="F429" s="2"/>
      </tp>
      <tp t="s">
        <v>#N/A N/A</v>
        <stp/>
        <stp>BDP|16246710723960107124</stp>
        <tr r="I4152" s="2"/>
      </tp>
      <tp t="s">
        <v>#N/A N/A</v>
        <stp/>
        <stp>BDP|10129719140263516260</stp>
        <tr r="H1874" s="2"/>
      </tp>
      <tp t="s">
        <v>#N/A N/A</v>
        <stp/>
        <stp>BDP|10692995628179779032</stp>
        <tr r="I303" s="2"/>
      </tp>
      <tp t="s">
        <v>#N/A N/A</v>
        <stp/>
        <stp>BDP|13467793289626224859</stp>
        <tr r="F4265" s="2"/>
      </tp>
      <tp t="s">
        <v>#N/A N/A</v>
        <stp/>
        <stp>BDP|16024406613637482642</stp>
        <tr r="G4492" s="2"/>
      </tp>
      <tp t="s">
        <v>#N/A N/A</v>
        <stp/>
        <stp>BDP|12913723099869308725</stp>
        <tr r="I2157" s="2"/>
      </tp>
      <tp t="s">
        <v>#N/A N/A</v>
        <stp/>
        <stp>BDP|18151771985950111513</stp>
        <tr r="B1017" s="2"/>
      </tp>
      <tp t="s">
        <v>#N/A N/A</v>
        <stp/>
        <stp>BDP|15019777026725184736</stp>
        <tr r="G1667" s="2"/>
      </tp>
      <tp t="s">
        <v>#N/A N/A</v>
        <stp/>
        <stp>BDP|14753016621695524118</stp>
        <tr r="I940" s="2"/>
      </tp>
      <tp t="s">
        <v>#N/A N/A</v>
        <stp/>
        <stp>BDP|16038744727936834782</stp>
        <tr r="D4365" s="2"/>
      </tp>
      <tp t="s">
        <v>#N/A N/A</v>
        <stp/>
        <stp>BDP|10266808909103019981</stp>
        <tr r="H3628" s="2"/>
      </tp>
      <tp t="s">
        <v>#N/A N/A</v>
        <stp/>
        <stp>BDP|10606216312391583033</stp>
        <tr r="I1437" s="2"/>
      </tp>
      <tp t="s">
        <v>#N/A N/A</v>
        <stp/>
        <stp>BDP|14595679525081081346</stp>
        <tr r="B2014" s="2"/>
      </tp>
      <tp t="s">
        <v>#N/A N/A</v>
        <stp/>
        <stp>BDP|14023522691778807289</stp>
        <tr r="I4971" s="2"/>
      </tp>
      <tp t="s">
        <v>#N/A N/A</v>
        <stp/>
        <stp>BDP|14020890599485089230</stp>
        <tr r="C3943" s="2"/>
      </tp>
      <tp t="s">
        <v>#N/A N/A</v>
        <stp/>
        <stp>BDP|17512139453774415520</stp>
        <tr r="F4396" s="2"/>
      </tp>
      <tp t="s">
        <v>#N/A N/A</v>
        <stp/>
        <stp>BDP|16304449302235715514</stp>
        <tr r="H2619" s="2"/>
      </tp>
      <tp t="s">
        <v>#N/A N/A</v>
        <stp/>
        <stp>BDP|13046170958872815740</stp>
        <tr r="G3520" s="2"/>
      </tp>
      <tp t="s">
        <v>#N/A N/A</v>
        <stp/>
        <stp>BDP|11678435041454788703</stp>
        <tr r="F2178" s="2"/>
      </tp>
      <tp t="s">
        <v>#N/A N/A</v>
        <stp/>
        <stp>BDP|13801332753761310689</stp>
        <tr r="G2059" s="2"/>
      </tp>
      <tp t="s">
        <v>#N/A N/A</v>
        <stp/>
        <stp>BDP|11742059251893415548</stp>
        <tr r="B442" s="2"/>
      </tp>
      <tp t="s">
        <v>#N/A N/A</v>
        <stp/>
        <stp>BDP|10103168811533391168</stp>
        <tr r="C947" s="2"/>
      </tp>
      <tp t="s">
        <v>#N/A N/A</v>
        <stp/>
        <stp>BDP|13455025908750421199</stp>
        <tr r="F4340" s="2"/>
      </tp>
      <tp t="s">
        <v>#N/A N/A</v>
        <stp/>
        <stp>BDP|16481125828716872151</stp>
        <tr r="C3463" s="2"/>
      </tp>
      <tp t="s">
        <v>#N/A N/A</v>
        <stp/>
        <stp>BDP|12360427311750593563</stp>
        <tr r="G4410" s="2"/>
      </tp>
      <tp t="s">
        <v>#N/A N/A</v>
        <stp/>
        <stp>BDP|11995916568555433975</stp>
        <tr r="G3670" s="2"/>
      </tp>
      <tp t="s">
        <v>#N/A N/A</v>
        <stp/>
        <stp>BDP|14303065317996918181</stp>
        <tr r="A3128" s="2"/>
      </tp>
      <tp t="s">
        <v>#N/A N/A</v>
        <stp/>
        <stp>BDP|11298707924776735026</stp>
        <tr r="G2281" s="2"/>
      </tp>
      <tp t="s">
        <v>#N/A N/A</v>
        <stp/>
        <stp>BDP|16356970218965870977</stp>
        <tr r="H249" s="2"/>
      </tp>
      <tp t="s">
        <v>#N/A N/A</v>
        <stp/>
        <stp>BDP|17353575514234467578</stp>
        <tr r="F824" s="2"/>
      </tp>
      <tp t="s">
        <v>#N/A N/A</v>
        <stp/>
        <stp>BDP|13255788957614993771</stp>
        <tr r="D3634" s="2"/>
      </tp>
      <tp t="s">
        <v>#N/A N/A</v>
        <stp/>
        <stp>BDP|15548251267555046647</stp>
        <tr r="H660" s="2"/>
      </tp>
      <tp t="s">
        <v>#N/A N/A</v>
        <stp/>
        <stp>BDP|15972298853831761172</stp>
        <tr r="H4315" s="2"/>
      </tp>
      <tp t="s">
        <v>#N/A N/A</v>
        <stp/>
        <stp>BDP|12488447350962568363</stp>
        <tr r="I1967" s="2"/>
      </tp>
      <tp t="s">
        <v>#N/A N/A</v>
        <stp/>
        <stp>BDP|16276376164630362112</stp>
        <tr r="G183" s="2"/>
      </tp>
      <tp t="s">
        <v>#N/A N/A</v>
        <stp/>
        <stp>BDP|15310056473647433721</stp>
        <tr r="G2739" s="2"/>
      </tp>
      <tp t="s">
        <v>#N/A N/A</v>
        <stp/>
        <stp>BDP|18356353337963640948</stp>
        <tr r="D540" s="2"/>
      </tp>
      <tp t="s">
        <v>#N/A N/A</v>
        <stp/>
        <stp>BDP|13777025156336378234</stp>
        <tr r="A3411" s="2"/>
      </tp>
      <tp t="s">
        <v>#N/A N/A</v>
        <stp/>
        <stp>BDP|12623355439094970402</stp>
        <tr r="I1538" s="2"/>
      </tp>
      <tp t="s">
        <v>#N/A N/A</v>
        <stp/>
        <stp>BDP|15290248147991721058</stp>
        <tr r="C2081" s="2"/>
      </tp>
      <tp t="s">
        <v>#N/A N/A</v>
        <stp/>
        <stp>BDP|11038447277336422647</stp>
        <tr r="I4064" s="2"/>
      </tp>
      <tp t="s">
        <v>#N/A N/A</v>
        <stp/>
        <stp>BDP|15826001852665012796</stp>
        <tr r="C1418" s="2"/>
      </tp>
      <tp t="s">
        <v>#N/A N/A</v>
        <stp/>
        <stp>BDP|14385786483348291196</stp>
        <tr r="A3586" s="2"/>
      </tp>
      <tp t="s">
        <v>#N/A N/A</v>
        <stp/>
        <stp>BDP|15707967675661641817</stp>
        <tr r="H4047" s="2"/>
      </tp>
      <tp t="s">
        <v>#N/A N/A</v>
        <stp/>
        <stp>BDP|17145376610853596401</stp>
        <tr r="H2926" s="2"/>
      </tp>
      <tp t="s">
        <v>#N/A N/A</v>
        <stp/>
        <stp>BDP|11620432297936022819</stp>
        <tr r="G2816" s="2"/>
      </tp>
      <tp t="s">
        <v>#N/A N/A</v>
        <stp/>
        <stp>BDP|18365141938899886145</stp>
        <tr r="I2252" s="2"/>
      </tp>
      <tp t="s">
        <v>#N/A N/A</v>
        <stp/>
        <stp>BDP|18010820400501009315</stp>
        <tr r="H3083" s="2"/>
      </tp>
      <tp t="s">
        <v>#N/A N/A</v>
        <stp/>
        <stp>BDP|11001730170530579353</stp>
        <tr r="C4218" s="2"/>
      </tp>
      <tp t="s">
        <v>#N/A N/A</v>
        <stp/>
        <stp>BDP|16355830247250718837</stp>
        <tr r="I2870" s="2"/>
      </tp>
      <tp t="s">
        <v>#N/A N/A</v>
        <stp/>
        <stp>BDP|14574054462300864097</stp>
        <tr r="D502" s="2"/>
      </tp>
      <tp t="s">
        <v>#N/A N/A</v>
        <stp/>
        <stp>BDP|15536260709341133482</stp>
        <tr r="B4688" s="2"/>
      </tp>
      <tp t="s">
        <v>#N/A N/A</v>
        <stp/>
        <stp>BDP|10482009444057022132</stp>
        <tr r="A845" s="2"/>
      </tp>
      <tp t="s">
        <v>#N/A N/A</v>
        <stp/>
        <stp>BDP|14627472651245261214</stp>
        <tr r="G845" s="2"/>
      </tp>
      <tp t="s">
        <v>#N/A N/A</v>
        <stp/>
        <stp>BDP|15672403458064411295</stp>
        <tr r="C124" s="2"/>
      </tp>
      <tp t="s">
        <v>#N/A N/A</v>
        <stp/>
        <stp>BDP|15733823407029495659</stp>
        <tr r="G3795" s="2"/>
      </tp>
      <tp t="s">
        <v>#N/A N/A</v>
        <stp/>
        <stp>BDP|16633733677727527345</stp>
        <tr r="B3579" s="2"/>
      </tp>
      <tp t="s">
        <v>#N/A N/A</v>
        <stp/>
        <stp>BDP|17656266633927332339</stp>
        <tr r="C4118" s="2"/>
      </tp>
      <tp t="s">
        <v>#N/A N/A</v>
        <stp/>
        <stp>BDP|10356877893207552412</stp>
        <tr r="C2719" s="2"/>
      </tp>
      <tp t="s">
        <v>#N/A N/A</v>
        <stp/>
        <stp>BDP|15492707100611289157</stp>
        <tr r="H824" s="2"/>
      </tp>
      <tp t="s">
        <v>#N/A N/A</v>
        <stp/>
        <stp>BDP|16667240703583763552</stp>
        <tr r="D2620" s="2"/>
      </tp>
      <tp t="s">
        <v>#N/A N/A</v>
        <stp/>
        <stp>BDP|11826634727032875576</stp>
        <tr r="I931" s="2"/>
      </tp>
      <tp t="s">
        <v>#N/A N/A</v>
        <stp/>
        <stp>BDP|10043653283618640432</stp>
        <tr r="F2344" s="2"/>
      </tp>
      <tp t="s">
        <v>#N/A N/A</v>
        <stp/>
        <stp>BDP|12472015834684702753</stp>
        <tr r="B502" s="2"/>
      </tp>
      <tp t="s">
        <v>#N/A N/A</v>
        <stp/>
        <stp>BDP|18344694393325846020</stp>
        <tr r="I3706" s="2"/>
      </tp>
      <tp t="s">
        <v>#N/A N/A</v>
        <stp/>
        <stp>BDP|13954626273136200694</stp>
        <tr r="B4876" s="2"/>
      </tp>
      <tp t="s">
        <v>#N/A N/A</v>
        <stp/>
        <stp>BDP|14680139175860072038</stp>
        <tr r="B491" s="2"/>
      </tp>
      <tp t="s">
        <v>#N/A N/A</v>
        <stp/>
        <stp>BDP|14894528638733564346</stp>
        <tr r="F612" s="2"/>
      </tp>
      <tp t="s">
        <v>#N/A N/A</v>
        <stp/>
        <stp>BDP|14033262077725735653</stp>
        <tr r="H1257" s="2"/>
      </tp>
      <tp t="s">
        <v>#N/A N/A</v>
        <stp/>
        <stp>BDP|14843614018618526972</stp>
        <tr r="A1804" s="2"/>
      </tp>
      <tp t="s">
        <v>#N/A N/A</v>
        <stp/>
        <stp>BDP|15080476634630597057</stp>
        <tr r="A1796" s="2"/>
      </tp>
      <tp t="s">
        <v>#N/A N/A</v>
        <stp/>
        <stp>BDP|10070557522734315173</stp>
        <tr r="D597" s="2"/>
      </tp>
      <tp t="s">
        <v>#N/A N/A</v>
        <stp/>
        <stp>BDP|16204414385711318966</stp>
        <tr r="F3032" s="2"/>
      </tp>
      <tp t="s">
        <v>#N/A N/A</v>
        <stp/>
        <stp>BDP|16332049255039089816</stp>
        <tr r="B276" s="2"/>
      </tp>
      <tp t="s">
        <v>#N/A N/A</v>
        <stp/>
        <stp>BDP|17413200792068518604</stp>
        <tr r="A1943" s="2"/>
      </tp>
      <tp t="s">
        <v>#N/A N/A</v>
        <stp/>
        <stp>BDP|11300913660149336525</stp>
        <tr r="A2555" s="2"/>
      </tp>
      <tp t="s">
        <v>#N/A N/A</v>
        <stp/>
        <stp>BDP|11506580756653820000</stp>
        <tr r="D3957" s="2"/>
      </tp>
      <tp t="s">
        <v>#N/A N/A</v>
        <stp/>
        <stp>BDP|12990009412553025283</stp>
        <tr r="B1051" s="2"/>
      </tp>
      <tp t="s">
        <v>#N/A N/A</v>
        <stp/>
        <stp>BDP|15254079167826870797</stp>
        <tr r="A4968" s="2"/>
      </tp>
      <tp t="s">
        <v>#N/A N/A</v>
        <stp/>
        <stp>BDP|13158844917731074915</stp>
        <tr r="G3408" s="2"/>
      </tp>
      <tp t="s">
        <v>#N/A N/A</v>
        <stp/>
        <stp>BDP|17217371056667630461</stp>
        <tr r="B779" s="2"/>
      </tp>
      <tp t="s">
        <v>#N/A N/A</v>
        <stp/>
        <stp>BDP|10194477456465186626</stp>
        <tr r="I1811" s="2"/>
      </tp>
      <tp t="s">
        <v>#N/A N/A</v>
        <stp/>
        <stp>BDP|15490014456662082007</stp>
        <tr r="C4119" s="2"/>
      </tp>
      <tp t="s">
        <v>#N/A N/A</v>
        <stp/>
        <stp>BDP|12038644617624221338</stp>
        <tr r="H4796" s="2"/>
      </tp>
      <tp t="s">
        <v>#N/A N/A</v>
        <stp/>
        <stp>BDP|10820062662485971178</stp>
        <tr r="D1489" s="2"/>
      </tp>
      <tp t="s">
        <v>#N/A N/A</v>
        <stp/>
        <stp>BDP|10672345807788276959</stp>
        <tr r="C1720" s="2"/>
      </tp>
      <tp t="s">
        <v>#N/A N/A</v>
        <stp/>
        <stp>BDP|16626561952994201021</stp>
        <tr r="B4333" s="2"/>
      </tp>
      <tp t="s">
        <v>#N/A N/A</v>
        <stp/>
        <stp>BDP|14848283153514919588</stp>
        <tr r="B1263" s="2"/>
      </tp>
      <tp t="s">
        <v>#N/A N/A</v>
        <stp/>
        <stp>BDP|17952487814298523829</stp>
        <tr r="F4258" s="2"/>
      </tp>
      <tp t="s">
        <v>#N/A N/A</v>
        <stp/>
        <stp>BDP|15693835782444112342</stp>
        <tr r="A2415" s="2"/>
      </tp>
      <tp t="s">
        <v>#N/A N/A</v>
        <stp/>
        <stp>BDP|11307827567248469509</stp>
        <tr r="D107" s="2"/>
      </tp>
      <tp t="s">
        <v>#N/A N/A</v>
        <stp/>
        <stp>BDP|17191485858353013734</stp>
        <tr r="C2101" s="2"/>
      </tp>
      <tp t="s">
        <v>#N/A N/A</v>
        <stp/>
        <stp>BDP|17201011860060130308</stp>
        <tr r="D3740" s="2"/>
      </tp>
      <tp t="s">
        <v>#N/A N/A</v>
        <stp/>
        <stp>BDP|11673379867750030640</stp>
        <tr r="I1021" s="2"/>
      </tp>
      <tp t="s">
        <v>#N/A N/A</v>
        <stp/>
        <stp>BDP|15915125732501289493</stp>
        <tr r="A4158" s="2"/>
      </tp>
      <tp t="s">
        <v>#N/A N/A</v>
        <stp/>
        <stp>BDP|14297122402435951290</stp>
        <tr r="F1703" s="2"/>
      </tp>
      <tp t="s">
        <v>#N/A N/A</v>
        <stp/>
        <stp>BDP|17554758522839663969</stp>
        <tr r="I3309" s="2"/>
      </tp>
      <tp t="s">
        <v>#N/A N/A</v>
        <stp/>
        <stp>BDP|13747129946662574645</stp>
        <tr r="I465" s="2"/>
      </tp>
      <tp t="s">
        <v>#N/A N/A</v>
        <stp/>
        <stp>BDP|17907253943757597484</stp>
        <tr r="A4297" s="2"/>
      </tp>
      <tp t="s">
        <v>#N/A N/A</v>
        <stp/>
        <stp>BDP|15218810750338883293</stp>
        <tr r="D1965" s="2"/>
      </tp>
      <tp t="s">
        <v>#N/A N/A</v>
        <stp/>
        <stp>BDP|16739978492342910690</stp>
        <tr r="B2247" s="2"/>
      </tp>
      <tp t="s">
        <v>#N/A N/A</v>
        <stp/>
        <stp>BDP|14166123073267398717</stp>
        <tr r="C4074" s="2"/>
      </tp>
      <tp t="s">
        <v>#N/A N/A</v>
        <stp/>
        <stp>BDP|15628140480008384633</stp>
        <tr r="C26" s="2"/>
      </tp>
      <tp t="s">
        <v>#N/A N/A</v>
        <stp/>
        <stp>BDP|15553603654960259413</stp>
        <tr r="B4159" s="2"/>
      </tp>
      <tp t="s">
        <v>#N/A N/A</v>
        <stp/>
        <stp>BDP|15621528033367252675</stp>
        <tr r="F2597" s="2"/>
      </tp>
      <tp t="s">
        <v>#N/A N/A</v>
        <stp/>
        <stp>BDP|12505344042650180703</stp>
        <tr r="B2409" s="2"/>
      </tp>
      <tp t="s">
        <v>#N/A N/A</v>
        <stp/>
        <stp>BDP|18188664504058478452</stp>
        <tr r="H3294" s="2"/>
      </tp>
      <tp t="s">
        <v>#N/A N/A</v>
        <stp/>
        <stp>BDP|13301479442471610025</stp>
        <tr r="G1685" s="2"/>
      </tp>
      <tp t="s">
        <v>#N/A N/A</v>
        <stp/>
        <stp>BDP|11574799581129838574</stp>
        <tr r="B4431" s="2"/>
      </tp>
      <tp t="s">
        <v>#N/A N/A</v>
        <stp/>
        <stp>BDP|15704405744933030417</stp>
        <tr r="B2008" s="2"/>
      </tp>
      <tp t="s">
        <v>#N/A N/A</v>
        <stp/>
        <stp>BDP|12603443392449396416</stp>
        <tr r="D2862" s="2"/>
      </tp>
      <tp t="s">
        <v>#N/A N/A</v>
        <stp/>
        <stp>BDP|11159162687278025228</stp>
        <tr r="A2170" s="2"/>
      </tp>
      <tp t="s">
        <v>#N/A N/A</v>
        <stp/>
        <stp>BDP|17622726011380296351</stp>
        <tr r="I308" s="2"/>
      </tp>
      <tp t="s">
        <v>#N/A N/A</v>
        <stp/>
        <stp>BDP|17198812777308236274</stp>
        <tr r="G4423" s="2"/>
      </tp>
      <tp t="s">
        <v>#N/A N/A</v>
        <stp/>
        <stp>BDP|14756476367470007458</stp>
        <tr r="A3276" s="2"/>
      </tp>
      <tp t="s">
        <v>#N/A N/A</v>
        <stp/>
        <stp>BDP|13101802738953347980</stp>
        <tr r="D1825" s="2"/>
      </tp>
      <tp t="s">
        <v>#N/A N/A</v>
        <stp/>
        <stp>BDP|16765724681618399353</stp>
        <tr r="A4973" s="2"/>
      </tp>
      <tp t="s">
        <v>#N/A N/A</v>
        <stp/>
        <stp>BDP|13805191505924208446</stp>
        <tr r="C2144" s="2"/>
      </tp>
      <tp t="s">
        <v>#N/A N/A</v>
        <stp/>
        <stp>BDP|15066269943786534725</stp>
        <tr r="C1017" s="2"/>
      </tp>
      <tp t="s">
        <v>#N/A N/A</v>
        <stp/>
        <stp>BDP|16235917975983007943</stp>
        <tr r="H1045" s="2"/>
      </tp>
      <tp t="s">
        <v>#N/A N/A</v>
        <stp/>
        <stp>BDP|10465734601863237667</stp>
        <tr r="A4483" s="2"/>
      </tp>
      <tp t="s">
        <v>#N/A N/A</v>
        <stp/>
        <stp>BDP|11373239901894281510</stp>
        <tr r="I3396" s="2"/>
      </tp>
      <tp t="s">
        <v>#N/A N/A</v>
        <stp/>
        <stp>BDP|15266146571440718128</stp>
        <tr r="D2033" s="2"/>
      </tp>
      <tp t="s">
        <v>#N/A N/A</v>
        <stp/>
        <stp>BDP|11535618753008364860</stp>
        <tr r="D2464" s="2"/>
      </tp>
      <tp t="s">
        <v>#N/A N/A</v>
        <stp/>
        <stp>BDP|15050335630402785561</stp>
        <tr r="F2896" s="2"/>
      </tp>
      <tp t="s">
        <v>#N/A N/A</v>
        <stp/>
        <stp>BDP|13787515836700203706</stp>
        <tr r="A2674" s="2"/>
      </tp>
      <tp t="s">
        <v>#N/A N/A</v>
        <stp/>
        <stp>BDP|14399166555122365014</stp>
        <tr r="F717" s="2"/>
      </tp>
      <tp t="s">
        <v>#N/A N/A</v>
        <stp/>
        <stp>BDP|18103541936895337926</stp>
        <tr r="A4287" s="2"/>
      </tp>
      <tp t="s">
        <v>#N/A N/A</v>
        <stp/>
        <stp>BDP|10827578608542326561</stp>
        <tr r="C3776" s="2"/>
      </tp>
      <tp t="s">
        <v>#N/A N/A</v>
        <stp/>
        <stp>BDP|12041693979495372418</stp>
        <tr r="C848" s="2"/>
      </tp>
      <tp t="s">
        <v>#N/A N/A</v>
        <stp/>
        <stp>BDP|13803306545697720181</stp>
        <tr r="H4828" s="2"/>
      </tp>
      <tp t="s">
        <v>#N/A N/A</v>
        <stp/>
        <stp>BDP|10863217256366902341</stp>
        <tr r="C3128" s="2"/>
      </tp>
      <tp t="s">
        <v>#N/A N/A</v>
        <stp/>
        <stp>BDP|16922505670707930120</stp>
        <tr r="D925" s="2"/>
      </tp>
      <tp t="s">
        <v>#N/A N/A</v>
        <stp/>
        <stp>BDP|18047915481032651947</stp>
        <tr r="D891" s="2"/>
      </tp>
      <tp t="s">
        <v>#N/A N/A</v>
        <stp/>
        <stp>BDP|16813074835322177593</stp>
        <tr r="G2032" s="2"/>
      </tp>
      <tp t="s">
        <v>#N/A N/A</v>
        <stp/>
        <stp>BDP|10988269709008537810</stp>
        <tr r="G1200" s="2"/>
      </tp>
      <tp t="s">
        <v>#N/A N/A</v>
        <stp/>
        <stp>BDP|15316741905772363233</stp>
        <tr r="I3184" s="2"/>
      </tp>
      <tp t="s">
        <v>#N/A N/A</v>
        <stp/>
        <stp>BDP|15258724012165324430</stp>
        <tr r="C1221" s="2"/>
      </tp>
      <tp t="s">
        <v>#N/A N/A</v>
        <stp/>
        <stp>BDP|13092337309744924619</stp>
        <tr r="I3186" s="2"/>
      </tp>
      <tp t="s">
        <v>#N/A N/A</v>
        <stp/>
        <stp>BDP|15706106501455707330</stp>
        <tr r="D1378" s="2"/>
      </tp>
      <tp t="s">
        <v>#N/A N/A</v>
        <stp/>
        <stp>BDP|17043114729235396399</stp>
        <tr r="B4261" s="2"/>
      </tp>
      <tp t="s">
        <v>#N/A N/A</v>
        <stp/>
        <stp>BDP|14172159936770192411</stp>
        <tr r="I1684" s="2"/>
      </tp>
      <tp t="s">
        <v>#N/A N/A</v>
        <stp/>
        <stp>BDP|12456559543924119515</stp>
        <tr r="G375" s="2"/>
      </tp>
      <tp t="s">
        <v>#N/A N/A</v>
        <stp/>
        <stp>BDP|15326876684723426460</stp>
        <tr r="D509" s="2"/>
      </tp>
      <tp t="s">
        <v>#N/A N/A</v>
        <stp/>
        <stp>BDP|14461997495820391691</stp>
        <tr r="I1475" s="2"/>
      </tp>
      <tp t="s">
        <v>#N/A N/A</v>
        <stp/>
        <stp>BDP|11449638047906629746</stp>
        <tr r="A4834" s="2"/>
      </tp>
      <tp t="s">
        <v>#N/A N/A</v>
        <stp/>
        <stp>BDP|15109345711765776015</stp>
        <tr r="C4412" s="2"/>
      </tp>
      <tp t="s">
        <v>#N/A N/A</v>
        <stp/>
        <stp>BDP|16000060419053524682</stp>
        <tr r="C1859" s="2"/>
      </tp>
      <tp t="s">
        <v>#N/A N/A</v>
        <stp/>
        <stp>BDP|14628178111996616042</stp>
        <tr r="I4433" s="2"/>
      </tp>
      <tp t="s">
        <v>#N/A N/A</v>
        <stp/>
        <stp>BDP|12616954543129670443</stp>
        <tr r="A1028" s="2"/>
      </tp>
      <tp t="s">
        <v>#N/A N/A</v>
        <stp/>
        <stp>BDP|18114445700509513720</stp>
        <tr r="G2641" s="2"/>
      </tp>
      <tp t="s">
        <v>#N/A N/A</v>
        <stp/>
        <stp>BDP|11160234344303560617</stp>
        <tr r="G1901" s="2"/>
      </tp>
      <tp t="s">
        <v>#N/A N/A</v>
        <stp/>
        <stp>BDP|15444561111101816295</stp>
        <tr r="I377" s="2"/>
      </tp>
      <tp t="s">
        <v>#N/A N/A</v>
        <stp/>
        <stp>BDP|11209103673681575462</stp>
        <tr r="B4186" s="2"/>
      </tp>
      <tp t="s">
        <v>#N/A N/A</v>
        <stp/>
        <stp>BDP|14369099004244593293</stp>
        <tr r="A4787" s="2"/>
      </tp>
      <tp t="s">
        <v>#N/A N/A</v>
        <stp/>
        <stp>BDP|13593378159264932307</stp>
        <tr r="F1294" s="2"/>
      </tp>
      <tp t="s">
        <v>#N/A N/A</v>
        <stp/>
        <stp>BDP|14603030925413648747</stp>
        <tr r="F4981" s="2"/>
      </tp>
      <tp t="s">
        <v>#N/A N/A</v>
        <stp/>
        <stp>BDP|13591941929228358298</stp>
        <tr r="D723" s="2"/>
      </tp>
      <tp t="s">
        <v>#N/A N/A</v>
        <stp/>
        <stp>BDP|10121211247385427114</stp>
        <tr r="A2404" s="2"/>
      </tp>
      <tp t="s">
        <v>#N/A N/A</v>
        <stp/>
        <stp>BDP|18018910095658091268</stp>
        <tr r="G1913" s="2"/>
      </tp>
      <tp t="s">
        <v>#N/A N/A</v>
        <stp/>
        <stp>BDP|17719700528148936845</stp>
        <tr r="C88" s="2"/>
      </tp>
      <tp t="s">
        <v>#N/A N/A</v>
        <stp/>
        <stp>BDP|11159258568826619182</stp>
        <tr r="G65" s="2"/>
      </tp>
      <tp t="s">
        <v>#N/A N/A</v>
        <stp/>
        <stp>BDP|17548216962776111752</stp>
        <tr r="A1424" s="2"/>
      </tp>
      <tp t="s">
        <v>#N/A N/A</v>
        <stp/>
        <stp>BDP|12415167911349907980</stp>
        <tr r="A204" s="2"/>
      </tp>
      <tp t="s">
        <v>#N/A N/A</v>
        <stp/>
        <stp>BDP|13966790957162540106</stp>
        <tr r="C4117" s="2"/>
      </tp>
      <tp t="s">
        <v>#N/A N/A</v>
        <stp/>
        <stp>BDP|14450783438266577436</stp>
        <tr r="B680" s="2"/>
      </tp>
      <tp t="s">
        <v>#N/A N/A</v>
        <stp/>
        <stp>BDP|17335720411734425763</stp>
        <tr r="B3128" s="2"/>
      </tp>
      <tp t="s">
        <v>#N/A N/A</v>
        <stp/>
        <stp>BDP|16796518428844556799</stp>
        <tr r="I579" s="2"/>
      </tp>
      <tp t="s">
        <v>#N/A N/A</v>
        <stp/>
        <stp>BDP|16304541914331341122</stp>
        <tr r="I4864" s="2"/>
      </tp>
      <tp t="s">
        <v>#N/A N/A</v>
        <stp/>
        <stp>BDP|13915976396980327198</stp>
        <tr r="D1627" s="2"/>
      </tp>
      <tp t="s">
        <v>#N/A N/A</v>
        <stp/>
        <stp>BDP|12203010216968556928</stp>
        <tr r="H2395" s="2"/>
      </tp>
      <tp t="s">
        <v>#N/A N/A</v>
        <stp/>
        <stp>BDP|17674457353285003159</stp>
        <tr r="D3639" s="2"/>
      </tp>
      <tp t="s">
        <v>#N/A N/A</v>
        <stp/>
        <stp>BDP|16579479167776647066</stp>
        <tr r="H1387" s="2"/>
      </tp>
      <tp t="s">
        <v>#N/A N/A</v>
        <stp/>
        <stp>BDP|13062730247770693273</stp>
        <tr r="B3078" s="2"/>
      </tp>
      <tp t="s">
        <v>#N/A N/A</v>
        <stp/>
        <stp>BDP|15863036400051693682</stp>
        <tr r="D203" s="2"/>
      </tp>
      <tp t="s">
        <v>#N/A N/A</v>
        <stp/>
        <stp>BDP|17173188057231230095</stp>
        <tr r="H4576" s="2"/>
      </tp>
      <tp t="s">
        <v>#N/A N/A</v>
        <stp/>
        <stp>BDP|12367215064936338203</stp>
        <tr r="I652" s="2"/>
      </tp>
      <tp t="s">
        <v>#N/A N/A</v>
        <stp/>
        <stp>BDP|12392273020787776760</stp>
        <tr r="G279" s="2"/>
      </tp>
      <tp t="s">
        <v>#N/A N/A</v>
        <stp/>
        <stp>BDP|11340376038593847019</stp>
        <tr r="F2808" s="2"/>
      </tp>
      <tp t="s">
        <v>#N/A N/A</v>
        <stp/>
        <stp>BDP|10822923586586086596</stp>
        <tr r="C3025" s="2"/>
      </tp>
      <tp t="s">
        <v>#N/A N/A</v>
        <stp/>
        <stp>BDP|10524128223136483759</stp>
        <tr r="I183" s="2"/>
      </tp>
      <tp t="s">
        <v>#N/A N/A</v>
        <stp/>
        <stp>BDP|15367657345527070269</stp>
        <tr r="D3808" s="2"/>
      </tp>
      <tp t="s">
        <v>#N/A N/A</v>
        <stp/>
        <stp>BDP|12992498259912462384</stp>
        <tr r="D1718" s="2"/>
      </tp>
      <tp t="s">
        <v>#N/A N/A</v>
        <stp/>
        <stp>BDP|17996226146545041684</stp>
        <tr r="D3265" s="2"/>
      </tp>
      <tp t="s">
        <v>#N/A N/A</v>
        <stp/>
        <stp>BDP|17599700265033204770</stp>
        <tr r="I4194" s="2"/>
      </tp>
      <tp t="s">
        <v>#N/A N/A</v>
        <stp/>
        <stp>BDP|18149971720936113724</stp>
        <tr r="D4816" s="2"/>
      </tp>
      <tp t="s">
        <v>#N/A N/A</v>
        <stp/>
        <stp>BDP|12003436978846756592</stp>
        <tr r="I1862" s="2"/>
      </tp>
      <tp t="s">
        <v>#N/A N/A</v>
        <stp/>
        <stp>BDP|13551293104203485095</stp>
        <tr r="G1222" s="2"/>
      </tp>
      <tp t="s">
        <v>#N/A N/A</v>
        <stp/>
        <stp>BDP|14797544057071756761</stp>
        <tr r="G1519" s="2"/>
      </tp>
      <tp t="s">
        <v>#N/A N/A</v>
        <stp/>
        <stp>BDP|15511563950766745119</stp>
        <tr r="I3450" s="2"/>
      </tp>
      <tp t="s">
        <v>#N/A N/A</v>
        <stp/>
        <stp>BDP|17028375943843630174</stp>
        <tr r="I1408" s="2"/>
      </tp>
      <tp t="s">
        <v>#N/A N/A</v>
        <stp/>
        <stp>BDP|11625126842393694556</stp>
        <tr r="D1603" s="2"/>
      </tp>
      <tp t="s">
        <v>#N/A N/A</v>
        <stp/>
        <stp>BDP|14224208931457686009</stp>
        <tr r="B1556" s="2"/>
      </tp>
      <tp t="s">
        <v>#N/A N/A</v>
        <stp/>
        <stp>BDP|15385242361284320705</stp>
        <tr r="C4987" s="2"/>
      </tp>
      <tp t="s">
        <v>#N/A N/A</v>
        <stp/>
        <stp>BDP|15330163420853828785</stp>
        <tr r="I2630" s="2"/>
      </tp>
      <tp t="s">
        <v>#N/A N/A</v>
        <stp/>
        <stp>BDP|12681618928521330599</stp>
        <tr r="B4539" s="2"/>
      </tp>
      <tp t="s">
        <v>#N/A N/A</v>
        <stp/>
        <stp>BDP|14656758273165218372</stp>
        <tr r="I2578" s="2"/>
      </tp>
      <tp t="s">
        <v>#N/A N/A</v>
        <stp/>
        <stp>BDP|17316020442243285244</stp>
        <tr r="G1455" s="2"/>
      </tp>
      <tp t="s">
        <v>#N/A N/A</v>
        <stp/>
        <stp>BDP|14549950747933122831</stp>
        <tr r="B3760" s="2"/>
      </tp>
      <tp t="s">
        <v>#N/A N/A</v>
        <stp/>
        <stp>BDP|13534543342193190376</stp>
        <tr r="H4292" s="2"/>
      </tp>
      <tp t="s">
        <v>#N/A N/A</v>
        <stp/>
        <stp>BDP|13538837278698989624</stp>
        <tr r="H929" s="2"/>
      </tp>
      <tp t="s">
        <v>#N/A N/A</v>
        <stp/>
        <stp>BDP|11184005420735345470</stp>
        <tr r="D4112" s="2"/>
      </tp>
      <tp t="s">
        <v>#N/A N/A</v>
        <stp/>
        <stp>BDP|15647156696466681960</stp>
        <tr r="B1489" s="2"/>
      </tp>
      <tp t="s">
        <v>#N/A N/A</v>
        <stp/>
        <stp>BDP|12390564217515732105</stp>
        <tr r="I3551" s="2"/>
      </tp>
      <tp t="s">
        <v>#N/A N/A</v>
        <stp/>
        <stp>BDP|16033607140155583300</stp>
        <tr r="H400" s="2"/>
      </tp>
      <tp t="s">
        <v>#N/A N/A</v>
        <stp/>
        <stp>BDP|13920567158916572776</stp>
        <tr r="B1868" s="2"/>
      </tp>
      <tp t="s">
        <v>#N/A N/A</v>
        <stp/>
        <stp>BDP|18213723085044989196</stp>
        <tr r="F2299" s="2"/>
      </tp>
      <tp t="s">
        <v>#N/A N/A</v>
        <stp/>
        <stp>BDP|13092630816354916297</stp>
        <tr r="A639" s="2"/>
      </tp>
      <tp t="s">
        <v>#N/A N/A</v>
        <stp/>
        <stp>BDP|11769731259850125191</stp>
        <tr r="A2161" s="2"/>
      </tp>
      <tp t="s">
        <v>#N/A N/A</v>
        <stp/>
        <stp>BDP|14632719936653725132</stp>
        <tr r="B1373" s="2"/>
      </tp>
      <tp t="s">
        <v>#N/A N/A</v>
        <stp/>
        <stp>BDP|16025695758637155058</stp>
        <tr r="A3679" s="2"/>
      </tp>
      <tp t="s">
        <v>#N/A N/A</v>
        <stp/>
        <stp>BDP|18307239004019937186</stp>
        <tr r="B3189" s="2"/>
      </tp>
      <tp t="s">
        <v>#N/A N/A</v>
        <stp/>
        <stp>BDP|14048339254098350814</stp>
        <tr r="B4800" s="2"/>
      </tp>
      <tp t="s">
        <v>#N/A N/A</v>
        <stp/>
        <stp>BDP|14381689878784409325</stp>
        <tr r="H685" s="2"/>
      </tp>
      <tp t="s">
        <v>#N/A N/A</v>
        <stp/>
        <stp>BDP|17648549449410989472</stp>
        <tr r="C4309" s="2"/>
      </tp>
      <tp t="s">
        <v>#N/A N/A</v>
        <stp/>
        <stp>BDP|10747865078255413881</stp>
        <tr r="H1402" s="2"/>
      </tp>
      <tp t="s">
        <v>#N/A N/A</v>
        <stp/>
        <stp>BDP|15748204981109062434</stp>
        <tr r="F3902" s="2"/>
      </tp>
      <tp t="s">
        <v>#N/A N/A</v>
        <stp/>
        <stp>BDP|16051393581749433691</stp>
        <tr r="C1012" s="2"/>
      </tp>
      <tp t="s">
        <v>#N/A N/A</v>
        <stp/>
        <stp>BDP|13755148923507791523</stp>
        <tr r="B570" s="2"/>
      </tp>
      <tp t="s">
        <v>#N/A N/A</v>
        <stp/>
        <stp>BDP|10439470143215335760</stp>
        <tr r="F3667" s="2"/>
      </tp>
      <tp t="s">
        <v>#N/A N/A</v>
        <stp/>
        <stp>BDP|13837198916299428869</stp>
        <tr r="D3664" s="2"/>
      </tp>
      <tp t="s">
        <v>#N/A N/A</v>
        <stp/>
        <stp>BDP|14293138527223023633</stp>
        <tr r="C2601" s="2"/>
      </tp>
      <tp t="s">
        <v>#N/A N/A</v>
        <stp/>
        <stp>BDP|10399059841321272706</stp>
        <tr r="H3284" s="2"/>
      </tp>
      <tp t="s">
        <v>#N/A N/A</v>
        <stp/>
        <stp>BDP|18427741324436275932</stp>
        <tr r="A4202" s="2"/>
      </tp>
      <tp t="s">
        <v>#N/A N/A</v>
        <stp/>
        <stp>BDP|17474178502892515617</stp>
        <tr r="G695" s="2"/>
      </tp>
      <tp t="s">
        <v>#N/A N/A</v>
        <stp/>
        <stp>BDP|14166091189188530614</stp>
        <tr r="A3650" s="2"/>
      </tp>
      <tp t="s">
        <v>#N/A N/A</v>
        <stp/>
        <stp>BDP|14259773007713721202</stp>
        <tr r="B971" s="2"/>
      </tp>
      <tp t="s">
        <v>#N/A N/A</v>
        <stp/>
        <stp>BDP|12462311820100022105</stp>
        <tr r="C1133" s="2"/>
      </tp>
      <tp t="s">
        <v>#N/A N/A</v>
        <stp/>
        <stp>BDP|14381718616093546345</stp>
        <tr r="H1044" s="2"/>
      </tp>
      <tp t="s">
        <v>#N/A N/A</v>
        <stp/>
        <stp>BDP|16003993987910321589</stp>
        <tr r="F623" s="2"/>
      </tp>
      <tp t="s">
        <v>#N/A N/A</v>
        <stp/>
        <stp>BDP|14150103225100025514</stp>
        <tr r="I1521" s="2"/>
      </tp>
      <tp t="s">
        <v>#N/A N/A</v>
        <stp/>
        <stp>BDP|10394412311880409722</stp>
        <tr r="C2735" s="2"/>
      </tp>
      <tp t="s">
        <v>#N/A N/A</v>
        <stp/>
        <stp>BDP|14201022329806492282</stp>
        <tr r="C2496" s="2"/>
      </tp>
      <tp t="s">
        <v>#N/A N/A</v>
        <stp/>
        <stp>BDP|13971698206713280411</stp>
        <tr r="A3522" s="2"/>
      </tp>
      <tp t="s">
        <v>#N/A N/A</v>
        <stp/>
        <stp>BDP|10088183558764352269</stp>
        <tr r="I3807" s="2"/>
      </tp>
      <tp t="s">
        <v>#N/A N/A</v>
        <stp/>
        <stp>BDP|13425660821753703615</stp>
        <tr r="G345" s="2"/>
      </tp>
      <tp t="s">
        <v>#N/A N/A</v>
        <stp/>
        <stp>BDP|13800399304987401540</stp>
        <tr r="B365" s="2"/>
      </tp>
      <tp t="s">
        <v>#N/A N/A</v>
        <stp/>
        <stp>BDP|15729552914794313706</stp>
        <tr r="A3477" s="2"/>
      </tp>
      <tp t="s">
        <v>#N/A N/A</v>
        <stp/>
        <stp>BDP|13966918886900340084</stp>
        <tr r="C4787" s="2"/>
      </tp>
      <tp t="s">
        <v>#N/A N/A</v>
        <stp/>
        <stp>BDP|16788510223347557459</stp>
        <tr r="C3253" s="2"/>
      </tp>
      <tp t="s">
        <v>#N/A N/A</v>
        <stp/>
        <stp>BDP|15750555829479634980</stp>
        <tr r="F2358" s="2"/>
      </tp>
      <tp t="s">
        <v>#N/A N/A</v>
        <stp/>
        <stp>BDP|10661875373918596524</stp>
        <tr r="H4285" s="2"/>
      </tp>
      <tp t="s">
        <v>#N/A N/A</v>
        <stp/>
        <stp>BDP|14463601713768562971</stp>
        <tr r="C4629" s="2"/>
      </tp>
      <tp t="s">
        <v>#N/A N/A</v>
        <stp/>
        <stp>BDP|15539973902618701621</stp>
        <tr r="F4876" s="2"/>
      </tp>
      <tp t="s">
        <v>#N/A N/A</v>
        <stp/>
        <stp>BDP|14136855486592218455</stp>
        <tr r="H3667" s="2"/>
      </tp>
      <tp t="s">
        <v>#N/A N/A</v>
        <stp/>
        <stp>BDP|12709408607906042253</stp>
        <tr r="C691" s="2"/>
      </tp>
      <tp t="s">
        <v>#N/A N/A</v>
        <stp/>
        <stp>BDP|16788531771134371239</stp>
        <tr r="C3629" s="2"/>
      </tp>
      <tp t="s">
        <v>#N/A N/A</v>
        <stp/>
        <stp>BDP|15824536519556075570</stp>
        <tr r="A1188" s="2"/>
      </tp>
      <tp t="s">
        <v>#N/A N/A</v>
        <stp/>
        <stp>BDP|14596286070303186092</stp>
        <tr r="I670" s="2"/>
      </tp>
      <tp t="s">
        <v>#N/A N/A</v>
        <stp/>
        <stp>BDP|11558122582763909996</stp>
        <tr r="B144" s="2"/>
      </tp>
      <tp t="s">
        <v>#N/A N/A</v>
        <stp/>
        <stp>BDP|18180176682840810391</stp>
        <tr r="I923" s="2"/>
      </tp>
      <tp t="s">
        <v>#N/A N/A</v>
        <stp/>
        <stp>BDP|18255587079768501033</stp>
        <tr r="A1393" s="2"/>
      </tp>
      <tp t="s">
        <v>#N/A N/A</v>
        <stp/>
        <stp>BDP|10649277441544525001</stp>
        <tr r="F755" s="2"/>
      </tp>
      <tp t="s">
        <v>#N/A N/A</v>
        <stp/>
        <stp>BDP|13128347870655849082</stp>
        <tr r="I382" s="2"/>
      </tp>
      <tp t="s">
        <v>#N/A N/A</v>
        <stp/>
        <stp>BDP|15219573241446958086</stp>
        <tr r="I1557" s="2"/>
      </tp>
      <tp t="s">
        <v>#N/A N/A</v>
        <stp/>
        <stp>BDP|18331951720003261211</stp>
        <tr r="B623" s="2"/>
      </tp>
      <tp t="s">
        <v>#N/A N/A</v>
        <stp/>
        <stp>BDP|11307218083811676822</stp>
        <tr r="A3815" s="2"/>
      </tp>
      <tp t="s">
        <v>#N/A N/A</v>
        <stp/>
        <stp>BDP|11517325510132031323</stp>
        <tr r="C3932" s="2"/>
      </tp>
      <tp t="s">
        <v>#N/A N/A</v>
        <stp/>
        <stp>BDP|17784698448357456073</stp>
        <tr r="B1536" s="2"/>
      </tp>
      <tp t="s">
        <v>#N/A N/A</v>
        <stp/>
        <stp>BDP|17787730311444113718</stp>
        <tr r="B1179" s="2"/>
      </tp>
      <tp t="s">
        <v>#N/A N/A</v>
        <stp/>
        <stp>BDP|14277224823177154173</stp>
        <tr r="G3290" s="2"/>
      </tp>
      <tp t="s">
        <v>#N/A N/A</v>
        <stp/>
        <stp>BDP|17205596130270808360</stp>
        <tr r="F2493" s="2"/>
      </tp>
      <tp t="s">
        <v>#N/A N/A</v>
        <stp/>
        <stp>BDP|12632176551514123046</stp>
        <tr r="D1657" s="2"/>
      </tp>
      <tp t="s">
        <v>#N/A N/A</v>
        <stp/>
        <stp>BDP|16953105814450859405</stp>
        <tr r="F95" s="2"/>
      </tp>
      <tp t="s">
        <v>#N/A N/A</v>
        <stp/>
        <stp>BDP|13785820781521191000</stp>
        <tr r="F3930" s="2"/>
      </tp>
      <tp t="s">
        <v>#N/A N/A</v>
        <stp/>
        <stp>BDP|13071162316231271074</stp>
        <tr r="I3942" s="2"/>
      </tp>
      <tp t="s">
        <v>#N/A N/A</v>
        <stp/>
        <stp>BDP|17616169024852603474</stp>
        <tr r="C2021" s="2"/>
      </tp>
      <tp t="s">
        <v>#N/A N/A</v>
        <stp/>
        <stp>BDP|14133147363368188934</stp>
        <tr r="H4394" s="2"/>
      </tp>
      <tp t="s">
        <v>#N/A N/A</v>
        <stp/>
        <stp>BDP|14786700257492174650</stp>
        <tr r="H723" s="2"/>
      </tp>
      <tp t="s">
        <v>#N/A N/A</v>
        <stp/>
        <stp>BDP|17671586033064993703</stp>
        <tr r="I3472" s="2"/>
      </tp>
      <tp t="s">
        <v>#N/A N/A</v>
        <stp/>
        <stp>BDP|17042127817334685172</stp>
        <tr r="F1337" s="2"/>
      </tp>
      <tp t="s">
        <v>#N/A N/A</v>
        <stp/>
        <stp>BDP|10037976887265091644</stp>
        <tr r="B2070" s="2"/>
      </tp>
      <tp t="s">
        <v>#N/A N/A</v>
        <stp/>
        <stp>BDP|13278275765814165156</stp>
        <tr r="D1495" s="2"/>
      </tp>
      <tp t="s">
        <v>#N/A N/A</v>
        <stp/>
        <stp>BDP|18169179681831588265</stp>
        <tr r="B226" s="2"/>
      </tp>
      <tp t="s">
        <v>#N/A N/A</v>
        <stp/>
        <stp>BDP|14499651433693542030</stp>
        <tr r="I1450" s="2"/>
      </tp>
      <tp t="s">
        <v>#N/A N/A</v>
        <stp/>
        <stp>BDP|13540621863709508858</stp>
        <tr r="A303" s="2"/>
      </tp>
      <tp t="s">
        <v>#N/A N/A</v>
        <stp/>
        <stp>BDP|13110332703967152545</stp>
        <tr r="F4026" s="2"/>
      </tp>
      <tp t="s">
        <v>#N/A N/A</v>
        <stp/>
        <stp>BDP|11659486493598069699</stp>
        <tr r="H74" s="2"/>
      </tp>
      <tp t="s">
        <v>#N/A N/A</v>
        <stp/>
        <stp>BDP|10371572136684737019</stp>
        <tr r="A1856" s="2"/>
      </tp>
      <tp t="s">
        <v>#N/A N/A</v>
        <stp/>
        <stp>BDP|15882470336962598281</stp>
        <tr r="F892" s="2"/>
      </tp>
      <tp t="s">
        <v>#N/A N/A</v>
        <stp/>
        <stp>BDP|17513109933236343117</stp>
        <tr r="I190" s="2"/>
      </tp>
      <tp t="s">
        <v>#N/A N/A</v>
        <stp/>
        <stp>BDP|12885507114752815600</stp>
        <tr r="B2917" s="2"/>
      </tp>
      <tp t="s">
        <v>#N/A N/A</v>
        <stp/>
        <stp>BDP|13560228583308113315</stp>
        <tr r="F2521" s="2"/>
      </tp>
      <tp t="s">
        <v>#N/A N/A</v>
        <stp/>
        <stp>BDP|15707040105537188035</stp>
        <tr r="A1312" s="2"/>
      </tp>
      <tp t="s">
        <v>#N/A N/A</v>
        <stp/>
        <stp>BDP|11296414225967680243</stp>
        <tr r="B4368" s="2"/>
      </tp>
      <tp t="s">
        <v>#N/A N/A</v>
        <stp/>
        <stp>BDP|16420670239396869768</stp>
        <tr r="A1100" s="2"/>
      </tp>
      <tp t="s">
        <v>#N/A N/A</v>
        <stp/>
        <stp>BDP|14127820398701729689</stp>
        <tr r="H4147" s="2"/>
      </tp>
      <tp t="s">
        <v>#N/A N/A</v>
        <stp/>
        <stp>BDP|17082695467424839124</stp>
        <tr r="C1853" s="2"/>
      </tp>
      <tp t="s">
        <v>#N/A N/A</v>
        <stp/>
        <stp>BDP|16209769971267059310</stp>
        <tr r="D4894" s="2"/>
      </tp>
      <tp t="s">
        <v>#N/A N/A</v>
        <stp/>
        <stp>BDP|12893204519651044251</stp>
        <tr r="A2140" s="2"/>
      </tp>
      <tp t="s">
        <v>#N/A N/A</v>
        <stp/>
        <stp>BDP|16612236385948343674</stp>
        <tr r="G2590" s="2"/>
      </tp>
      <tp t="s">
        <v>#N/A N/A</v>
        <stp/>
        <stp>BDP|15987761738446105523</stp>
        <tr r="D1942" s="2"/>
      </tp>
      <tp t="s">
        <v>#N/A N/A</v>
        <stp/>
        <stp>BDP|13911049175087578191</stp>
        <tr r="F1712" s="2"/>
      </tp>
      <tp t="s">
        <v>#N/A N/A</v>
        <stp/>
        <stp>BDP|17520609933485011520</stp>
        <tr r="G72" s="2"/>
      </tp>
      <tp t="s">
        <v>#N/A N/A</v>
        <stp/>
        <stp>BDP|14258098578692729304</stp>
        <tr r="C570" s="2"/>
      </tp>
      <tp t="s">
        <v>#N/A N/A</v>
        <stp/>
        <stp>BDP|14161048201746338037</stp>
        <tr r="C3744" s="2"/>
      </tp>
      <tp t="s">
        <v>#N/A N/A</v>
        <stp/>
        <stp>BDP|10347278156421011464</stp>
        <tr r="D3842" s="2"/>
      </tp>
      <tp t="s">
        <v>#N/A N/A</v>
        <stp/>
        <stp>BDP|12525249542470624610</stp>
        <tr r="C1840" s="2"/>
      </tp>
      <tp t="s">
        <v>#N/A N/A</v>
        <stp/>
        <stp>BDP|17272807230397296946</stp>
        <tr r="G2656" s="2"/>
      </tp>
      <tp t="s">
        <v>#N/A N/A</v>
        <stp/>
        <stp>BDP|18374538973579725104</stp>
        <tr r="I885" s="2"/>
      </tp>
      <tp t="s">
        <v>#N/A N/A</v>
        <stp/>
        <stp>BDP|12862460528794100232</stp>
        <tr r="D3644" s="2"/>
      </tp>
      <tp t="s">
        <v>#N/A N/A</v>
        <stp/>
        <stp>BDP|17513832961348245317</stp>
        <tr r="B3663" s="2"/>
      </tp>
      <tp t="s">
        <v>#N/A N/A</v>
        <stp/>
        <stp>BDP|16901481852950336548</stp>
        <tr r="B3123" s="2"/>
      </tp>
      <tp t="s">
        <v>#N/A N/A</v>
        <stp/>
        <stp>BDP|16605495715729935872</stp>
        <tr r="G130" s="2"/>
      </tp>
      <tp t="s">
        <v>#N/A N/A</v>
        <stp/>
        <stp>BDP|15848088728803958652</stp>
        <tr r="D4421" s="2"/>
      </tp>
      <tp t="s">
        <v>#N/A N/A</v>
        <stp/>
        <stp>BDP|15326261170096858495</stp>
        <tr r="H3915" s="2"/>
      </tp>
      <tp t="s">
        <v>#N/A N/A</v>
        <stp/>
        <stp>BDP|10220937195206400444</stp>
        <tr r="D2731" s="2"/>
      </tp>
      <tp t="s">
        <v>#N/A N/A</v>
        <stp/>
        <stp>BDP|11148062136566234672</stp>
        <tr r="I3278" s="2"/>
      </tp>
      <tp t="s">
        <v>#N/A N/A</v>
        <stp/>
        <stp>BDP|12741503041529779857</stp>
        <tr r="A4223" s="2"/>
      </tp>
      <tp t="s">
        <v>#N/A N/A</v>
        <stp/>
        <stp>BDP|13291885249574531928</stp>
        <tr r="C1020" s="2"/>
      </tp>
      <tp t="s">
        <v>#N/A N/A</v>
        <stp/>
        <stp>BDP|13182384619582188153</stp>
        <tr r="I1526" s="2"/>
      </tp>
      <tp t="s">
        <v>#N/A N/A</v>
        <stp/>
        <stp>BDP|10997421610990709783</stp>
        <tr r="G3768" s="2"/>
      </tp>
      <tp t="s">
        <v>#N/A N/A</v>
        <stp/>
        <stp>BDP|15373034873030718000</stp>
        <tr r="C840" s="2"/>
      </tp>
      <tp t="s">
        <v>#N/A N/A</v>
        <stp/>
        <stp>BDP|17451248924193683666</stp>
        <tr r="H3384" s="2"/>
      </tp>
      <tp t="s">
        <v>#N/A N/A</v>
        <stp/>
        <stp>BDP|12716118972690069608</stp>
        <tr r="A2957" s="2"/>
      </tp>
      <tp t="s">
        <v>#N/A N/A</v>
        <stp/>
        <stp>BDP|11544346954123424650</stp>
        <tr r="A3876" s="2"/>
      </tp>
      <tp t="s">
        <v>#N/A N/A</v>
        <stp/>
        <stp>BDP|10464664455371737043</stp>
        <tr r="I4336" s="2"/>
      </tp>
      <tp t="s">
        <v>#N/A N/A</v>
        <stp/>
        <stp>BDP|15112374644222374251</stp>
        <tr r="G4780" s="2"/>
      </tp>
      <tp t="s">
        <v>#N/A N/A</v>
        <stp/>
        <stp>BDP|16634576282589072077</stp>
        <tr r="I4871" s="2"/>
      </tp>
      <tp t="s">
        <v>#N/A N/A</v>
        <stp/>
        <stp>BDP|12594855304599888181</stp>
        <tr r="F360" s="2"/>
      </tp>
      <tp t="s">
        <v>#N/A N/A</v>
        <stp/>
        <stp>BDP|10173336364295319212</stp>
        <tr r="I1530" s="2"/>
      </tp>
      <tp t="s">
        <v>#N/A N/A</v>
        <stp/>
        <stp>BDP|14026733948741908466</stp>
        <tr r="B3192" s="2"/>
      </tp>
      <tp t="s">
        <v>#N/A N/A</v>
        <stp/>
        <stp>BDP|10001041227144135463</stp>
        <tr r="C278" s="2"/>
      </tp>
      <tp t="s">
        <v>#N/A N/A</v>
        <stp/>
        <stp>BDP|18062308591919564901</stp>
        <tr r="A3272" s="2"/>
      </tp>
      <tp t="s">
        <v>#N/A N/A</v>
        <stp/>
        <stp>BDP|11789183519146780555</stp>
        <tr r="H1375" s="2"/>
      </tp>
      <tp t="s">
        <v>#N/A N/A</v>
        <stp/>
        <stp>BDP|11317966082290575265</stp>
        <tr r="H3960" s="2"/>
      </tp>
      <tp t="s">
        <v>#N/A N/A</v>
        <stp/>
        <stp>BDP|18319215808329685188</stp>
        <tr r="H3957" s="2"/>
      </tp>
      <tp t="s">
        <v>#N/A N/A</v>
        <stp/>
        <stp>BDP|18374496151443811873</stp>
        <tr r="F1921" s="2"/>
      </tp>
      <tp t="s">
        <v>#N/A N/A</v>
        <stp/>
        <stp>BDP|13621312727642501211</stp>
        <tr r="G3868" s="2"/>
      </tp>
      <tp t="s">
        <v>#N/A N/A</v>
        <stp/>
        <stp>BDP|11322517725290771446</stp>
        <tr r="H4167" s="2"/>
      </tp>
      <tp t="s">
        <v>#N/A N/A</v>
        <stp/>
        <stp>BDP|14473677402696790629</stp>
        <tr r="B1752" s="2"/>
      </tp>
      <tp t="s">
        <v>#N/A N/A</v>
        <stp/>
        <stp>BDP|11041824317659592349</stp>
        <tr r="B1783" s="2"/>
      </tp>
      <tp t="s">
        <v>#N/A N/A</v>
        <stp/>
        <stp>BDP|11445414686938385747</stp>
        <tr r="H1544" s="2"/>
      </tp>
      <tp t="s">
        <v>#N/A N/A</v>
        <stp/>
        <stp>BDP|14119229989268893465</stp>
        <tr r="G1536" s="2"/>
      </tp>
      <tp t="s">
        <v>#N/A N/A</v>
        <stp/>
        <stp>BDP|11383636541476445718</stp>
        <tr r="H4431" s="2"/>
      </tp>
      <tp t="s">
        <v>#N/A N/A</v>
        <stp/>
        <stp>BDP|13256916797344945592</stp>
        <tr r="H1253" s="2"/>
      </tp>
      <tp t="s">
        <v>#N/A N/A</v>
        <stp/>
        <stp>BDP|12028029625224141628</stp>
        <tr r="F3460" s="2"/>
      </tp>
      <tp t="s">
        <v>#N/A N/A</v>
        <stp/>
        <stp>BDP|12057761428443868623</stp>
        <tr r="I3236" s="2"/>
      </tp>
      <tp t="s">
        <v>#N/A N/A</v>
        <stp/>
        <stp>BDP|15613822345189472210</stp>
        <tr r="C669" s="2"/>
      </tp>
      <tp t="s">
        <v>#N/A N/A</v>
        <stp/>
        <stp>BDP|12006057155415023044</stp>
        <tr r="B4588" s="2"/>
      </tp>
      <tp t="s">
        <v>#N/A N/A</v>
        <stp/>
        <stp>BDP|11464373404169444975</stp>
        <tr r="B2556" s="2"/>
      </tp>
      <tp t="s">
        <v>#N/A N/A</v>
        <stp/>
        <stp>BDP|14264442725585217554</stp>
        <tr r="F4772" s="2"/>
      </tp>
      <tp t="s">
        <v>#N/A N/A</v>
        <stp/>
        <stp>BDP|10222426975605310427</stp>
        <tr r="C1680" s="2"/>
      </tp>
      <tp t="s">
        <v>#N/A N/A</v>
        <stp/>
        <stp>BDP|13062737349311815367</stp>
        <tr r="H4503" s="2"/>
      </tp>
      <tp t="s">
        <v>#N/A N/A</v>
        <stp/>
        <stp>BDP|12116369529156352798</stp>
        <tr r="A3755" s="2"/>
      </tp>
      <tp t="s">
        <v>#N/A N/A</v>
        <stp/>
        <stp>BDP|14083374513537182315</stp>
        <tr r="D3134" s="2"/>
      </tp>
      <tp t="s">
        <v>#N/A N/A</v>
        <stp/>
        <stp>BDP|15091910427144687844</stp>
        <tr r="I3099" s="2"/>
      </tp>
      <tp t="s">
        <v>#N/A N/A</v>
        <stp/>
        <stp>BDP|17665226243323613056</stp>
        <tr r="B2527" s="2"/>
      </tp>
      <tp t="s">
        <v>#N/A N/A</v>
        <stp/>
        <stp>BDP|15396246917650476435</stp>
        <tr r="H1263" s="2"/>
      </tp>
      <tp t="s">
        <v>#N/A N/A</v>
        <stp/>
        <stp>BDP|11120301226716579458</stp>
        <tr r="B993" s="2"/>
      </tp>
      <tp t="s">
        <v>#N/A N/A</v>
        <stp/>
        <stp>BDP|16902343898416681844</stp>
        <tr r="F4168" s="2"/>
      </tp>
      <tp t="s">
        <v>#N/A N/A</v>
        <stp/>
        <stp>BDP|16829135312834878063</stp>
        <tr r="A1440" s="2"/>
      </tp>
      <tp t="s">
        <v>#N/A N/A</v>
        <stp/>
        <stp>BDP|18133168454209717733</stp>
        <tr r="A365" s="2"/>
      </tp>
      <tp t="s">
        <v>#N/A N/A</v>
        <stp/>
        <stp>BDP|17032602423184693523</stp>
        <tr r="G1180" s="2"/>
      </tp>
      <tp t="s">
        <v>#N/A N/A</v>
        <stp/>
        <stp>BDP|11889181424300096039</stp>
        <tr r="C2190" s="2"/>
      </tp>
      <tp t="s">
        <v>#N/A N/A</v>
        <stp/>
        <stp>BDP|16845588205640045124</stp>
        <tr r="F1528" s="2"/>
      </tp>
      <tp t="s">
        <v>#N/A N/A</v>
        <stp/>
        <stp>BDP|10822360245390838548</stp>
        <tr r="H4360" s="2"/>
      </tp>
      <tp t="s">
        <v>#N/A N/A</v>
        <stp/>
        <stp>BDP|13965182611603493231</stp>
        <tr r="A1412" s="2"/>
      </tp>
      <tp t="s">
        <v>#N/A N/A</v>
        <stp/>
        <stp>BDP|11981988600638097265</stp>
        <tr r="D4072" s="2"/>
      </tp>
      <tp t="s">
        <v>#N/A N/A</v>
        <stp/>
        <stp>BDP|16266078507543214770</stp>
        <tr r="H1589" s="2"/>
      </tp>
      <tp t="s">
        <v>#N/A N/A</v>
        <stp/>
        <stp>BDP|11347954311742095907</stp>
        <tr r="G1921" s="2"/>
      </tp>
      <tp t="s">
        <v>#N/A N/A</v>
        <stp/>
        <stp>BDP|14044562103665705659</stp>
        <tr r="F2675" s="2"/>
      </tp>
      <tp t="s">
        <v>#N/A N/A</v>
        <stp/>
        <stp>BDP|13158393478865439034</stp>
        <tr r="F760" s="2"/>
      </tp>
      <tp t="s">
        <v>#N/A N/A</v>
        <stp/>
        <stp>BDP|14680109460638964988</stp>
        <tr r="B4090" s="2"/>
      </tp>
      <tp t="s">
        <v>#N/A N/A</v>
        <stp/>
        <stp>BDP|12374507340008599911</stp>
        <tr r="F347" s="2"/>
      </tp>
      <tp t="s">
        <v>#N/A N/A</v>
        <stp/>
        <stp>BDP|16796651011773268061</stp>
        <tr r="C3444" s="2"/>
      </tp>
      <tp t="s">
        <v>#N/A N/A</v>
        <stp/>
        <stp>BDP|10086013184669107335</stp>
        <tr r="B4336" s="2"/>
      </tp>
      <tp t="s">
        <v>#N/A N/A</v>
        <stp/>
        <stp>BDP|11841574779775880497</stp>
        <tr r="D3290" s="2"/>
      </tp>
      <tp t="s">
        <v>#N/A N/A</v>
        <stp/>
        <stp>BDP|16656533852397396334</stp>
        <tr r="A3727" s="2"/>
      </tp>
      <tp t="s">
        <v>#N/A N/A</v>
        <stp/>
        <stp>BDP|12087847882747409750</stp>
        <tr r="H3382" s="2"/>
      </tp>
      <tp t="s">
        <v>#N/A N/A</v>
        <stp/>
        <stp>BDP|12681887111598965113</stp>
        <tr r="C3097" s="2"/>
      </tp>
      <tp t="s">
        <v>#N/A N/A</v>
        <stp/>
        <stp>BDP|16496214867771325167</stp>
        <tr r="F134" s="2"/>
      </tp>
      <tp t="s">
        <v>#N/A N/A</v>
        <stp/>
        <stp>BDP|15772035944653731008</stp>
        <tr r="A2088" s="2"/>
      </tp>
      <tp t="s">
        <v>#N/A N/A</v>
        <stp/>
        <stp>BDP|12780692372579943824</stp>
        <tr r="D3025" s="2"/>
      </tp>
      <tp t="s">
        <v>#N/A N/A</v>
        <stp/>
        <stp>BDP|17096662772002476673</stp>
        <tr r="I1394" s="2"/>
      </tp>
      <tp t="s">
        <v>#N/A N/A</v>
        <stp/>
        <stp>BDP|15299795053287737282</stp>
        <tr r="I1750" s="2"/>
      </tp>
      <tp t="s">
        <v>#N/A N/A</v>
        <stp/>
        <stp>BDP|13885110955644259194</stp>
        <tr r="D1711" s="2"/>
      </tp>
      <tp t="s">
        <v>#N/A N/A</v>
        <stp/>
        <stp>BDP|15102622201827511604</stp>
        <tr r="G690" s="2"/>
      </tp>
      <tp t="s">
        <v>#N/A N/A</v>
        <stp/>
        <stp>BDP|15504405060733459669</stp>
        <tr r="G1379" s="2"/>
      </tp>
      <tp t="s">
        <v>#N/A N/A</v>
        <stp/>
        <stp>BDP|16713898643041249983</stp>
        <tr r="G3583" s="2"/>
      </tp>
      <tp t="s">
        <v>#N/A N/A</v>
        <stp/>
        <stp>BDP|10686959140337142858</stp>
        <tr r="A4032" s="2"/>
      </tp>
      <tp t="s">
        <v>#N/A N/A</v>
        <stp/>
        <stp>BDP|11318159793143669841</stp>
        <tr r="A121" s="2"/>
      </tp>
      <tp t="s">
        <v>#N/A N/A</v>
        <stp/>
        <stp>BDP|12329527463117582401</stp>
        <tr r="A4804" s="2"/>
      </tp>
      <tp t="s">
        <v>#N/A N/A</v>
        <stp/>
        <stp>BDP|11836495473300108048</stp>
        <tr r="I238" s="2"/>
      </tp>
      <tp t="s">
        <v>#N/A N/A</v>
        <stp/>
        <stp>BDP|13090325695339950297</stp>
        <tr r="F3326" s="2"/>
      </tp>
      <tp t="s">
        <v>#N/A N/A</v>
        <stp/>
        <stp>BDP|14057025936483689650</stp>
        <tr r="I2472" s="2"/>
      </tp>
      <tp t="s">
        <v>#N/A N/A</v>
        <stp/>
        <stp>BDP|16204771825562442333</stp>
        <tr r="A1727" s="2"/>
      </tp>
      <tp t="s">
        <v>#N/A N/A</v>
        <stp/>
        <stp>BDP|13011142851757607247</stp>
        <tr r="C2646" s="2"/>
      </tp>
      <tp t="s">
        <v>#N/A N/A</v>
        <stp/>
        <stp>BDP|17962311175164962533</stp>
        <tr r="B363" s="2"/>
      </tp>
      <tp t="s">
        <v>#N/A N/A</v>
        <stp/>
        <stp>BDP|10032181566607921205</stp>
        <tr r="B1604" s="2"/>
      </tp>
      <tp t="s">
        <v>#N/A N/A</v>
        <stp/>
        <stp>BDP|13841605665327293688</stp>
        <tr r="A2291" s="2"/>
      </tp>
      <tp t="s">
        <v>#N/A N/A</v>
        <stp/>
        <stp>BDP|12431530235135131342</stp>
        <tr r="C4472" s="2"/>
      </tp>
      <tp t="s">
        <v>#N/A N/A</v>
        <stp/>
        <stp>BDP|13944877118239907182</stp>
        <tr r="G1686" s="2"/>
      </tp>
      <tp t="s">
        <v>#N/A N/A</v>
        <stp/>
        <stp>BDP|12584305582058989394</stp>
        <tr r="A1128" s="2"/>
      </tp>
      <tp t="s">
        <v>#N/A N/A</v>
        <stp/>
        <stp>BDP|11039495107830190786</stp>
        <tr r="C3592" s="2"/>
      </tp>
      <tp t="s">
        <v>#N/A N/A</v>
        <stp/>
        <stp>BDP|11278013443022614514</stp>
        <tr r="B3063" s="2"/>
      </tp>
      <tp t="s">
        <v>#N/A N/A</v>
        <stp/>
        <stp>BDP|10392479482038920683</stp>
        <tr r="D4917" s="2"/>
      </tp>
      <tp t="s">
        <v>#N/A N/A</v>
        <stp/>
        <stp>BDP|13757756224445140102</stp>
        <tr r="D562" s="2"/>
      </tp>
      <tp t="s">
        <v>#N/A N/A</v>
        <stp/>
        <stp>BDP|15934929154572063988</stp>
        <tr r="H3087" s="2"/>
      </tp>
      <tp t="s">
        <v>#N/A N/A</v>
        <stp/>
        <stp>BDP|16211060425137097168</stp>
        <tr r="H2519" s="2"/>
      </tp>
      <tp t="s">
        <v>#N/A N/A</v>
        <stp/>
        <stp>BDP|14301002311632141541</stp>
        <tr r="H2576" s="2"/>
      </tp>
      <tp t="s">
        <v>#N/A N/A</v>
        <stp/>
        <stp>BDP|16799219723353708752</stp>
        <tr r="I3594" s="2"/>
      </tp>
      <tp t="s">
        <v>#N/A N/A</v>
        <stp/>
        <stp>BDP|13939903543178449494</stp>
        <tr r="B589" s="2"/>
      </tp>
      <tp t="s">
        <v>#N/A N/A</v>
        <stp/>
        <stp>BDP|13326202949570521787</stp>
        <tr r="B4731" s="2"/>
      </tp>
      <tp t="s">
        <v>#N/A N/A</v>
        <stp/>
        <stp>BDP|18009958272770994496</stp>
        <tr r="F3856" s="2"/>
      </tp>
      <tp t="s">
        <v>#N/A N/A</v>
        <stp/>
        <stp>BDP|17784925731206388907</stp>
        <tr r="D1917" s="2"/>
      </tp>
      <tp t="s">
        <v>#N/A N/A</v>
        <stp/>
        <stp>BDP|12095863477857771815</stp>
        <tr r="I3660" s="2"/>
      </tp>
      <tp t="s">
        <v>#N/A N/A</v>
        <stp/>
        <stp>BDP|14368676992429806094</stp>
        <tr r="A4142" s="2"/>
      </tp>
      <tp t="s">
        <v>#N/A N/A</v>
        <stp/>
        <stp>BDP|13284309195863117818</stp>
        <tr r="A964" s="2"/>
      </tp>
      <tp t="s">
        <v>#N/A N/A</v>
        <stp/>
        <stp>BDP|16261003671617212462</stp>
        <tr r="I1508" s="2"/>
      </tp>
      <tp t="s">
        <v>#N/A N/A</v>
        <stp/>
        <stp>BDP|14244345690278123401</stp>
        <tr r="G3597" s="2"/>
      </tp>
      <tp t="s">
        <v>#N/A N/A</v>
        <stp/>
        <stp>BDP|13672944295543304236</stp>
        <tr r="G650" s="2"/>
      </tp>
      <tp t="s">
        <v>#N/A N/A</v>
        <stp/>
        <stp>BDP|11904223609796247777</stp>
        <tr r="A119" s="2"/>
      </tp>
      <tp t="s">
        <v>#N/A N/A</v>
        <stp/>
        <stp>BDP|15249572434400268143</stp>
        <tr r="A3417" s="2"/>
      </tp>
      <tp t="s">
        <v>#N/A N/A</v>
        <stp/>
        <stp>BDP|16555364325915060019</stp>
        <tr r="C4284" s="2"/>
      </tp>
      <tp t="s">
        <v>#N/A N/A</v>
        <stp/>
        <stp>BDP|17592943722209062749</stp>
        <tr r="D4802" s="2"/>
      </tp>
      <tp t="s">
        <v>#N/A N/A</v>
        <stp/>
        <stp>BDP|11609085830213941304</stp>
        <tr r="H753" s="2"/>
      </tp>
      <tp t="s">
        <v>#N/A N/A</v>
        <stp/>
        <stp>BDP|14092556477826386268</stp>
        <tr r="A374" s="2"/>
      </tp>
      <tp t="s">
        <v>#N/A N/A</v>
        <stp/>
        <stp>BDP|11701258537824578671</stp>
        <tr r="D3195" s="2"/>
      </tp>
      <tp t="s">
        <v>#N/A N/A</v>
        <stp/>
        <stp>BDP|11272141350757373020</stp>
        <tr r="B1358" s="2"/>
      </tp>
      <tp t="s">
        <v>#N/A N/A</v>
        <stp/>
        <stp>BDP|16673408012907135623</stp>
        <tr r="F975" s="2"/>
      </tp>
      <tp t="s">
        <v>#N/A N/A</v>
        <stp/>
        <stp>BDP|16240200276388189929</stp>
        <tr r="C211" s="2"/>
      </tp>
      <tp t="s">
        <v>#N/A N/A</v>
        <stp/>
        <stp>BDP|13326997728342547804</stp>
        <tr r="B4816" s="2"/>
      </tp>
      <tp t="s">
        <v>#N/A N/A</v>
        <stp/>
        <stp>BDP|17218544039642113197</stp>
        <tr r="G3621" s="2"/>
      </tp>
      <tp t="s">
        <v>#N/A N/A</v>
        <stp/>
        <stp>BDP|10238732223253016457</stp>
        <tr r="A2019" s="2"/>
      </tp>
      <tp t="s">
        <v>#N/A N/A</v>
        <stp/>
        <stp>BDP|17743408685519741028</stp>
        <tr r="I688" s="2"/>
      </tp>
      <tp t="s">
        <v>#N/A N/A</v>
        <stp/>
        <stp>BDP|16165333580636601936</stp>
        <tr r="A4352" s="2"/>
      </tp>
      <tp t="s">
        <v>#N/A N/A</v>
        <stp/>
        <stp>BDP|12558017683808097007</stp>
        <tr r="D3396" s="2"/>
      </tp>
      <tp t="s">
        <v>#N/A N/A</v>
        <stp/>
        <stp>BDP|16629111751432579244</stp>
        <tr r="B189" s="2"/>
      </tp>
      <tp t="s">
        <v>#N/A N/A</v>
        <stp/>
        <stp>BDP|11168572967261044166</stp>
        <tr r="C2647" s="2"/>
      </tp>
      <tp t="s">
        <v>#N/A N/A</v>
        <stp/>
        <stp>BDP|17579261146134578774</stp>
        <tr r="C665" s="2"/>
      </tp>
      <tp t="s">
        <v>#N/A N/A</v>
        <stp/>
        <stp>BDP|17903261847482820173</stp>
        <tr r="D4375" s="2"/>
      </tp>
      <tp t="s">
        <v>#N/A N/A</v>
        <stp/>
        <stp>BDP|18006435701506472813</stp>
        <tr r="F361" s="2"/>
      </tp>
      <tp t="s">
        <v>#N/A N/A</v>
        <stp/>
        <stp>BDP|10549792927861553680</stp>
        <tr r="B1830" s="2"/>
      </tp>
      <tp t="s">
        <v>#N/A N/A</v>
        <stp/>
        <stp>BDP|16518383985017614888</stp>
        <tr r="I2300" s="2"/>
      </tp>
      <tp t="s">
        <v>#N/A N/A</v>
        <stp/>
        <stp>BDP|10345326275362127438</stp>
        <tr r="I1604" s="2"/>
      </tp>
      <tp t="s">
        <v>#N/A N/A</v>
        <stp/>
        <stp>BDP|10897537476349961920</stp>
        <tr r="F4256" s="2"/>
      </tp>
      <tp t="s">
        <v>#N/A N/A</v>
        <stp/>
        <stp>BDP|15187093756567000585</stp>
        <tr r="D154" s="2"/>
      </tp>
      <tp t="s">
        <v>#N/A N/A</v>
        <stp/>
        <stp>BDP|10883590303352014541</stp>
        <tr r="D2392" s="2"/>
      </tp>
      <tp t="s">
        <v>#N/A N/A</v>
        <stp/>
        <stp>BDP|15331532153181739628</stp>
        <tr r="I4593" s="2"/>
      </tp>
      <tp t="s">
        <v>#N/A N/A</v>
        <stp/>
        <stp>BDP|17164256571718394804</stp>
        <tr r="B2743" s="2"/>
      </tp>
      <tp t="s">
        <v>#N/A N/A</v>
        <stp/>
        <stp>BDP|17336129637516456140</stp>
        <tr r="H1619" s="2"/>
      </tp>
      <tp t="s">
        <v>#N/A N/A</v>
        <stp/>
        <stp>BDP|11201766584759520539</stp>
        <tr r="D3938" s="2"/>
      </tp>
      <tp t="s">
        <v>#N/A N/A</v>
        <stp/>
        <stp>BDP|11089810886100561345</stp>
        <tr r="C1979" s="2"/>
      </tp>
      <tp t="s">
        <v>#N/A N/A</v>
        <stp/>
        <stp>BDP|14463349106074205125</stp>
        <tr r="A4102" s="2"/>
      </tp>
      <tp t="s">
        <v>#N/A N/A</v>
        <stp/>
        <stp>BDP|14390033942970022248</stp>
        <tr r="H4942" s="2"/>
      </tp>
      <tp t="s">
        <v>#N/A N/A</v>
        <stp/>
        <stp>BDP|10766617956930492128</stp>
        <tr r="C3786" s="2"/>
      </tp>
      <tp t="s">
        <v>#N/A N/A</v>
        <stp/>
        <stp>BDP|14031809706158770675</stp>
        <tr r="D3647" s="2"/>
      </tp>
      <tp t="s">
        <v>#N/A N/A</v>
        <stp/>
        <stp>BDP|16661636730625366409</stp>
        <tr r="A3885" s="2"/>
      </tp>
      <tp t="s">
        <v>#N/A N/A</v>
        <stp/>
        <stp>BDP|10124029286548466270</stp>
        <tr r="A3183" s="2"/>
      </tp>
      <tp t="s">
        <v>#N/A N/A</v>
        <stp/>
        <stp>BDP|16466910995590226449</stp>
        <tr r="H24" s="2"/>
      </tp>
      <tp t="s">
        <v>#N/A N/A</v>
        <stp/>
        <stp>BDP|10008948633400822891</stp>
        <tr r="B1506" s="2"/>
      </tp>
      <tp t="s">
        <v>#N/A N/A</v>
        <stp/>
        <stp>BDP|15212124240754180675</stp>
        <tr r="G1242" s="2"/>
      </tp>
      <tp t="s">
        <v>#N/A N/A</v>
        <stp/>
        <stp>BDP|11376122713381119258</stp>
        <tr r="F4506" s="2"/>
      </tp>
      <tp t="s">
        <v>#N/A N/A</v>
        <stp/>
        <stp>BDP|16621358610465562307</stp>
        <tr r="C308" s="2"/>
      </tp>
      <tp t="s">
        <v>#N/A N/A</v>
        <stp/>
        <stp>BDP|14021022143852067071</stp>
        <tr r="A2604" s="2"/>
      </tp>
      <tp t="s">
        <v>#N/A N/A</v>
        <stp/>
        <stp>BDP|17128645554975558324</stp>
        <tr r="A149" s="2"/>
      </tp>
      <tp t="s">
        <v>#N/A N/A</v>
        <stp/>
        <stp>BDP|10400640911823472631</stp>
        <tr r="B4548" s="2"/>
      </tp>
      <tp t="s">
        <v>#N/A N/A</v>
        <stp/>
        <stp>BDP|10510035251737959088</stp>
        <tr r="D4793" s="2"/>
      </tp>
      <tp t="s">
        <v>#N/A N/A</v>
        <stp/>
        <stp>BDP|16310660402974919687</stp>
        <tr r="D2861" s="2"/>
      </tp>
      <tp t="s">
        <v>#N/A N/A</v>
        <stp/>
        <stp>BDP|12627109901040424154</stp>
        <tr r="F57" s="2"/>
      </tp>
      <tp t="s">
        <v>#N/A N/A</v>
        <stp/>
        <stp>BDP|16333258547267440530</stp>
        <tr r="F967" s="2"/>
      </tp>
      <tp t="s">
        <v>#N/A N/A</v>
        <stp/>
        <stp>BDP|10588710340581660046</stp>
        <tr r="I3994" s="2"/>
      </tp>
      <tp t="s">
        <v>#N/A N/A</v>
        <stp/>
        <stp>BDP|17081096419040452426</stp>
        <tr r="A2692" s="2"/>
      </tp>
      <tp t="s">
        <v>#N/A N/A</v>
        <stp/>
        <stp>BDP|12481296050872324589</stp>
        <tr r="B4789" s="2"/>
      </tp>
      <tp t="s">
        <v>#N/A N/A</v>
        <stp/>
        <stp>BDP|16855694477070049509</stp>
        <tr r="D3602" s="2"/>
      </tp>
      <tp t="s">
        <v>#N/A N/A</v>
        <stp/>
        <stp>BDP|17711602775681715538</stp>
        <tr r="D1913" s="2"/>
      </tp>
      <tp t="s">
        <v>#N/A N/A</v>
        <stp/>
        <stp>BDP|13470924698802937314</stp>
        <tr r="G229" s="2"/>
      </tp>
      <tp t="s">
        <v>#N/A N/A</v>
        <stp/>
        <stp>BDP|14228281624542929418</stp>
        <tr r="I112" s="2"/>
      </tp>
      <tp t="s">
        <v>#N/A N/A</v>
        <stp/>
        <stp>BDP|14363048438173173684</stp>
        <tr r="C2814" s="2"/>
      </tp>
      <tp t="s">
        <v>#N/A N/A</v>
        <stp/>
        <stp>BDP|15139203236176660074</stp>
        <tr r="F4354" s="2"/>
      </tp>
      <tp t="s">
        <v>#N/A N/A</v>
        <stp/>
        <stp>BDP|17428197496228811555</stp>
        <tr r="C1104" s="2"/>
      </tp>
      <tp t="s">
        <v>#N/A N/A</v>
        <stp/>
        <stp>BDP|15072206275692750041</stp>
        <tr r="H4458" s="2"/>
      </tp>
      <tp t="s">
        <v>#N/A N/A</v>
        <stp/>
        <stp>BDP|15182028175901099103</stp>
        <tr r="G851" s="2"/>
      </tp>
      <tp t="s">
        <v>#N/A N/A</v>
        <stp/>
        <stp>BDP|13996739222134752097</stp>
        <tr r="B504" s="2"/>
      </tp>
      <tp t="s">
        <v>#N/A N/A</v>
        <stp/>
        <stp>BDP|11779484574784426495</stp>
        <tr r="B4516" s="2"/>
      </tp>
      <tp t="s">
        <v>#N/A N/A</v>
        <stp/>
        <stp>BDP|17762324283479155710</stp>
        <tr r="C1053" s="2"/>
      </tp>
      <tp t="s">
        <v>#N/A N/A</v>
        <stp/>
        <stp>BDP|17746818805748684531</stp>
        <tr r="A540" s="2"/>
      </tp>
      <tp t="s">
        <v>#N/A N/A</v>
        <stp/>
        <stp>BDP|15469438678447112389</stp>
        <tr r="F4163" s="2"/>
      </tp>
      <tp t="s">
        <v>#N/A N/A</v>
        <stp/>
        <stp>BDP|10928363674407524185</stp>
        <tr r="I2674" s="2"/>
      </tp>
      <tp t="s">
        <v>#N/A N/A</v>
        <stp/>
        <stp>BDP|15398708944667770362</stp>
        <tr r="C4507" s="2"/>
      </tp>
      <tp t="s">
        <v>#N/A N/A</v>
        <stp/>
        <stp>BDP|13076613937084501056</stp>
        <tr r="D4065" s="2"/>
      </tp>
      <tp t="s">
        <v>#N/A N/A</v>
        <stp/>
        <stp>BDP|16023936591313126757</stp>
        <tr r="A3124" s="2"/>
      </tp>
      <tp t="s">
        <v>#N/A N/A</v>
        <stp/>
        <stp>BDP|10280821303972127840</stp>
        <tr r="G2665" s="2"/>
      </tp>
      <tp t="s">
        <v>#N/A N/A</v>
        <stp/>
        <stp>BDP|14692596348411903689</stp>
        <tr r="C3231" s="2"/>
      </tp>
      <tp t="s">
        <v>#N/A N/A</v>
        <stp/>
        <stp>BDP|18252861472594780178</stp>
        <tr r="F1360" s="2"/>
      </tp>
      <tp t="s">
        <v>#N/A N/A</v>
        <stp/>
        <stp>BDP|10899504610865822366</stp>
        <tr r="C1939" s="2"/>
      </tp>
      <tp t="s">
        <v>#N/A N/A</v>
        <stp/>
        <stp>BDP|18258797640250580989</stp>
        <tr r="F4786" s="2"/>
      </tp>
      <tp t="s">
        <v>#N/A N/A</v>
        <stp/>
        <stp>BDP|10204495089086628826</stp>
        <tr r="H1960" s="2"/>
      </tp>
      <tp t="s">
        <v>#N/A N/A</v>
        <stp/>
        <stp>BDP|14066864892587550073</stp>
        <tr r="H3770" s="2"/>
      </tp>
      <tp t="s">
        <v>#N/A N/A</v>
        <stp/>
        <stp>BDP|17081121154313037208</stp>
        <tr r="A4117" s="2"/>
      </tp>
      <tp t="s">
        <v>#N/A N/A</v>
        <stp/>
        <stp>BDP|18272678999915279080</stp>
        <tr r="F1119" s="2"/>
      </tp>
      <tp t="s">
        <v>#N/A N/A</v>
        <stp/>
        <stp>BDP|15725205657137539735</stp>
        <tr r="I3462" s="2"/>
      </tp>
      <tp t="s">
        <v>#N/A N/A</v>
        <stp/>
        <stp>BDP|13846710919207654003</stp>
        <tr r="D948" s="2"/>
      </tp>
      <tp t="s">
        <v>#N/A N/A</v>
        <stp/>
        <stp>BDP|13740527976502673131</stp>
        <tr r="D3743" s="2"/>
      </tp>
      <tp t="s">
        <v>#N/A N/A</v>
        <stp/>
        <stp>BDP|14461534822404263510</stp>
        <tr r="A1927" s="2"/>
      </tp>
      <tp t="s">
        <v>#N/A N/A</v>
        <stp/>
        <stp>BDP|13216117480320335866</stp>
        <tr r="B3960" s="2"/>
      </tp>
      <tp t="s">
        <v>#N/A N/A</v>
        <stp/>
        <stp>BDP|16830092055558420966</stp>
        <tr r="H1203" s="2"/>
      </tp>
      <tp t="s">
        <v>#N/A N/A</v>
        <stp/>
        <stp>BDP|17620318606831760704</stp>
        <tr r="G1038" s="2"/>
      </tp>
      <tp t="s">
        <v>#N/A N/A</v>
        <stp/>
        <stp>BDP|10656780598948886484</stp>
        <tr r="C4516" s="2"/>
      </tp>
      <tp t="s">
        <v>#N/A N/A</v>
        <stp/>
        <stp>BDP|13366629372553491313</stp>
        <tr r="F3771" s="2"/>
      </tp>
      <tp t="s">
        <v>#N/A N/A</v>
        <stp/>
        <stp>BDP|17465643922686704733</stp>
        <tr r="G1040" s="2"/>
      </tp>
      <tp t="s">
        <v>#N/A N/A</v>
        <stp/>
        <stp>BDP|18250869662852111615</stp>
        <tr r="F4900" s="2"/>
      </tp>
      <tp t="s">
        <v>#N/A N/A</v>
        <stp/>
        <stp>BDP|11728223763776904191</stp>
        <tr r="A574" s="2"/>
      </tp>
      <tp t="s">
        <v>#N/A N/A</v>
        <stp/>
        <stp>BDP|10933692161494754607</stp>
        <tr r="G321" s="2"/>
      </tp>
      <tp t="s">
        <v>#N/A N/A</v>
        <stp/>
        <stp>BDP|10394291735957008496</stp>
        <tr r="G3490" s="2"/>
      </tp>
      <tp t="s">
        <v>#N/A N/A</v>
        <stp/>
        <stp>BDP|16164619191888763306</stp>
        <tr r="I2830" s="2"/>
      </tp>
      <tp t="s">
        <v>#N/A N/A</v>
        <stp/>
        <stp>BDP|11277159500100595241</stp>
        <tr r="I381" s="2"/>
      </tp>
      <tp t="s">
        <v>#N/A N/A</v>
        <stp/>
        <stp>BDP|15049651659312978636</stp>
        <tr r="G1340" s="2"/>
      </tp>
      <tp t="s">
        <v>#N/A N/A</v>
        <stp/>
        <stp>BDP|11270633360321189269</stp>
        <tr r="C1022" s="2"/>
      </tp>
      <tp t="s">
        <v>#N/A N/A</v>
        <stp/>
        <stp>BDP|12809746266545437486</stp>
        <tr r="G3027" s="2"/>
      </tp>
      <tp t="s">
        <v>#N/A N/A</v>
        <stp/>
        <stp>BDP|12037155852107655374</stp>
        <tr r="G1059" s="2"/>
      </tp>
      <tp t="s">
        <v>#N/A N/A</v>
        <stp/>
        <stp>BDP|17226839289903821666</stp>
        <tr r="A3821" s="2"/>
      </tp>
      <tp t="s">
        <v>#N/A N/A</v>
        <stp/>
        <stp>BDP|16749952682802409728</stp>
        <tr r="G4972" s="2"/>
      </tp>
      <tp t="s">
        <v>#N/A N/A</v>
        <stp/>
        <stp>BDP|12142342934230687019</stp>
        <tr r="A3618" s="2"/>
      </tp>
      <tp t="s">
        <v>#N/A N/A</v>
        <stp/>
        <stp>BDP|16784544657304427068</stp>
        <tr r="A2303" s="2"/>
      </tp>
      <tp t="s">
        <v>#N/A N/A</v>
        <stp/>
        <stp>BDP|14091668234737010442</stp>
        <tr r="A4474" s="2"/>
      </tp>
      <tp t="s">
        <v>#N/A N/A</v>
        <stp/>
        <stp>BDP|17463266404147760072</stp>
        <tr r="B3948" s="2"/>
      </tp>
      <tp t="s">
        <v>#N/A N/A</v>
        <stp/>
        <stp>BDP|12096264410097102419</stp>
        <tr r="H2920" s="2"/>
      </tp>
      <tp t="s">
        <v>#N/A N/A</v>
        <stp/>
        <stp>BDP|13661287170526035283</stp>
        <tr r="C219" s="2"/>
      </tp>
      <tp t="s">
        <v>#N/A N/A</v>
        <stp/>
        <stp>BDP|11959697511583412732</stp>
        <tr r="G4315" s="2"/>
      </tp>
      <tp t="s">
        <v>#N/A N/A</v>
        <stp/>
        <stp>BDP|15869596223526209661</stp>
        <tr r="I2531" s="2"/>
      </tp>
      <tp t="s">
        <v>#N/A N/A</v>
        <stp/>
        <stp>BDP|10169590020991129506</stp>
        <tr r="H4775" s="2"/>
      </tp>
      <tp t="s">
        <v>#N/A N/A</v>
        <stp/>
        <stp>BDP|17844768834165773541</stp>
        <tr r="G964" s="2"/>
      </tp>
      <tp t="s">
        <v>#N/A N/A</v>
        <stp/>
        <stp>BDP|11869529666528476916</stp>
        <tr r="C3885" s="2"/>
      </tp>
      <tp t="s">
        <v>#N/A N/A</v>
        <stp/>
        <stp>BDP|13390091656960583502</stp>
        <tr r="B220" s="2"/>
      </tp>
      <tp t="s">
        <v>#N/A N/A</v>
        <stp/>
        <stp>BDP|12686300454756355181</stp>
        <tr r="A1060" s="2"/>
      </tp>
      <tp t="s">
        <v>#N/A N/A</v>
        <stp/>
        <stp>BDP|18380195737450460904</stp>
        <tr r="I4571" s="2"/>
      </tp>
      <tp t="s">
        <v>#N/A N/A</v>
        <stp/>
        <stp>BDP|11620170320417847608</stp>
        <tr r="H1901" s="2"/>
      </tp>
      <tp t="s">
        <v>#N/A N/A</v>
        <stp/>
        <stp>BDP|14035282398874945807</stp>
        <tr r="A900" s="2"/>
      </tp>
      <tp t="s">
        <v>#N/A N/A</v>
        <stp/>
        <stp>BDP|11388172861065547094</stp>
        <tr r="A3180" s="2"/>
      </tp>
      <tp t="s">
        <v>#N/A N/A</v>
        <stp/>
        <stp>BDP|13395438549903311333</stp>
        <tr r="C1338" s="2"/>
      </tp>
      <tp t="s">
        <v>#N/A N/A</v>
        <stp/>
        <stp>BDP|17103184356936561631</stp>
        <tr r="B3609" s="2"/>
      </tp>
      <tp t="s">
        <v>#N/A N/A</v>
        <stp/>
        <stp>BDP|16177605908541284226</stp>
        <tr r="C1187" s="2"/>
      </tp>
      <tp t="s">
        <v>#N/A N/A</v>
        <stp/>
        <stp>BDP|17134693651845038202</stp>
        <tr r="G1728" s="2"/>
      </tp>
      <tp t="s">
        <v>#N/A N/A</v>
        <stp/>
        <stp>BDP|17748742210156991437</stp>
        <tr r="H3966" s="2"/>
      </tp>
      <tp t="s">
        <v>#N/A N/A</v>
        <stp/>
        <stp>BDP|16379398165955384557</stp>
        <tr r="H4101" s="2"/>
      </tp>
      <tp t="s">
        <v>#N/A N/A</v>
        <stp/>
        <stp>BDP|15087160078655469531</stp>
        <tr r="B3495" s="2"/>
      </tp>
      <tp t="s">
        <v>#N/A N/A</v>
        <stp/>
        <stp>BDP|10130628265163617092</stp>
        <tr r="G4762" s="2"/>
      </tp>
      <tp t="s">
        <v>#N/A N/A</v>
        <stp/>
        <stp>BDP|17511140053198905828</stp>
        <tr r="G4950" s="2"/>
      </tp>
      <tp t="s">
        <v>#N/A N/A</v>
        <stp/>
        <stp>BDP|17996232770062358306</stp>
        <tr r="A1051" s="2"/>
      </tp>
      <tp t="s">
        <v>#N/A N/A</v>
        <stp/>
        <stp>BDP|18058216391902855217</stp>
        <tr r="C3969" s="2"/>
      </tp>
      <tp t="s">
        <v>#N/A N/A</v>
        <stp/>
        <stp>BDP|17013281201996373036</stp>
        <tr r="I582" s="2"/>
      </tp>
      <tp t="s">
        <v>#N/A N/A</v>
        <stp/>
        <stp>BDP|16597666229928191927</stp>
        <tr r="B2761" s="2"/>
      </tp>
      <tp t="s">
        <v>#N/A N/A</v>
        <stp/>
        <stp>BDP|17582011732236844177</stp>
        <tr r="I391" s="2"/>
      </tp>
      <tp t="s">
        <v>#N/A N/A</v>
        <stp/>
        <stp>BDP|10685740362341816315</stp>
        <tr r="G809" s="2"/>
      </tp>
      <tp t="s">
        <v>#N/A N/A</v>
        <stp/>
        <stp>BDP|17680974369603537846</stp>
        <tr r="B224" s="2"/>
      </tp>
      <tp t="s">
        <v>#N/A N/A</v>
        <stp/>
        <stp>BDP|18067906999483181813</stp>
        <tr r="I427" s="2"/>
      </tp>
      <tp t="s">
        <v>#N/A N/A</v>
        <stp/>
        <stp>BDP|10771369858615619066</stp>
        <tr r="B1504" s="2"/>
      </tp>
      <tp t="s">
        <v>#N/A N/A</v>
        <stp/>
        <stp>BDP|13603515858915449527</stp>
        <tr r="G2076" s="2"/>
      </tp>
      <tp t="s">
        <v>#N/A N/A</v>
        <stp/>
        <stp>BDP|17309178375647111591</stp>
        <tr r="H4881" s="2"/>
      </tp>
      <tp t="s">
        <v>#N/A N/A</v>
        <stp/>
        <stp>BDP|11220983984177780406</stp>
        <tr r="C332" s="2"/>
      </tp>
      <tp t="s">
        <v>#N/A N/A</v>
        <stp/>
        <stp>BDP|18133571453812473983</stp>
        <tr r="C1537" s="2"/>
      </tp>
      <tp t="s">
        <v>#N/A N/A</v>
        <stp/>
        <stp>BDP|12662555743329170989</stp>
        <tr r="H2621" s="2"/>
      </tp>
      <tp t="s">
        <v>#N/A N/A</v>
        <stp/>
        <stp>BDP|17267981234728097677</stp>
        <tr r="I3707" s="2"/>
      </tp>
      <tp t="s">
        <v>#N/A N/A</v>
        <stp/>
        <stp>BDP|17840048410115525001</stp>
        <tr r="A1663" s="2"/>
      </tp>
      <tp t="s">
        <v>#N/A N/A</v>
        <stp/>
        <stp>BDP|14349248076777872501</stp>
        <tr r="C1767" s="2"/>
      </tp>
      <tp t="s">
        <v>#N/A N/A</v>
        <stp/>
        <stp>BDP|11005931773034948808</stp>
        <tr r="A4013" s="2"/>
      </tp>
      <tp t="s">
        <v>#N/A N/A</v>
        <stp/>
        <stp>BDP|15134138849761743255</stp>
        <tr r="B1432" s="2"/>
      </tp>
      <tp t="s">
        <v>#N/A N/A</v>
        <stp/>
        <stp>BDP|12974154615488821988</stp>
        <tr r="A2843" s="2"/>
      </tp>
      <tp t="s">
        <v>#N/A N/A</v>
        <stp/>
        <stp>BDP|12795508275971875232</stp>
        <tr r="G1170" s="2"/>
      </tp>
      <tp t="s">
        <v>#N/A N/A</v>
        <stp/>
        <stp>BDP|13860026563951502754</stp>
        <tr r="H4528" s="2"/>
      </tp>
      <tp t="s">
        <v>#N/A N/A</v>
        <stp/>
        <stp>BDP|10500262518898324814</stp>
        <tr r="G4996" s="2"/>
      </tp>
      <tp t="s">
        <v>#N/A N/A</v>
        <stp/>
        <stp>BDP|14306841386544189390</stp>
        <tr r="A4977" s="2"/>
      </tp>
      <tp t="s">
        <v>#N/A N/A</v>
        <stp/>
        <stp>BDP|13498220938808338941</stp>
        <tr r="I202" s="2"/>
      </tp>
      <tp t="s">
        <v>#N/A N/A</v>
        <stp/>
        <stp>BDP|14594987074188597155</stp>
        <tr r="H4169" s="2"/>
      </tp>
      <tp t="s">
        <v>#N/A N/A</v>
        <stp/>
        <stp>BDP|15143098771848575950</stp>
        <tr r="C4502" s="2"/>
      </tp>
      <tp t="s">
        <v>#N/A N/A</v>
        <stp/>
        <stp>BDP|11972872940576648817</stp>
        <tr r="H1109" s="2"/>
      </tp>
      <tp t="s">
        <v>#N/A N/A</v>
        <stp/>
        <stp>BDP|11765437920451860551</stp>
        <tr r="B3732" s="2"/>
      </tp>
      <tp t="s">
        <v>#N/A N/A</v>
        <stp/>
        <stp>BDP|17164810336038813775</stp>
        <tr r="D4315" s="2"/>
      </tp>
      <tp t="s">
        <v>#N/A N/A</v>
        <stp/>
        <stp>BDP|13830793428442930795</stp>
        <tr r="C1218" s="2"/>
      </tp>
      <tp t="s">
        <v>#N/A N/A</v>
        <stp/>
        <stp>BDP|17372661680842443888</stp>
        <tr r="G3036" s="2"/>
      </tp>
      <tp t="s">
        <v>#N/A N/A</v>
        <stp/>
        <stp>BDP|17946574970286194069</stp>
        <tr r="I4339" s="2"/>
      </tp>
      <tp t="s">
        <v>#N/A N/A</v>
        <stp/>
        <stp>BDP|14644285663882604128</stp>
        <tr r="D2603" s="2"/>
      </tp>
      <tp t="s">
        <v>#N/A N/A</v>
        <stp/>
        <stp>BDP|10882027012193070118</stp>
        <tr r="A2475" s="2"/>
      </tp>
      <tp t="s">
        <v>#N/A N/A</v>
        <stp/>
        <stp>BDP|17897893289463799766</stp>
        <tr r="H1384" s="2"/>
      </tp>
      <tp t="s">
        <v>#N/A N/A</v>
        <stp/>
        <stp>BDP|17331418761973965535</stp>
        <tr r="I3243" s="2"/>
      </tp>
      <tp t="s">
        <v>#N/A N/A</v>
        <stp/>
        <stp>BDP|11635094044055356313</stp>
        <tr r="C4856" s="2"/>
      </tp>
      <tp t="s">
        <v>#N/A N/A</v>
        <stp/>
        <stp>BDP|15568113873019650981</stp>
        <tr r="F682" s="2"/>
      </tp>
      <tp t="s">
        <v>#N/A N/A</v>
        <stp/>
        <stp>BDP|11932549383207502829</stp>
        <tr r="A3775" s="2"/>
      </tp>
      <tp t="s">
        <v>#N/A N/A</v>
        <stp/>
        <stp>BDP|10389685409294286196</stp>
        <tr r="B4913" s="2"/>
      </tp>
      <tp t="s">
        <v>#N/A N/A</v>
        <stp/>
        <stp>BDP|14703586737180175100</stp>
        <tr r="F3076" s="2"/>
      </tp>
      <tp t="s">
        <v>#N/A N/A</v>
        <stp/>
        <stp>BDP|13418695924411218521</stp>
        <tr r="G3049" s="2"/>
      </tp>
      <tp t="s">
        <v>#N/A N/A</v>
        <stp/>
        <stp>BDP|11927326868364932334</stp>
        <tr r="F3702" s="2"/>
      </tp>
      <tp t="s">
        <v>#N/A N/A</v>
        <stp/>
        <stp>BDP|16137821908838236509</stp>
        <tr r="H1943" s="2"/>
      </tp>
      <tp t="s">
        <v>#N/A N/A</v>
        <stp/>
        <stp>BDP|16871356198488800742</stp>
        <tr r="H1597" s="2"/>
      </tp>
      <tp t="s">
        <v>#N/A N/A</v>
        <stp/>
        <stp>BDP|11846329071447494167</stp>
        <tr r="B1803" s="2"/>
      </tp>
      <tp t="s">
        <v>#N/A N/A</v>
        <stp/>
        <stp>BDP|15758925258793373977</stp>
        <tr r="C3816" s="2"/>
      </tp>
      <tp t="s">
        <v>#N/A N/A</v>
        <stp/>
        <stp>BDP|16049144264763192188</stp>
        <tr r="F3202" s="2"/>
      </tp>
      <tp t="s">
        <v>#N/A N/A</v>
        <stp/>
        <stp>BDP|16666427749306058341</stp>
        <tr r="B1909" s="2"/>
      </tp>
      <tp t="s">
        <v>#N/A N/A</v>
        <stp/>
        <stp>BDP|12068093732591073321</stp>
        <tr r="F2547" s="2"/>
      </tp>
      <tp t="s">
        <v>#N/A N/A</v>
        <stp/>
        <stp>BDP|17692709554610862636</stp>
        <tr r="I2463" s="2"/>
      </tp>
      <tp t="s">
        <v>#N/A N/A</v>
        <stp/>
        <stp>BDP|11823177349275734282</stp>
        <tr r="G3379" s="2"/>
      </tp>
      <tp t="s">
        <v>#N/A N/A</v>
        <stp/>
        <stp>BDP|15605683154616308300</stp>
        <tr r="A2306" s="2"/>
      </tp>
      <tp t="s">
        <v>#N/A N/A</v>
        <stp/>
        <stp>BDP|15480394131083503509</stp>
        <tr r="G2006" s="2"/>
      </tp>
      <tp t="s">
        <v>#N/A N/A</v>
        <stp/>
        <stp>BDP|17814911862972181934</stp>
        <tr r="H2190" s="2"/>
      </tp>
      <tp t="s">
        <v>#N/A N/A</v>
        <stp/>
        <stp>BDP|12930109041025890196</stp>
        <tr r="G4579" s="2"/>
      </tp>
      <tp t="s">
        <v>#N/A N/A</v>
        <stp/>
        <stp>BDP|11703459603697187193</stp>
        <tr r="G2433" s="2"/>
      </tp>
      <tp t="s">
        <v>#N/A N/A</v>
        <stp/>
        <stp>BDP|10778126569003038756</stp>
        <tr r="D385" s="2"/>
      </tp>
      <tp t="s">
        <v>#N/A N/A</v>
        <stp/>
        <stp>BDP|13750205914024294792</stp>
        <tr r="B3224" s="2"/>
      </tp>
      <tp t="s">
        <v>#N/A N/A</v>
        <stp/>
        <stp>BDP|14179514229532281235</stp>
        <tr r="A562" s="2"/>
      </tp>
      <tp t="s">
        <v>#N/A N/A</v>
        <stp/>
        <stp>BDP|16316889110728151421</stp>
        <tr r="F2029" s="2"/>
      </tp>
      <tp t="s">
        <v>#N/A N/A</v>
        <stp/>
        <stp>BDP|11867218425630756236</stp>
        <tr r="A4711" s="2"/>
      </tp>
      <tp t="s">
        <v>#N/A N/A</v>
        <stp/>
        <stp>BDP|13697642146001906350</stp>
        <tr r="C93" s="2"/>
      </tp>
      <tp t="s">
        <v>#N/A N/A</v>
        <stp/>
        <stp>BDP|17503765888442433978</stp>
        <tr r="A858" s="2"/>
      </tp>
      <tp t="s">
        <v>#N/A N/A</v>
        <stp/>
        <stp>BDP|10062888365804598905</stp>
        <tr r="F1479" s="2"/>
      </tp>
      <tp t="s">
        <v>#N/A N/A</v>
        <stp/>
        <stp>BDP|18098201309520001917</stp>
        <tr r="D2507" s="2"/>
      </tp>
      <tp t="s">
        <v>#N/A N/A</v>
        <stp/>
        <stp>BDP|14368394127966275076</stp>
        <tr r="H4199" s="2"/>
      </tp>
      <tp t="s">
        <v>#N/A N/A</v>
        <stp/>
        <stp>BDP|12882685809182617577</stp>
        <tr r="A3040" s="2"/>
      </tp>
      <tp t="s">
        <v>#N/A N/A</v>
        <stp/>
        <stp>BDP|14502218667727951420</stp>
        <tr r="B120" s="2"/>
      </tp>
      <tp t="s">
        <v>#N/A N/A</v>
        <stp/>
        <stp>BDP|11098770449665478422</stp>
        <tr r="C3292" s="2"/>
      </tp>
      <tp t="s">
        <v>#N/A N/A</v>
        <stp/>
        <stp>BDP|13017308747981701689</stp>
        <tr r="I367" s="2"/>
      </tp>
      <tp t="s">
        <v>#N/A N/A</v>
        <stp/>
        <stp>BDP|16358613026665817448</stp>
        <tr r="I1660" s="2"/>
      </tp>
      <tp t="s">
        <v>#N/A N/A</v>
        <stp/>
        <stp>BDP|12662651147545533698</stp>
        <tr r="A3006" s="2"/>
      </tp>
      <tp t="s">
        <v>#N/A N/A</v>
        <stp/>
        <stp>BDP|11049058777515908030</stp>
        <tr r="G2441" s="2"/>
      </tp>
      <tp t="s">
        <v>#N/A N/A</v>
        <stp/>
        <stp>BDP|10260401873795990500</stp>
        <tr r="A347" s="2"/>
      </tp>
      <tp t="s">
        <v>#N/A N/A</v>
        <stp/>
        <stp>BDP|13438380503980757306</stp>
        <tr r="F2165" s="2"/>
      </tp>
      <tp t="s">
        <v>#N/A N/A</v>
        <stp/>
        <stp>BDP|12829241922394796511</stp>
        <tr r="F1796" s="2"/>
      </tp>
      <tp t="s">
        <v>#N/A N/A</v>
        <stp/>
        <stp>BDP|13859709014225313377</stp>
        <tr r="G2982" s="2"/>
      </tp>
      <tp t="s">
        <v>#N/A N/A</v>
        <stp/>
        <stp>BDP|11181028249965713350</stp>
        <tr r="D3708" s="2"/>
      </tp>
      <tp t="s">
        <v>#N/A N/A</v>
        <stp/>
        <stp>BDP|15723096962911228167</stp>
        <tr r="I2191" s="2"/>
      </tp>
      <tp t="s">
        <v>#N/A N/A</v>
        <stp/>
        <stp>BDP|17762315416920978612</stp>
        <tr r="C2813" s="2"/>
      </tp>
      <tp t="s">
        <v>#N/A N/A</v>
        <stp/>
        <stp>BDP|17338951698507197371</stp>
        <tr r="A3190" s="2"/>
      </tp>
      <tp t="s">
        <v>#N/A N/A</v>
        <stp/>
        <stp>BDP|14244358934096808132</stp>
        <tr r="C4449" s="2"/>
      </tp>
      <tp t="s">
        <v>#N/A N/A</v>
        <stp/>
        <stp>BDP|10819107747041685710</stp>
        <tr r="B240" s="2"/>
      </tp>
      <tp t="s">
        <v>#N/A N/A</v>
        <stp/>
        <stp>BDP|11810802915458313368</stp>
        <tr r="D3564" s="2"/>
      </tp>
      <tp t="s">
        <v>#N/A N/A</v>
        <stp/>
        <stp>BDP|16187131940270247081</stp>
        <tr r="B284" s="2"/>
      </tp>
      <tp t="s">
        <v>#N/A N/A</v>
        <stp/>
        <stp>BDP|11621251372191140688</stp>
        <tr r="D936" s="2"/>
      </tp>
      <tp t="s">
        <v>#N/A N/A</v>
        <stp/>
        <stp>BDP|15173438123030914000</stp>
        <tr r="F3180" s="2"/>
      </tp>
      <tp t="s">
        <v>#N/A N/A</v>
        <stp/>
        <stp>BDP|16872899570363936900</stp>
        <tr r="I459" s="2"/>
      </tp>
      <tp t="s">
        <v>#N/A N/A</v>
        <stp/>
        <stp>BDP|14581956499752936584</stp>
        <tr r="F3587" s="2"/>
      </tp>
      <tp t="s">
        <v>#N/A N/A</v>
        <stp/>
        <stp>BDP|10681285712290301072</stp>
        <tr r="C955" s="2"/>
      </tp>
      <tp t="s">
        <v>#N/A N/A</v>
        <stp/>
        <stp>BDP|13113299391172449950</stp>
        <tr r="G4008" s="2"/>
      </tp>
      <tp t="s">
        <v>#N/A N/A</v>
        <stp/>
        <stp>BDP|13883009317304679518</stp>
        <tr r="F3786" s="2"/>
      </tp>
      <tp t="s">
        <v>#N/A N/A</v>
        <stp/>
        <stp>BDP|15174648905577121795</stp>
        <tr r="C1499" s="2"/>
      </tp>
      <tp t="s">
        <v>#N/A N/A</v>
        <stp/>
        <stp>BDP|15729298455368221916</stp>
        <tr r="C1213" s="2"/>
      </tp>
      <tp t="s">
        <v>#N/A N/A</v>
        <stp/>
        <stp>BDP|15852313394059736528</stp>
        <tr r="F3912" s="2"/>
      </tp>
      <tp t="s">
        <v>#N/A N/A</v>
        <stp/>
        <stp>BDP|12481365397182545984</stp>
        <tr r="I489" s="2"/>
      </tp>
      <tp t="s">
        <v>#N/A N/A</v>
        <stp/>
        <stp>BDP|16880252617193274500</stp>
        <tr r="H3407" s="2"/>
      </tp>
      <tp t="s">
        <v>#N/A N/A</v>
        <stp/>
        <stp>BDP|10576762660627878538</stp>
        <tr r="D2429" s="2"/>
      </tp>
      <tp t="s">
        <v>#N/A N/A</v>
        <stp/>
        <stp>BDP|18079240494264811408</stp>
        <tr r="C352" s="2"/>
      </tp>
      <tp t="s">
        <v>#N/A N/A</v>
        <stp/>
        <stp>BDP|12723157734076685581</stp>
        <tr r="A732" s="2"/>
      </tp>
      <tp t="s">
        <v>#N/A N/A</v>
        <stp/>
        <stp>BDP|12841801792910281008</stp>
        <tr r="D3953" s="2"/>
      </tp>
      <tp t="s">
        <v>#N/A N/A</v>
        <stp/>
        <stp>BDP|17340293221343607758</stp>
        <tr r="D1291" s="2"/>
      </tp>
      <tp t="s">
        <v>#N/A N/A</v>
        <stp/>
        <stp>BDP|18000822327025992447</stp>
        <tr r="F3108" s="2"/>
      </tp>
      <tp t="s">
        <v>#N/A N/A</v>
        <stp/>
        <stp>BDP|15698386423895068252</stp>
        <tr r="I96" s="2"/>
      </tp>
      <tp t="s">
        <v>#N/A N/A</v>
        <stp/>
        <stp>BDP|14069506357201841675</stp>
        <tr r="G2627" s="2"/>
      </tp>
      <tp t="s">
        <v>#N/A N/A</v>
        <stp/>
        <stp>BDP|12552121693541814843</stp>
        <tr r="I4157" s="2"/>
      </tp>
      <tp t="s">
        <v>#N/A N/A</v>
        <stp/>
        <stp>BDP|13455423032671446687</stp>
        <tr r="A324" s="2"/>
      </tp>
      <tp t="s">
        <v>#N/A N/A</v>
        <stp/>
        <stp>BDP|15672029662943774393</stp>
        <tr r="I4451" s="2"/>
      </tp>
      <tp t="s">
        <v>#N/A N/A</v>
        <stp/>
        <stp>BDP|16786993664178611248</stp>
        <tr r="G355" s="2"/>
      </tp>
      <tp t="s">
        <v>#N/A N/A</v>
        <stp/>
        <stp>BDP|18175787689242946615</stp>
        <tr r="G4388" s="2"/>
      </tp>
      <tp t="s">
        <v>#N/A N/A</v>
        <stp/>
        <stp>BDP|14456458424249946848</stp>
        <tr r="F484" s="2"/>
      </tp>
      <tp t="s">
        <v>#N/A N/A</v>
        <stp/>
        <stp>BDP|15508884584353468552</stp>
        <tr r="D3369" s="2"/>
      </tp>
      <tp t="s">
        <v>#N/A N/A</v>
        <stp/>
        <stp>BDP|14264568612922952171</stp>
        <tr r="C1791" s="2"/>
      </tp>
      <tp t="s">
        <v>#N/A N/A</v>
        <stp/>
        <stp>BDP|10920107922610695058</stp>
        <tr r="G4539" s="2"/>
      </tp>
      <tp t="s">
        <v>#N/A N/A</v>
        <stp/>
        <stp>BDP|10273041669656608312</stp>
        <tr r="D2766" s="2"/>
      </tp>
      <tp t="s">
        <v>#N/A N/A</v>
        <stp/>
        <stp>BDP|14925328660652173029</stp>
        <tr r="I1778" s="2"/>
      </tp>
      <tp t="s">
        <v>#N/A N/A</v>
        <stp/>
        <stp>BDP|11910901443257750855</stp>
        <tr r="B3032" s="2"/>
      </tp>
      <tp t="s">
        <v>#N/A N/A</v>
        <stp/>
        <stp>BDP|15775195531266005272</stp>
        <tr r="C2836" s="2"/>
      </tp>
      <tp t="s">
        <v>#N/A N/A</v>
        <stp/>
        <stp>BDP|16112453661300967745</stp>
        <tr r="C4039" s="2"/>
      </tp>
      <tp t="s">
        <v>#N/A N/A</v>
        <stp/>
        <stp>BDP|12014814572419205790</stp>
        <tr r="D396" s="2"/>
      </tp>
      <tp t="s">
        <v>#N/A N/A</v>
        <stp/>
        <stp>BDP|15858687127470938264</stp>
        <tr r="H834" s="2"/>
      </tp>
      <tp t="s">
        <v>#N/A N/A</v>
        <stp/>
        <stp>BDP|10581249928493061012</stp>
        <tr r="G2682" s="2"/>
      </tp>
      <tp t="s">
        <v>#N/A N/A</v>
        <stp/>
        <stp>BDP|17673017087299818502</stp>
        <tr r="G2971" s="2"/>
      </tp>
      <tp t="s">
        <v>#N/A N/A</v>
        <stp/>
        <stp>BDP|10539134144790858625</stp>
        <tr r="I1857" s="2"/>
      </tp>
      <tp t="s">
        <v>#N/A N/A</v>
        <stp/>
        <stp>BDP|12929664881587420821</stp>
        <tr r="I3426" s="2"/>
      </tp>
      <tp t="s">
        <v>#N/A N/A</v>
        <stp/>
        <stp>BDP|17160549725166084586</stp>
        <tr r="D912" s="2"/>
      </tp>
      <tp t="s">
        <v>#N/A N/A</v>
        <stp/>
        <stp>BDP|17129011211435869011</stp>
        <tr r="G1798" s="2"/>
      </tp>
      <tp t="s">
        <v>#N/A N/A</v>
        <stp/>
        <stp>BDP|12068984882135750556</stp>
        <tr r="I1921" s="2"/>
      </tp>
      <tp t="s">
        <v>#N/A N/A</v>
        <stp/>
        <stp>BDP|12504175308165173533</stp>
        <tr r="I4608" s="2"/>
      </tp>
      <tp t="s">
        <v>#N/A N/A</v>
        <stp/>
        <stp>BDP|12838831881521650042</stp>
        <tr r="F4407" s="2"/>
      </tp>
      <tp t="s">
        <v>#N/A N/A</v>
        <stp/>
        <stp>BDP|13533584960587630431</stp>
        <tr r="A4157" s="2"/>
      </tp>
      <tp t="s">
        <v>#N/A N/A</v>
        <stp/>
        <stp>BDP|11065779128782570528</stp>
        <tr r="A2236" s="2"/>
      </tp>
      <tp t="s">
        <v>#N/A N/A</v>
        <stp/>
        <stp>BDP|11407667756797546693</stp>
        <tr r="H2165" s="2"/>
      </tp>
      <tp t="s">
        <v>#N/A N/A</v>
        <stp/>
        <stp>BDP|17317451809816167669</stp>
        <tr r="A384" s="2"/>
      </tp>
      <tp t="s">
        <v>#N/A N/A</v>
        <stp/>
        <stp>BDP|13889349762605746014</stp>
        <tr r="B4419" s="2"/>
      </tp>
      <tp t="s">
        <v>#N/A N/A</v>
        <stp/>
        <stp>BDP|16907592700007977712</stp>
        <tr r="F4685" s="2"/>
      </tp>
      <tp t="s">
        <v>#N/A N/A</v>
        <stp/>
        <stp>BDP|16412207758833497100</stp>
        <tr r="I4174" s="2"/>
      </tp>
      <tp t="s">
        <v>#N/A N/A</v>
        <stp/>
        <stp>BDP|14989199909033133505</stp>
        <tr r="B2590" s="2"/>
      </tp>
      <tp t="s">
        <v>#N/A N/A</v>
        <stp/>
        <stp>BDP|14452062651870811239</stp>
        <tr r="F3745" s="2"/>
      </tp>
      <tp t="s">
        <v>#N/A N/A</v>
        <stp/>
        <stp>BDP|15453445928370460043</stp>
        <tr r="C2739" s="2"/>
      </tp>
      <tp t="s">
        <v>#N/A N/A</v>
        <stp/>
        <stp>BDP|15719389692419782522</stp>
        <tr r="I438" s="2"/>
      </tp>
      <tp t="s">
        <v>#N/A N/A</v>
        <stp/>
        <stp>BDP|12916707063950087021</stp>
        <tr r="D4008" s="2"/>
      </tp>
      <tp t="s">
        <v>#N/A N/A</v>
        <stp/>
        <stp>BDP|16540078073974841617</stp>
        <tr r="G854" s="2"/>
      </tp>
      <tp t="s">
        <v>#N/A N/A</v>
        <stp/>
        <stp>BDP|18317997535124641515</stp>
        <tr r="H3332" s="2"/>
      </tp>
      <tp t="s">
        <v>#N/A N/A</v>
        <stp/>
        <stp>BDP|11595000360024458099</stp>
        <tr r="I2717" s="2"/>
      </tp>
      <tp t="s">
        <v>#N/A N/A</v>
        <stp/>
        <stp>BDP|15491085312682760519</stp>
        <tr r="B712" s="2"/>
      </tp>
      <tp t="s">
        <v>#N/A N/A</v>
        <stp/>
        <stp>BDP|16215492566521558606</stp>
        <tr r="B4387" s="2"/>
      </tp>
      <tp t="s">
        <v>#N/A N/A</v>
        <stp/>
        <stp>BDP|17754292506536315036</stp>
        <tr r="B3379" s="2"/>
      </tp>
      <tp t="s">
        <v>#N/A N/A</v>
        <stp/>
        <stp>BDP|15764948678979064134</stp>
        <tr r="H3431" s="2"/>
      </tp>
      <tp t="s">
        <v>#N/A N/A</v>
        <stp/>
        <stp>BDP|15059495425410692029</stp>
        <tr r="C4063" s="2"/>
      </tp>
      <tp t="s">
        <v>#N/A N/A</v>
        <stp/>
        <stp>BDP|14499082424953742672</stp>
        <tr r="I1168" s="2"/>
      </tp>
      <tp t="s">
        <v>#N/A N/A</v>
        <stp/>
        <stp>BDP|13841063074364570377</stp>
        <tr r="C2430" s="2"/>
      </tp>
      <tp t="s">
        <v>#N/A N/A</v>
        <stp/>
        <stp>BDP|13005140374213393580</stp>
        <tr r="G601" s="2"/>
      </tp>
      <tp t="s">
        <v>#N/A N/A</v>
        <stp/>
        <stp>BDP|10397850719998088243</stp>
        <tr r="F2137" s="2"/>
      </tp>
      <tp t="s">
        <v>#N/A N/A</v>
        <stp/>
        <stp>BDP|11866074533816311740</stp>
        <tr r="G3970" s="2"/>
      </tp>
      <tp t="s">
        <v>#N/A N/A</v>
        <stp/>
        <stp>BDP|12426991306991311931</stp>
        <tr r="D4862" s="2"/>
      </tp>
      <tp t="s">
        <v>#N/A N/A</v>
        <stp/>
        <stp>BDP|13404772016522689485</stp>
        <tr r="B341" s="2"/>
      </tp>
      <tp t="s">
        <v>#N/A N/A</v>
        <stp/>
        <stp>BDP|14898845352773673936</stp>
        <tr r="D2145" s="2"/>
      </tp>
      <tp t="s">
        <v>#N/A N/A</v>
        <stp/>
        <stp>BDP|14568179522386232295</stp>
        <tr r="F3925" s="2"/>
      </tp>
      <tp t="s">
        <v>#N/A N/A</v>
        <stp/>
        <stp>BDP|16863709940552572464</stp>
        <tr r="I2763" s="2"/>
      </tp>
      <tp t="s">
        <v>#N/A N/A</v>
        <stp/>
        <stp>BDP|17472601010534999762</stp>
        <tr r="F4400" s="2"/>
      </tp>
      <tp t="s">
        <v>#N/A N/A</v>
        <stp/>
        <stp>BDP|11801761721550098745</stp>
        <tr r="I525" s="2"/>
      </tp>
      <tp t="s">
        <v>#N/A N/A</v>
        <stp/>
        <stp>BDP|14898166857237164433</stp>
        <tr r="D3809" s="2"/>
      </tp>
      <tp t="s">
        <v>#N/A N/A</v>
        <stp/>
        <stp>BDP|16515671278237825398</stp>
        <tr r="I1667" s="2"/>
      </tp>
      <tp t="s">
        <v>#N/A N/A</v>
        <stp/>
        <stp>BDP|11844158162250368577</stp>
        <tr r="A356" s="2"/>
      </tp>
      <tp t="s">
        <v>#N/A N/A</v>
        <stp/>
        <stp>BDP|11881241751693697609</stp>
        <tr r="G237" s="2"/>
      </tp>
      <tp t="s">
        <v>#N/A N/A</v>
        <stp/>
        <stp>BDP|12774820376977075986</stp>
        <tr r="G4580" s="2"/>
      </tp>
      <tp t="s">
        <v>#N/A N/A</v>
        <stp/>
        <stp>BDP|12496726028035181148</stp>
        <tr r="D4619" s="2"/>
      </tp>
      <tp t="s">
        <v>#N/A N/A</v>
        <stp/>
        <stp>BDP|17897833782052242601</stp>
        <tr r="I176" s="2"/>
      </tp>
      <tp t="s">
        <v>#N/A N/A</v>
        <stp/>
        <stp>BDP|17041762996062398880</stp>
        <tr r="G2773" s="2"/>
      </tp>
      <tp t="s">
        <v>#N/A N/A</v>
        <stp/>
        <stp>BDP|17673364069893662243</stp>
        <tr r="C1660" s="2"/>
      </tp>
      <tp t="s">
        <v>#N/A N/A</v>
        <stp/>
        <stp>BDP|16708303594868011784</stp>
        <tr r="B3236" s="2"/>
      </tp>
      <tp t="s">
        <v>#N/A N/A</v>
        <stp/>
        <stp>BDP|16533213022722890750</stp>
        <tr r="A3841" s="2"/>
      </tp>
      <tp t="s">
        <v>#N/A N/A</v>
        <stp/>
        <stp>BDP|10671567858871072232</stp>
        <tr r="B565" s="2"/>
      </tp>
      <tp t="s">
        <v>#N/A N/A</v>
        <stp/>
        <stp>BDP|12237795707640248659</stp>
        <tr r="D428" s="2"/>
      </tp>
      <tp t="s">
        <v>#N/A N/A</v>
        <stp/>
        <stp>BDP|14787727109370568027</stp>
        <tr r="I2632" s="2"/>
      </tp>
      <tp t="s">
        <v>#N/A N/A</v>
        <stp/>
        <stp>BDP|15877155768129679889</stp>
        <tr r="H4933" s="2"/>
      </tp>
      <tp t="s">
        <v>#N/A N/A</v>
        <stp/>
        <stp>BDP|17661581111137636728</stp>
        <tr r="F2503" s="2"/>
      </tp>
      <tp t="s">
        <v>#N/A N/A</v>
        <stp/>
        <stp>BDP|12517869799417921783</stp>
        <tr r="H2434" s="2"/>
      </tp>
      <tp t="s">
        <v>#N/A N/A</v>
        <stp/>
        <stp>BDP|13079945745328256588</stp>
        <tr r="C646" s="2"/>
      </tp>
      <tp t="s">
        <v>#N/A N/A</v>
        <stp/>
        <stp>BDP|16897148672707335469</stp>
        <tr r="G2668" s="2"/>
      </tp>
      <tp t="s">
        <v>#N/A N/A</v>
        <stp/>
        <stp>BDP|13491457388269085528</stp>
        <tr r="F4505" s="2"/>
      </tp>
      <tp t="s">
        <v>#N/A N/A</v>
        <stp/>
        <stp>BDP|12927365719065525689</stp>
        <tr r="I2275" s="2"/>
      </tp>
      <tp t="s">
        <v>#N/A N/A</v>
        <stp/>
        <stp>BDP|10122287745091061470</stp>
        <tr r="C4178" s="2"/>
      </tp>
      <tp t="s">
        <v>#N/A N/A</v>
        <stp/>
        <stp>BDP|14818640416289090919</stp>
        <tr r="H1541" s="2"/>
      </tp>
      <tp t="s">
        <v>#N/A N/A</v>
        <stp/>
        <stp>BDP|10419070644492446582</stp>
        <tr r="D3387" s="2"/>
      </tp>
      <tp t="s">
        <v>#N/A N/A</v>
        <stp/>
        <stp>BDP|17154061829637061156</stp>
        <tr r="H390" s="2"/>
      </tp>
      <tp t="s">
        <v>#N/A N/A</v>
        <stp/>
        <stp>BDP|10852490816972975459</stp>
        <tr r="D4317" s="2"/>
      </tp>
      <tp t="s">
        <v>#N/A N/A</v>
        <stp/>
        <stp>BDP|13381089008092033280</stp>
        <tr r="H3426" s="2"/>
      </tp>
      <tp t="s">
        <v>#N/A N/A</v>
        <stp/>
        <stp>BDP|16169390562250303026</stp>
        <tr r="F328" s="2"/>
      </tp>
      <tp t="s">
        <v>#N/A N/A</v>
        <stp/>
        <stp>BDP|15067572000622990159</stp>
        <tr r="B665" s="2"/>
      </tp>
      <tp t="s">
        <v>#N/A N/A</v>
        <stp/>
        <stp>BDP|13725670430702906727</stp>
        <tr r="C270" s="2"/>
      </tp>
      <tp t="s">
        <v>#N/A N/A</v>
        <stp/>
        <stp>BDP|11472034554120837703</stp>
        <tr r="D1362" s="2"/>
      </tp>
      <tp t="s">
        <v>#N/A N/A</v>
        <stp/>
        <stp>BDP|14575296326405034214</stp>
        <tr r="C2716" s="2"/>
      </tp>
      <tp t="s">
        <v>#N/A N/A</v>
        <stp/>
        <stp>BDP|14034010645402871171</stp>
        <tr r="F3778" s="2"/>
      </tp>
      <tp t="s">
        <v>#N/A N/A</v>
        <stp/>
        <stp>BDP|11503642941488900827</stp>
        <tr r="G3152" s="2"/>
      </tp>
      <tp t="s">
        <v>#N/A N/A</v>
        <stp/>
        <stp>BDP|12431287142390514706</stp>
        <tr r="H1081" s="2"/>
      </tp>
      <tp t="s">
        <v>#N/A N/A</v>
        <stp/>
        <stp>BDP|12244039707699586883</stp>
        <tr r="A4335" s="2"/>
      </tp>
      <tp t="s">
        <v>#N/A N/A</v>
        <stp/>
        <stp>BDP|13504695654540208310</stp>
        <tr r="D3494" s="2"/>
      </tp>
      <tp t="s">
        <v>#N/A N/A</v>
        <stp/>
        <stp>BDP|13378072671230664781</stp>
        <tr r="A2978" s="2"/>
      </tp>
      <tp t="s">
        <v>#N/A N/A</v>
        <stp/>
        <stp>BDP|17448656171281994429</stp>
        <tr r="I3713" s="2"/>
      </tp>
      <tp t="s">
        <v>#N/A N/A</v>
        <stp/>
        <stp>BDP|15135783427120324363</stp>
        <tr r="F1118" s="2"/>
      </tp>
      <tp t="s">
        <v>#N/A N/A</v>
        <stp/>
        <stp>BDP|18000395333022966983</stp>
        <tr r="D933" s="2"/>
      </tp>
      <tp t="s">
        <v>#N/A N/A</v>
        <stp/>
        <stp>BDP|18228624681200333590</stp>
        <tr r="C3366" s="2"/>
      </tp>
      <tp t="s">
        <v>#N/A N/A</v>
        <stp/>
        <stp>BDP|11068464109497709131</stp>
        <tr r="G4636" s="2"/>
      </tp>
      <tp t="s">
        <v>#N/A N/A</v>
        <stp/>
        <stp>BDP|15953253001073742715</stp>
        <tr r="B3265" s="2"/>
      </tp>
      <tp t="s">
        <v>#N/A N/A</v>
        <stp/>
        <stp>BDP|15826483361622997639</stp>
        <tr r="C1355" s="2"/>
      </tp>
      <tp t="s">
        <v>#N/A N/A</v>
        <stp/>
        <stp>BDP|10715787215183471656</stp>
        <tr r="F2553" s="2"/>
      </tp>
      <tp t="s">
        <v>#N/A N/A</v>
        <stp/>
        <stp>BDP|13210940899667160757</stp>
        <tr r="A2809" s="2"/>
      </tp>
      <tp t="s">
        <v>#N/A N/A</v>
        <stp/>
        <stp>BDP|10311823204079772293</stp>
        <tr r="H1980" s="2"/>
      </tp>
      <tp t="s">
        <v>#N/A N/A</v>
        <stp/>
        <stp>BDP|11551815703689868346</stp>
        <tr r="F630" s="2"/>
      </tp>
      <tp t="s">
        <v>#N/A N/A</v>
        <stp/>
        <stp>BDP|10621469422775020098</stp>
        <tr r="I1165" s="2"/>
      </tp>
      <tp t="s">
        <v>#N/A N/A</v>
        <stp/>
        <stp>BDP|13942521149232882319</stp>
        <tr r="G1352" s="2"/>
      </tp>
      <tp t="s">
        <v>#N/A N/A</v>
        <stp/>
        <stp>BDP|14865161953205361656</stp>
        <tr r="B1807" s="2"/>
      </tp>
      <tp t="s">
        <v>#N/A N/A</v>
        <stp/>
        <stp>BDP|15033721953070202487</stp>
        <tr r="A748" s="2"/>
      </tp>
      <tp t="s">
        <v>#N/A N/A</v>
        <stp/>
        <stp>BDP|13406803455229829426</stp>
        <tr r="D4739" s="2"/>
      </tp>
      <tp t="s">
        <v>#N/A N/A</v>
        <stp/>
        <stp>BDP|16710079219984100034</stp>
        <tr r="C1150" s="2"/>
      </tp>
      <tp t="s">
        <v>#N/A N/A</v>
        <stp/>
        <stp>BDP|13800747093308465607</stp>
        <tr r="A3184" s="2"/>
      </tp>
      <tp t="s">
        <v>#N/A N/A</v>
        <stp/>
        <stp>BDP|12586674011971927712</stp>
        <tr r="F4297" s="2"/>
      </tp>
      <tp t="s">
        <v>#N/A N/A</v>
        <stp/>
        <stp>BDP|14370280679125807713</stp>
        <tr r="H3935" s="2"/>
      </tp>
      <tp t="s">
        <v>#N/A N/A</v>
        <stp/>
        <stp>BDP|12406426757604833426</stp>
        <tr r="G2187" s="2"/>
      </tp>
      <tp t="s">
        <v>#N/A N/A</v>
        <stp/>
        <stp>BDP|17978238143920269205</stp>
        <tr r="C3876" s="2"/>
      </tp>
      <tp t="s">
        <v>#N/A N/A</v>
        <stp/>
        <stp>BDP|10159145142722545497</stp>
        <tr r="D4668" s="2"/>
      </tp>
      <tp t="s">
        <v>#N/A N/A</v>
        <stp/>
        <stp>BDP|11679516369106553701</stp>
        <tr r="B405" s="2"/>
      </tp>
      <tp t="s">
        <v>#N/A N/A</v>
        <stp/>
        <stp>BDP|12570419118912369645</stp>
        <tr r="G4078" s="2"/>
      </tp>
      <tp t="s">
        <v>#N/A N/A</v>
        <stp/>
        <stp>BDP|10342920534850988970</stp>
        <tr r="H4788" s="2"/>
      </tp>
      <tp t="s">
        <v>#N/A N/A</v>
        <stp/>
        <stp>BDP|13361211689159817383</stp>
        <tr r="B2183" s="2"/>
      </tp>
      <tp t="s">
        <v>#N/A N/A</v>
        <stp/>
        <stp>BDP|12522312195573963837</stp>
        <tr r="B4342" s="2"/>
      </tp>
      <tp t="s">
        <v>#N/A N/A</v>
        <stp/>
        <stp>BDP|13229155805214941505</stp>
        <tr r="B571" s="2"/>
      </tp>
      <tp t="s">
        <v>#N/A N/A</v>
        <stp/>
        <stp>BDP|10616245510603811317</stp>
        <tr r="G3099" s="2"/>
      </tp>
      <tp t="s">
        <v>#N/A N/A</v>
        <stp/>
        <stp>BDP|16359949636347374883</stp>
        <tr r="F2226" s="2"/>
      </tp>
      <tp t="s">
        <v>#N/A N/A</v>
        <stp/>
        <stp>BDP|16958825292064532068</stp>
        <tr r="H1063" s="2"/>
      </tp>
      <tp t="s">
        <v>#N/A N/A</v>
        <stp/>
        <stp>BDP|12348640448533137049</stp>
        <tr r="C4198" s="2"/>
      </tp>
      <tp t="s">
        <v>#N/A N/A</v>
        <stp/>
        <stp>BDP|17060234162075382581</stp>
        <tr r="F2843" s="2"/>
      </tp>
      <tp t="s">
        <v>#N/A N/A</v>
        <stp/>
        <stp>BDP|15060844306898157695</stp>
        <tr r="A3920" s="2"/>
      </tp>
      <tp t="s">
        <v>#N/A N/A</v>
        <stp/>
        <stp>BDP|15153612729555795741</stp>
        <tr r="I4952" s="2"/>
      </tp>
      <tp t="s">
        <v>#N/A N/A</v>
        <stp/>
        <stp>BDP|15737259479134114700</stp>
        <tr r="A3268" s="2"/>
      </tp>
      <tp t="s">
        <v>#N/A N/A</v>
        <stp/>
        <stp>BDP|11489138719300288261</stp>
        <tr r="C2007" s="2"/>
      </tp>
      <tp t="s">
        <v>#N/A N/A</v>
        <stp/>
        <stp>BDP|17997640502342130043</stp>
        <tr r="I3454" s="2"/>
      </tp>
      <tp t="s">
        <v>#N/A N/A</v>
        <stp/>
        <stp>BDP|12799399693273408838</stp>
        <tr r="C3325" s="2"/>
      </tp>
      <tp t="s">
        <v>#N/A N/A</v>
        <stp/>
        <stp>BDP|17492357023130913514</stp>
        <tr r="B3971" s="2"/>
      </tp>
      <tp t="s">
        <v>#N/A N/A</v>
        <stp/>
        <stp>BDP|17183221997168611780</stp>
        <tr r="F4300" s="2"/>
      </tp>
      <tp t="s">
        <v>#N/A N/A</v>
        <stp/>
        <stp>BDP|12976017200896261707</stp>
        <tr r="D2062" s="2"/>
      </tp>
      <tp t="s">
        <v>#N/A N/A</v>
        <stp/>
        <stp>BDP|13937049849050920471</stp>
        <tr r="B3021" s="2"/>
      </tp>
      <tp t="s">
        <v>#N/A N/A</v>
        <stp/>
        <stp>BDP|13577398786703283829</stp>
        <tr r="C3996" s="2"/>
      </tp>
      <tp t="s">
        <v>#N/A N/A</v>
        <stp/>
        <stp>BDP|10340781136663492432</stp>
        <tr r="I4731" s="2"/>
      </tp>
      <tp t="s">
        <v>#N/A N/A</v>
        <stp/>
        <stp>BDP|12383575238860252748</stp>
        <tr r="H1206" s="2"/>
      </tp>
      <tp t="s">
        <v>#N/A N/A</v>
        <stp/>
        <stp>BDP|17458569527886854579</stp>
        <tr r="H4871" s="2"/>
      </tp>
      <tp t="s">
        <v>#N/A N/A</v>
        <stp/>
        <stp>BDP|12067798468729903921</stp>
        <tr r="G4207" s="2"/>
      </tp>
      <tp t="s">
        <v>#N/A N/A</v>
        <stp/>
        <stp>BDP|16065267172316780695</stp>
        <tr r="G330" s="2"/>
      </tp>
      <tp t="s">
        <v>#N/A N/A</v>
        <stp/>
        <stp>BDP|15885738566455031278</stp>
        <tr r="F4661" s="2"/>
      </tp>
      <tp t="s">
        <v>#N/A N/A</v>
        <stp/>
        <stp>BDP|16466126405654881011</stp>
        <tr r="I4787" s="2"/>
      </tp>
      <tp t="s">
        <v>#N/A N/A</v>
        <stp/>
        <stp>BDP|10803041952627789130</stp>
        <tr r="D2074" s="2"/>
      </tp>
      <tp t="s">
        <v>#N/A N/A</v>
        <stp/>
        <stp>BDP|15882323447456431733</stp>
        <tr r="F3116" s="2"/>
      </tp>
      <tp t="s">
        <v>#N/A N/A</v>
        <stp/>
        <stp>BDP|16292208165834462590</stp>
        <tr r="I4169" s="2"/>
      </tp>
      <tp t="s">
        <v>#N/A N/A</v>
        <stp/>
        <stp>BDP|10021418803410936713</stp>
        <tr r="D3217" s="2"/>
      </tp>
      <tp t="s">
        <v>#N/A N/A</v>
        <stp/>
        <stp>BDP|14744023751883602181</stp>
        <tr r="G1217" s="2"/>
      </tp>
      <tp t="s">
        <v>#N/A N/A</v>
        <stp/>
        <stp>BDP|10142139107616762483</stp>
        <tr r="C2448" s="2"/>
      </tp>
      <tp t="s">
        <v>#N/A N/A</v>
        <stp/>
        <stp>BDP|13142484534074759308</stp>
        <tr r="G3130" s="2"/>
      </tp>
      <tp t="s">
        <v>#N/A N/A</v>
        <stp/>
        <stp>BDP|14799151388227001907</stp>
        <tr r="B2625" s="2"/>
      </tp>
      <tp t="s">
        <v>#N/A N/A</v>
        <stp/>
        <stp>BDP|10382203645782416780</stp>
        <tr r="I2024" s="2"/>
      </tp>
      <tp t="s">
        <v>#N/A N/A</v>
        <stp/>
        <stp>BDP|14565539664311864507</stp>
        <tr r="B2316" s="2"/>
      </tp>
      <tp t="s">
        <v>#N/A N/A</v>
        <stp/>
        <stp>BDP|16683442148242310734</stp>
        <tr r="B198" s="2"/>
      </tp>
      <tp t="s">
        <v>#N/A N/A</v>
        <stp/>
        <stp>BDP|10789541906313831574</stp>
        <tr r="B3770" s="2"/>
      </tp>
      <tp t="s">
        <v>#N/A N/A</v>
        <stp/>
        <stp>BDP|13376890340745187914</stp>
        <tr r="A4749" s="2"/>
      </tp>
      <tp t="s">
        <v>#N/A N/A</v>
        <stp/>
        <stp>BDP|14572400986639889215</stp>
        <tr r="B3287" s="2"/>
      </tp>
      <tp t="s">
        <v>#N/A N/A</v>
        <stp/>
        <stp>BDP|17813936801365676860</stp>
        <tr r="B314" s="2"/>
      </tp>
      <tp t="s">
        <v>#N/A N/A</v>
        <stp/>
        <stp>BDP|18312490187512509527</stp>
        <tr r="D3205" s="2"/>
      </tp>
      <tp t="s">
        <v>#N/A N/A</v>
        <stp/>
        <stp>BDP|14924061334234145006</stp>
        <tr r="H2256" s="2"/>
      </tp>
      <tp t="s">
        <v>#N/A N/A</v>
        <stp/>
        <stp>BDP|16404486611406539623</stp>
        <tr r="B2155" s="2"/>
      </tp>
      <tp t="s">
        <v>#N/A N/A</v>
        <stp/>
        <stp>BDP|10460397903370289068</stp>
        <tr r="G1196" s="2"/>
      </tp>
      <tp t="s">
        <v>#N/A N/A</v>
        <stp/>
        <stp>BDP|12776684382046686919</stp>
        <tr r="C4792" s="2"/>
      </tp>
      <tp t="s">
        <v>#N/A N/A</v>
        <stp/>
        <stp>BDP|16571794184492146832</stp>
        <tr r="A392" s="2"/>
      </tp>
      <tp t="s">
        <v>#N/A N/A</v>
        <stp/>
        <stp>BDP|11238189167787248258</stp>
        <tr r="H2506" s="2"/>
      </tp>
      <tp t="s">
        <v>#N/A N/A</v>
        <stp/>
        <stp>BDP|12301344957444364397</stp>
        <tr r="D904" s="2"/>
      </tp>
      <tp t="s">
        <v>#N/A N/A</v>
        <stp/>
        <stp>BDP|10503521409887214169</stp>
        <tr r="H1413" s="2"/>
      </tp>
      <tp t="s">
        <v>#N/A N/A</v>
        <stp/>
        <stp>BDP|16920036393059527567</stp>
        <tr r="C606" s="2"/>
      </tp>
      <tp t="s">
        <v>#N/A N/A</v>
        <stp/>
        <stp>BDP|16402642571867333388</stp>
        <tr r="F3204" s="2"/>
      </tp>
      <tp t="s">
        <v>#N/A N/A</v>
        <stp/>
        <stp>BDP|14972340974142211117</stp>
        <tr r="B87" s="2"/>
      </tp>
      <tp t="s">
        <v>#N/A N/A</v>
        <stp/>
        <stp>BDP|11931342879375857367</stp>
        <tr r="B3614" s="2"/>
      </tp>
      <tp t="s">
        <v>#N/A N/A</v>
        <stp/>
        <stp>BDP|16155312879774173527</stp>
        <tr r="B137" s="2"/>
      </tp>
      <tp t="s">
        <v>#N/A N/A</v>
        <stp/>
        <stp>BDP|17938743258121699798</stp>
        <tr r="D4646" s="2"/>
      </tp>
      <tp t="s">
        <v>#N/A N/A</v>
        <stp/>
        <stp>BDP|13043810291671814023</stp>
        <tr r="A4957" s="2"/>
      </tp>
      <tp t="s">
        <v>#N/A N/A</v>
        <stp/>
        <stp>BDP|15728886192660170762</stp>
        <tr r="G398" s="2"/>
      </tp>
      <tp t="s">
        <v>#N/A N/A</v>
        <stp/>
        <stp>BDP|10241983495936618538</stp>
        <tr r="D3872" s="2"/>
      </tp>
      <tp t="s">
        <v>#N/A N/A</v>
        <stp/>
        <stp>BDP|10309775122513520595</stp>
        <tr r="C3391" s="2"/>
      </tp>
      <tp t="s">
        <v>#N/A N/A</v>
        <stp/>
        <stp>BDP|12221799296827375843</stp>
        <tr r="I3456" s="2"/>
      </tp>
      <tp t="s">
        <v>#N/A N/A</v>
        <stp/>
        <stp>BDP|15932753068626976176</stp>
        <tr r="C990" s="2"/>
      </tp>
      <tp t="s">
        <v>#N/A N/A</v>
        <stp/>
        <stp>BDP|16290115005946459286</stp>
        <tr r="F2987" s="2"/>
      </tp>
      <tp t="s">
        <v>#N/A N/A</v>
        <stp/>
        <stp>BDP|18428322982089716997</stp>
        <tr r="H3846" s="2"/>
      </tp>
      <tp t="s">
        <v>#N/A N/A</v>
        <stp/>
        <stp>BDP|13431051847030512495</stp>
        <tr r="F2603" s="2"/>
      </tp>
      <tp t="s">
        <v>#N/A N/A</v>
        <stp/>
        <stp>BDP|12469996698673619291</stp>
        <tr r="A4938" s="2"/>
      </tp>
      <tp t="s">
        <v>#N/A N/A</v>
        <stp/>
        <stp>BDP|12978004642802492757</stp>
        <tr r="F2907" s="2"/>
      </tp>
      <tp t="s">
        <v>#N/A N/A</v>
        <stp/>
        <stp>BDP|11950320156010199469</stp>
        <tr r="B2849" s="2"/>
      </tp>
      <tp t="s">
        <v>#N/A N/A</v>
        <stp/>
        <stp>BDP|15600009424381187597</stp>
        <tr r="D4009" s="2"/>
      </tp>
      <tp t="s">
        <v>#N/A N/A</v>
        <stp/>
        <stp>BDP|16796510532661796293</stp>
        <tr r="G1575" s="2"/>
      </tp>
      <tp t="s">
        <v>#N/A N/A</v>
        <stp/>
        <stp>BDP|10555244977013966553</stp>
        <tr r="G3722" s="2"/>
      </tp>
      <tp t="s">
        <v>#N/A N/A</v>
        <stp/>
        <stp>BDP|17561339724753844608</stp>
        <tr r="G4613" s="2"/>
      </tp>
      <tp t="s">
        <v>#N/A N/A</v>
        <stp/>
        <stp>BDP|10819155881383009963</stp>
        <tr r="G9" s="2"/>
      </tp>
      <tp t="s">
        <v>#N/A N/A</v>
        <stp/>
        <stp>BDP|12673021875967800144</stp>
        <tr r="C3758" s="2"/>
      </tp>
      <tp t="s">
        <v>#N/A N/A</v>
        <stp/>
        <stp>BDP|10494646650451528182</stp>
        <tr r="G372" s="2"/>
      </tp>
      <tp t="s">
        <v>#N/A N/A</v>
        <stp/>
        <stp>BDP|12398782532105252065</stp>
        <tr r="A4138" s="2"/>
      </tp>
      <tp t="s">
        <v>#N/A N/A</v>
        <stp/>
        <stp>BDP|12988063321665572660</stp>
        <tr r="G888" s="2"/>
      </tp>
      <tp t="s">
        <v>#N/A N/A</v>
        <stp/>
        <stp>BDP|14986911102719049770</stp>
        <tr r="D2322" s="2"/>
      </tp>
      <tp t="s">
        <v>#N/A N/A</v>
        <stp/>
        <stp>BDP|12442431644984722594</stp>
        <tr r="C3422" s="2"/>
      </tp>
      <tp t="s">
        <v>#N/A N/A</v>
        <stp/>
        <stp>BDP|16647375835900101582</stp>
        <tr r="D4727" s="2"/>
      </tp>
      <tp t="s">
        <v>#N/A N/A</v>
        <stp/>
        <stp>BDP|12587240747095310283</stp>
        <tr r="C1157" s="2"/>
      </tp>
      <tp t="s">
        <v>#N/A N/A</v>
        <stp/>
        <stp>BDP|10939262693988462054</stp>
        <tr r="C3408" s="2"/>
      </tp>
      <tp t="s">
        <v>#N/A N/A</v>
        <stp/>
        <stp>BDP|13235869289389912991</stp>
        <tr r="H3016" s="2"/>
      </tp>
      <tp t="s">
        <v>#N/A N/A</v>
        <stp/>
        <stp>BDP|13443189871015137317</stp>
        <tr r="D2624" s="2"/>
      </tp>
      <tp t="s">
        <v>#N/A N/A</v>
        <stp/>
        <stp>BDP|12798857629762177977</stp>
        <tr r="A160" s="2"/>
      </tp>
      <tp t="s">
        <v>#N/A N/A</v>
        <stp/>
        <stp>BDP|11808089829305219562</stp>
        <tr r="H3480" s="2"/>
      </tp>
      <tp t="s">
        <v>#N/A N/A</v>
        <stp/>
        <stp>BDP|10230056236813512395</stp>
        <tr r="H3310" s="2"/>
      </tp>
      <tp t="s">
        <v>#N/A N/A</v>
        <stp/>
        <stp>BDP|10984123547255156305</stp>
        <tr r="H4224" s="2"/>
      </tp>
      <tp t="s">
        <v>#N/A N/A</v>
        <stp/>
        <stp>BDP|10818359350234155117</stp>
        <tr r="A4369" s="2"/>
      </tp>
      <tp t="s">
        <v>#N/A N/A</v>
        <stp/>
        <stp>BDP|17821089524285980309</stp>
        <tr r="G2822" s="2"/>
      </tp>
      <tp t="s">
        <v>#N/A N/A</v>
        <stp/>
        <stp>BDP|17071101379152668029</stp>
        <tr r="G1244" s="2"/>
      </tp>
      <tp t="s">
        <v>#N/A N/A</v>
        <stp/>
        <stp>BDP|11132781515976078214</stp>
        <tr r="C3989" s="2"/>
      </tp>
      <tp t="s">
        <v>#N/A N/A</v>
        <stp/>
        <stp>BDP|17243738243404891379</stp>
        <tr r="H1844" s="2"/>
      </tp>
      <tp t="s">
        <v>#N/A N/A</v>
        <stp/>
        <stp>BDP|12570418788799053412</stp>
        <tr r="B141" s="2"/>
      </tp>
      <tp t="s">
        <v>#N/A N/A</v>
        <stp/>
        <stp>BDP|17910252092858718745</stp>
        <tr r="A1530" s="2"/>
      </tp>
      <tp t="s">
        <v>#N/A N/A</v>
        <stp/>
        <stp>BDP|15958065687088095656</stp>
        <tr r="C3277" s="2"/>
      </tp>
      <tp t="s">
        <v>#N/A N/A</v>
        <stp/>
        <stp>BDP|17261995580615586032</stp>
        <tr r="H754" s="2"/>
      </tp>
      <tp t="s">
        <v>#N/A N/A</v>
        <stp/>
        <stp>BDP|12647819894269944975</stp>
        <tr r="I4123" s="2"/>
      </tp>
      <tp t="s">
        <v>#N/A N/A</v>
        <stp/>
        <stp>BDP|13333599836073556541</stp>
        <tr r="I4677" s="2"/>
      </tp>
      <tp t="s">
        <v>#N/A N/A</v>
        <stp/>
        <stp>BDP|12922660079919367983</stp>
        <tr r="B2583" s="2"/>
      </tp>
      <tp t="s">
        <v>#N/A N/A</v>
        <stp/>
        <stp>BDP|10590773805072859621</stp>
        <tr r="A4709" s="2"/>
      </tp>
      <tp t="s">
        <v>#N/A N/A</v>
        <stp/>
        <stp>BDP|17044735075913934725</stp>
        <tr r="C4954" s="2"/>
      </tp>
      <tp t="s">
        <v>#N/A N/A</v>
        <stp/>
        <stp>BDP|15992310624050171700</stp>
        <tr r="G4530" s="2"/>
      </tp>
      <tp t="s">
        <v>#N/A N/A</v>
        <stp/>
        <stp>BDP|18267636796993959732</stp>
        <tr r="I4524" s="2"/>
      </tp>
      <tp t="s">
        <v>#N/A N/A</v>
        <stp/>
        <stp>BDP|13528498636943474439</stp>
        <tr r="A3990" s="2"/>
      </tp>
      <tp t="s">
        <v>#N/A N/A</v>
        <stp/>
        <stp>BDP|16905125944764773458</stp>
        <tr r="H3834" s="2"/>
      </tp>
      <tp t="s">
        <v>#N/A N/A</v>
        <stp/>
        <stp>BDP|16350294652940324267</stp>
        <tr r="A2545" s="2"/>
      </tp>
      <tp t="s">
        <v>#N/A N/A</v>
        <stp/>
        <stp>BDP|16775750731640956179</stp>
        <tr r="G1726" s="2"/>
      </tp>
      <tp t="s">
        <v>#N/A N/A</v>
        <stp/>
        <stp>BDP|16861670583462286936</stp>
        <tr r="F3785" s="2"/>
      </tp>
      <tp t="s">
        <v>#N/A N/A</v>
        <stp/>
        <stp>BDP|13846095333016652598</stp>
        <tr r="H3563" s="2"/>
      </tp>
      <tp t="s">
        <v>#N/A N/A</v>
        <stp/>
        <stp>BDP|10975622816056665260</stp>
        <tr r="C3285" s="2"/>
      </tp>
      <tp t="s">
        <v>#N/A N/A</v>
        <stp/>
        <stp>BDP|14518460749944036378</stp>
        <tr r="G1520" s="2"/>
      </tp>
      <tp t="s">
        <v>#N/A N/A</v>
        <stp/>
        <stp>BDP|17061529792609589182</stp>
        <tr r="D1129" s="2"/>
      </tp>
      <tp t="s">
        <v>#N/A N/A</v>
        <stp/>
        <stp>BDP|15925092293279675686</stp>
        <tr r="I2563" s="2"/>
      </tp>
      <tp t="s">
        <v>#N/A N/A</v>
        <stp/>
        <stp>BDP|16924725096412339932</stp>
        <tr r="F86" s="2"/>
      </tp>
      <tp t="s">
        <v>#N/A N/A</v>
        <stp/>
        <stp>BDP|11840703336255310306</stp>
        <tr r="C3656" s="2"/>
      </tp>
      <tp t="s">
        <v>#N/A N/A</v>
        <stp/>
        <stp>BDP|12676068769231592616</stp>
        <tr r="D3663" s="2"/>
      </tp>
      <tp t="s">
        <v>#N/A N/A</v>
        <stp/>
        <stp>BDP|10048115062257836361</stp>
        <tr r="I4613" s="2"/>
      </tp>
      <tp t="s">
        <v>#N/A N/A</v>
        <stp/>
        <stp>BDP|14804668713502147218</stp>
        <tr r="H2768" s="2"/>
      </tp>
      <tp t="s">
        <v>#N/A N/A</v>
        <stp/>
        <stp>BDP|13881044607150083064</stp>
        <tr r="D1672" s="2"/>
      </tp>
      <tp t="s">
        <v>#N/A N/A</v>
        <stp/>
        <stp>BDP|13689878500381434981</stp>
        <tr r="I2" s="2"/>
      </tp>
      <tp t="s">
        <v>#N/A N/A</v>
        <stp/>
        <stp>BDP|17057480529110963253</stp>
        <tr r="H1935" s="2"/>
      </tp>
      <tp t="s">
        <v>#N/A N/A</v>
        <stp/>
        <stp>BDP|10319997866399814594</stp>
        <tr r="D3329" s="2"/>
      </tp>
      <tp t="s">
        <v>#N/A N/A</v>
        <stp/>
        <stp>BDP|17144792891642487808</stp>
        <tr r="C3313" s="2"/>
      </tp>
      <tp t="s">
        <v>#N/A N/A</v>
        <stp/>
        <stp>BDP|15491507489142399936</stp>
        <tr r="F3404" s="2"/>
      </tp>
      <tp t="s">
        <v>#N/A N/A</v>
        <stp/>
        <stp>BDP|12477655666125949437</stp>
        <tr r="D2585" s="2"/>
      </tp>
      <tp t="s">
        <v>#N/A N/A</v>
        <stp/>
        <stp>BDP|15736083701276623050</stp>
        <tr r="A4790" s="2"/>
      </tp>
      <tp t="s">
        <v>#N/A N/A</v>
        <stp/>
        <stp>BDP|14025085211661685729</stp>
        <tr r="D1507" s="2"/>
      </tp>
      <tp t="s">
        <v>#N/A N/A</v>
        <stp/>
        <stp>BDP|14060290666403321010</stp>
        <tr r="B4232" s="2"/>
      </tp>
      <tp t="s">
        <v>#N/A N/A</v>
        <stp/>
        <stp>BDP|15169746838054352635</stp>
        <tr r="C3308" s="2"/>
      </tp>
      <tp t="s">
        <v>#N/A N/A</v>
        <stp/>
        <stp>BDP|12395009069354043377</stp>
        <tr r="H325" s="2"/>
      </tp>
      <tp t="s">
        <v>#N/A N/A</v>
        <stp/>
        <stp>BDP|11426690117406339342</stp>
        <tr r="H1875" s="2"/>
      </tp>
      <tp t="s">
        <v>#N/A N/A</v>
        <stp/>
        <stp>BDP|13083040114155471499</stp>
        <tr r="C2943" s="2"/>
      </tp>
      <tp t="s">
        <v>#N/A N/A</v>
        <stp/>
        <stp>BDP|17823851845418766027</stp>
        <tr r="F1800" s="2"/>
      </tp>
      <tp t="s">
        <v>#N/A N/A</v>
        <stp/>
        <stp>BDP|15625681110942248318</stp>
        <tr r="G2327" s="2"/>
      </tp>
      <tp t="s">
        <v>#N/A N/A</v>
        <stp/>
        <stp>BDP|14488713339126283534</stp>
        <tr r="I2657" s="2"/>
      </tp>
      <tp t="s">
        <v>#N/A N/A</v>
        <stp/>
        <stp>BDP|10221600676190958200</stp>
        <tr r="A2527" s="2"/>
      </tp>
      <tp t="s">
        <v>#N/A N/A</v>
        <stp/>
        <stp>BDP|15006947538918580440</stp>
        <tr r="G2960" s="2"/>
      </tp>
      <tp t="s">
        <v>#N/A N/A</v>
        <stp/>
        <stp>BDP|10048767875395825667</stp>
        <tr r="F1955" s="2"/>
      </tp>
      <tp t="s">
        <v>#N/A N/A</v>
        <stp/>
        <stp>BDP|16699483622802453152</stp>
        <tr r="G1338" s="2"/>
      </tp>
      <tp t="s">
        <v>#N/A N/A</v>
        <stp/>
        <stp>BDP|12352601810915985370</stp>
        <tr r="H938" s="2"/>
      </tp>
      <tp t="s">
        <v>#N/A N/A</v>
        <stp/>
        <stp>BDP|13313547934823896562</stp>
        <tr r="F4553" s="2"/>
      </tp>
      <tp t="s">
        <v>#N/A N/A</v>
        <stp/>
        <stp>BDP|14549398181699998596</stp>
        <tr r="I1527" s="2"/>
      </tp>
      <tp t="s">
        <v>#N/A N/A</v>
        <stp/>
        <stp>BDP|16938741146903291547</stp>
        <tr r="F674" s="2"/>
      </tp>
      <tp t="s">
        <v>#N/A N/A</v>
        <stp/>
        <stp>BDP|15526013046055736787</stp>
        <tr r="A1316" s="2"/>
      </tp>
      <tp t="s">
        <v>#N/A N/A</v>
        <stp/>
        <stp>BDP|18231623486167923226</stp>
        <tr r="G56" s="2"/>
      </tp>
      <tp t="s">
        <v>#N/A N/A</v>
        <stp/>
        <stp>BDP|10761309253846969305</stp>
        <tr r="I1183" s="2"/>
      </tp>
      <tp t="s">
        <v>#N/A N/A</v>
        <stp/>
        <stp>BDP|15263992705907785841</stp>
        <tr r="I2289" s="2"/>
      </tp>
      <tp t="s">
        <v>#N/A N/A</v>
        <stp/>
        <stp>BDP|14985097229992152748</stp>
        <tr r="A420" s="2"/>
      </tp>
      <tp t="s">
        <v>#N/A N/A</v>
        <stp/>
        <stp>BDP|12839653358957150587</stp>
        <tr r="G4419" s="2"/>
      </tp>
      <tp t="s">
        <v>#N/A N/A</v>
        <stp/>
        <stp>BDP|13466658821434813040</stp>
        <tr r="G633" s="2"/>
      </tp>
      <tp t="s">
        <v>#N/A N/A</v>
        <stp/>
        <stp>BDP|15086074300796256095</stp>
        <tr r="I4620" s="2"/>
      </tp>
      <tp t="s">
        <v>#N/A N/A</v>
        <stp/>
        <stp>BDP|14888634054895774148</stp>
        <tr r="I2693" s="2"/>
      </tp>
      <tp t="s">
        <v>#N/A N/A</v>
        <stp/>
        <stp>BDP|11617240544106285283</stp>
        <tr r="G4284" s="2"/>
      </tp>
      <tp t="s">
        <v>#N/A N/A</v>
        <stp/>
        <stp>BDP|15714276979833138047</stp>
        <tr r="B4523" s="2"/>
      </tp>
      <tp t="s">
        <v>#N/A N/A</v>
        <stp/>
        <stp>BDP|16999402875460449641</stp>
        <tr r="I1700" s="2"/>
      </tp>
      <tp t="s">
        <v>#N/A N/A</v>
        <stp/>
        <stp>BDP|12182136368105058360</stp>
        <tr r="H2057" s="2"/>
      </tp>
      <tp t="s">
        <v>#N/A N/A</v>
        <stp/>
        <stp>BDP|11403811734361889850</stp>
        <tr r="C4620" s="2"/>
      </tp>
      <tp t="s">
        <v>#N/A N/A</v>
        <stp/>
        <stp>BDP|15167772310923375390</stp>
        <tr r="B2270" s="2"/>
      </tp>
      <tp t="s">
        <v>#N/A N/A</v>
        <stp/>
        <stp>BDP|17460259029646376274</stp>
        <tr r="F3548" s="2"/>
      </tp>
      <tp t="s">
        <v>#N/A N/A</v>
        <stp/>
        <stp>BDP|10717414955102846079</stp>
        <tr r="I3755" s="2"/>
      </tp>
      <tp t="s">
        <v>#N/A N/A</v>
        <stp/>
        <stp>BDP|11968174470603184735</stp>
        <tr r="A22" s="2"/>
      </tp>
      <tp t="s">
        <v>#N/A N/A</v>
        <stp/>
        <stp>BDP|13914375350842306415</stp>
        <tr r="A1979" s="2"/>
      </tp>
      <tp t="s">
        <v>#N/A N/A</v>
        <stp/>
        <stp>BDP|16788985870419369207</stp>
        <tr r="C4253" s="2"/>
      </tp>
      <tp t="s">
        <v>#N/A N/A</v>
        <stp/>
        <stp>BDP|15425927129378778549</stp>
        <tr r="H2171" s="2"/>
      </tp>
      <tp t="s">
        <v>#N/A N/A</v>
        <stp/>
        <stp>BDP|13380238255993041495</stp>
        <tr r="G2697" s="2"/>
      </tp>
      <tp t="s">
        <v>#N/A N/A</v>
        <stp/>
        <stp>BDP|10693896251317377913</stp>
        <tr r="B2228" s="2"/>
      </tp>
      <tp t="s">
        <v>#N/A N/A</v>
        <stp/>
        <stp>BDP|10542289013014415464</stp>
        <tr r="I372" s="2"/>
      </tp>
      <tp t="s">
        <v>#N/A N/A</v>
        <stp/>
        <stp>BDP|14649044098577793913</stp>
        <tr r="H601" s="2"/>
      </tp>
      <tp t="s">
        <v>#N/A N/A</v>
        <stp/>
        <stp>BDP|14281689836824032605</stp>
        <tr r="H2242" s="2"/>
      </tp>
      <tp t="s">
        <v>#N/A N/A</v>
        <stp/>
        <stp>BDP|17999945470418716266</stp>
        <tr r="B3306" s="2"/>
      </tp>
      <tp t="s">
        <v>#N/A N/A</v>
        <stp/>
        <stp>BDP|12317390673113095656</stp>
        <tr r="A3971" s="2"/>
      </tp>
      <tp t="s">
        <v>#N/A N/A</v>
        <stp/>
        <stp>BDP|15947429849516919076</stp>
        <tr r="I2587" s="2"/>
      </tp>
      <tp t="s">
        <v>#N/A N/A</v>
        <stp/>
        <stp>BDP|10611148168182534635</stp>
        <tr r="C3746" s="2"/>
      </tp>
      <tp t="s">
        <v>#N/A N/A</v>
        <stp/>
        <stp>BDP|16950500643994623000</stp>
        <tr r="I870" s="2"/>
      </tp>
      <tp t="s">
        <v>#N/A N/A</v>
        <stp/>
        <stp>BDP|12958375143965674370</stp>
        <tr r="G4168" s="2"/>
      </tp>
      <tp t="s">
        <v>#N/A N/A</v>
        <stp/>
        <stp>BDP|14896565822658810885</stp>
        <tr r="I3835" s="2"/>
      </tp>
      <tp t="s">
        <v>#N/A N/A</v>
        <stp/>
        <stp>BDP|12593166649505222146</stp>
        <tr r="C4030" s="2"/>
      </tp>
      <tp t="s">
        <v>#N/A N/A</v>
        <stp/>
        <stp>BDP|16580331148762356015</stp>
        <tr r="G2593" s="2"/>
      </tp>
      <tp t="s">
        <v>#N/A N/A</v>
        <stp/>
        <stp>BDP|14223429822004840562</stp>
        <tr r="H2710" s="2"/>
      </tp>
      <tp t="s">
        <v>#N/A N/A</v>
        <stp/>
        <stp>BDP|12134698133440760404</stp>
        <tr r="B3661" s="2"/>
      </tp>
      <tp t="s">
        <v>#N/A N/A</v>
        <stp/>
        <stp>BDP|12988937366397812980</stp>
        <tr r="H353" s="2"/>
      </tp>
      <tp t="s">
        <v>#N/A N/A</v>
        <stp/>
        <stp>BDP|17189352605281479693</stp>
        <tr r="F4280" s="2"/>
      </tp>
      <tp t="s">
        <v>#N/A N/A</v>
        <stp/>
        <stp>BDP|14880942725018115447</stp>
        <tr r="D1599" s="2"/>
      </tp>
      <tp t="s">
        <v>#N/A N/A</v>
        <stp/>
        <stp>BDP|13973483583139807569</stp>
        <tr r="I4521" s="2"/>
      </tp>
      <tp t="s">
        <v>#N/A N/A</v>
        <stp/>
        <stp>BDP|10488029029126312702</stp>
        <tr r="D1164" s="2"/>
      </tp>
      <tp t="s">
        <v>#N/A N/A</v>
        <stp/>
        <stp>BDP|12652406221396363185</stp>
        <tr r="C664" s="2"/>
      </tp>
      <tp t="s">
        <v>#N/A N/A</v>
        <stp/>
        <stp>BDP|14811356307640517433</stp>
        <tr r="D2686" s="2"/>
      </tp>
      <tp t="s">
        <v>#N/A N/A</v>
        <stp/>
        <stp>BDP|13067293536241778042</stp>
        <tr r="G2359" s="2"/>
      </tp>
      <tp t="s">
        <v>#N/A N/A</v>
        <stp/>
        <stp>BDP|12600397801000751250</stp>
        <tr r="D3153" s="2"/>
      </tp>
      <tp t="s">
        <v>#N/A N/A</v>
        <stp/>
        <stp>BDP|13774410914343620684</stp>
        <tr r="A1718" s="2"/>
      </tp>
      <tp t="s">
        <v>#N/A N/A</v>
        <stp/>
        <stp>BDP|10602321459282296738</stp>
        <tr r="B960" s="2"/>
      </tp>
      <tp t="s">
        <v>#N/A N/A</v>
        <stp/>
        <stp>BDP|13410246616221971230</stp>
        <tr r="I3067" s="2"/>
      </tp>
      <tp t="s">
        <v>#N/A N/A</v>
        <stp/>
        <stp>BDP|17154421172511934640</stp>
        <tr r="G4295" s="2"/>
      </tp>
      <tp t="s">
        <v>#N/A N/A</v>
        <stp/>
        <stp>BDP|15619230449271939192</stp>
        <tr r="A4400" s="2"/>
      </tp>
      <tp t="s">
        <v>#N/A N/A</v>
        <stp/>
        <stp>BDP|10908224792099459110</stp>
        <tr r="G2603" s="2"/>
      </tp>
      <tp t="s">
        <v>#N/A N/A</v>
        <stp/>
        <stp>BDP|10871442858044878603</stp>
        <tr r="H420" s="2"/>
      </tp>
      <tp t="s">
        <v>#N/A N/A</v>
        <stp/>
        <stp>BDP|13766004251690259580</stp>
        <tr r="I1603" s="2"/>
      </tp>
      <tp t="s">
        <v>#N/A N/A</v>
        <stp/>
        <stp>BDP|16973780519601656225</stp>
        <tr r="F1277" s="2"/>
      </tp>
      <tp t="s">
        <v>#N/A N/A</v>
        <stp/>
        <stp>BDP|15988853355718248379</stp>
        <tr r="D4984" s="2"/>
      </tp>
      <tp t="s">
        <v>#N/A N/A</v>
        <stp/>
        <stp>BDP|14614724339181871293</stp>
        <tr r="A352" s="2"/>
      </tp>
      <tp t="s">
        <v>#N/A N/A</v>
        <stp/>
        <stp>BDP|13897470733524788374</stp>
        <tr r="H3663" s="2"/>
      </tp>
      <tp t="s">
        <v>#N/A N/A</v>
        <stp/>
        <stp>BDP|14210773129675262722</stp>
        <tr r="D4998" s="2"/>
      </tp>
      <tp t="s">
        <v>#N/A N/A</v>
        <stp/>
        <stp>BDP|17295648773602142783</stp>
        <tr r="F4740" s="2"/>
      </tp>
      <tp t="s">
        <v>#N/A N/A</v>
        <stp/>
        <stp>BDP|14083167863558157888</stp>
        <tr r="F984" s="2"/>
      </tp>
      <tp t="s">
        <v>#N/A N/A</v>
        <stp/>
        <stp>BDP|17361186965700712351</stp>
        <tr r="I3439" s="2"/>
      </tp>
      <tp t="s">
        <v>#N/A N/A</v>
        <stp/>
        <stp>BDP|17371047321472345497</stp>
        <tr r="G939" s="2"/>
      </tp>
      <tp t="s">
        <v>#N/A N/A</v>
        <stp/>
        <stp>BDP|13193055749871710562</stp>
        <tr r="I721" s="2"/>
      </tp>
      <tp t="s">
        <v>#N/A N/A</v>
        <stp/>
        <stp>BDP|14957427674142746640</stp>
        <tr r="D4388" s="2"/>
      </tp>
      <tp t="s">
        <v>#N/A N/A</v>
        <stp/>
        <stp>BDP|12628786010484034325</stp>
        <tr r="D3561" s="2"/>
      </tp>
      <tp t="s">
        <v>#N/A N/A</v>
        <stp/>
        <stp>BDP|14131491011870290275</stp>
        <tr r="I1797" s="2"/>
      </tp>
      <tp t="s">
        <v>#N/A N/A</v>
        <stp/>
        <stp>BDP|18070084097274141623</stp>
        <tr r="F2106" s="2"/>
      </tp>
      <tp t="s">
        <v>#N/A N/A</v>
        <stp/>
        <stp>BDP|16644602134571663183</stp>
        <tr r="B2338" s="2"/>
      </tp>
      <tp t="s">
        <v>#N/A N/A</v>
        <stp/>
        <stp>BDP|13810135004729332806</stp>
        <tr r="B1352" s="2"/>
      </tp>
      <tp t="s">
        <v>#N/A N/A</v>
        <stp/>
        <stp>BDP|11956479992346989991</stp>
        <tr r="A3260" s="2"/>
      </tp>
      <tp t="s">
        <v>#N/A N/A</v>
        <stp/>
        <stp>BDP|17830044210965496041</stp>
        <tr r="D1807" s="2"/>
      </tp>
      <tp t="s">
        <v>#N/A N/A</v>
        <stp/>
        <stp>BDP|14460091842312794148</stp>
        <tr r="H2189" s="2"/>
      </tp>
      <tp t="s">
        <v>#N/A N/A</v>
        <stp/>
        <stp>BDP|17579264929822298647</stp>
        <tr r="B1865" s="2"/>
      </tp>
      <tp t="s">
        <v>#N/A N/A</v>
        <stp/>
        <stp>BDP|11708666263595946772</stp>
        <tr r="I28" s="2"/>
      </tp>
      <tp t="s">
        <v>#N/A N/A</v>
        <stp/>
        <stp>BDP|16539466920152681199</stp>
        <tr r="G918" s="2"/>
      </tp>
      <tp t="s">
        <v>#N/A N/A</v>
        <stp/>
        <stp>BDP|13326863443718350496</stp>
        <tr r="D2909" s="2"/>
      </tp>
      <tp t="s">
        <v>#N/A N/A</v>
        <stp/>
        <stp>BDP|10459682895205194948</stp>
        <tr r="G523" s="2"/>
      </tp>
      <tp t="s">
        <v>#N/A N/A</v>
        <stp/>
        <stp>BDP|11342740138254322200</stp>
        <tr r="C1223" s="2"/>
      </tp>
      <tp t="s">
        <v>#N/A N/A</v>
        <stp/>
        <stp>BDP|11617611259866455769</stp>
        <tr r="G3281" s="2"/>
      </tp>
      <tp t="s">
        <v>#N/A N/A</v>
        <stp/>
        <stp>BDP|15260338638860350667</stp>
        <tr r="G1113" s="2"/>
      </tp>
      <tp t="s">
        <v>#N/A N/A</v>
        <stp/>
        <stp>BDP|16615766172271569488</stp>
        <tr r="F1014" s="2"/>
      </tp>
      <tp t="s">
        <v>#N/A N/A</v>
        <stp/>
        <stp>BDP|12307448608771752471</stp>
        <tr r="A2641" s="2"/>
      </tp>
      <tp t="s">
        <v>#N/A N/A</v>
        <stp/>
        <stp>BDP|13729901519730478858</stp>
        <tr r="C4306" s="2"/>
      </tp>
      <tp t="s">
        <v>#N/A N/A</v>
        <stp/>
        <stp>BDP|17223894694830904595</stp>
        <tr r="C771" s="2"/>
      </tp>
      <tp t="s">
        <v>#N/A N/A</v>
        <stp/>
        <stp>BDP|12110145479881353603</stp>
        <tr r="F3025" s="2"/>
      </tp>
      <tp t="s">
        <v>#N/A N/A</v>
        <stp/>
        <stp>BDP|12862478445590117140</stp>
        <tr r="G555" s="2"/>
      </tp>
      <tp t="s">
        <v>#N/A N/A</v>
        <stp/>
        <stp>BDP|12314229409303572026</stp>
        <tr r="C1829" s="2"/>
      </tp>
      <tp t="s">
        <v>#N/A N/A</v>
        <stp/>
        <stp>BDP|14870074456984661605</stp>
        <tr r="H1605" s="2"/>
      </tp>
      <tp t="s">
        <v>#N/A N/A</v>
        <stp/>
        <stp>BDP|11922539356254775647</stp>
        <tr r="H3100" s="2"/>
      </tp>
      <tp t="s">
        <v>#N/A N/A</v>
        <stp/>
        <stp>BDP|14358056748963938080</stp>
        <tr r="I3502" s="2"/>
      </tp>
      <tp t="s">
        <v>#N/A N/A</v>
        <stp/>
        <stp>BDP|11770189223505751447</stp>
        <tr r="A3741" s="2"/>
      </tp>
      <tp t="s">
        <v>#N/A N/A</v>
        <stp/>
        <stp>BDP|12556670740005893655</stp>
        <tr r="H1355" s="2"/>
      </tp>
      <tp t="s">
        <v>#N/A N/A</v>
        <stp/>
        <stp>BDP|12567031600689986801</stp>
        <tr r="G4072" s="2"/>
      </tp>
      <tp t="s">
        <v>#N/A N/A</v>
        <stp/>
        <stp>BDP|14950768586588196079</stp>
        <tr r="F4986" s="2"/>
      </tp>
      <tp t="s">
        <v>#N/A N/A</v>
        <stp/>
        <stp>BDP|16193041109572732746</stp>
        <tr r="F572" s="2"/>
      </tp>
      <tp t="s">
        <v>#N/A N/A</v>
        <stp/>
        <stp>BDP|18149950042490903608</stp>
        <tr r="A2225" s="2"/>
      </tp>
      <tp t="s">
        <v>#N/A N/A</v>
        <stp/>
        <stp>BDP|17608449138027307466</stp>
        <tr r="I1834" s="2"/>
      </tp>
      <tp t="s">
        <v>#N/A N/A</v>
        <stp/>
        <stp>BDP|14299132369027371743</stp>
        <tr r="H14" s="2"/>
      </tp>
      <tp t="s">
        <v>#N/A N/A</v>
        <stp/>
        <stp>BDP|15603020934034966168</stp>
        <tr r="C2153" s="2"/>
      </tp>
      <tp t="s">
        <v>#N/A N/A</v>
        <stp/>
        <stp>BDP|11896135657460241612</stp>
        <tr r="G1773" s="2"/>
      </tp>
      <tp t="s">
        <v>#N/A N/A</v>
        <stp/>
        <stp>BDP|16143297560908151961</stp>
        <tr r="C3349" s="2"/>
      </tp>
      <tp t="s">
        <v>#N/A N/A</v>
        <stp/>
        <stp>BDP|14065218260216816563</stp>
        <tr r="F365" s="2"/>
      </tp>
      <tp t="s">
        <v>#N/A N/A</v>
        <stp/>
        <stp>BDP|15301046693617994827</stp>
        <tr r="A940" s="2"/>
      </tp>
      <tp t="s">
        <v>#N/A N/A</v>
        <stp/>
        <stp>BDP|16762666258050458628</stp>
        <tr r="F1837" s="2"/>
      </tp>
      <tp t="s">
        <v>#N/A N/A</v>
        <stp/>
        <stp>BDP|15854206531842529534</stp>
        <tr r="B4476" s="2"/>
      </tp>
      <tp t="s">
        <v>#N/A N/A</v>
        <stp/>
        <stp>BDP|12896421723433208441</stp>
        <tr r="H1524" s="2"/>
      </tp>
      <tp t="s">
        <v>#N/A N/A</v>
        <stp/>
        <stp>BDP|12580507558139741857</stp>
        <tr r="D1061" s="2"/>
      </tp>
      <tp t="s">
        <v>#N/A N/A</v>
        <stp/>
        <stp>BDP|12268739020266838263</stp>
        <tr r="H3033" s="2"/>
      </tp>
      <tp t="s">
        <v>#N/A N/A</v>
        <stp/>
        <stp>BDP|15765228701401304587</stp>
        <tr r="C3691" s="2"/>
      </tp>
      <tp t="s">
        <v>#N/A N/A</v>
        <stp/>
        <stp>BDP|15920545313913029110</stp>
        <tr r="F3185" s="2"/>
      </tp>
      <tp t="s">
        <v>#N/A N/A</v>
        <stp/>
        <stp>BDP|14030390097964773961</stp>
        <tr r="G4380" s="2"/>
      </tp>
      <tp t="s">
        <v>#N/A N/A</v>
        <stp/>
        <stp>BDP|17662769150961908765</stp>
        <tr r="F720" s="2"/>
      </tp>
      <tp t="s">
        <v>#N/A N/A</v>
        <stp/>
        <stp>BDP|10509894516613321963</stp>
        <tr r="B3036" s="2"/>
      </tp>
      <tp t="s">
        <v>#N/A N/A</v>
        <stp/>
        <stp>BDP|13088717252071458389</stp>
        <tr r="I3049" s="2"/>
      </tp>
      <tp t="s">
        <v>#N/A N/A</v>
        <stp/>
        <stp>BDP|14260154660271855106</stp>
        <tr r="G4520" s="2"/>
      </tp>
      <tp t="s">
        <v>#N/A N/A</v>
        <stp/>
        <stp>BDP|17351784585959335228</stp>
        <tr r="B626" s="2"/>
      </tp>
      <tp t="s">
        <v>#N/A N/A</v>
        <stp/>
        <stp>BDP|10282052655966935043</stp>
        <tr r="H2197" s="2"/>
      </tp>
      <tp t="s">
        <v>#N/A N/A</v>
        <stp/>
        <stp>BDP|13476689158312875139</stp>
        <tr r="H2200" s="2"/>
      </tp>
      <tp t="s">
        <v>#N/A N/A</v>
        <stp/>
        <stp>BDP|12338419554031103188</stp>
        <tr r="A4716" s="2"/>
      </tp>
      <tp t="s">
        <v>#N/A N/A</v>
        <stp/>
        <stp>BDP|10553187745487450131</stp>
        <tr r="D1361" s="2"/>
      </tp>
      <tp t="s">
        <v>#N/A N/A</v>
        <stp/>
        <stp>BDP|14327721938343754017</stp>
        <tr r="A4663" s="2"/>
      </tp>
      <tp t="s">
        <v>#N/A N/A</v>
        <stp/>
        <stp>BDP|11302844640778049685</stp>
        <tr r="D4328" s="2"/>
      </tp>
      <tp t="s">
        <v>#N/A N/A</v>
        <stp/>
        <stp>BDP|12516615936382551680</stp>
        <tr r="D4729" s="2"/>
      </tp>
      <tp t="s">
        <v>#N/A N/A</v>
        <stp/>
        <stp>BDP|16645166354537275692</stp>
        <tr r="A1931" s="2"/>
      </tp>
      <tp t="s">
        <v>#N/A N/A</v>
        <stp/>
        <stp>BDP|10527769760076585491</stp>
        <tr r="I4845" s="2"/>
      </tp>
      <tp t="s">
        <v>#N/A N/A</v>
        <stp/>
        <stp>BDP|12132867605769810050</stp>
        <tr r="D96" s="2"/>
      </tp>
      <tp t="s">
        <v>#N/A N/A</v>
        <stp/>
        <stp>BDP|13834305564780656555</stp>
        <tr r="B3031" s="2"/>
      </tp>
      <tp t="s">
        <v>#N/A N/A</v>
        <stp/>
        <stp>BDP|13334187339087847551</stp>
        <tr r="G480" s="2"/>
      </tp>
      <tp t="s">
        <v>#N/A N/A</v>
        <stp/>
        <stp>BDP|16551563587338304084</stp>
        <tr r="A338" s="2"/>
      </tp>
      <tp t="s">
        <v>#N/A N/A</v>
        <stp/>
        <stp>BDP|11443086214043118063</stp>
        <tr r="H2116" s="2"/>
      </tp>
      <tp t="s">
        <v>#N/A N/A</v>
        <stp/>
        <stp>BDP|10334702818192401700</stp>
        <tr r="F1444" s="2"/>
      </tp>
      <tp t="s">
        <v>#N/A N/A</v>
        <stp/>
        <stp>BDP|12933000304747616645</stp>
        <tr r="D2414" s="2"/>
      </tp>
      <tp t="s">
        <v>#N/A N/A</v>
        <stp/>
        <stp>BDP|12980676952073113128</stp>
        <tr r="C3083" s="2"/>
      </tp>
      <tp t="s">
        <v>#N/A N/A</v>
        <stp/>
        <stp>BDP|15183054505825841367</stp>
        <tr r="I292" s="2"/>
      </tp>
      <tp t="s">
        <v>#N/A N/A</v>
        <stp/>
        <stp>BDP|16731385893689651652</stp>
        <tr r="F1232" s="2"/>
      </tp>
      <tp t="s">
        <v>#N/A N/A</v>
        <stp/>
        <stp>BDP|15452363269000233362</stp>
        <tr r="A4738" s="2"/>
      </tp>
      <tp t="s">
        <v>#N/A N/A</v>
        <stp/>
        <stp>BDP|16889256538832220682</stp>
        <tr r="I4317" s="2"/>
      </tp>
      <tp t="s">
        <v>#N/A N/A</v>
        <stp/>
        <stp>BDP|12642682220792120705</stp>
        <tr r="D4057" s="2"/>
      </tp>
      <tp t="s">
        <v>#N/A N/A</v>
        <stp/>
        <stp>BDP|18273579161520859838</stp>
        <tr r="I1286" s="2"/>
      </tp>
      <tp t="s">
        <v>#N/A N/A</v>
        <stp/>
        <stp>BDP|18279597284221711775</stp>
        <tr r="C109" s="2"/>
      </tp>
      <tp t="s">
        <v>#N/A N/A</v>
        <stp/>
        <stp>BDP|14070152772376924712</stp>
        <tr r="F3055" s="2"/>
      </tp>
      <tp t="s">
        <v>#N/A N/A</v>
        <stp/>
        <stp>BDP|15700213958119759861</stp>
        <tr r="G1398" s="2"/>
      </tp>
      <tp t="s">
        <v>#N/A N/A</v>
        <stp/>
        <stp>BDP|15214080588599548786</stp>
        <tr r="F3292" s="2"/>
      </tp>
      <tp t="s">
        <v>#N/A N/A</v>
        <stp/>
        <stp>BDP|14033399065690385201</stp>
        <tr r="D2985" s="2"/>
      </tp>
      <tp t="s">
        <v>#N/A N/A</v>
        <stp/>
        <stp>BDP|12428470279300702224</stp>
        <tr r="A4" s="2"/>
      </tp>
      <tp t="s">
        <v>#N/A N/A</v>
        <stp/>
        <stp>BDP|10774405581749880618</stp>
        <tr r="A2244" s="2"/>
      </tp>
      <tp t="s">
        <v>#N/A N/A</v>
        <stp/>
        <stp>BDP|12280683205544392332</stp>
        <tr r="F1261" s="2"/>
      </tp>
      <tp t="s">
        <v>#N/A N/A</v>
        <stp/>
        <stp>BDP|10454164138767615632</stp>
        <tr r="D2561" s="2"/>
      </tp>
      <tp t="s">
        <v>#N/A N/A</v>
        <stp/>
        <stp>BDP|11142452029941180532</stp>
        <tr r="F2497" s="2"/>
      </tp>
      <tp t="s">
        <v>#N/A N/A</v>
        <stp/>
        <stp>BDP|14672430258597739154</stp>
        <tr r="A2557" s="2"/>
      </tp>
      <tp t="s">
        <v>#N/A N/A</v>
        <stp/>
        <stp>BDP|12923214524417034634</stp>
        <tr r="A3341" s="2"/>
      </tp>
      <tp t="s">
        <v>#N/A N/A</v>
        <stp/>
        <stp>BDP|10845603632564037254</stp>
        <tr r="D2635" s="2"/>
      </tp>
      <tp t="s">
        <v>#N/A N/A</v>
        <stp/>
        <stp>BDP|18420133508238238224</stp>
        <tr r="D749" s="2"/>
      </tp>
      <tp t="s">
        <v>#N/A N/A</v>
        <stp/>
        <stp>BDP|11381689558236852742</stp>
        <tr r="D2853" s="2"/>
      </tp>
      <tp t="s">
        <v>#N/A N/A</v>
        <stp/>
        <stp>BDP|14342391013762365750</stp>
        <tr r="C1298" s="2"/>
      </tp>
      <tp t="s">
        <v>#N/A N/A</v>
        <stp/>
        <stp>BDP|15213690137035151620</stp>
        <tr r="C1715" s="2"/>
      </tp>
      <tp t="s">
        <v>#N/A N/A</v>
        <stp/>
        <stp>BDP|16940188745530387085</stp>
        <tr r="F613" s="2"/>
      </tp>
      <tp t="s">
        <v>#N/A N/A</v>
        <stp/>
        <stp>BDP|13411787214852648401</stp>
        <tr r="F4886" s="2"/>
      </tp>
      <tp t="s">
        <v>#N/A N/A</v>
        <stp/>
        <stp>BDP|13618368520123901273</stp>
        <tr r="F989" s="2"/>
      </tp>
      <tp t="s">
        <v>#N/A N/A</v>
        <stp/>
        <stp>BDP|14495554648544726201</stp>
        <tr r="C3514" s="2"/>
      </tp>
      <tp t="s">
        <v>#N/A N/A</v>
        <stp/>
        <stp>BDP|16276393741751294361</stp>
        <tr r="G4092" s="2"/>
      </tp>
      <tp t="s">
        <v>#N/A N/A</v>
        <stp/>
        <stp>BDP|12117552531340928728</stp>
        <tr r="I4595" s="2"/>
      </tp>
      <tp t="s">
        <v>#N/A N/A</v>
        <stp/>
        <stp>BDP|14863135464915246534</stp>
        <tr r="B4638" s="2"/>
      </tp>
      <tp t="s">
        <v>#N/A N/A</v>
        <stp/>
        <stp>BDP|15010686156135452049</stp>
        <tr r="A125" s="2"/>
      </tp>
      <tp t="s">
        <v>#N/A N/A</v>
        <stp/>
        <stp>BDP|12288084882730741915</stp>
        <tr r="B2878" s="2"/>
      </tp>
      <tp t="s">
        <v>#N/A N/A</v>
        <stp/>
        <stp>BDP|12480592951511515077</stp>
        <tr r="C3667" s="2"/>
      </tp>
      <tp t="s">
        <v>#N/A N/A</v>
        <stp/>
        <stp>BDP|12818017245734794151</stp>
        <tr r="F3652" s="2"/>
      </tp>
      <tp t="s">
        <v>#N/A N/A</v>
        <stp/>
        <stp>BDP|14832042926654487106</stp>
        <tr r="B133" s="2"/>
      </tp>
      <tp t="s">
        <v>#N/A N/A</v>
        <stp/>
        <stp>BDP|12099653032086873214</stp>
        <tr r="D2823" s="2"/>
      </tp>
      <tp t="s">
        <v>#N/A N/A</v>
        <stp/>
        <stp>BDP|12462177207374389492</stp>
        <tr r="D3615" s="2"/>
      </tp>
      <tp t="s">
        <v>#N/A N/A</v>
        <stp/>
        <stp>BDP|16292224803365817257</stp>
        <tr r="G3857" s="2"/>
      </tp>
      <tp t="s">
        <v>#N/A N/A</v>
        <stp/>
        <stp>BDP|11991320561531234667</stp>
        <tr r="D748" s="2"/>
      </tp>
      <tp t="s">
        <v>#N/A N/A</v>
        <stp/>
        <stp>BDP|12162197127524352629</stp>
        <tr r="A1786" s="2"/>
      </tp>
      <tp t="s">
        <v>#N/A N/A</v>
        <stp/>
        <stp>BDP|16922679364230141555</stp>
        <tr r="F4847" s="2"/>
      </tp>
      <tp t="s">
        <v>#N/A N/A</v>
        <stp/>
        <stp>BDP|10554052049336095175</stp>
        <tr r="I752" s="2"/>
      </tp>
      <tp t="s">
        <v>#N/A N/A</v>
        <stp/>
        <stp>BDP|10972333223211093377</stp>
        <tr r="C623" s="2"/>
      </tp>
      <tp t="s">
        <v>#N/A N/A</v>
        <stp/>
        <stp>BDP|12886059011081092126</stp>
        <tr r="A1758" s="2"/>
      </tp>
      <tp t="s">
        <v>#N/A N/A</v>
        <stp/>
        <stp>BDP|14091579399283452849</stp>
        <tr r="H1174" s="2"/>
      </tp>
      <tp t="s">
        <v>#N/A N/A</v>
        <stp/>
        <stp>BDP|12355434302572531799</stp>
        <tr r="C1304" s="2"/>
      </tp>
      <tp t="s">
        <v>#N/A N/A</v>
        <stp/>
        <stp>BDP|17554485001900567071</stp>
        <tr r="A4176" s="2"/>
      </tp>
      <tp t="s">
        <v>#N/A N/A</v>
        <stp/>
        <stp>BDP|13185474329444070211</stp>
        <tr r="G971" s="2"/>
      </tp>
      <tp t="s">
        <v>#N/A N/A</v>
        <stp/>
        <stp>BDP|12936170630693391031</stp>
        <tr r="D1572" s="2"/>
      </tp>
      <tp t="s">
        <v>#N/A N/A</v>
        <stp/>
        <stp>BDP|17425033523456988031</stp>
        <tr r="F4191" s="2"/>
      </tp>
      <tp t="s">
        <v>#N/A N/A</v>
        <stp/>
        <stp>BDP|17085427912228700991</stp>
        <tr r="H2478" s="2"/>
      </tp>
      <tp t="s">
        <v>#N/A N/A</v>
        <stp/>
        <stp>BDP|12096506885115957927</stp>
        <tr r="F2865" s="2"/>
      </tp>
      <tp t="s">
        <v>#N/A N/A</v>
        <stp/>
        <stp>BDP|15056299741122508231</stp>
        <tr r="B3970" s="2"/>
      </tp>
      <tp t="s">
        <v>#N/A N/A</v>
        <stp/>
        <stp>BDP|14218281679946400495</stp>
        <tr r="A1475" s="2"/>
      </tp>
      <tp t="s">
        <v>#N/A N/A</v>
        <stp/>
        <stp>BDP|17759005985568586491</stp>
        <tr r="C630" s="2"/>
      </tp>
      <tp t="s">
        <v>#N/A N/A</v>
        <stp/>
        <stp>BDP|17775074467793934104</stp>
        <tr r="B2277" s="2"/>
      </tp>
      <tp t="s">
        <v>#N/A N/A</v>
        <stp/>
        <stp>BDP|13104791873175461515</stp>
        <tr r="C4459" s="2"/>
      </tp>
      <tp t="s">
        <v>#N/A N/A</v>
        <stp/>
        <stp>BDP|12720166233117547492</stp>
        <tr r="F3371" s="2"/>
      </tp>
      <tp t="s">
        <v>#N/A N/A</v>
        <stp/>
        <stp>BDP|14298121846546874409</stp>
        <tr r="H3829" s="2"/>
      </tp>
      <tp t="s">
        <v>#N/A N/A</v>
        <stp/>
        <stp>BDP|12564326138654528546</stp>
        <tr r="B2742" s="2"/>
      </tp>
      <tp t="s">
        <v>#N/A N/A</v>
        <stp/>
        <stp>BDP|14599390413212516748</stp>
        <tr r="G2691" s="2"/>
      </tp>
      <tp t="s">
        <v>#N/A N/A</v>
        <stp/>
        <stp>BDP|17519794104576405522</stp>
        <tr r="A1046" s="2"/>
      </tp>
      <tp t="s">
        <v>#N/A N/A</v>
        <stp/>
        <stp>BDP|16153052132844194294</stp>
        <tr r="B4417" s="2"/>
      </tp>
      <tp t="s">
        <v>#N/A N/A</v>
        <stp/>
        <stp>BDP|15741292519086864311</stp>
        <tr r="D4501" s="2"/>
      </tp>
      <tp t="s">
        <v>#N/A N/A</v>
        <stp/>
        <stp>BDP|17068522952824659088</stp>
        <tr r="F83" s="2"/>
      </tp>
      <tp t="s">
        <v>#N/A N/A</v>
        <stp/>
        <stp>BDP|15483351909822686709</stp>
        <tr r="G3289" s="2"/>
      </tp>
      <tp t="s">
        <v>#N/A N/A</v>
        <stp/>
        <stp>BDP|14406075617412399498</stp>
        <tr r="F617" s="2"/>
      </tp>
      <tp t="s">
        <v>#N/A N/A</v>
        <stp/>
        <stp>BDP|17315995431516438812</stp>
        <tr r="B4455" s="2"/>
      </tp>
      <tp t="s">
        <v>#N/A N/A</v>
        <stp/>
        <stp>BDP|11751894925450137846</stp>
        <tr r="B4743" s="2"/>
      </tp>
      <tp t="s">
        <v>#N/A N/A</v>
        <stp/>
        <stp>BDP|12327627172676927641</stp>
        <tr r="A1713" s="2"/>
      </tp>
      <tp t="s">
        <v>#N/A N/A</v>
        <stp/>
        <stp>BDP|14307315166171350391</stp>
        <tr r="F2097" s="2"/>
      </tp>
      <tp t="s">
        <v>#N/A N/A</v>
        <stp/>
        <stp>BDP|10098804721669655099</stp>
        <tr r="I3059" s="2"/>
      </tp>
      <tp t="s">
        <v>#N/A N/A</v>
        <stp/>
        <stp>BDP|18366098676394123838</stp>
        <tr r="I4741" s="2"/>
      </tp>
      <tp t="s">
        <v>#N/A N/A</v>
        <stp/>
        <stp>BDP|12929336238362579397</stp>
        <tr r="A2385" s="2"/>
      </tp>
      <tp t="s">
        <v>#N/A N/A</v>
        <stp/>
        <stp>BDP|11533823145636496888</stp>
        <tr r="D4306" s="2"/>
      </tp>
      <tp t="s">
        <v>#N/A N/A</v>
        <stp/>
        <stp>BDP|13621583651416775665</stp>
        <tr r="F1004" s="2"/>
      </tp>
      <tp t="s">
        <v>#N/A N/A</v>
        <stp/>
        <stp>BDP|14290181426865020125</stp>
        <tr r="F2992" s="2"/>
      </tp>
      <tp t="s">
        <v>#N/A N/A</v>
        <stp/>
        <stp>BDP|17695289783088468671</stp>
        <tr r="H1846" s="2"/>
      </tp>
      <tp t="s">
        <v>#N/A N/A</v>
        <stp/>
        <stp>BDP|15807455736580444112</stp>
        <tr r="H290" s="2"/>
      </tp>
      <tp t="s">
        <v>#N/A N/A</v>
        <stp/>
        <stp>BDP|15733699168123958518</stp>
        <tr r="A681" s="2"/>
      </tp>
      <tp t="s">
        <v>#N/A N/A</v>
        <stp/>
        <stp>BDP|14863307224077036124</stp>
        <tr r="B2762" s="2"/>
      </tp>
      <tp t="s">
        <v>#N/A N/A</v>
        <stp/>
        <stp>BDP|15825532983322411927</stp>
        <tr r="D1140" s="2"/>
      </tp>
      <tp t="s">
        <v>#N/A N/A</v>
        <stp/>
        <stp>BDP|15879660859186107383</stp>
        <tr r="C1878" s="2"/>
      </tp>
      <tp t="s">
        <v>#N/A N/A</v>
        <stp/>
        <stp>BDP|12115252834565860565</stp>
        <tr r="B877" s="2"/>
      </tp>
      <tp t="s">
        <v>#N/A N/A</v>
        <stp/>
        <stp>BDP|16454309649282220019</stp>
        <tr r="F2876" s="2"/>
      </tp>
      <tp t="s">
        <v>#N/A N/A</v>
        <stp/>
        <stp>BDP|11364118082782689984</stp>
        <tr r="F4264" s="2"/>
      </tp>
      <tp t="s">
        <v>#N/A N/A</v>
        <stp/>
        <stp>BDP|14064117609012614405</stp>
        <tr r="A3459" s="2"/>
      </tp>
      <tp t="s">
        <v>#N/A N/A</v>
        <stp/>
        <stp>BDP|12929545437394056344</stp>
        <tr r="B1338" s="2"/>
      </tp>
      <tp t="s">
        <v>#N/A N/A</v>
        <stp/>
        <stp>BDP|16553240047087844405</stp>
        <tr r="I3623" s="2"/>
      </tp>
      <tp t="s">
        <v>#N/A N/A</v>
        <stp/>
        <stp>BDP|11112079343115359388</stp>
        <tr r="A3186" s="2"/>
      </tp>
      <tp t="s">
        <v>#N/A N/A</v>
        <stp/>
        <stp>BDP|17403790159991383795</stp>
        <tr r="F2906" s="2"/>
      </tp>
      <tp t="s">
        <v>#N/A N/A</v>
        <stp/>
        <stp>BDP|13261844102039919137</stp>
        <tr r="H986" s="2"/>
      </tp>
      <tp t="s">
        <v>#N/A N/A</v>
        <stp/>
        <stp>BDP|12163011675081259796</stp>
        <tr r="G4904" s="2"/>
      </tp>
      <tp t="s">
        <v>#N/A N/A</v>
        <stp/>
        <stp>BDP|15721661523115571791</stp>
        <tr r="G4963" s="2"/>
      </tp>
      <tp t="s">
        <v>#N/A N/A</v>
        <stp/>
        <stp>BDP|16000237778447514706</stp>
        <tr r="D83" s="2"/>
      </tp>
      <tp t="s">
        <v>#N/A N/A</v>
        <stp/>
        <stp>BDP|13684628758745434660</stp>
        <tr r="F3349" s="2"/>
      </tp>
      <tp t="s">
        <v>#N/A N/A</v>
        <stp/>
        <stp>BDP|12641621942465183662</stp>
        <tr r="G2131" s="2"/>
      </tp>
      <tp t="s">
        <v>#N/A N/A</v>
        <stp/>
        <stp>BDP|15689106233002221667</stp>
        <tr r="I4910" s="2"/>
      </tp>
      <tp t="s">
        <v>#N/A N/A</v>
        <stp/>
        <stp>BDP|15874027041875266785</stp>
        <tr r="C4461" s="2"/>
      </tp>
      <tp t="s">
        <v>#N/A N/A</v>
        <stp/>
        <stp>BDP|16887524455161870461</stp>
        <tr r="C4678" s="2"/>
      </tp>
      <tp t="s">
        <v>#N/A N/A</v>
        <stp/>
        <stp>BDP|13752314057903636560</stp>
        <tr r="G350" s="2"/>
      </tp>
      <tp t="s">
        <v>#N/A N/A</v>
        <stp/>
        <stp>BDP|10593719543099489923</stp>
        <tr r="D3469" s="2"/>
      </tp>
      <tp t="s">
        <v>#N/A N/A</v>
        <stp/>
        <stp>BDP|15483571807611568202</stp>
        <tr r="C3891" s="2"/>
      </tp>
      <tp t="s">
        <v>#N/A N/A</v>
        <stp/>
        <stp>BDP|11132634125397695107</stp>
        <tr r="C3123" s="2"/>
      </tp>
      <tp t="s">
        <v>#N/A N/A</v>
        <stp/>
        <stp>BDP|12231678841556375563</stp>
        <tr r="A3050" s="2"/>
      </tp>
      <tp t="s">
        <v>#N/A N/A</v>
        <stp/>
        <stp>BDP|10701304010229390855</stp>
        <tr r="B897" s="2"/>
      </tp>
      <tp t="s">
        <v>#N/A N/A</v>
        <stp/>
        <stp>BDP|17039694353587881030</stp>
        <tr r="I2322" s="2"/>
      </tp>
      <tp t="s">
        <v>#N/A N/A</v>
        <stp/>
        <stp>BDP|17879930483070189585</stp>
        <tr r="C1258" s="2"/>
      </tp>
      <tp t="s">
        <v>#N/A N/A</v>
        <stp/>
        <stp>BDP|18072359953265163863</stp>
        <tr r="I4666" s="2"/>
      </tp>
      <tp t="s">
        <v>#N/A N/A</v>
        <stp/>
        <stp>BDP|16520631179183731798</stp>
        <tr r="I1928" s="2"/>
      </tp>
      <tp t="s">
        <v>#N/A N/A</v>
        <stp/>
        <stp>BDP|16123305107273790505</stp>
        <tr r="H707" s="2"/>
      </tp>
      <tp t="s">
        <v>#N/A N/A</v>
        <stp/>
        <stp>BDP|12115558530150211770</stp>
        <tr r="H1879" s="2"/>
      </tp>
      <tp t="s">
        <v>#N/A N/A</v>
        <stp/>
        <stp>BDP|13959735810443381585</stp>
        <tr r="C2976" s="2"/>
      </tp>
      <tp t="s">
        <v>#N/A N/A</v>
        <stp/>
        <stp>BDP|16147804567903286858</stp>
        <tr r="C4457" s="2"/>
      </tp>
      <tp t="s">
        <v>#N/A N/A</v>
        <stp/>
        <stp>BDP|14626714416203955298</stp>
        <tr r="G4394" s="2"/>
      </tp>
      <tp t="s">
        <v>#N/A N/A</v>
        <stp/>
        <stp>BDP|13217984635122845869</stp>
        <tr r="G4680" s="2"/>
      </tp>
      <tp t="s">
        <v>#N/A N/A</v>
        <stp/>
        <stp>BDP|15513252167523286147</stp>
        <tr r="G1148" s="2"/>
      </tp>
      <tp t="s">
        <v>#N/A N/A</v>
        <stp/>
        <stp>BDP|16154849288490543594</stp>
        <tr r="G1132" s="2"/>
      </tp>
      <tp t="s">
        <v>#N/A N/A</v>
        <stp/>
        <stp>BDP|11313469146250458267</stp>
        <tr r="I1415" s="2"/>
      </tp>
      <tp t="s">
        <v>#N/A N/A</v>
        <stp/>
        <stp>BDP|17540019964470354224</stp>
        <tr r="I1307" s="2"/>
      </tp>
      <tp t="s">
        <v>#N/A N/A</v>
        <stp/>
        <stp>BDP|16091100272357771445</stp>
        <tr r="D2407" s="2"/>
      </tp>
      <tp t="s">
        <v>#N/A N/A</v>
        <stp/>
        <stp>BDP|15259847775898751157</stp>
        <tr r="G2806" s="2"/>
      </tp>
      <tp t="s">
        <v>#N/A N/A</v>
        <stp/>
        <stp>BDP|17266039631200371725</stp>
        <tr r="F434" s="2"/>
      </tp>
      <tp t="s">
        <v>#N/A N/A</v>
        <stp/>
        <stp>BDP|10496957236051343855</stp>
        <tr r="I3885" s="2"/>
      </tp>
      <tp t="s">
        <v>#N/A N/A</v>
        <stp/>
        <stp>BDP|14076050175952010210</stp>
        <tr r="C4219" s="2"/>
      </tp>
      <tp t="s">
        <v>#N/A N/A</v>
        <stp/>
        <stp>BDP|14897759440243445789</stp>
        <tr r="I3760" s="2"/>
      </tp>
      <tp t="s">
        <v>#N/A N/A</v>
        <stp/>
        <stp>BDP|13971200318826369537</stp>
        <tr r="H3908" s="2"/>
      </tp>
      <tp t="s">
        <v>#N/A N/A</v>
        <stp/>
        <stp>BDP|10536949294292465100</stp>
        <tr r="F3111" s="2"/>
      </tp>
      <tp t="s">
        <v>#N/A N/A</v>
        <stp/>
        <stp>BDP|15105921898513229588</stp>
        <tr r="C1473" s="2"/>
      </tp>
      <tp t="s">
        <v>#N/A N/A</v>
        <stp/>
        <stp>BDP|17665068517426770313</stp>
        <tr r="F813" s="2"/>
      </tp>
      <tp t="s">
        <v>#N/A N/A</v>
        <stp/>
        <stp>BDP|14733623700991523016</stp>
        <tr r="C1982" s="2"/>
      </tp>
      <tp t="s">
        <v>#N/A N/A</v>
        <stp/>
        <stp>BDP|10178856066438083530</stp>
        <tr r="G1159" s="2"/>
      </tp>
      <tp t="s">
        <v>#N/A N/A</v>
        <stp/>
        <stp>BDP|15046724124403112068</stp>
        <tr r="B1964" s="2"/>
      </tp>
      <tp t="s">
        <v>#N/A N/A</v>
        <stp/>
        <stp>BDP|12937615613861841727</stp>
        <tr r="B3911" s="2"/>
      </tp>
      <tp t="s">
        <v>#N/A N/A</v>
        <stp/>
        <stp>BDP|12330621901810358722</stp>
        <tr r="H2291" s="2"/>
      </tp>
      <tp t="s">
        <v>#N/A N/A</v>
        <stp/>
        <stp>BDP|15497450229818998804</stp>
        <tr r="H1221" s="2"/>
      </tp>
      <tp t="s">
        <v>#N/A N/A</v>
        <stp/>
        <stp>BDP|10969508746173636180</stp>
        <tr r="C3372" s="2"/>
      </tp>
      <tp t="s">
        <v>#N/A N/A</v>
        <stp/>
        <stp>BDP|12313338732138239917</stp>
        <tr r="C1736" s="2"/>
      </tp>
      <tp t="s">
        <v>#N/A N/A</v>
        <stp/>
        <stp>BDP|11274618374847238448</stp>
        <tr r="D2209" s="2"/>
      </tp>
      <tp t="s">
        <v>#N/A N/A</v>
        <stp/>
        <stp>BDP|15829097073930731143</stp>
        <tr r="G1555" s="2"/>
      </tp>
      <tp t="s">
        <v>#N/A N/A</v>
        <stp/>
        <stp>BDP|12865661511835616382</stp>
        <tr r="C1232" s="2"/>
      </tp>
      <tp t="s">
        <v>#N/A N/A</v>
        <stp/>
        <stp>BDP|15303669754386518357</stp>
        <tr r="B4742" s="2"/>
      </tp>
      <tp t="s">
        <v>#N/A N/A</v>
        <stp/>
        <stp>BDP|18274809111363334112</stp>
        <tr r="D813" s="2"/>
      </tp>
      <tp t="s">
        <v>#N/A N/A</v>
        <stp/>
        <stp>BDP|15739307718646696288</stp>
        <tr r="I4176" s="2"/>
      </tp>
      <tp t="s">
        <v>#N/A N/A</v>
        <stp/>
        <stp>BDP|18363347097289735863</stp>
        <tr r="B2656" s="2"/>
      </tp>
      <tp t="s">
        <v>#N/A N/A</v>
        <stp/>
        <stp>BDP|14355182959377350402</stp>
        <tr r="B3755" s="2"/>
      </tp>
      <tp t="s">
        <v>#N/A N/A</v>
        <stp/>
        <stp>BDP|14551384858118752936</stp>
        <tr r="F4693" s="2"/>
      </tp>
      <tp t="s">
        <v>#N/A N/A</v>
        <stp/>
        <stp>BDP|11504827615212474971</stp>
        <tr r="C4722" s="2"/>
      </tp>
      <tp t="s">
        <v>#N/A N/A</v>
        <stp/>
        <stp>BDP|14162963321855082976</stp>
        <tr r="H3790" s="2"/>
      </tp>
      <tp t="s">
        <v>#N/A N/A</v>
        <stp/>
        <stp>BDP|14560224268272714192</stp>
        <tr r="H4748" s="2"/>
      </tp>
      <tp t="s">
        <v>#N/A N/A</v>
        <stp/>
        <stp>BDP|13057329823702913398</stp>
        <tr r="C159" s="2"/>
      </tp>
      <tp t="s">
        <v>#N/A N/A</v>
        <stp/>
        <stp>BDP|15423181749092442105</stp>
        <tr r="C1523" s="2"/>
      </tp>
      <tp t="s">
        <v>#N/A N/A</v>
        <stp/>
        <stp>BDP|18409374280185238504</stp>
        <tr r="B3131" s="2"/>
      </tp>
      <tp t="s">
        <v>#N/A N/A</v>
        <stp/>
        <stp>BDP|18158607390743545753</stp>
        <tr r="A445" s="2"/>
      </tp>
      <tp t="s">
        <v>#N/A N/A</v>
        <stp/>
        <stp>BDP|17696354634245698107</stp>
        <tr r="A2166" s="2"/>
      </tp>
      <tp t="s">
        <v>#N/A N/A</v>
        <stp/>
        <stp>BDP|12516435896354614877</stp>
        <tr r="I2459" s="2"/>
      </tp>
      <tp t="s">
        <v>#N/A N/A</v>
        <stp/>
        <stp>BDP|14253156655485103626</stp>
        <tr r="B4320" s="2"/>
      </tp>
      <tp t="s">
        <v>#N/A N/A</v>
        <stp/>
        <stp>BDP|15137369770416766419</stp>
        <tr r="G797" s="2"/>
      </tp>
      <tp t="s">
        <v>#N/A N/A</v>
        <stp/>
        <stp>BDP|11779607652762208366</stp>
        <tr r="F3022" s="2"/>
      </tp>
      <tp t="s">
        <v>#N/A N/A</v>
        <stp/>
        <stp>BDP|10510128926928236823</stp>
        <tr r="A239" s="2"/>
      </tp>
      <tp t="s">
        <v>#N/A N/A</v>
        <stp/>
        <stp>BDP|16699509773753016446</stp>
        <tr r="B177" s="2"/>
      </tp>
      <tp t="s">
        <v>#N/A N/A</v>
        <stp/>
        <stp>BDP|14473594173295945065</stp>
        <tr r="H2346" s="2"/>
      </tp>
      <tp t="s">
        <v>#N/A N/A</v>
        <stp/>
        <stp>BDP|11512277443574909093</stp>
        <tr r="B1011" s="2"/>
      </tp>
      <tp t="s">
        <v>#N/A N/A</v>
        <stp/>
        <stp>BDP|17639592609452450330</stp>
        <tr r="B1919" s="2"/>
      </tp>
      <tp t="s">
        <v>#N/A N/A</v>
        <stp/>
        <stp>BDP|13272362444610023711</stp>
        <tr r="G3216" s="2"/>
      </tp>
      <tp t="s">
        <v>#N/A N/A</v>
        <stp/>
        <stp>BDP|14827590023382568267</stp>
        <tr r="F1500" s="2"/>
      </tp>
      <tp t="s">
        <v>#N/A N/A</v>
        <stp/>
        <stp>BDP|16811491576704514231</stp>
        <tr r="G4827" s="2"/>
      </tp>
      <tp t="s">
        <v>#N/A N/A</v>
        <stp/>
        <stp>BDP|15332921114376476801</stp>
        <tr r="A3324" s="2"/>
      </tp>
      <tp t="s">
        <v>#N/A N/A</v>
        <stp/>
        <stp>BDP|17445948801758347539</stp>
        <tr r="D4989" s="2"/>
      </tp>
      <tp t="s">
        <v>#N/A N/A</v>
        <stp/>
        <stp>BDP|13073120266760632735</stp>
        <tr r="H2103" s="2"/>
      </tp>
      <tp t="s">
        <v>#N/A N/A</v>
        <stp/>
        <stp>BDP|10090267711122092260</stp>
        <tr r="F2049" s="2"/>
      </tp>
      <tp t="s">
        <v>#N/A N/A</v>
        <stp/>
        <stp>BDP|10161749814984676167</stp>
        <tr r="F789" s="2"/>
      </tp>
      <tp t="s">
        <v>#N/A N/A</v>
        <stp/>
        <stp>BDP|14400135942486516416</stp>
        <tr r="C1346" s="2"/>
      </tp>
      <tp t="s">
        <v>#N/A N/A</v>
        <stp/>
        <stp>BDP|16302215777344172457</stp>
        <tr r="I1365" s="2"/>
      </tp>
      <tp t="s">
        <v>#N/A N/A</v>
        <stp/>
        <stp>BDP|16482839340698414123</stp>
        <tr r="B2922" s="2"/>
      </tp>
      <tp t="s">
        <v>#N/A N/A</v>
        <stp/>
        <stp>BDP|16611828863702127979</stp>
        <tr r="D4017" s="2"/>
      </tp>
      <tp t="s">
        <v>#N/A N/A</v>
        <stp/>
        <stp>BDP|16930807143330209992</stp>
        <tr r="C1972" s="2"/>
      </tp>
      <tp t="s">
        <v>#N/A N/A</v>
        <stp/>
        <stp>BDP|12687372422093460369</stp>
        <tr r="A72" s="2"/>
      </tp>
      <tp t="s">
        <v>#N/A N/A</v>
        <stp/>
        <stp>BDP|10216327552256553364</stp>
        <tr r="A3552" s="2"/>
      </tp>
      <tp t="s">
        <v>#N/A N/A</v>
        <stp/>
        <stp>BDP|13224706501887308019</stp>
        <tr r="H4687" s="2"/>
      </tp>
      <tp t="s">
        <v>#N/A N/A</v>
        <stp/>
        <stp>BDP|14526026544417740451</stp>
        <tr r="D2490" s="2"/>
      </tp>
      <tp t="s">
        <v>#N/A N/A</v>
        <stp/>
        <stp>BDP|16658625013454087668</stp>
        <tr r="B2379" s="2"/>
      </tp>
      <tp t="s">
        <v>#N/A N/A</v>
        <stp/>
        <stp>BDP|13833423465507990578</stp>
        <tr r="G178" s="2"/>
      </tp>
      <tp t="s">
        <v>#N/A N/A</v>
        <stp/>
        <stp>BDP|17300455107461006105</stp>
        <tr r="A4763" s="2"/>
      </tp>
      <tp t="s">
        <v>#N/A N/A</v>
        <stp/>
        <stp>BDP|13698159766840136740</stp>
        <tr r="A43" s="2"/>
      </tp>
      <tp t="s">
        <v>#N/A N/A</v>
        <stp/>
        <stp>BDP|10117834553659382720</stp>
        <tr r="A2759" s="2"/>
      </tp>
      <tp t="s">
        <v>#N/A N/A</v>
        <stp/>
        <stp>BDP|13355111163284049319</stp>
        <tr r="D1241" s="2"/>
      </tp>
      <tp t="s">
        <v>#N/A N/A</v>
        <stp/>
        <stp>BDP|16480262632312253627</stp>
        <tr r="D2132" s="2"/>
      </tp>
      <tp t="s">
        <v>#N/A N/A</v>
        <stp/>
        <stp>BDP|15616747642865441041</stp>
        <tr r="H4877" s="2"/>
      </tp>
      <tp t="s">
        <v>#N/A N/A</v>
        <stp/>
        <stp>BDP|15836840068928112050</stp>
        <tr r="B4865" s="2"/>
      </tp>
      <tp t="s">
        <v>#N/A N/A</v>
        <stp/>
        <stp>BDP|13448608917556374105</stp>
        <tr r="B158" s="2"/>
      </tp>
      <tp t="s">
        <v>#N/A N/A</v>
        <stp/>
        <stp>BDP|17035358463261008063</stp>
        <tr r="D183" s="2"/>
      </tp>
      <tp t="s">
        <v>#N/A N/A</v>
        <stp/>
        <stp>BDP|15409736562345086257</stp>
        <tr r="D1379" s="2"/>
      </tp>
      <tp t="s">
        <v>#N/A N/A</v>
        <stp/>
        <stp>BDP|17583411885639267130</stp>
        <tr r="H4601" s="2"/>
      </tp>
      <tp t="s">
        <v>#N/A N/A</v>
        <stp/>
        <stp>BDP|16693562733595123625</stp>
        <tr r="F3104" s="2"/>
      </tp>
      <tp t="s">
        <v>#N/A N/A</v>
        <stp/>
        <stp>BDP|12145249909244521794</stp>
        <tr r="I2811" s="2"/>
      </tp>
      <tp t="s">
        <v>#N/A N/A</v>
        <stp/>
        <stp>BDP|14791047572249007915</stp>
        <tr r="C1588" s="2"/>
      </tp>
      <tp t="s">
        <v>#N/A N/A</v>
        <stp/>
        <stp>BDP|11180019613565381605</stp>
        <tr r="G598" s="2"/>
      </tp>
      <tp t="s">
        <v>#N/A N/A</v>
        <stp/>
        <stp>BDP|13214489136530554791</stp>
        <tr r="D2707" s="2"/>
      </tp>
      <tp t="s">
        <v>#N/A N/A</v>
        <stp/>
        <stp>BDP|16212329569024012491</stp>
        <tr r="D4268" s="2"/>
      </tp>
      <tp t="s">
        <v>#N/A N/A</v>
        <stp/>
        <stp>BDP|10282664963357130463</stp>
        <tr r="F1102" s="2"/>
      </tp>
      <tp t="s">
        <v>#N/A N/A</v>
        <stp/>
        <stp>BDP|11464398866071285699</stp>
        <tr r="F2449" s="2"/>
      </tp>
      <tp t="s">
        <v>#N/A N/A</v>
        <stp/>
        <stp>BDP|14872285924122787534</stp>
        <tr r="H3221" s="2"/>
      </tp>
      <tp t="s">
        <v>#N/A N/A</v>
        <stp/>
        <stp>BDP|10300111723293646378</stp>
        <tr r="I4836" s="2"/>
      </tp>
      <tp t="s">
        <v>#N/A N/A</v>
        <stp/>
        <stp>BDP|17093415989370007880</stp>
        <tr r="C4713" s="2"/>
      </tp>
      <tp t="s">
        <v>#N/A N/A</v>
        <stp/>
        <stp>BDP|13121581148306393726</stp>
        <tr r="B3193" s="2"/>
      </tp>
      <tp t="s">
        <v>#N/A N/A</v>
        <stp/>
        <stp>BDP|16560141151624780576</stp>
        <tr r="D4859" s="2"/>
      </tp>
      <tp t="s">
        <v>#N/A N/A</v>
        <stp/>
        <stp>BDP|13991071169581055776</stp>
        <tr r="B3279" s="2"/>
      </tp>
      <tp t="s">
        <v>#N/A N/A</v>
        <stp/>
        <stp>BDP|15016674536102036119</stp>
        <tr r="A1576" s="2"/>
      </tp>
      <tp t="s">
        <v>#N/A N/A</v>
        <stp/>
        <stp>BDP|13860667618361696605</stp>
        <tr r="C2372" s="2"/>
      </tp>
      <tp t="s">
        <v>#N/A N/A</v>
        <stp/>
        <stp>BDP|17889094002387140325</stp>
        <tr r="B3974" s="2"/>
      </tp>
      <tp t="s">
        <v>#N/A N/A</v>
        <stp/>
        <stp>BDP|15380516516117587519</stp>
        <tr r="B1210" s="2"/>
      </tp>
      <tp t="s">
        <v>#N/A N/A</v>
        <stp/>
        <stp>BDP|16598705610305175645</stp>
        <tr r="D4349" s="2"/>
      </tp>
      <tp t="s">
        <v>#N/A N/A</v>
        <stp/>
        <stp>BDP|17059497347815720195</stp>
        <tr r="B1607" s="2"/>
      </tp>
      <tp t="s">
        <v>#N/A N/A</v>
        <stp/>
        <stp>BDP|13431072423250276229</stp>
        <tr r="H2504" s="2"/>
      </tp>
      <tp t="s">
        <v>#N/A N/A</v>
        <stp/>
        <stp>BDP|15382985587044950355</stp>
        <tr r="G2367" s="2"/>
      </tp>
      <tp t="s">
        <v>#N/A N/A</v>
        <stp/>
        <stp>BDP|15196653719365439496</stp>
        <tr r="H1850" s="2"/>
      </tp>
      <tp t="s">
        <v>#N/A N/A</v>
        <stp/>
        <stp>BDP|17068596446234978169</stp>
        <tr r="C3432" s="2"/>
      </tp>
      <tp t="s">
        <v>#N/A N/A</v>
        <stp/>
        <stp>BDP|13381850663007521906</stp>
        <tr r="H4364" s="2"/>
      </tp>
      <tp t="s">
        <v>#N/A N/A</v>
        <stp/>
        <stp>BDP|16438289659061084351</stp>
        <tr r="B2512" s="2"/>
      </tp>
      <tp t="s">
        <v>#N/A N/A</v>
        <stp/>
        <stp>BDP|13150463131792576535</stp>
        <tr r="G1525" s="2"/>
      </tp>
      <tp t="s">
        <v>#N/A N/A</v>
        <stp/>
        <stp>BDP|12414909907709484174</stp>
        <tr r="C4395" s="2"/>
      </tp>
      <tp t="s">
        <v>#N/A N/A</v>
        <stp/>
        <stp>BDP|15371367340607279672</stp>
        <tr r="I405" s="2"/>
      </tp>
      <tp t="s">
        <v>#N/A N/A</v>
        <stp/>
        <stp>BDP|17126793837740660093</stp>
        <tr r="C1447" s="2"/>
      </tp>
      <tp t="s">
        <v>#N/A N/A</v>
        <stp/>
        <stp>BDP|11702379705334683531</stp>
        <tr r="G166" s="2"/>
      </tp>
      <tp t="s">
        <v>#N/A N/A</v>
        <stp/>
        <stp>BDP|18372940632116301765</stp>
        <tr r="A4101" s="2"/>
      </tp>
      <tp t="s">
        <v>#N/A N/A</v>
        <stp/>
        <stp>BDP|10744516523664035054</stp>
        <tr r="G313" s="2"/>
      </tp>
      <tp t="s">
        <v>#N/A N/A</v>
        <stp/>
        <stp>BDP|11225573765171549056</stp>
        <tr r="I1202" s="2"/>
      </tp>
      <tp t="s">
        <v>#N/A N/A</v>
        <stp/>
        <stp>BDP|11520476976016253763</stp>
        <tr r="B4580" s="2"/>
      </tp>
      <tp t="s">
        <v>#N/A N/A</v>
        <stp/>
        <stp>BDP|15987559355115020390</stp>
        <tr r="H4168" s="2"/>
      </tp>
      <tp t="s">
        <v>#N/A N/A</v>
        <stp/>
        <stp>BDP|11602172255227511113</stp>
        <tr r="D3194" s="2"/>
      </tp>
      <tp t="s">
        <v>#N/A N/A</v>
        <stp/>
        <stp>BDP|14565900745253974991</stp>
        <tr r="B3769" s="2"/>
      </tp>
      <tp t="s">
        <v>#N/A N/A</v>
        <stp/>
        <stp>BDP|13038112468071907600</stp>
        <tr r="H1148" s="2"/>
      </tp>
      <tp t="s">
        <v>#N/A N/A</v>
        <stp/>
        <stp>BDP|16935738201076999423</stp>
        <tr r="D3583" s="2"/>
      </tp>
      <tp t="s">
        <v>#N/A N/A</v>
        <stp/>
        <stp>BDP|12672980771797727883</stp>
        <tr r="B2538" s="2"/>
      </tp>
      <tp t="s">
        <v>#N/A N/A</v>
        <stp/>
        <stp>BDP|15406625910522067367</stp>
        <tr r="D1145" s="2"/>
      </tp>
      <tp t="s">
        <v>#N/A N/A</v>
        <stp/>
        <stp>BDP|14307105622341210536</stp>
        <tr r="F3154" s="2"/>
      </tp>
      <tp t="s">
        <v>#N/A N/A</v>
        <stp/>
        <stp>BDP|17664938015025370938</stp>
        <tr r="A2750" s="2"/>
      </tp>
      <tp t="s">
        <v>#N/A N/A</v>
        <stp/>
        <stp>BDP|11094140834850288028</stp>
        <tr r="C343" s="2"/>
      </tp>
      <tp t="s">
        <v>#N/A N/A</v>
        <stp/>
        <stp>BDP|10319253937337710561</stp>
        <tr r="G11" s="2"/>
      </tp>
      <tp t="s">
        <v>#N/A N/A</v>
        <stp/>
        <stp>BDP|14798966611817213826</stp>
        <tr r="C456" s="2"/>
      </tp>
      <tp t="s">
        <v>#N/A N/A</v>
        <stp/>
        <stp>BDP|18059298362546311989</stp>
        <tr r="D3318" s="2"/>
      </tp>
      <tp t="s">
        <v>#N/A N/A</v>
        <stp/>
        <stp>BDP|10880311504543445398</stp>
        <tr r="I337" s="2"/>
      </tp>
      <tp t="s">
        <v>#N/A N/A</v>
        <stp/>
        <stp>BDP|10944347133365904670</stp>
        <tr r="H3697" s="2"/>
      </tp>
      <tp t="s">
        <v>#N/A N/A</v>
        <stp/>
        <stp>BDP|11306921194330575205</stp>
        <tr r="G2219" s="2"/>
      </tp>
      <tp t="s">
        <v>#N/A N/A</v>
        <stp/>
        <stp>BDP|17827132877165438782</stp>
        <tr r="C1144" s="2"/>
      </tp>
      <tp t="s">
        <v>#N/A N/A</v>
        <stp/>
        <stp>BDP|12372146804789251913</stp>
        <tr r="I4490" s="2"/>
      </tp>
      <tp t="s">
        <v>#N/A N/A</v>
        <stp/>
        <stp>BDP|13076425432313900491</stp>
        <tr r="H3775" s="2"/>
      </tp>
      <tp t="s">
        <v>#N/A N/A</v>
        <stp/>
        <stp>BDP|18121423045962485920</stp>
        <tr r="H4914" s="2"/>
      </tp>
      <tp t="s">
        <v>#N/A N/A</v>
        <stp/>
        <stp>BDP|11100099139087384626</stp>
        <tr r="G4735" s="2"/>
      </tp>
      <tp t="s">
        <v>#N/A N/A</v>
        <stp/>
        <stp>BDP|14415713356892552768</stp>
        <tr r="H395" s="2"/>
      </tp>
      <tp t="s">
        <v>#N/A N/A</v>
        <stp/>
        <stp>BDP|11226333917844485426</stp>
        <tr r="D3720" s="2"/>
      </tp>
      <tp t="s">
        <v>#N/A N/A</v>
        <stp/>
        <stp>BDP|17191915286643540639</stp>
        <tr r="G1769" s="2"/>
      </tp>
      <tp t="s">
        <v>#N/A N/A</v>
        <stp/>
        <stp>BDP|14705356243601204137</stp>
        <tr r="G1604" s="2"/>
      </tp>
      <tp t="s">
        <v>#N/A N/A</v>
        <stp/>
        <stp>BDP|13017397822948884931</stp>
        <tr r="C4743" s="2"/>
      </tp>
      <tp t="s">
        <v>#N/A N/A</v>
        <stp/>
        <stp>BDP|14815880982367724056</stp>
        <tr r="D1059" s="2"/>
      </tp>
      <tp t="s">
        <v>#N/A N/A</v>
        <stp/>
        <stp>BDP|13910581753986164639</stp>
        <tr r="C412" s="2"/>
      </tp>
      <tp t="s">
        <v>#N/A N/A</v>
        <stp/>
        <stp>BDP|16315360967456413662</stp>
        <tr r="G1559" s="2"/>
      </tp>
      <tp t="s">
        <v>#N/A N/A</v>
        <stp/>
        <stp>BDP|10340183215963900078</stp>
        <tr r="H3677" s="2"/>
      </tp>
      <tp t="s">
        <v>#N/A N/A</v>
        <stp/>
        <stp>BDP|13365764316575385309</stp>
        <tr r="B4144" s="2"/>
      </tp>
      <tp t="s">
        <v>#N/A N/A</v>
        <stp/>
        <stp>BDP|17234151186435621872</stp>
        <tr r="F2409" s="2"/>
      </tp>
      <tp t="s">
        <v>#N/A N/A</v>
        <stp/>
        <stp>BDP|13625082045705973126</stp>
        <tr r="D4733" s="2"/>
      </tp>
      <tp t="s">
        <v>#N/A N/A</v>
        <stp/>
        <stp>BDP|13711110004010040123</stp>
        <tr r="C3412" s="2"/>
      </tp>
      <tp t="s">
        <v>#N/A N/A</v>
        <stp/>
        <stp>BDP|17429347693396484878</stp>
        <tr r="D3151" s="2"/>
      </tp>
      <tp t="s">
        <v>#N/A N/A</v>
        <stp/>
        <stp>BDP|10815135950651973620</stp>
        <tr r="F2734" s="2"/>
      </tp>
      <tp t="s">
        <v>#N/A N/A</v>
        <stp/>
        <stp>BDP|14966157238477756235</stp>
        <tr r="D864" s="2"/>
      </tp>
      <tp t="s">
        <v>#N/A N/A</v>
        <stp/>
        <stp>BDP|12139368102870379261</stp>
        <tr r="I680" s="2"/>
      </tp>
      <tp t="s">
        <v>#N/A N/A</v>
        <stp/>
        <stp>BDP|13378885543168139495</stp>
        <tr r="B1551" s="2"/>
      </tp>
      <tp t="s">
        <v>#N/A N/A</v>
        <stp/>
        <stp>BDP|10379368195829477044</stp>
        <tr r="C3265" s="2"/>
      </tp>
      <tp t="s">
        <v>#N/A N/A</v>
        <stp/>
        <stp>BDP|12219427059279172987</stp>
        <tr r="I4474" s="2"/>
      </tp>
      <tp t="s">
        <v>#N/A N/A</v>
        <stp/>
        <stp>BDP|13791834817340124928</stp>
        <tr r="B1007" s="2"/>
      </tp>
      <tp t="s">
        <v>#N/A N/A</v>
        <stp/>
        <stp>BDP|16662112659450749190</stp>
        <tr r="I3870" s="2"/>
      </tp>
      <tp t="s">
        <v>#N/A N/A</v>
        <stp/>
        <stp>BDP|14269573374621353422</stp>
        <tr r="F2185" s="2"/>
      </tp>
      <tp t="s">
        <v>#N/A N/A</v>
        <stp/>
        <stp>BDP|12976812975348561684</stp>
        <tr r="G4004" s="2"/>
      </tp>
      <tp t="s">
        <v>#N/A N/A</v>
        <stp/>
        <stp>BDP|18232125482257066526</stp>
        <tr r="G4091" s="2"/>
      </tp>
      <tp t="s">
        <v>#N/A N/A</v>
        <stp/>
        <stp>BDP|10103330100417587778</stp>
        <tr r="H3462" s="2"/>
      </tp>
      <tp t="s">
        <v>#N/A N/A</v>
        <stp/>
        <stp>BDP|16428319865308844888</stp>
        <tr r="G3690" s="2"/>
      </tp>
      <tp t="s">
        <v>#N/A N/A</v>
        <stp/>
        <stp>BDP|16797573422431734359</stp>
        <tr r="C2754" s="2"/>
      </tp>
      <tp t="s">
        <v>#N/A N/A</v>
        <stp/>
        <stp>BDP|14286194924904688099</stp>
        <tr r="G3448" s="2"/>
      </tp>
      <tp t="s">
        <v>#N/A N/A</v>
        <stp/>
        <stp>BDP|12983007623462965139</stp>
        <tr r="B2618" s="2"/>
      </tp>
      <tp t="s">
        <v>#N/A N/A</v>
        <stp/>
        <stp>BDP|17225447129354963664</stp>
        <tr r="G1618" s="2"/>
      </tp>
      <tp t="s">
        <v>#N/A N/A</v>
        <stp/>
        <stp>BDP|16452602676915828197</stp>
        <tr r="H3168" s="2"/>
      </tp>
      <tp t="s">
        <v>#N/A N/A</v>
        <stp/>
        <stp>BDP|17224313243280700348</stp>
        <tr r="I470" s="2"/>
      </tp>
      <tp t="s">
        <v>#N/A N/A</v>
        <stp/>
        <stp>BDP|14898825838718508440</stp>
        <tr r="G2129" s="2"/>
      </tp>
      <tp t="s">
        <v>#N/A N/A</v>
        <stp/>
        <stp>BDP|15431851184330239649</stp>
        <tr r="I3015" s="2"/>
      </tp>
      <tp t="s">
        <v>#N/A N/A</v>
        <stp/>
        <stp>BDP|12682228432474666439</stp>
        <tr r="D4684" s="2"/>
      </tp>
      <tp t="s">
        <v>#N/A N/A</v>
        <stp/>
        <stp>BDP|17957502408103794254</stp>
        <tr r="H1381" s="2"/>
      </tp>
      <tp t="s">
        <v>#N/A N/A</v>
        <stp/>
        <stp>BDP|15541678969484956216</stp>
        <tr r="F5" s="2"/>
      </tp>
      <tp t="s">
        <v>#N/A N/A</v>
        <stp/>
        <stp>BDP|14883419698703485965</stp>
        <tr r="I3176" s="2"/>
      </tp>
      <tp t="s">
        <v>#N/A N/A</v>
        <stp/>
        <stp>BDP|16183638177885529131</stp>
        <tr r="G4163" s="2"/>
      </tp>
      <tp t="s">
        <v>#N/A N/A</v>
        <stp/>
        <stp>BDP|13537297934048361988</stp>
        <tr r="C2914" s="2"/>
      </tp>
      <tp t="s">
        <v>#N/A N/A</v>
        <stp/>
        <stp>BDP|16052679024619217821</stp>
        <tr r="C4582" s="2"/>
      </tp>
      <tp t="s">
        <v>#N/A N/A</v>
        <stp/>
        <stp>BDP|16757659754005436315</stp>
        <tr r="B881" s="2"/>
      </tp>
      <tp t="s">
        <v>#N/A N/A</v>
        <stp/>
        <stp>BDP|11290830575805425839</stp>
        <tr r="A4860" s="2"/>
      </tp>
      <tp t="s">
        <v>#N/A N/A</v>
        <stp/>
        <stp>BDP|13786672436744745123</stp>
        <tr r="A3221" s="2"/>
      </tp>
      <tp t="s">
        <v>#N/A N/A</v>
        <stp/>
        <stp>BDP|11144323321100745368</stp>
        <tr r="A1419" s="2"/>
      </tp>
      <tp t="s">
        <v>#N/A N/A</v>
        <stp/>
        <stp>BDP|10314051821420191154</stp>
        <tr r="F3541" s="2"/>
      </tp>
      <tp t="s">
        <v>#N/A N/A</v>
        <stp/>
        <stp>BDP|14393433775356089268</stp>
        <tr r="G1514" s="2"/>
      </tp>
      <tp t="s">
        <v>#N/A N/A</v>
        <stp/>
        <stp>BDP|15756284305282939609</stp>
        <tr r="C1005" s="2"/>
      </tp>
      <tp t="s">
        <v>#N/A N/A</v>
        <stp/>
        <stp>BDP|18151908582252331835</stp>
        <tr r="A4092" s="2"/>
      </tp>
      <tp t="s">
        <v>#N/A N/A</v>
        <stp/>
        <stp>BDP|10725559065393194359</stp>
        <tr r="F502" s="2"/>
      </tp>
      <tp t="s">
        <v>#N/A N/A</v>
        <stp/>
        <stp>BDP|11573970426790696911</stp>
        <tr r="G4122" s="2"/>
      </tp>
      <tp t="s">
        <v>#N/A N/A</v>
        <stp/>
        <stp>BDP|13097490272561828206</stp>
        <tr r="A1995" s="2"/>
      </tp>
      <tp t="s">
        <v>#N/A N/A</v>
        <stp/>
        <stp>BDP|13683067296749040054</stp>
        <tr r="A3890" s="2"/>
      </tp>
      <tp t="s">
        <v>#N/A N/A</v>
        <stp/>
        <stp>BDP|15728727907919270833</stp>
        <tr r="D1106" s="2"/>
      </tp>
      <tp t="s">
        <v>#N/A N/A</v>
        <stp/>
        <stp>BDP|15521079962280279011</stp>
        <tr r="A4702" s="2"/>
      </tp>
      <tp t="s">
        <v>#N/A N/A</v>
        <stp/>
        <stp>BDP|14430751409177944728</stp>
        <tr r="B3751" s="2"/>
      </tp>
      <tp t="s">
        <v>#N/A N/A</v>
        <stp/>
        <stp>BDP|10585524810144356376</stp>
        <tr r="A140" s="2"/>
      </tp>
      <tp t="s">
        <v>#N/A N/A</v>
        <stp/>
        <stp>BDP|11305674144703781345</stp>
        <tr r="D4681" s="2"/>
      </tp>
      <tp t="s">
        <v>#N/A N/A</v>
        <stp/>
        <stp>BDP|10598672897228575430</stp>
        <tr r="B3906" s="2"/>
      </tp>
      <tp t="s">
        <v>#N/A N/A</v>
        <stp/>
        <stp>BDP|17013049464473343106</stp>
        <tr r="C4160" s="2"/>
      </tp>
      <tp t="s">
        <v>#N/A N/A</v>
        <stp/>
        <stp>BDP|16937350343107969558</stp>
        <tr r="B1515" s="2"/>
      </tp>
      <tp t="s">
        <v>#N/A N/A</v>
        <stp/>
        <stp>BDP|12677524645023078328</stp>
        <tr r="H721" s="2"/>
      </tp>
      <tp t="s">
        <v>#N/A N/A</v>
        <stp/>
        <stp>BDP|11837085832007139609</stp>
        <tr r="H2983" s="2"/>
      </tp>
      <tp t="s">
        <v>#N/A N/A</v>
        <stp/>
        <stp>BDP|16479423287881605840</stp>
        <tr r="H4281" s="2"/>
      </tp>
      <tp t="s">
        <v>#N/A N/A</v>
        <stp/>
        <stp>BDP|11600137120841064065</stp>
        <tr r="F3364" s="2"/>
      </tp>
      <tp t="s">
        <v>#N/A N/A</v>
        <stp/>
        <stp>BDP|12133603366390789137</stp>
        <tr r="A3647" s="2"/>
      </tp>
      <tp t="s">
        <v>#N/A N/A</v>
        <stp/>
        <stp>BDP|17895704170956912229</stp>
        <tr r="G3158" s="2"/>
      </tp>
      <tp t="s">
        <v>#N/A N/A</v>
        <stp/>
        <stp>BDP|10695290311518415891</stp>
        <tr r="I835" s="2"/>
      </tp>
      <tp t="s">
        <v>#N/A N/A</v>
        <stp/>
        <stp>BDP|13627363737112193255</stp>
        <tr r="H804" s="2"/>
      </tp>
      <tp t="s">
        <v>#N/A N/A</v>
        <stp/>
        <stp>BDP|17298026859067852629</stp>
        <tr r="H2143" s="2"/>
      </tp>
      <tp t="s">
        <v>#N/A N/A</v>
        <stp/>
        <stp>BDP|10912439001206004189</stp>
        <tr r="C4766" s="2"/>
      </tp>
      <tp t="s">
        <v>#N/A N/A</v>
        <stp/>
        <stp>BDP|17067128439852827407</stp>
        <tr r="B1439" s="2"/>
      </tp>
      <tp t="s">
        <v>#N/A N/A</v>
        <stp/>
        <stp>BDP|10014350234675522676</stp>
        <tr r="F3481" s="2"/>
      </tp>
      <tp t="s">
        <v>#N/A N/A</v>
        <stp/>
        <stp>BDP|12115240741197179064</stp>
        <tr r="I3609" s="2"/>
      </tp>
      <tp t="s">
        <v>#N/A N/A</v>
        <stp/>
        <stp>BDP|13516044222732375036</stp>
        <tr r="A4290" s="2"/>
      </tp>
      <tp t="s">
        <v>#N/A N/A</v>
        <stp/>
        <stp>BDP|10070351647083821796</stp>
        <tr r="I379" s="2"/>
      </tp>
      <tp t="s">
        <v>#N/A N/A</v>
        <stp/>
        <stp>BDP|10799239612996729629</stp>
        <tr r="G3769" s="2"/>
      </tp>
      <tp t="s">
        <v>#N/A N/A</v>
        <stp/>
        <stp>BDP|15188361054958814883</stp>
        <tr r="B1171" s="2"/>
      </tp>
      <tp t="s">
        <v>#N/A N/A</v>
        <stp/>
        <stp>BDP|16435966115734012941</stp>
        <tr r="B1027" s="2"/>
      </tp>
      <tp t="s">
        <v>#N/A N/A</v>
        <stp/>
        <stp>BDP|13541353639166955631</stp>
        <tr r="H2125" s="2"/>
      </tp>
      <tp t="s">
        <v>#N/A N/A</v>
        <stp/>
        <stp>BDP|12832204860486304381</stp>
        <tr r="C1295" s="2"/>
      </tp>
      <tp t="s">
        <v>#N/A N/A</v>
        <stp/>
        <stp>BDP|12045450328031647682</stp>
        <tr r="H2067" s="2"/>
      </tp>
      <tp t="s">
        <v>#N/A N/A</v>
        <stp/>
        <stp>BDP|14376364637494244332</stp>
        <tr r="A92" s="2"/>
      </tp>
      <tp t="s">
        <v>#N/A N/A</v>
        <stp/>
        <stp>BDP|13447280415883293084</stp>
        <tr r="F1286" s="2"/>
      </tp>
      <tp t="s">
        <v>#N/A N/A</v>
        <stp/>
        <stp>BDP|14428306274263464071</stp>
        <tr r="C3910" s="2"/>
      </tp>
      <tp t="s">
        <v>#N/A N/A</v>
        <stp/>
        <stp>BDP|12501645726492732732</stp>
        <tr r="H2493" s="2"/>
      </tp>
      <tp t="s">
        <v>#N/A N/A</v>
        <stp/>
        <stp>BDP|14402516443427249176</stp>
        <tr r="F3020" s="2"/>
      </tp>
      <tp t="s">
        <v>#N/A N/A</v>
        <stp/>
        <stp>BDP|11742204244482331637</stp>
        <tr r="H2235" s="2"/>
      </tp>
      <tp t="s">
        <v>#N/A N/A</v>
        <stp/>
        <stp>BDP|13569317446515814295</stp>
        <tr r="G798" s="2"/>
      </tp>
      <tp t="s">
        <v>#N/A N/A</v>
        <stp/>
        <stp>BDP|12603252047472000576</stp>
        <tr r="F1593" s="2"/>
      </tp>
      <tp t="s">
        <v>#N/A N/A</v>
        <stp/>
        <stp>BDP|13393705246357060469</stp>
        <tr r="C4400" s="2"/>
      </tp>
      <tp t="s">
        <v>#N/A N/A</v>
        <stp/>
        <stp>BDP|11024130624128266965</stp>
        <tr r="I1703" s="2"/>
      </tp>
      <tp t="s">
        <v>#N/A N/A</v>
        <stp/>
        <stp>BDP|14465303565680279204</stp>
        <tr r="G4445" s="2"/>
      </tp>
      <tp t="s">
        <v>#N/A N/A</v>
        <stp/>
        <stp>BDP|11565452175132775312</stp>
        <tr r="H2839" s="2"/>
      </tp>
      <tp t="s">
        <v>#N/A N/A</v>
        <stp/>
        <stp>BDP|14905433971377073380</stp>
        <tr r="H4165" s="2"/>
      </tp>
      <tp t="s">
        <v>#N/A N/A</v>
        <stp/>
        <stp>BDP|16546162501313259737</stp>
        <tr r="A1247" s="2"/>
      </tp>
      <tp t="s">
        <v>#N/A N/A</v>
        <stp/>
        <stp>BDP|16789680981103485896</stp>
        <tr r="B2416" s="2"/>
      </tp>
      <tp t="s">
        <v>#N/A N/A</v>
        <stp/>
        <stp>BDP|11999419850617366487</stp>
        <tr r="D1906" s="2"/>
      </tp>
      <tp t="s">
        <v>#N/A N/A</v>
        <stp/>
        <stp>BDP|16717287148971507218</stp>
        <tr r="D1748" s="2"/>
      </tp>
      <tp t="s">
        <v>#N/A N/A</v>
        <stp/>
        <stp>BDP|14344535938644978527</stp>
        <tr r="D4207" s="2"/>
      </tp>
      <tp t="s">
        <v>#N/A N/A</v>
        <stp/>
        <stp>BDP|15690028978433948266</stp>
        <tr r="I1510" s="2"/>
      </tp>
      <tp t="s">
        <v>#N/A N/A</v>
        <stp/>
        <stp>BDP|16310177116686364320</stp>
        <tr r="A4309" s="2"/>
      </tp>
      <tp t="s">
        <v>#N/A N/A</v>
        <stp/>
        <stp>BDP|15052527811214073601</stp>
        <tr r="G4997" s="2"/>
      </tp>
      <tp t="s">
        <v>#N/A N/A</v>
        <stp/>
        <stp>BDP|14628254951263763367</stp>
        <tr r="D1876" s="2"/>
      </tp>
      <tp t="s">
        <v>#N/A N/A</v>
        <stp/>
        <stp>BDP|13358694861721842107</stp>
        <tr r="F1416" s="2"/>
      </tp>
      <tp t="s">
        <v>#N/A N/A</v>
        <stp/>
        <stp>BDP|15392026317453384466</stp>
        <tr r="H2421" s="2"/>
      </tp>
      <tp t="s">
        <v>#N/A N/A</v>
        <stp/>
        <stp>BDP|14303761659074959160</stp>
        <tr r="F695" s="2"/>
      </tp>
      <tp t="s">
        <v>#N/A N/A</v>
        <stp/>
        <stp>BDP|15794280707390260498</stp>
        <tr r="G1482" s="2"/>
      </tp>
      <tp t="s">
        <v>#N/A N/A</v>
        <stp/>
        <stp>BDP|12435423355445924592</stp>
        <tr r="C123" s="2"/>
      </tp>
      <tp t="s">
        <v>#N/A N/A</v>
        <stp/>
        <stp>BDP|12012754426470410444</stp>
        <tr r="D1400" s="2"/>
      </tp>
      <tp t="s">
        <v>#N/A N/A</v>
        <stp/>
        <stp>BDP|13384104023295121637</stp>
        <tr r="H2232" s="2"/>
      </tp>
      <tp t="s">
        <v>#N/A N/A</v>
        <stp/>
        <stp>BDP|14539040061873586278</stp>
        <tr r="D2623" s="2"/>
      </tp>
      <tp t="s">
        <v>#N/A N/A</v>
        <stp/>
        <stp>BDP|14780367354324157562</stp>
        <tr r="F1822" s="2"/>
      </tp>
      <tp t="s">
        <v>#N/A N/A</v>
        <stp/>
        <stp>BDP|16575417696608192014</stp>
        <tr r="G3452" s="2"/>
      </tp>
      <tp t="s">
        <v>#N/A N/A</v>
        <stp/>
        <stp>BDP|17662638274434143125</stp>
        <tr r="C4127" s="2"/>
      </tp>
      <tp t="s">
        <v>#N/A N/A</v>
        <stp/>
        <stp>BDP|15993582743201539650</stp>
        <tr r="A3988" s="2"/>
      </tp>
      <tp t="s">
        <v>#N/A N/A</v>
        <stp/>
        <stp>BDP|13911529963603801024</stp>
        <tr r="A2994" s="2"/>
      </tp>
      <tp t="s">
        <v>#N/A N/A</v>
        <stp/>
        <stp>BDP|13779868715729457027</stp>
        <tr r="B4572" s="2"/>
      </tp>
      <tp t="s">
        <v>#N/A N/A</v>
        <stp/>
        <stp>BDP|12693705813497518023</stp>
        <tr r="H4630" s="2"/>
      </tp>
      <tp t="s">
        <v>#N/A N/A</v>
        <stp/>
        <stp>BDP|16434228513211754706</stp>
        <tr r="F1309" s="2"/>
      </tp>
      <tp t="s">
        <v>#N/A N/A</v>
        <stp/>
        <stp>BDP|11196441751381169277</stp>
        <tr r="A891" s="2"/>
      </tp>
      <tp t="s">
        <v>#N/A N/A</v>
        <stp/>
        <stp>BDP|12790367405413566136</stp>
        <tr r="A4642" s="2"/>
      </tp>
      <tp t="s">
        <v>#N/A N/A</v>
        <stp/>
        <stp>BDP|14983041469303794219</stp>
        <tr r="A1190" s="2"/>
      </tp>
      <tp t="s">
        <v>#N/A N/A</v>
        <stp/>
        <stp>BDP|10492457977273715334</stp>
        <tr r="I674" s="2"/>
      </tp>
      <tp t="s">
        <v>#N/A N/A</v>
        <stp/>
        <stp>BDP|16350705602782697057</stp>
        <tr r="H687" s="2"/>
      </tp>
      <tp t="s">
        <v>#N/A N/A</v>
        <stp/>
        <stp>BDP|10017206556223798735</stp>
        <tr r="I3781" s="2"/>
      </tp>
      <tp t="s">
        <v>#N/A N/A</v>
        <stp/>
        <stp>BDP|10147677875801714363</stp>
        <tr r="D4127" s="2"/>
      </tp>
      <tp t="s">
        <v>#N/A N/A</v>
        <stp/>
        <stp>BDP|11526187031230874069</stp>
        <tr r="A2666" s="2"/>
      </tp>
      <tp t="s">
        <v>#N/A N/A</v>
        <stp/>
        <stp>BDP|16546634920050186150</stp>
        <tr r="G1761" s="2"/>
      </tp>
      <tp t="s">
        <v>#N/A N/A</v>
        <stp/>
        <stp>BDP|14433213313190183451</stp>
        <tr r="F1125" s="2"/>
      </tp>
      <tp t="s">
        <v>#N/A N/A</v>
        <stp/>
        <stp>BDP|13786921197610763071</stp>
        <tr r="D1027" s="2"/>
      </tp>
      <tp t="s">
        <v>#N/A N/A</v>
        <stp/>
        <stp>BDP|11799506971612066247</stp>
        <tr r="A107" s="2"/>
      </tp>
      <tp t="s">
        <v>#N/A N/A</v>
        <stp/>
        <stp>BDP|17312540420905304660</stp>
        <tr r="A4782" s="2"/>
      </tp>
      <tp t="s">
        <v>#N/A N/A</v>
        <stp/>
        <stp>BDP|11796738831864654213</stp>
        <tr r="F775" s="2"/>
      </tp>
      <tp t="s">
        <v>#N/A N/A</v>
        <stp/>
        <stp>BDP|12074831936549157369</stp>
        <tr r="H3466" s="2"/>
      </tp>
      <tp t="s">
        <v>#N/A N/A</v>
        <stp/>
        <stp>BDP|16303702996802004975</stp>
        <tr r="H13" s="2"/>
      </tp>
      <tp t="s">
        <v>#N/A N/A</v>
        <stp/>
        <stp>BDP|13777760839815254185</stp>
        <tr r="H2790" s="2"/>
      </tp>
      <tp t="s">
        <v>#N/A N/A</v>
        <stp/>
        <stp>BDP|14219372965865341710</stp>
        <tr r="I4598" s="2"/>
      </tp>
      <tp t="s">
        <v>#N/A N/A</v>
        <stp/>
        <stp>BDP|13916738598698115610</stp>
        <tr r="G4495" s="2"/>
      </tp>
      <tp t="s">
        <v>#N/A N/A</v>
        <stp/>
        <stp>BDP|14836691561886144130</stp>
        <tr r="I896" s="2"/>
      </tp>
      <tp t="s">
        <v>#N/A N/A</v>
        <stp/>
        <stp>BDP|18188553094373677441</stp>
        <tr r="C3944" s="2"/>
      </tp>
      <tp t="s">
        <v>#N/A N/A</v>
        <stp/>
        <stp>BDP|14802004415662786484</stp>
        <tr r="D4425" s="2"/>
      </tp>
      <tp t="s">
        <v>#N/A N/A</v>
        <stp/>
        <stp>BDP|13215220312506597553</stp>
        <tr r="B1538" s="2"/>
      </tp>
      <tp t="s">
        <v>#N/A N/A</v>
        <stp/>
        <stp>BDP|14297713140231804596</stp>
        <tr r="B1866" s="2"/>
      </tp>
      <tp t="s">
        <v>#N/A N/A</v>
        <stp/>
        <stp>BDP|16917245568050236159</stp>
        <tr r="A608" s="2"/>
      </tp>
      <tp t="s">
        <v>#N/A N/A</v>
        <stp/>
        <stp>BDP|10331028756826787025</stp>
        <tr r="A2301" s="2"/>
      </tp>
      <tp t="s">
        <v>#N/A N/A</v>
        <stp/>
        <stp>BDP|11181106330744015436</stp>
        <tr r="G4175" s="2"/>
      </tp>
      <tp t="s">
        <v>#N/A N/A</v>
        <stp/>
        <stp>BDP|10791539259724684792</stp>
        <tr r="F4068" s="2"/>
      </tp>
      <tp t="s">
        <v>#N/A N/A</v>
        <stp/>
        <stp>BDP|15471016300533106569</stp>
        <tr r="A2870" s="2"/>
      </tp>
      <tp t="s">
        <v>#N/A N/A</v>
        <stp/>
        <stp>BDP|14347256754876776670</stp>
        <tr r="H4535" s="2"/>
      </tp>
      <tp t="s">
        <v>#N/A N/A</v>
        <stp/>
        <stp>BDP|12216508596169709414</stp>
        <tr r="C4815" s="2"/>
      </tp>
      <tp t="s">
        <v>#N/A N/A</v>
        <stp/>
        <stp>BDP|12073068876297068127</stp>
        <tr r="F3368" s="2"/>
      </tp>
      <tp t="s">
        <v>#N/A N/A</v>
        <stp/>
        <stp>BDP|18283389141018197484</stp>
        <tr r="H925" s="2"/>
      </tp>
      <tp t="s">
        <v>#N/A N/A</v>
        <stp/>
        <stp>BDP|16103749474315330005</stp>
        <tr r="B1970" s="2"/>
      </tp>
      <tp t="s">
        <v>#N/A N/A</v>
        <stp/>
        <stp>BDP|13783611800665482304</stp>
        <tr r="G3318" s="2"/>
      </tp>
      <tp t="s">
        <v>#N/A N/A</v>
        <stp/>
        <stp>BDP|10021476053121669300</stp>
        <tr r="A3516" s="2"/>
      </tp>
      <tp t="s">
        <v>#N/A N/A</v>
        <stp/>
        <stp>BDP|14258490434893573389</stp>
        <tr r="B1384" s="2"/>
      </tp>
      <tp t="s">
        <v>#N/A N/A</v>
        <stp/>
        <stp>BDP|14290354773831265240</stp>
        <tr r="A1887" s="2"/>
      </tp>
      <tp t="s">
        <v>#N/A N/A</v>
        <stp/>
        <stp>BDP|13747374137105364564</stp>
        <tr r="C4510" s="2"/>
      </tp>
      <tp t="s">
        <v>#N/A N/A</v>
        <stp/>
        <stp>BDP|14824137769273339336</stp>
        <tr r="F3218" s="2"/>
      </tp>
      <tp t="s">
        <v>#N/A N/A</v>
        <stp/>
        <stp>BDP|15317615840414273025</stp>
        <tr r="B1204" s="2"/>
      </tp>
      <tp t="s">
        <v>#N/A N/A</v>
        <stp/>
        <stp>BDP|15889424315572583183</stp>
        <tr r="B4451" s="2"/>
      </tp>
      <tp t="s">
        <v>#N/A N/A</v>
        <stp/>
        <stp>BDP|12669590519042400704</stp>
        <tr r="D685" s="2"/>
      </tp>
      <tp t="s">
        <v>#N/A N/A</v>
        <stp/>
        <stp>BDP|16152139652721592070</stp>
        <tr r="G2250" s="2"/>
      </tp>
      <tp t="s">
        <v>#N/A N/A</v>
        <stp/>
        <stp>BDP|16272521023546896498</stp>
        <tr r="G4922" s="2"/>
      </tp>
      <tp t="s">
        <v>#N/A N/A</v>
        <stp/>
        <stp>BDP|12909204482638064395</stp>
        <tr r="F3618" s="2"/>
      </tp>
      <tp t="s">
        <v>#N/A N/A</v>
        <stp/>
        <stp>BDP|17928992571749023334</stp>
        <tr r="D4341" s="2"/>
      </tp>
      <tp t="s">
        <v>#N/A N/A</v>
        <stp/>
        <stp>BDP|16492469263511665652</stp>
        <tr r="B3312" s="2"/>
      </tp>
      <tp t="s">
        <v>#N/A N/A</v>
        <stp/>
        <stp>BDP|13257546745752647371</stp>
        <tr r="A1389" s="2"/>
      </tp>
      <tp t="s">
        <v>#N/A N/A</v>
        <stp/>
        <stp>BDP|17056255623797674320</stp>
        <tr r="H214" s="2"/>
      </tp>
      <tp t="s">
        <v>#N/A N/A</v>
        <stp/>
        <stp>BDP|17257407540494126014</stp>
        <tr r="F884" s="2"/>
      </tp>
      <tp t="s">
        <v>#N/A N/A</v>
        <stp/>
        <stp>BDP|12245643365387652671</stp>
        <tr r="I1821" s="2"/>
      </tp>
      <tp t="s">
        <v>#N/A N/A</v>
        <stp/>
        <stp>BDP|17210142817116006232</stp>
        <tr r="C2230" s="2"/>
      </tp>
      <tp t="s">
        <v>#N/A N/A</v>
        <stp/>
        <stp>BDP|10569991252039931654</stp>
        <tr r="I3238" s="2"/>
      </tp>
      <tp t="s">
        <v>#N/A N/A</v>
        <stp/>
        <stp>BDP|11764628384965279910</stp>
        <tr r="C727" s="2"/>
      </tp>
      <tp t="s">
        <v>#N/A N/A</v>
        <stp/>
        <stp>BDP|12609687162589975875</stp>
        <tr r="D2555" s="2"/>
      </tp>
      <tp t="s">
        <v>#N/A N/A</v>
        <stp/>
        <stp>BDP|15058353725586122131</stp>
        <tr r="A767" s="2"/>
      </tp>
      <tp t="s">
        <v>#N/A N/A</v>
        <stp/>
        <stp>BDP|17187618323911480151</stp>
        <tr r="F3327" s="2"/>
      </tp>
      <tp t="s">
        <v>#N/A N/A</v>
        <stp/>
        <stp>BDP|10237722156532751331</stp>
        <tr r="F972" s="2"/>
      </tp>
      <tp t="s">
        <v>#N/A N/A</v>
        <stp/>
        <stp>BDP|11653377450723162723</stp>
        <tr r="C396" s="2"/>
      </tp>
      <tp t="s">
        <v>#N/A N/A</v>
        <stp/>
        <stp>BDP|15025694270615886238</stp>
        <tr r="I1763" s="2"/>
      </tp>
      <tp t="s">
        <v>#N/A N/A</v>
        <stp/>
        <stp>BDP|15581585718304586626</stp>
        <tr r="G2586" s="2"/>
      </tp>
      <tp t="s">
        <v>#N/A N/A</v>
        <stp/>
        <stp>BDP|11404862876595377850</stp>
        <tr r="I2629" s="2"/>
      </tp>
      <tp t="s">
        <v>#N/A N/A</v>
        <stp/>
        <stp>BDP|12569943174269701600</stp>
        <tr r="A2416" s="2"/>
      </tp>
      <tp t="s">
        <v>#N/A N/A</v>
        <stp/>
        <stp>BDP|13211573530093026577</stp>
        <tr r="F1070" s="2"/>
      </tp>
      <tp t="s">
        <v>#N/A N/A</v>
        <stp/>
        <stp>BDP|14587058600115010227</stp>
        <tr r="B4138" s="2"/>
      </tp>
      <tp t="s">
        <v>#N/A N/A</v>
        <stp/>
        <stp>BDP|18191449974281760943</stp>
        <tr r="H3944" s="2"/>
      </tp>
      <tp t="s">
        <v>#N/A N/A</v>
        <stp/>
        <stp>BDP|13049621626294598038</stp>
        <tr r="D2040" s="2"/>
      </tp>
      <tp t="s">
        <v>#N/A N/A</v>
        <stp/>
        <stp>BDP|13889896000999148125</stp>
        <tr r="C4932" s="2"/>
      </tp>
      <tp t="s">
        <v>#N/A N/A</v>
        <stp/>
        <stp>BDP|11080394128581592266</stp>
        <tr r="H447" s="2"/>
      </tp>
      <tp t="s">
        <v>#N/A N/A</v>
        <stp/>
        <stp>BDP|12253705461418917883</stp>
        <tr r="C1488" s="2"/>
      </tp>
      <tp t="s">
        <v>#N/A N/A</v>
        <stp/>
        <stp>BDP|16088783438563308218</stp>
        <tr r="H16" s="2"/>
      </tp>
      <tp t="s">
        <v>#N/A N/A</v>
        <stp/>
        <stp>BDP|12272529349315298591</stp>
        <tr r="C3059" s="2"/>
      </tp>
      <tp t="s">
        <v>#N/A N/A</v>
        <stp/>
        <stp>BDP|16437806302014071947</stp>
        <tr r="A4958" s="2"/>
      </tp>
      <tp t="s">
        <v>#N/A N/A</v>
        <stp/>
        <stp>BDP|10478838591434472608</stp>
        <tr r="G3134" s="2"/>
      </tp>
      <tp t="s">
        <v>#N/A N/A</v>
        <stp/>
        <stp>BDP|13749752303144410372</stp>
        <tr r="I4076" s="2"/>
      </tp>
      <tp t="s">
        <v>#N/A N/A</v>
        <stp/>
        <stp>BDP|13705566941532317316</stp>
        <tr r="F129" s="2"/>
      </tp>
      <tp t="s">
        <v>#N/A N/A</v>
        <stp/>
        <stp>BDP|17409235496208526761</stp>
        <tr r="C898" s="2"/>
      </tp>
      <tp t="s">
        <v>#N/A N/A</v>
        <stp/>
        <stp>BDP|15729778132787085501</stp>
        <tr r="B2660" s="2"/>
      </tp>
      <tp t="s">
        <v>#N/A N/A</v>
        <stp/>
        <stp>BDP|18369354483739018970</stp>
        <tr r="A1234" s="2"/>
      </tp>
      <tp t="s">
        <v>#N/A N/A</v>
        <stp/>
        <stp>BDP|14299383245113884328</stp>
        <tr r="B3470" s="2"/>
      </tp>
      <tp t="s">
        <v>#N/A N/A</v>
        <stp/>
        <stp>BDP|15398240914246230343</stp>
        <tr r="D678" s="2"/>
      </tp>
      <tp t="s">
        <v>#N/A N/A</v>
        <stp/>
        <stp>BDP|12689278933275280551</stp>
        <tr r="C101" s="2"/>
      </tp>
      <tp t="s">
        <v>#N/A N/A</v>
        <stp/>
        <stp>BDP|12970270306606495593</stp>
        <tr r="I3501" s="2"/>
      </tp>
      <tp t="s">
        <v>#N/A N/A</v>
        <stp/>
        <stp>BDP|18135268645204500922</stp>
        <tr r="B3362" s="2"/>
      </tp>
      <tp t="s">
        <v>#N/A N/A</v>
        <stp/>
        <stp>BDP|17428596133030965228</stp>
        <tr r="F3398" s="2"/>
      </tp>
      <tp t="s">
        <v>#N/A N/A</v>
        <stp/>
        <stp>BDP|10272637862522060169</stp>
        <tr r="B1321" s="2"/>
      </tp>
      <tp t="s">
        <v>#N/A N/A</v>
        <stp/>
        <stp>BDP|10537328723014785669</stp>
        <tr r="F3448" s="2"/>
      </tp>
      <tp t="s">
        <v>#N/A N/A</v>
        <stp/>
        <stp>BDP|11059748010114477052</stp>
        <tr r="A4622" s="2"/>
      </tp>
      <tp t="s">
        <v>#N/A N/A</v>
        <stp/>
        <stp>BDP|11566834895805265645</stp>
        <tr r="G1855" s="2"/>
      </tp>
      <tp t="s">
        <v>#N/A N/A</v>
        <stp/>
        <stp>BDP|11435278549050830471</stp>
        <tr r="I3352" s="2"/>
      </tp>
      <tp t="s">
        <v>#N/A N/A</v>
        <stp/>
        <stp>BDP|17521656101235466709</stp>
        <tr r="D2121" s="2"/>
      </tp>
      <tp t="s">
        <v>#N/A N/A</v>
        <stp/>
        <stp>BDP|11362283865821338787</stp>
        <tr r="G101" s="2"/>
      </tp>
      <tp t="s">
        <v>#N/A N/A</v>
        <stp/>
        <stp>BDP|16288581201986992670</stp>
        <tr r="F867" s="2"/>
      </tp>
      <tp t="s">
        <v>#N/A N/A</v>
        <stp/>
        <stp>BDP|15669501321163293207</stp>
        <tr r="H101" s="2"/>
      </tp>
      <tp t="s">
        <v>#N/A N/A</v>
        <stp/>
        <stp>BDP|14547451765881230426</stp>
        <tr r="B4968" s="2"/>
      </tp>
      <tp t="s">
        <v>#N/A N/A</v>
        <stp/>
        <stp>BDP|12950179262941097794</stp>
        <tr r="D4" s="2"/>
      </tp>
      <tp t="s">
        <v>#N/A N/A</v>
        <stp/>
        <stp>BDP|17496467721371507335</stp>
        <tr r="A2700" s="2"/>
      </tp>
      <tp t="s">
        <v>#N/A N/A</v>
        <stp/>
        <stp>BDP|12031642571247320739</stp>
        <tr r="F4010" s="2"/>
      </tp>
      <tp t="s">
        <v>#N/A N/A</v>
        <stp/>
        <stp>BDP|14080965448459881339</stp>
        <tr r="G3782" s="2"/>
      </tp>
      <tp t="s">
        <v>#N/A N/A</v>
        <stp/>
        <stp>BDP|16745522761965578347</stp>
        <tr r="B1979" s="2"/>
      </tp>
      <tp t="s">
        <v>#N/A N/A</v>
        <stp/>
        <stp>BDP|10101860904863537834</stp>
        <tr r="D316" s="2"/>
      </tp>
      <tp t="s">
        <v>#N/A N/A</v>
        <stp/>
        <stp>BDP|14190625607473478250</stp>
        <tr r="I696" s="2"/>
      </tp>
      <tp t="s">
        <v>#N/A N/A</v>
        <stp/>
        <stp>BDP|16132464877914451214</stp>
        <tr r="A122" s="2"/>
      </tp>
      <tp t="s">
        <v>#N/A N/A</v>
        <stp/>
        <stp>BDP|17739342340527339458</stp>
        <tr r="F3222" s="2"/>
      </tp>
      <tp t="s">
        <v>#N/A N/A</v>
        <stp/>
        <stp>BDP|11203663951490813189</stp>
        <tr r="B4390" s="2"/>
      </tp>
      <tp t="s">
        <v>#N/A N/A</v>
        <stp/>
        <stp>BDP|15304378154053113346</stp>
        <tr r="A3247" s="2"/>
      </tp>
      <tp t="s">
        <v>#N/A N/A</v>
        <stp/>
        <stp>BDP|10458182769906947294</stp>
        <tr r="G3742" s="2"/>
      </tp>
      <tp t="s">
        <v>#N/A N/A</v>
        <stp/>
        <stp>BDP|10826276006896964754</stp>
        <tr r="H2203" s="2"/>
      </tp>
      <tp t="s">
        <v>#N/A N/A</v>
        <stp/>
        <stp>BDP|12697505377481417207</stp>
        <tr r="A4381" s="2"/>
      </tp>
      <tp t="s">
        <v>#N/A N/A</v>
        <stp/>
        <stp>BDP|16756720036046325759</stp>
        <tr r="F2195" s="2"/>
      </tp>
      <tp t="s">
        <v>#N/A N/A</v>
        <stp/>
        <stp>BDP|16059458975433123545</stp>
        <tr r="F76" s="2"/>
      </tp>
      <tp t="s">
        <v>#N/A N/A</v>
        <stp/>
        <stp>BDP|15989917406579954622</stp>
        <tr r="H3599" s="2"/>
      </tp>
      <tp t="s">
        <v>#N/A N/A</v>
        <stp/>
        <stp>BDP|14157550524894321462</stp>
        <tr r="C548" s="2"/>
      </tp>
      <tp t="s">
        <v>#N/A N/A</v>
        <stp/>
        <stp>BDP|11809034564091992530</stp>
        <tr r="A3932" s="2"/>
      </tp>
      <tp t="s">
        <v>#N/A N/A</v>
        <stp/>
        <stp>BDP|10568701879301891210</stp>
        <tr r="F430" s="2"/>
      </tp>
      <tp t="s">
        <v>#N/A N/A</v>
        <stp/>
        <stp>BDP|12964743660765099587</stp>
        <tr r="C2648" s="2"/>
      </tp>
      <tp t="s">
        <v>#N/A N/A</v>
        <stp/>
        <stp>BDP|14467244787895157833</stp>
        <tr r="C2619" s="2"/>
      </tp>
      <tp t="s">
        <v>#N/A N/A</v>
        <stp/>
        <stp>BDP|13590320553052004415</stp>
        <tr r="C1281" s="2"/>
      </tp>
      <tp t="s">
        <v>#N/A N/A</v>
        <stp/>
        <stp>BDP|10046323424262569060</stp>
        <tr r="A1397" s="2"/>
      </tp>
      <tp t="s">
        <v>#N/A N/A</v>
        <stp/>
        <stp>BDP|17915883484484167013</stp>
        <tr r="B1737" s="2"/>
      </tp>
      <tp t="s">
        <v>#N/A N/A</v>
        <stp/>
        <stp>BDP|17796093914962700780</stp>
        <tr r="B4017" s="2"/>
      </tp>
      <tp t="s">
        <v>#N/A N/A</v>
        <stp/>
        <stp>BDP|11302714446985499457</stp>
        <tr r="C3647" s="2"/>
      </tp>
      <tp t="s">
        <v>#N/A N/A</v>
        <stp/>
        <stp>BDP|10505015378703805711</stp>
        <tr r="C2424" s="2"/>
      </tp>
      <tp t="s">
        <v>#N/A N/A</v>
        <stp/>
        <stp>BDP|17464326764232022373</stp>
        <tr r="B1448" s="2"/>
      </tp>
      <tp t="s">
        <v>#N/A N/A</v>
        <stp/>
        <stp>BDP|13338969656465281944</stp>
        <tr r="H3271" s="2"/>
      </tp>
      <tp t="s">
        <v>#N/A N/A</v>
        <stp/>
        <stp>BDP|16017277310294764250</stp>
        <tr r="H4179" s="2"/>
      </tp>
      <tp t="s">
        <v>#N/A N/A</v>
        <stp/>
        <stp>BDP|16040553504744379475</stp>
        <tr r="D4931" s="2"/>
      </tp>
      <tp t="s">
        <v>#N/A N/A</v>
        <stp/>
        <stp>BDP|10556764658234949575</stp>
        <tr r="D779" s="2"/>
      </tp>
      <tp t="s">
        <v>#N/A N/A</v>
        <stp/>
        <stp>BDP|15114308529496462199</stp>
        <tr r="D1477" s="2"/>
      </tp>
      <tp t="s">
        <v>#N/A N/A</v>
        <stp/>
        <stp>BDP|16342150154496120760</stp>
        <tr r="D2684" s="2"/>
      </tp>
      <tp t="s">
        <v>#N/A N/A</v>
        <stp/>
        <stp>BDP|14032478710917020522</stp>
        <tr r="D4906" s="2"/>
      </tp>
      <tp t="s">
        <v>#N/A N/A</v>
        <stp/>
        <stp>BDP|11960482006212376413</stp>
        <tr r="B1108" s="2"/>
      </tp>
      <tp t="s">
        <v>#N/A N/A</v>
        <stp/>
        <stp>BDP|10833396135447927481</stp>
        <tr r="A2600" s="2"/>
      </tp>
      <tp t="s">
        <v>#N/A N/A</v>
        <stp/>
        <stp>BDP|17254673391593433851</stp>
        <tr r="A3328" s="2"/>
      </tp>
      <tp t="s">
        <v>#N/A N/A</v>
        <stp/>
        <stp>BDP|14120770836112357167</stp>
        <tr r="H2725" s="2"/>
      </tp>
      <tp t="s">
        <v>#N/A N/A</v>
        <stp/>
        <stp>BDP|14708100828382943636</stp>
        <tr r="D4689" s="2"/>
      </tp>
      <tp t="s">
        <v>#N/A N/A</v>
        <stp/>
        <stp>BDP|11532074854490537761</stp>
        <tr r="G1585" s="2"/>
      </tp>
      <tp t="s">
        <v>#N/A N/A</v>
        <stp/>
        <stp>BDP|12899882993678096865</stp>
        <tr r="F3762" s="2"/>
      </tp>
      <tp t="s">
        <v>#N/A N/A</v>
        <stp/>
        <stp>BDP|14426206686899557429</stp>
        <tr r="F4779" s="2"/>
      </tp>
      <tp t="s">
        <v>#N/A N/A</v>
        <stp/>
        <stp>BDP|13850390747766578165</stp>
        <tr r="H1794" s="2"/>
      </tp>
      <tp t="s">
        <v>#N/A N/A</v>
        <stp/>
        <stp>BDP|12374719377103773278</stp>
        <tr r="C283" s="2"/>
      </tp>
      <tp t="s">
        <v>#N/A N/A</v>
        <stp/>
        <stp>BDP|17331454412070806197</stp>
        <tr r="H2612" s="2"/>
      </tp>
      <tp t="s">
        <v>#N/A N/A</v>
        <stp/>
        <stp>BDP|17834876624456783899</stp>
        <tr r="C532" s="2"/>
      </tp>
      <tp t="s">
        <v>#N/A N/A</v>
        <stp/>
        <stp>BDP|11774051012056540502</stp>
        <tr r="A861" s="2"/>
      </tp>
      <tp t="s">
        <v>#N/A N/A</v>
        <stp/>
        <stp>BDP|13143283239218221977</stp>
        <tr r="C1394" s="2"/>
      </tp>
      <tp t="s">
        <v>#N/A N/A</v>
        <stp/>
        <stp>BDP|13300035015310100116</stp>
        <tr r="G2732" s="2"/>
      </tp>
      <tp t="s">
        <v>#N/A N/A</v>
        <stp/>
        <stp>BDP|17151652817683771016</stp>
        <tr r="G433" s="2"/>
      </tp>
      <tp t="s">
        <v>#N/A N/A</v>
        <stp/>
        <stp>BDP|17972752672625375184</stp>
        <tr r="D643" s="2"/>
      </tp>
      <tp t="s">
        <v>#N/A N/A</v>
        <stp/>
        <stp>BDP|12726624067694246553</stp>
        <tr r="D2563" s="2"/>
      </tp>
      <tp t="s">
        <v>#N/A N/A</v>
        <stp/>
        <stp>BDP|12975364210275819627</stp>
        <tr r="D2130" s="2"/>
      </tp>
      <tp t="s">
        <v>#N/A N/A</v>
        <stp/>
        <stp>BDP|15449519522181381013</stp>
        <tr r="F82" s="2"/>
      </tp>
      <tp t="s">
        <v>#N/A N/A</v>
        <stp/>
        <stp>BDP|10432296356942933678</stp>
        <tr r="D1174" s="2"/>
      </tp>
      <tp t="s">
        <v>#N/A N/A</v>
        <stp/>
        <stp>BDP|16212691151757776187</stp>
        <tr r="D477" s="2"/>
      </tp>
      <tp t="s">
        <v>#N/A N/A</v>
        <stp/>
        <stp>BDP|17427434235012126163</stp>
        <tr r="I4816" s="2"/>
      </tp>
      <tp t="s">
        <v>#N/A N/A</v>
        <stp/>
        <stp>BDP|10361041547246749127</stp>
        <tr r="D3887" s="2"/>
      </tp>
      <tp t="s">
        <v>#N/A N/A</v>
        <stp/>
        <stp>BDP|12000185948284718020</stp>
        <tr r="B4347" s="2"/>
      </tp>
      <tp t="s">
        <v>#N/A N/A</v>
        <stp/>
        <stp>BDP|16624157711796701304</stp>
        <tr r="H424" s="2"/>
      </tp>
      <tp t="s">
        <v>#N/A N/A</v>
        <stp/>
        <stp>BDP|18048563070581721846</stp>
        <tr r="G792" s="2"/>
      </tp>
      <tp t="s">
        <v>#N/A N/A</v>
        <stp/>
        <stp>BDP|13875534058065363553</stp>
        <tr r="I2872" s="2"/>
      </tp>
      <tp t="s">
        <v>#N/A N/A</v>
        <stp/>
        <stp>BDP|10581533532492321728</stp>
        <tr r="G2307" s="2"/>
      </tp>
      <tp t="s">
        <v>#N/A N/A</v>
        <stp/>
        <stp>BDP|12827866383864199590</stp>
        <tr r="H3305" s="2"/>
      </tp>
      <tp t="s">
        <v>#N/A N/A</v>
        <stp/>
        <stp>BDP|13674043573112194559</stp>
        <tr r="B3590" s="2"/>
      </tp>
      <tp t="s">
        <v>#N/A N/A</v>
        <stp/>
        <stp>BDP|11040806040109106746</stp>
        <tr r="C3423" s="2"/>
      </tp>
      <tp t="s">
        <v>#N/A N/A</v>
        <stp/>
        <stp>BDP|14592500420199899984</stp>
        <tr r="G3903" s="2"/>
      </tp>
      <tp t="s">
        <v>#N/A N/A</v>
        <stp/>
        <stp>BDP|13606369070163083755</stp>
        <tr r="B2042" s="2"/>
      </tp>
      <tp t="s">
        <v>#N/A N/A</v>
        <stp/>
        <stp>BDP|11444867164538064435</stp>
        <tr r="B1629" s="2"/>
      </tp>
      <tp t="s">
        <v>#N/A N/A</v>
        <stp/>
        <stp>BDP|11740035937698632901</stp>
        <tr r="B112" s="2"/>
      </tp>
      <tp t="s">
        <v>#N/A N/A</v>
        <stp/>
        <stp>BDP|13036676363510676072</stp>
        <tr r="G3457" s="2"/>
      </tp>
      <tp t="s">
        <v>#N/A N/A</v>
        <stp/>
        <stp>BDP|16229419563712207578</stp>
        <tr r="H4333" s="2"/>
      </tp>
      <tp t="s">
        <v>#N/A N/A</v>
        <stp/>
        <stp>BDP|12054237708056771591</stp>
        <tr r="F942" s="2"/>
      </tp>
      <tp t="s">
        <v>#N/A N/A</v>
        <stp/>
        <stp>BDP|13172043781119455154</stp>
        <tr r="I180" s="2"/>
      </tp>
      <tp t="s">
        <v>#N/A N/A</v>
        <stp/>
        <stp>BDP|14603868390836733027</stp>
        <tr r="C1391" s="2"/>
      </tp>
      <tp t="s">
        <v>#N/A N/A</v>
        <stp/>
        <stp>BDP|12922776390417203894</stp>
        <tr r="A2134" s="2"/>
      </tp>
      <tp t="s">
        <v>#N/A N/A</v>
        <stp/>
        <stp>BDP|12217623887978305700</stp>
        <tr r="F2010" s="2"/>
      </tp>
      <tp t="s">
        <v>#N/A N/A</v>
        <stp/>
        <stp>BDP|13525649614491055611</stp>
        <tr r="C2785" s="2"/>
      </tp>
      <tp t="s">
        <v>#N/A N/A</v>
        <stp/>
        <stp>BDP|15010358002141731440</stp>
        <tr r="D3909" s="2"/>
      </tp>
      <tp t="s">
        <v>#N/A N/A</v>
        <stp/>
        <stp>BDP|11272814093542796134</stp>
        <tr r="B4869" s="2"/>
      </tp>
      <tp t="s">
        <v>#N/A N/A</v>
        <stp/>
        <stp>BDP|12728671325982403751</stp>
        <tr r="F1408" s="2"/>
      </tp>
      <tp t="s">
        <v>#N/A N/A</v>
        <stp/>
        <stp>BDP|17317689469564002067</stp>
        <tr r="I265" s="2"/>
      </tp>
      <tp t="s">
        <v>#N/A N/A</v>
        <stp/>
        <stp>BDP|14927981199072811548</stp>
        <tr r="G2326" s="2"/>
      </tp>
      <tp t="s">
        <v>#N/A N/A</v>
        <stp/>
        <stp>BDP|13156744622873225611</stp>
        <tr r="F3071" s="2"/>
      </tp>
      <tp t="s">
        <v>#N/A N/A</v>
        <stp/>
        <stp>BDP|12788450951488750800</stp>
        <tr r="G3105" s="2"/>
      </tp>
      <tp t="s">
        <v>#N/A N/A</v>
        <stp/>
        <stp>BDP|13388019092101512818</stp>
        <tr r="G1096" s="2"/>
      </tp>
      <tp t="s">
        <v>#N/A N/A</v>
        <stp/>
        <stp>BDP|12269225963713694614</stp>
        <tr r="G1541" s="2"/>
      </tp>
      <tp t="s">
        <v>#N/A N/A</v>
        <stp/>
        <stp>BDP|12474273671267673308</stp>
        <tr r="F1679" s="2"/>
      </tp>
      <tp t="s">
        <v>#N/A N/A</v>
        <stp/>
        <stp>BDP|14292286103557941247</stp>
        <tr r="G156" s="2"/>
      </tp>
      <tp t="s">
        <v>#N/A N/A</v>
        <stp/>
        <stp>BDP|13862357515510487285</stp>
        <tr r="F641" s="2"/>
      </tp>
      <tp t="s">
        <v>#N/A N/A</v>
        <stp/>
        <stp>BDP|10353369145683429701</stp>
        <tr r="H3660" s="2"/>
      </tp>
      <tp t="s">
        <v>#N/A N/A</v>
        <stp/>
        <stp>BDP|11774950997422321029</stp>
        <tr r="D2711" s="2"/>
      </tp>
      <tp t="s">
        <v>#N/A N/A</v>
        <stp/>
        <stp>BDP|17416651337838703950</stp>
        <tr r="B1667" s="2"/>
      </tp>
      <tp t="s">
        <v>#N/A N/A</v>
        <stp/>
        <stp>BDP|15262028554106550552</stp>
        <tr r="B3273" s="2"/>
      </tp>
      <tp t="s">
        <v>#N/A N/A</v>
        <stp/>
        <stp>BDP|10296470458042996008</stp>
        <tr r="G1031" s="2"/>
      </tp>
      <tp t="s">
        <v>#N/A N/A</v>
        <stp/>
        <stp>BDP|10428059121653451207</stp>
        <tr r="F2904" s="2"/>
      </tp>
      <tp t="s">
        <v>#N/A N/A</v>
        <stp/>
        <stp>BDP|17909153535961409795</stp>
        <tr r="C4428" s="2"/>
      </tp>
      <tp t="s">
        <v>#N/A N/A</v>
        <stp/>
        <stp>BDP|18291308295224083534</stp>
        <tr r="D929" s="2"/>
      </tp>
      <tp t="s">
        <v>#N/A N/A</v>
        <stp/>
        <stp>BDP|13389424000825230179</stp>
        <tr r="D388" s="2"/>
      </tp>
      <tp t="s">
        <v>#N/A N/A</v>
        <stp/>
        <stp>BDP|15653818093614736376</stp>
        <tr r="H1275" s="2"/>
      </tp>
      <tp t="s">
        <v>#N/A N/A</v>
        <stp/>
        <stp>BDP|16098111914873467658</stp>
        <tr r="C3769" s="2"/>
      </tp>
      <tp t="s">
        <v>#N/A N/A</v>
        <stp/>
        <stp>BDP|10845161660946877225</stp>
        <tr r="I2583" s="2"/>
      </tp>
      <tp t="s">
        <v>#N/A N/A</v>
        <stp/>
        <stp>BDP|12578691908894865385</stp>
        <tr r="C2775" s="2"/>
      </tp>
      <tp t="s">
        <v>#N/A N/A</v>
        <stp/>
        <stp>BDP|15293034505494622266</stp>
        <tr r="F587" s="2"/>
      </tp>
      <tp t="s">
        <v>#N/A N/A</v>
        <stp/>
        <stp>BDP|11214077215885026641</stp>
        <tr r="D1009" s="2"/>
      </tp>
      <tp t="s">
        <v>#N/A N/A</v>
        <stp/>
        <stp>BDP|14600278894335210937</stp>
        <tr r="C528" s="2"/>
      </tp>
      <tp t="s">
        <v>#N/A N/A</v>
        <stp/>
        <stp>BDP|10580123457204111355</stp>
        <tr r="A1164" s="2"/>
      </tp>
      <tp t="s">
        <v>#N/A N/A</v>
        <stp/>
        <stp>BDP|17782941236518624673</stp>
        <tr r="I4050" s="2"/>
      </tp>
      <tp t="s">
        <v>#N/A N/A</v>
        <stp/>
        <stp>BDP|11417966459757682995</stp>
        <tr r="H1439" s="2"/>
      </tp>
      <tp t="s">
        <v>#N/A N/A</v>
        <stp/>
        <stp>BDP|17541141753278331859</stp>
        <tr r="F2285" s="2"/>
      </tp>
      <tp t="s">
        <v>#N/A N/A</v>
        <stp/>
        <stp>BDP|10758828372524126826</stp>
        <tr r="G490" s="2"/>
      </tp>
      <tp t="s">
        <v>#N/A N/A</v>
        <stp/>
        <stp>BDP|14220387332435459288</stp>
        <tr r="I2905" s="2"/>
      </tp>
      <tp t="s">
        <v>#N/A N/A</v>
        <stp/>
        <stp>BDP|11364450406097191153</stp>
        <tr r="I879" s="2"/>
      </tp>
      <tp t="s">
        <v>#N/A N/A</v>
        <stp/>
        <stp>BDP|15424491036971709086</stp>
        <tr r="I4747" s="2"/>
      </tp>
      <tp t="s">
        <v>#N/A N/A</v>
        <stp/>
        <stp>BDP|17992289793089599635</stp>
        <tr r="I2118" s="2"/>
      </tp>
      <tp t="s">
        <v>#N/A N/A</v>
        <stp/>
        <stp>BDP|17231758328833976228</stp>
        <tr r="C4936" s="2"/>
      </tp>
      <tp t="s">
        <v>#N/A N/A</v>
        <stp/>
        <stp>BDP|18252802761937250257</stp>
        <tr r="C1668" s="2"/>
      </tp>
      <tp t="s">
        <v>#N/A N/A</v>
        <stp/>
        <stp>BDP|12632234292353070930</stp>
        <tr r="I4182" s="2"/>
      </tp>
      <tp t="s">
        <v>#N/A N/A</v>
        <stp/>
        <stp>BDP|10537216456792406620</stp>
        <tr r="A2820" s="2"/>
      </tp>
      <tp t="s">
        <v>#N/A N/A</v>
        <stp/>
        <stp>BDP|11247160774001069543</stp>
        <tr r="D2775" s="2"/>
      </tp>
      <tp t="s">
        <v>#N/A N/A</v>
        <stp/>
        <stp>BDP|15777297721211841737</stp>
        <tr r="D4450" s="2"/>
      </tp>
      <tp t="s">
        <v>#N/A N/A</v>
        <stp/>
        <stp>BDP|13866993541455055845</stp>
        <tr r="A2708" s="2"/>
      </tp>
      <tp t="s">
        <v>#N/A N/A</v>
        <stp/>
        <stp>BDP|18420053187931380211</stp>
        <tr r="G2487" s="2"/>
      </tp>
      <tp t="s">
        <v>#N/A N/A</v>
        <stp/>
        <stp>BDP|11853726948577662600</stp>
        <tr r="I2359" s="2"/>
      </tp>
      <tp t="s">
        <v>#N/A N/A</v>
        <stp/>
        <stp>BDP|15669656582400449810</stp>
        <tr r="F4774" s="2"/>
      </tp>
      <tp t="s">
        <v>#N/A N/A</v>
        <stp/>
        <stp>BDP|15001345334924486204</stp>
        <tr r="H3228" s="2"/>
      </tp>
      <tp t="s">
        <v>#N/A N/A</v>
        <stp/>
        <stp>BDP|18106553495757421016</stp>
        <tr r="D1622" s="2"/>
      </tp>
      <tp t="s">
        <v>#N/A N/A</v>
        <stp/>
        <stp>BDP|16259176812232493778</stp>
        <tr r="D2166" s="2"/>
      </tp>
      <tp t="s">
        <v>#N/A N/A</v>
        <stp/>
        <stp>BDP|13850293727212534277</stp>
        <tr r="H4950" s="2"/>
      </tp>
      <tp t="s">
        <v>#N/A N/A</v>
        <stp/>
        <stp>BDP|12373338977426755349</stp>
        <tr r="I1360" s="2"/>
      </tp>
      <tp t="s">
        <v>#N/A N/A</v>
        <stp/>
        <stp>BDP|10918480670023652333</stp>
        <tr r="B767" s="2"/>
      </tp>
      <tp t="s">
        <v>#N/A N/A</v>
        <stp/>
        <stp>BDP|14313553850316402166</stp>
        <tr r="C2250" s="2"/>
      </tp>
      <tp t="s">
        <v>#N/A N/A</v>
        <stp/>
        <stp>BDP|10684007268680394597</stp>
        <tr r="D695" s="2"/>
      </tp>
      <tp t="s">
        <v>#N/A N/A</v>
        <stp/>
        <stp>BDP|16306142406073064753</stp>
        <tr r="I2555" s="2"/>
      </tp>
      <tp t="s">
        <v>#N/A N/A</v>
        <stp/>
        <stp>BDP|17221052006513303762</stp>
        <tr r="D221" s="2"/>
      </tp>
      <tp t="s">
        <v>#N/A N/A</v>
        <stp/>
        <stp>BDP|11369924483427400420</stp>
        <tr r="G4472" s="2"/>
      </tp>
      <tp t="s">
        <v>#N/A N/A</v>
        <stp/>
        <stp>BDP|12807834211599942173</stp>
        <tr r="C843" s="2"/>
      </tp>
      <tp t="s">
        <v>#N/A N/A</v>
        <stp/>
        <stp>BDP|14856599980952734820</stp>
        <tr r="A2516" s="2"/>
      </tp>
      <tp t="s">
        <v>#N/A N/A</v>
        <stp/>
        <stp>BDP|11169140145044095349</stp>
        <tr r="H3669" s="2"/>
      </tp>
      <tp t="s">
        <v>#N/A N/A</v>
        <stp/>
        <stp>BDP|17413340025102749762</stp>
        <tr r="I2664" s="2"/>
      </tp>
      <tp t="s">
        <v>#N/A N/A</v>
        <stp/>
        <stp>BDP|11845479515031884663</stp>
        <tr r="B2140" s="2"/>
      </tp>
      <tp t="s">
        <v>#N/A N/A</v>
        <stp/>
        <stp>BDP|17514317977396603613</stp>
        <tr r="H1411" s="2"/>
      </tp>
      <tp t="s">
        <v>#N/A N/A</v>
        <stp/>
        <stp>BDP|13563169564301634659</stp>
        <tr r="B4334" s="2"/>
      </tp>
      <tp t="s">
        <v>#N/A N/A</v>
        <stp/>
        <stp>BDP|13548947101751011840</stp>
        <tr r="G3024" s="2"/>
      </tp>
      <tp t="s">
        <v>#N/A N/A</v>
        <stp/>
        <stp>BDP|10072136026769158906</stp>
        <tr r="F4341" s="2"/>
      </tp>
      <tp t="s">
        <v>#N/A N/A</v>
        <stp/>
        <stp>BDP|15243011120045289158</stp>
        <tr r="G905" s="2"/>
      </tp>
      <tp t="s">
        <v>#N/A N/A</v>
        <stp/>
        <stp>BDP|10574211280831091802</stp>
        <tr r="C1322" s="2"/>
      </tp>
      <tp t="s">
        <v>#N/A N/A</v>
        <stp/>
        <stp>BDP|18303361530873245838</stp>
        <tr r="B2023" s="2"/>
      </tp>
      <tp t="s">
        <v>#N/A N/A</v>
        <stp/>
        <stp>BDP|16692652395822664840</stp>
        <tr r="H2684" s="2"/>
      </tp>
      <tp t="s">
        <v>#N/A N/A</v>
        <stp/>
        <stp>BDP|16264230607300172737</stp>
        <tr r="F1218" s="2"/>
      </tp>
      <tp t="s">
        <v>#N/A N/A</v>
        <stp/>
        <stp>BDP|13694350517156888484</stp>
        <tr r="I3970" s="2"/>
      </tp>
      <tp t="s">
        <v>#N/A N/A</v>
        <stp/>
        <stp>BDP|18299639680701131440</stp>
        <tr r="A1548" s="2"/>
      </tp>
      <tp t="s">
        <v>#N/A N/A</v>
        <stp/>
        <stp>BDP|10132393118919088845</stp>
        <tr r="H1283" s="2"/>
      </tp>
      <tp t="s">
        <v>#N/A N/A</v>
        <stp/>
        <stp>BDP|14154425305843789054</stp>
        <tr r="C2323" s="2"/>
      </tp>
      <tp t="s">
        <v>#N/A N/A</v>
        <stp/>
        <stp>BDP|10474964277154947982</stp>
        <tr r="H3081" s="2"/>
      </tp>
      <tp t="s">
        <v>#N/A N/A</v>
        <stp/>
        <stp>BDP|16723512636502021143</stp>
        <tr r="A350" s="2"/>
      </tp>
      <tp t="s">
        <v>#N/A N/A</v>
        <stp/>
        <stp>BDP|17351168665055686621</stp>
        <tr r="F3059" s="2"/>
      </tp>
      <tp t="s">
        <v>#N/A N/A</v>
        <stp/>
        <stp>BDP|15663316235721321751</stp>
        <tr r="A2757" s="2"/>
      </tp>
      <tp t="s">
        <v>#N/A N/A</v>
        <stp/>
        <stp>BDP|15738672440792549629</stp>
        <tr r="G2491" s="2"/>
      </tp>
      <tp t="s">
        <v>#N/A N/A</v>
        <stp/>
        <stp>BDP|11088313452643711737</stp>
        <tr r="D3393" s="2"/>
      </tp>
      <tp t="s">
        <v>#N/A N/A</v>
        <stp/>
        <stp>BDP|17846706528973311241</stp>
        <tr r="A4156" s="2"/>
      </tp>
      <tp t="s">
        <v>#N/A N/A</v>
        <stp/>
        <stp>BDP|10257156755973001451</stp>
        <tr r="I2399" s="2"/>
      </tp>
      <tp t="s">
        <v>#N/A N/A</v>
        <stp/>
        <stp>BDP|11554856970935210851</stp>
        <tr r="H4240" s="2"/>
      </tp>
      <tp t="s">
        <v>#N/A N/A</v>
        <stp/>
        <stp>BDP|17298505037056413467</stp>
        <tr r="B4897" s="2"/>
      </tp>
      <tp t="s">
        <v>#N/A N/A</v>
        <stp/>
        <stp>BDP|14747910857253142878</stp>
        <tr r="B4989" s="2"/>
      </tp>
      <tp t="s">
        <v>#N/A N/A</v>
        <stp/>
        <stp>BDP|15218480060740557489</stp>
        <tr r="A3608" s="2"/>
      </tp>
      <tp t="s">
        <v>#N/A N/A</v>
        <stp/>
        <stp>BDP|17262765363221128419</stp>
        <tr r="A4903" s="2"/>
      </tp>
      <tp t="s">
        <v>#N/A N/A</v>
        <stp/>
        <stp>BDP|10994142137000461197</stp>
        <tr r="A8" s="2"/>
      </tp>
      <tp t="s">
        <v>#N/A N/A</v>
        <stp/>
        <stp>BDP|13158128867137135025</stp>
        <tr r="H4166" s="2"/>
      </tp>
      <tp t="s">
        <v>#N/A N/A</v>
        <stp/>
        <stp>BDP|10894375725556447497</stp>
        <tr r="F4058" s="2"/>
      </tp>
      <tp t="s">
        <v>#N/A N/A</v>
        <stp/>
        <stp>BDP|16846393970960719115</stp>
        <tr r="I3083" s="2"/>
      </tp>
      <tp t="s">
        <v>#N/A N/A</v>
        <stp/>
        <stp>BDP|14275612236261642349</stp>
        <tr r="I2257" s="2"/>
      </tp>
      <tp t="s">
        <v>#N/A N/A</v>
        <stp/>
        <stp>BDP|14391734816669057817</stp>
        <tr r="F3810" s="2"/>
      </tp>
      <tp t="s">
        <v>#N/A N/A</v>
        <stp/>
        <stp>BDP|14556727506528165878</stp>
        <tr r="G4052" s="2"/>
      </tp>
      <tp t="s">
        <v>#N/A N/A</v>
        <stp/>
        <stp>BDP|17922776302654930728</stp>
        <tr r="H1840" s="2"/>
      </tp>
      <tp t="s">
        <v>#N/A N/A</v>
        <stp/>
        <stp>BDP|17291238751627462438</stp>
        <tr r="H547" s="2"/>
      </tp>
      <tp t="s">
        <v>#N/A N/A</v>
        <stp/>
        <stp>BDP|18107716280980030474</stp>
        <tr r="I4539" s="2"/>
      </tp>
      <tp t="s">
        <v>#N/A N/A</v>
        <stp/>
        <stp>BDP|14850881093891735737</stp>
        <tr r="F633" s="2"/>
      </tp>
      <tp t="s">
        <v>#N/A N/A</v>
        <stp/>
        <stp>BDP|14471542733542185350</stp>
        <tr r="F943" s="2"/>
      </tp>
      <tp t="s">
        <v>#N/A N/A</v>
        <stp/>
        <stp>BDP|18234093006373332898</stp>
        <tr r="A2920" s="2"/>
      </tp>
      <tp t="s">
        <v>#N/A N/A</v>
        <stp/>
        <stp>BDP|10031627174804143600</stp>
        <tr r="D219" s="2"/>
      </tp>
      <tp t="s">
        <v>#N/A N/A</v>
        <stp/>
        <stp>BDP|13470060448921435595</stp>
        <tr r="I346" s="2"/>
      </tp>
      <tp t="s">
        <v>#N/A N/A</v>
        <stp/>
        <stp>BDP|11548831302953570964</stp>
        <tr r="I251" s="2"/>
      </tp>
      <tp t="s">
        <v>#N/A N/A</v>
        <stp/>
        <stp>BDP|11688620203857987397</stp>
        <tr r="C560" s="2"/>
      </tp>
      <tp t="s">
        <v>#N/A N/A</v>
        <stp/>
        <stp>BDP|18349361760917727951</stp>
        <tr r="D337" s="2"/>
      </tp>
      <tp t="s">
        <v>#N/A N/A</v>
        <stp/>
        <stp>BDP|16390711017252422167</stp>
        <tr r="H1331" s="2"/>
      </tp>
      <tp t="s">
        <v>#N/A N/A</v>
        <stp/>
        <stp>BDP|15133058496369001657</stp>
        <tr r="H1128" s="2"/>
      </tp>
      <tp t="s">
        <v>#N/A N/A</v>
        <stp/>
        <stp>BDP|17178808991642467730</stp>
        <tr r="B757" s="2"/>
      </tp>
      <tp t="s">
        <v>#N/A N/A</v>
        <stp/>
        <stp>BDP|13282001766080430674</stp>
        <tr r="C1088" s="2"/>
      </tp>
      <tp t="s">
        <v>#N/A N/A</v>
        <stp/>
        <stp>BDP|17403429704291410114</stp>
        <tr r="G82" s="2"/>
      </tp>
      <tp t="s">
        <v>#N/A N/A</v>
        <stp/>
        <stp>BDP|11172234476790390703</stp>
        <tr r="C902" s="2"/>
      </tp>
      <tp t="s">
        <v>#N/A N/A</v>
        <stp/>
        <stp>BDP|16175218791108433623</stp>
        <tr r="B3440" s="2"/>
      </tp>
      <tp t="s">
        <v>#N/A N/A</v>
        <stp/>
        <stp>BDP|11340316554765190102</stp>
        <tr r="B713" s="2"/>
      </tp>
      <tp t="s">
        <v>#N/A N/A</v>
        <stp/>
        <stp>BDP|15227441013912528175</stp>
        <tr r="C4474" s="2"/>
      </tp>
      <tp t="s">
        <v>#N/A N/A</v>
        <stp/>
        <stp>BDP|15253578144897612009</stp>
        <tr r="D1093" s="2"/>
      </tp>
      <tp t="s">
        <v>#N/A N/A</v>
        <stp/>
        <stp>BDP|17917535013771973179</stp>
        <tr r="C2927" s="2"/>
      </tp>
      <tp t="s">
        <v>#N/A N/A</v>
        <stp/>
        <stp>BDP|16786190719211449442</stp>
        <tr r="F1507" s="2"/>
      </tp>
      <tp t="s">
        <v>#N/A N/A</v>
        <stp/>
        <stp>BDP|11102368617582694218</stp>
        <tr r="D4854" s="2"/>
      </tp>
      <tp t="s">
        <v>#N/A N/A</v>
        <stp/>
        <stp>BDP|14232899884327810004</stp>
        <tr r="I4751" s="2"/>
      </tp>
      <tp t="s">
        <v>#N/A N/A</v>
        <stp/>
        <stp>BDP|11783295516021660097</stp>
        <tr r="C215" s="2"/>
      </tp>
      <tp t="s">
        <v>#N/A N/A</v>
        <stp/>
        <stp>BDP|13452355247737527049</stp>
        <tr r="F854" s="2"/>
      </tp>
      <tp t="s">
        <v>#N/A N/A</v>
        <stp/>
        <stp>BDP|14757258750178666836</stp>
        <tr r="H3322" s="2"/>
      </tp>
      <tp t="s">
        <v>#N/A N/A</v>
        <stp/>
        <stp>BDP|10810691510104186075</stp>
        <tr r="H2640" s="2"/>
      </tp>
      <tp t="s">
        <v>#N/A N/A</v>
        <stp/>
        <stp>BDP|12494847253035576915</stp>
        <tr r="C890" s="2"/>
      </tp>
      <tp t="s">
        <v>#N/A N/A</v>
        <stp/>
        <stp>BDP|14685259755390277036</stp>
        <tr r="C2432" s="2"/>
      </tp>
      <tp t="s">
        <v>#N/A N/A</v>
        <stp/>
        <stp>BDP|12865752815630780789</stp>
        <tr r="D3793" s="2"/>
      </tp>
      <tp t="s">
        <v>#N/A N/A</v>
        <stp/>
        <stp>BDP|15404441624851087132</stp>
        <tr r="G4282" s="2"/>
      </tp>
      <tp t="s">
        <v>#N/A N/A</v>
        <stp/>
        <stp>BDP|10345119969554885042</stp>
        <tr r="C2856" s="2"/>
      </tp>
      <tp t="s">
        <v>#N/A N/A</v>
        <stp/>
        <stp>BDP|14144854509229938633</stp>
        <tr r="G3138" s="2"/>
      </tp>
      <tp t="s">
        <v>#N/A N/A</v>
        <stp/>
        <stp>BDP|16450386578979416879</stp>
        <tr r="I3241" s="2"/>
      </tp>
      <tp t="s">
        <v>#N/A N/A</v>
        <stp/>
        <stp>BDP|15673908396800636616</stp>
        <tr r="D270" s="2"/>
      </tp>
      <tp t="s">
        <v>#N/A N/A</v>
        <stp/>
        <stp>BDP|17124513235672040021</stp>
        <tr r="G2371" s="2"/>
      </tp>
      <tp t="s">
        <v>#N/A N/A</v>
        <stp/>
        <stp>BDP|10756407244352032140</stp>
        <tr r="C1073" s="2"/>
      </tp>
      <tp t="s">
        <v>#N/A N/A</v>
        <stp/>
        <stp>BDP|17597259265536174630</stp>
        <tr r="D568" s="2"/>
      </tp>
      <tp t="s">
        <v>#N/A N/A</v>
        <stp/>
        <stp>BDP|17934179018861510541</stp>
        <tr r="I2636" s="2"/>
      </tp>
      <tp t="s">
        <v>#N/A N/A</v>
        <stp/>
        <stp>BDP|10868037943627736085</stp>
        <tr r="H4911" s="2"/>
      </tp>
      <tp t="s">
        <v>#N/A N/A</v>
        <stp/>
        <stp>BDP|12208207202553528021</stp>
        <tr r="H1379" s="2"/>
      </tp>
      <tp t="s">
        <v>#N/A N/A</v>
        <stp/>
        <stp>BDP|14170298508813556623</stp>
        <tr r="A4546" s="2"/>
      </tp>
      <tp t="s">
        <v>#N/A N/A</v>
        <stp/>
        <stp>BDP|16749039767595015648</stp>
        <tr r="I2302" s="2"/>
      </tp>
      <tp t="s">
        <v>#N/A N/A</v>
        <stp/>
        <stp>BDP|18182759986153243774</stp>
        <tr r="A4846" s="2"/>
      </tp>
      <tp t="s">
        <v>#N/A N/A</v>
        <stp/>
        <stp>BDP|11863225346582364680</stp>
        <tr r="B4098" s="2"/>
      </tp>
      <tp t="s">
        <v>#N/A N/A</v>
        <stp/>
        <stp>BDP|17810462948775734167</stp>
        <tr r="C1984" s="2"/>
      </tp>
      <tp t="s">
        <v>#N/A N/A</v>
        <stp/>
        <stp>BDP|14631104110715247234</stp>
        <tr r="F1063" s="2"/>
      </tp>
      <tp t="s">
        <v>#N/A N/A</v>
        <stp/>
        <stp>BDP|13404123746496649313</stp>
        <tr r="B3447" s="2"/>
      </tp>
      <tp t="s">
        <v>#N/A N/A</v>
        <stp/>
        <stp>BDP|14006212942655629426</stp>
        <tr r="D1408" s="2"/>
      </tp>
      <tp t="s">
        <v>#N/A N/A</v>
        <stp/>
        <stp>BDP|14031536332462116370</stp>
        <tr r="G4895" s="2"/>
      </tp>
      <tp t="s">
        <v>#N/A N/A</v>
        <stp/>
        <stp>BDP|12619372460242326654</stp>
        <tr r="I26" s="2"/>
      </tp>
      <tp t="s">
        <v>#N/A N/A</v>
        <stp/>
        <stp>BDP|17641667212480642334</stp>
        <tr r="I4295" s="2"/>
      </tp>
      <tp t="s">
        <v>#N/A N/A</v>
        <stp/>
        <stp>BDP|17142645771547604253</stp>
        <tr r="F3670" s="2"/>
      </tp>
      <tp t="s">
        <v>#N/A N/A</v>
        <stp/>
        <stp>BDP|18177985716435147695</stp>
        <tr r="H1534" s="2"/>
      </tp>
      <tp t="s">
        <v>#N/A N/A</v>
        <stp/>
        <stp>BDP|11195568746111214246</stp>
        <tr r="B4086" s="2"/>
      </tp>
      <tp t="s">
        <v>#N/A N/A</v>
        <stp/>
        <stp>BDP|13481802755444094960</stp>
        <tr r="A4941" s="2"/>
      </tp>
      <tp t="s">
        <v>#N/A N/A</v>
        <stp/>
        <stp>BDP|15469055885886455878</stp>
        <tr r="G1077" s="2"/>
      </tp>
      <tp t="s">
        <v>#N/A N/A</v>
        <stp/>
        <stp>BDP|16333235441001708210</stp>
        <tr r="G48" s="2"/>
      </tp>
      <tp t="s">
        <v>#N/A N/A</v>
        <stp/>
        <stp>BDP|15346822116397070804</stp>
        <tr r="B3954" s="2"/>
      </tp>
      <tp t="s">
        <v>#N/A N/A</v>
        <stp/>
        <stp>BDP|13696289824152463291</stp>
        <tr r="D1740" s="2"/>
      </tp>
      <tp t="s">
        <v>#N/A N/A</v>
        <stp/>
        <stp>BDP|15887143713922967412</stp>
        <tr r="A4469" s="2"/>
      </tp>
      <tp t="s">
        <v>#N/A N/A</v>
        <stp/>
        <stp>BDP|17401804373372162917</stp>
        <tr r="H2377" s="2"/>
      </tp>
      <tp t="s">
        <v>#N/A N/A</v>
        <stp/>
        <stp>BDP|10691071222503385273</stp>
        <tr r="D2479" s="2"/>
      </tp>
      <tp t="s">
        <v>#N/A N/A</v>
        <stp/>
        <stp>BDP|18255360941385705950</stp>
        <tr r="A2319" s="2"/>
      </tp>
      <tp t="s">
        <v>#N/A N/A</v>
        <stp/>
        <stp>BDP|10740167739006725787</stp>
        <tr r="C2345" s="2"/>
      </tp>
      <tp t="s">
        <v>#N/A N/A</v>
        <stp/>
        <stp>BDP|14037527422139047974</stp>
        <tr r="A4199" s="2"/>
      </tp>
      <tp t="s">
        <v>#N/A N/A</v>
        <stp/>
        <stp>BDP|15177672401138471846</stp>
        <tr r="G146" s="2"/>
      </tp>
      <tp t="s">
        <v>#N/A N/A</v>
        <stp/>
        <stp>BDP|12466148665191099723</stp>
        <tr r="A4670" s="2"/>
      </tp>
      <tp t="s">
        <v>#N/A N/A</v>
        <stp/>
        <stp>BDP|11238308517656415668</stp>
        <tr r="F3561" s="2"/>
      </tp>
      <tp t="s">
        <v>#N/A N/A</v>
        <stp/>
        <stp>BDP|14621766261497617105</stp>
        <tr r="G3425" s="2"/>
      </tp>
      <tp t="s">
        <v>#N/A N/A</v>
        <stp/>
        <stp>BDP|13813721385688043786</stp>
        <tr r="G3278" s="2"/>
      </tp>
      <tp t="s">
        <v>#N/A N/A</v>
        <stp/>
        <stp>BDP|13530692229307425364</stp>
        <tr r="I3312" s="2"/>
      </tp>
      <tp t="s">
        <v>#N/A N/A</v>
        <stp/>
        <stp>BDP|17621668611980468321</stp>
        <tr r="F1098" s="2"/>
      </tp>
      <tp t="s">
        <v>#N/A N/A</v>
        <stp/>
        <stp>BDP|16587963814955991880</stp>
        <tr r="G2282" s="2"/>
      </tp>
      <tp t="s">
        <v>#N/A N/A</v>
        <stp/>
        <stp>BDP|12394795258263024047</stp>
        <tr r="G3966" s="2"/>
      </tp>
      <tp t="s">
        <v>#N/A N/A</v>
        <stp/>
        <stp>BDP|11483895520609346184</stp>
        <tr r="H1646" s="2"/>
      </tp>
      <tp t="s">
        <v>#N/A N/A</v>
        <stp/>
        <stp>BDP|13445478757702481368</stp>
        <tr r="F3944" s="2"/>
      </tp>
      <tp t="s">
        <v>#N/A N/A</v>
        <stp/>
        <stp>BDP|16895769059912467554</stp>
        <tr r="F4382" s="2"/>
      </tp>
      <tp t="s">
        <v>#N/A N/A</v>
        <stp/>
        <stp>BDP|14647003567536103769</stp>
        <tr r="D3807" s="2"/>
      </tp>
      <tp t="s">
        <v>#N/A N/A</v>
        <stp/>
        <stp>BDP|13413375100191067259</stp>
        <tr r="H2885" s="2"/>
      </tp>
      <tp t="s">
        <v>#N/A N/A</v>
        <stp/>
        <stp>BDP|14747069090669256754</stp>
        <tr r="A3150" s="2"/>
      </tp>
      <tp t="s">
        <v>#N/A N/A</v>
        <stp/>
        <stp>BDP|15264851257208380357</stp>
        <tr r="I2495" s="2"/>
      </tp>
      <tp t="s">
        <v>#N/A N/A</v>
        <stp/>
        <stp>BDP|17145739176193170732</stp>
        <tr r="C1180" s="2"/>
      </tp>
      <tp t="s">
        <v>#N/A N/A</v>
        <stp/>
        <stp>BDP|12216279977125728132</stp>
        <tr r="A4428" s="2"/>
      </tp>
      <tp t="s">
        <v>#N/A N/A</v>
        <stp/>
        <stp>BDP|13182515544776725751</stp>
        <tr r="A3213" s="2"/>
      </tp>
      <tp t="s">
        <v>#N/A N/A</v>
        <stp/>
        <stp>BDP|10729307610513309229</stp>
        <tr r="I1089" s="2"/>
      </tp>
      <tp t="s">
        <v>#N/A N/A</v>
        <stp/>
        <stp>BDP|12691919067669292747</stp>
        <tr r="A3022" s="2"/>
      </tp>
      <tp t="s">
        <v>#N/A N/A</v>
        <stp/>
        <stp>BDP|11696424705563377547</stp>
        <tr r="I3190" s="2"/>
      </tp>
      <tp t="s">
        <v>#N/A N/A</v>
        <stp/>
        <stp>BDP|15505845174650582963</stp>
        <tr r="H412" s="2"/>
      </tp>
      <tp t="s">
        <v>#N/A N/A</v>
        <stp/>
        <stp>BDP|15852039122213931765</stp>
        <tr r="G453" s="2"/>
      </tp>
      <tp t="s">
        <v>#N/A N/A</v>
        <stp/>
        <stp>BDP|13060274721860503052</stp>
        <tr r="F4006" s="2"/>
      </tp>
      <tp t="s">
        <v>#N/A N/A</v>
        <stp/>
        <stp>BDP|14101950858132294987</stp>
        <tr r="B2647" s="2"/>
      </tp>
      <tp t="s">
        <v>#N/A N/A</v>
        <stp/>
        <stp>BDP|13289075444212244654</stp>
        <tr r="A287" s="2"/>
      </tp>
      <tp t="s">
        <v>#N/A N/A</v>
        <stp/>
        <stp>BDP|11902942279178786454</stp>
        <tr r="B2327" s="2"/>
      </tp>
      <tp t="s">
        <v>#N/A N/A</v>
        <stp/>
        <stp>BDP|12172346602194086616</stp>
        <tr r="I1589" s="2"/>
      </tp>
      <tp t="s">
        <v>#N/A N/A</v>
        <stp/>
        <stp>BDP|17216089348346305675</stp>
        <tr r="I1771" s="2"/>
      </tp>
      <tp t="s">
        <v>#N/A N/A</v>
        <stp/>
        <stp>BDP|16583647222350465114</stp>
        <tr r="D2839" s="2"/>
      </tp>
      <tp t="s">
        <v>#N/A N/A</v>
        <stp/>
        <stp>BDP|13375247605931343373</stp>
        <tr r="A1024" s="2"/>
      </tp>
      <tp t="s">
        <v>#N/A N/A</v>
        <stp/>
        <stp>BDP|16515932342058050028</stp>
        <tr r="A494" s="2"/>
      </tp>
      <tp t="s">
        <v>#N/A N/A</v>
        <stp/>
        <stp>BDP|17350549102848437979</stp>
        <tr r="D4080" s="2"/>
      </tp>
      <tp t="s">
        <v>#N/A N/A</v>
        <stp/>
        <stp>BDP|15869253741675276589</stp>
        <tr r="G1100" s="2"/>
      </tp>
      <tp t="s">
        <v>#N/A N/A</v>
        <stp/>
        <stp>BDP|14600905926218430429</stp>
        <tr r="A4425" s="2"/>
      </tp>
      <tp t="s">
        <v>#N/A N/A</v>
        <stp/>
        <stp>BDP|16908349198169224617</stp>
        <tr r="B3448" s="2"/>
      </tp>
      <tp t="s">
        <v>#N/A N/A</v>
        <stp/>
        <stp>BDP|11367909033219411121</stp>
        <tr r="F1624" s="2"/>
      </tp>
      <tp t="s">
        <v>#N/A N/A</v>
        <stp/>
        <stp>BDP|11550661570113189041</stp>
        <tr r="B3" s="2"/>
      </tp>
      <tp t="s">
        <v>#N/A N/A</v>
        <stp/>
        <stp>BDP|13601675847767687566</stp>
        <tr r="D4696" s="2"/>
      </tp>
      <tp t="s">
        <v>#N/A N/A</v>
        <stp/>
        <stp>BDP|17726737428291223089</stp>
        <tr r="F3476" s="2"/>
      </tp>
      <tp t="s">
        <v>#N/A N/A</v>
        <stp/>
        <stp>BDP|11827731207796998331</stp>
        <tr r="F520" s="2"/>
      </tp>
      <tp t="s">
        <v>#N/A N/A</v>
        <stp/>
        <stp>BDP|10703278681118172162</stp>
        <tr r="A2746" s="2"/>
      </tp>
      <tp t="s">
        <v>#N/A N/A</v>
        <stp/>
        <stp>BDP|12643557167947547572</stp>
        <tr r="I2424" s="2"/>
      </tp>
      <tp t="s">
        <v>#N/A N/A</v>
        <stp/>
        <stp>BDP|17763269229633723797</stp>
        <tr r="F4120" s="2"/>
      </tp>
      <tp t="s">
        <v>#N/A N/A</v>
        <stp/>
        <stp>BDP|17120332172985719514</stp>
        <tr r="A274" s="2"/>
      </tp>
      <tp t="s">
        <v>#N/A N/A</v>
        <stp/>
        <stp>BDP|12661496336456605098</stp>
        <tr r="I2188" s="2"/>
      </tp>
      <tp t="s">
        <v>#N/A N/A</v>
        <stp/>
        <stp>BDP|10684009430460329034</stp>
        <tr r="F2162" s="2"/>
      </tp>
      <tp t="s">
        <v>#N/A N/A</v>
        <stp/>
        <stp>BDP|17742806501004948895</stp>
        <tr r="F1698" s="2"/>
      </tp>
      <tp t="s">
        <v>#N/A N/A</v>
        <stp/>
        <stp>BDP|16949660484799451295</stp>
        <tr r="H4967" s="2"/>
      </tp>
      <tp t="s">
        <v>#N/A N/A</v>
        <stp/>
        <stp>BDP|14636203174144407602</stp>
        <tr r="D2896" s="2"/>
      </tp>
      <tp t="s">
        <v>#N/A N/A</v>
        <stp/>
        <stp>BDP|10115662208172070796</stp>
        <tr r="C4266" s="2"/>
      </tp>
      <tp t="s">
        <v>#N/A N/A</v>
        <stp/>
        <stp>BDP|14221544028193928316</stp>
        <tr r="H1426" s="2"/>
      </tp>
      <tp t="s">
        <v>#N/A N/A</v>
        <stp/>
        <stp>BDP|17022594684038835136</stp>
        <tr r="B2225" s="2"/>
      </tp>
      <tp t="s">
        <v>#N/A N/A</v>
        <stp/>
        <stp>BDP|15150191338194517036</stp>
        <tr r="F2259" s="2"/>
      </tp>
      <tp t="s">
        <v>#N/A N/A</v>
        <stp/>
        <stp>BDP|10068134321472772233</stp>
        <tr r="C2278" s="2"/>
      </tp>
      <tp t="s">
        <v>#N/A N/A</v>
        <stp/>
        <stp>BDP|10268461078276334694</stp>
        <tr r="B1264" s="2"/>
      </tp>
      <tp t="s">
        <v>#N/A N/A</v>
        <stp/>
        <stp>BDP|14420338454101191040</stp>
        <tr r="H2285" s="2"/>
      </tp>
      <tp t="s">
        <v>#N/A N/A</v>
        <stp/>
        <stp>BDP|18223881164104841104</stp>
        <tr r="G4228" s="2"/>
      </tp>
      <tp t="s">
        <v>#N/A N/A</v>
        <stp/>
        <stp>BDP|12124143817259205862</stp>
        <tr r="G2203" s="2"/>
      </tp>
      <tp t="s">
        <v>#N/A N/A</v>
        <stp/>
        <stp>BDP|14319965012556843994</stp>
        <tr r="F1171" s="2"/>
      </tp>
      <tp t="s">
        <v>#N/A N/A</v>
        <stp/>
        <stp>BDP|13709529035453582534</stp>
        <tr r="D1385" s="2"/>
      </tp>
      <tp t="s">
        <v>#N/A N/A</v>
        <stp/>
        <stp>BDP|17019102303133540607</stp>
        <tr r="D3659" s="2"/>
      </tp>
      <tp t="s">
        <v>#N/A N/A</v>
        <stp/>
        <stp>BDP|13340857158259101490</stp>
        <tr r="F3372" s="2"/>
      </tp>
      <tp t="s">
        <v>#N/A N/A</v>
        <stp/>
        <stp>BDP|11027389606455180496</stp>
        <tr r="C1156" s="2"/>
      </tp>
      <tp t="s">
        <v>#N/A N/A</v>
        <stp/>
        <stp>BDP|13760176695910680850</stp>
        <tr r="G2178" s="2"/>
      </tp>
      <tp t="s">
        <v>#N/A N/A</v>
        <stp/>
        <stp>BDP|11034754810094243012</stp>
        <tr r="D1898" s="2"/>
      </tp>
      <tp t="s">
        <v>#N/A N/A</v>
        <stp/>
        <stp>BDP|14547101633230001506</stp>
        <tr r="H4729" s="2"/>
      </tp>
      <tp t="s">
        <v>#N/A N/A</v>
        <stp/>
        <stp>BDP|17559611349644341286</stp>
        <tr r="C4147" s="2"/>
      </tp>
      <tp t="s">
        <v>#N/A N/A</v>
        <stp/>
        <stp>BDP|12865121558684282169</stp>
        <tr r="F2064" s="2"/>
      </tp>
      <tp t="s">
        <v>#N/A N/A</v>
        <stp/>
        <stp>BDP|14701663341356286348</stp>
        <tr r="F3846" s="2"/>
      </tp>
      <tp t="s">
        <v>#N/A N/A</v>
        <stp/>
        <stp>BDP|14113310797579000414</stp>
        <tr r="D1449" s="2"/>
      </tp>
      <tp t="s">
        <v>#N/A N/A</v>
        <stp/>
        <stp>BDP|11250467167488661837</stp>
        <tr r="G4841" s="2"/>
      </tp>
      <tp t="s">
        <v>#N/A N/A</v>
        <stp/>
        <stp>BDP|11162134204964853789</stp>
        <tr r="A4332" s="2"/>
      </tp>
      <tp t="s">
        <v>#N/A N/A</v>
        <stp/>
        <stp>BDP|16101220942091625215</stp>
        <tr r="D4251" s="2"/>
      </tp>
      <tp t="s">
        <v>#N/A N/A</v>
        <stp/>
        <stp>BDP|15913670492111901837</stp>
        <tr r="I1476" s="2"/>
      </tp>
      <tp t="s">
        <v>#N/A N/A</v>
        <stp/>
        <stp>BDP|16231558615086753738</stp>
        <tr r="A4021" s="2"/>
      </tp>
      <tp t="s">
        <v>#N/A N/A</v>
        <stp/>
        <stp>BDP|13387070910624193531</stp>
        <tr r="G3764" s="2"/>
      </tp>
      <tp t="s">
        <v>#N/A N/A</v>
        <stp/>
        <stp>BDP|14852037820032807754</stp>
        <tr r="B257" s="2"/>
      </tp>
      <tp t="s">
        <v>#N/A N/A</v>
        <stp/>
        <stp>BDP|13098439632603207450</stp>
        <tr r="I1793" s="2"/>
      </tp>
      <tp t="s">
        <v>#N/A N/A</v>
        <stp/>
        <stp>BDP|13530997888723102235</stp>
        <tr r="F1333" s="2"/>
      </tp>
      <tp t="s">
        <v>#N/A N/A</v>
        <stp/>
        <stp>BDP|11494913781700337318</stp>
        <tr r="F2605" s="2"/>
      </tp>
      <tp t="s">
        <v>#N/A N/A</v>
        <stp/>
        <stp>BDP|10642112220512061213</stp>
        <tr r="G4039" s="2"/>
      </tp>
      <tp t="s">
        <v>#N/A N/A</v>
        <stp/>
        <stp>BDP|11750060028594859473</stp>
        <tr r="D3365" s="2"/>
      </tp>
      <tp t="s">
        <v>#N/A N/A</v>
        <stp/>
        <stp>BDP|14096670685889278060</stp>
        <tr r="G2498" s="2"/>
      </tp>
      <tp t="s">
        <v>#N/A N/A</v>
        <stp/>
        <stp>BDP|17472473281061475905</stp>
        <tr r="F4056" s="2"/>
      </tp>
      <tp t="s">
        <v>#N/A N/A</v>
        <stp/>
        <stp>BDP|16324124310182332741</stp>
        <tr r="C2053" s="2"/>
      </tp>
      <tp t="s">
        <v>#N/A N/A</v>
        <stp/>
        <stp>BDP|16132602422354349563</stp>
        <tr r="H2993" s="2"/>
      </tp>
      <tp t="s">
        <v>#N/A N/A</v>
        <stp/>
        <stp>BDP|10184029537603444366</stp>
        <tr r="G2857" s="2"/>
      </tp>
      <tp t="s">
        <v>#N/A N/A</v>
        <stp/>
        <stp>BDP|13045413247256465646</stp>
        <tr r="I1652" s="2"/>
      </tp>
      <tp t="s">
        <v>#N/A N/A</v>
        <stp/>
        <stp>BDP|17466418344305493131</stp>
        <tr r="F2416" s="2"/>
      </tp>
      <tp t="s">
        <v>#N/A N/A</v>
        <stp/>
        <stp>BDP|18132278784727605629</stp>
        <tr r="F4536" s="2"/>
      </tp>
      <tp t="s">
        <v>#N/A N/A</v>
        <stp/>
        <stp>BDP|17933363124383470690</stp>
        <tr r="C2764" s="2"/>
      </tp>
      <tp t="s">
        <v>#N/A N/A</v>
        <stp/>
        <stp>BDP|12648479854933456375</stp>
        <tr r="C3582" s="2"/>
      </tp>
      <tp t="s">
        <v>#N/A N/A</v>
        <stp/>
        <stp>BDP|17322269212120694777</stp>
        <tr r="B4883" s="2"/>
      </tp>
      <tp t="s">
        <v>#N/A N/A</v>
        <stp/>
        <stp>BDP|16114503622176656432</stp>
        <tr r="F530" s="2"/>
      </tp>
      <tp t="s">
        <v>#N/A N/A</v>
        <stp/>
        <stp>BDP|14496384048617065729</stp>
        <tr r="D756" s="2"/>
      </tp>
      <tp t="s">
        <v>#N/A N/A</v>
        <stp/>
        <stp>BDP|11593006049287276271</stp>
        <tr r="A2821" s="2"/>
      </tp>
      <tp t="s">
        <v>#N/A N/A</v>
        <stp/>
        <stp>BDP|18353067058098007549</stp>
        <tr r="B1033" s="2"/>
      </tp>
      <tp t="s">
        <v>#N/A N/A</v>
        <stp/>
        <stp>BDP|14538659969706944292</stp>
        <tr r="I3813" s="2"/>
      </tp>
      <tp t="s">
        <v>#N/A N/A</v>
        <stp/>
        <stp>BDP|17083193233161590468</stp>
        <tr r="H3783" s="2"/>
      </tp>
      <tp t="s">
        <v>#N/A N/A</v>
        <stp/>
        <stp>BDP|10837404886179286554</stp>
        <tr r="A2822" s="2"/>
      </tp>
      <tp t="s">
        <v>#N/A N/A</v>
        <stp/>
        <stp>BDP|16287944192373549581</stp>
        <tr r="D3675" s="2"/>
      </tp>
      <tp t="s">
        <v>#N/A N/A</v>
        <stp/>
        <stp>BDP|16314031733202398791</stp>
        <tr r="I4718" s="2"/>
      </tp>
      <tp t="s">
        <v>#N/A N/A</v>
        <stp/>
        <stp>BDP|14557780534342242228</stp>
        <tr r="H628" s="2"/>
      </tp>
      <tp t="s">
        <v>#N/A N/A</v>
        <stp/>
        <stp>BDP|12381414563156146693</stp>
        <tr r="H1350" s="2"/>
      </tp>
      <tp t="s">
        <v>#N/A N/A</v>
        <stp/>
        <stp>BDP|12786965394625450784</stp>
        <tr r="F212" s="2"/>
      </tp>
      <tp t="s">
        <v>#N/A N/A</v>
        <stp/>
        <stp>BDP|17550295284748090514</stp>
        <tr r="C1554" s="2"/>
      </tp>
      <tp t="s">
        <v>#N/A N/A</v>
        <stp/>
        <stp>BDP|10891829987165311579</stp>
        <tr r="A1214" s="2"/>
      </tp>
      <tp t="s">
        <v>#N/A N/A</v>
        <stp/>
        <stp>BDP|15697164219775659066</stp>
        <tr r="F1547" s="2"/>
      </tp>
      <tp t="s">
        <v>#N/A N/A</v>
        <stp/>
        <stp>BDP|15320938526667940961</stp>
        <tr r="C734" s="2"/>
      </tp>
      <tp t="s">
        <v>#N/A N/A</v>
        <stp/>
        <stp>BDP|14818965285656122338</stp>
        <tr r="C1138" s="2"/>
      </tp>
      <tp t="s">
        <v>#N/A N/A</v>
        <stp/>
        <stp>BDP|13737454972927804716</stp>
        <tr r="F896" s="2"/>
      </tp>
      <tp t="s">
        <v>#N/A N/A</v>
        <stp/>
        <stp>BDP|11237588150131032031</stp>
        <tr r="A4255" s="2"/>
      </tp>
      <tp t="s">
        <v>#N/A N/A</v>
        <stp/>
        <stp>BDP|14874260500675700309</stp>
        <tr r="G3456" s="2"/>
      </tp>
      <tp t="s">
        <v>#N/A N/A</v>
        <stp/>
        <stp>BDP|17891980738304020910</stp>
        <tr r="G2421" s="2"/>
      </tp>
      <tp t="s">
        <v>#N/A N/A</v>
        <stp/>
        <stp>BDP|18179799361001248822</stp>
        <tr r="A2554" s="2"/>
      </tp>
      <tp t="s">
        <v>#N/A N/A</v>
        <stp/>
        <stp>BDP|10797216107611038385</stp>
        <tr r="F84" s="2"/>
      </tp>
      <tp t="s">
        <v>#N/A N/A</v>
        <stp/>
        <stp>BDP|11268903659139492462</stp>
        <tr r="C269" s="2"/>
      </tp>
      <tp t="s">
        <v>#N/A N/A</v>
        <stp/>
        <stp>BDP|10800538581694525963</stp>
        <tr r="C1509" s="2"/>
      </tp>
      <tp t="s">
        <v>#N/A N/A</v>
        <stp/>
        <stp>BDP|17802415642407670049</stp>
        <tr r="C2276" s="2"/>
      </tp>
      <tp t="s">
        <v>#N/A N/A</v>
        <stp/>
        <stp>BDP|11005701610030989707</stp>
        <tr r="C3190" s="2"/>
      </tp>
      <tp t="s">
        <v>#N/A N/A</v>
        <stp/>
        <stp>BDP|14402693057382072539</stp>
        <tr r="A2652" s="2"/>
      </tp>
      <tp t="s">
        <v>#N/A N/A</v>
        <stp/>
        <stp>BDP|18155782890102806488</stp>
        <tr r="F4441" s="2"/>
      </tp>
      <tp t="s">
        <v>#N/A N/A</v>
        <stp/>
        <stp>BDP|10496063757635807042</stp>
        <tr r="I134" s="2"/>
      </tp>
      <tp t="s">
        <v>#N/A N/A</v>
        <stp/>
        <stp>BDP|13695484066432173300</stp>
        <tr r="D4158" s="2"/>
      </tp>
      <tp t="s">
        <v>#N/A N/A</v>
        <stp/>
        <stp>BDP|15921691719327781576</stp>
        <tr r="I94" s="2"/>
      </tp>
      <tp t="s">
        <v>#N/A N/A</v>
        <stp/>
        <stp>BDP|14634334261641584087</stp>
        <tr r="D1585" s="2"/>
      </tp>
      <tp t="s">
        <v>#N/A N/A</v>
        <stp/>
        <stp>BDP|14600101078704681610</stp>
        <tr r="D3130" s="2"/>
      </tp>
      <tp t="s">
        <v>#N/A N/A</v>
        <stp/>
        <stp>BDP|13656598671244536522</stp>
        <tr r="F2990" s="2"/>
      </tp>
      <tp t="s">
        <v>#N/A N/A</v>
        <stp/>
        <stp>BDP|15873823565809502231</stp>
        <tr r="I786" s="2"/>
      </tp>
      <tp t="s">
        <v>#N/A N/A</v>
        <stp/>
        <stp>BDP|12776356144721688492</stp>
        <tr r="I1139" s="2"/>
      </tp>
      <tp t="s">
        <v>#N/A N/A</v>
        <stp/>
        <stp>BDP|14949233105603481525</stp>
        <tr r="B4521" s="2"/>
      </tp>
      <tp t="s">
        <v>#N/A N/A</v>
        <stp/>
        <stp>BDP|15277775729228546808</stp>
        <tr r="B3419" s="2"/>
      </tp>
      <tp t="s">
        <v>#N/A N/A</v>
        <stp/>
        <stp>BDP|14857024175913010065</stp>
        <tr r="C4993" s="2"/>
      </tp>
      <tp t="s">
        <v>#N/A N/A</v>
        <stp/>
        <stp>BDP|10593089983998120067</stp>
        <tr r="A2089" s="2"/>
      </tp>
      <tp t="s">
        <v>#N/A N/A</v>
        <stp/>
        <stp>BDP|10609548361803356096</stp>
        <tr r="B1450" s="2"/>
      </tp>
      <tp t="s">
        <v>#N/A N/A</v>
        <stp/>
        <stp>BDP|14503305047450247396</stp>
        <tr r="H1097" s="2"/>
      </tp>
      <tp t="s">
        <v>#N/A N/A</v>
        <stp/>
        <stp>BDP|14697540914794956468</stp>
        <tr r="F3986" s="2"/>
      </tp>
      <tp t="s">
        <v>#N/A N/A</v>
        <stp/>
        <stp>BDP|15551681151512632431</stp>
        <tr r="F1096" s="2"/>
      </tp>
      <tp t="s">
        <v>#N/A N/A</v>
        <stp/>
        <stp>BDP|16920176716262052410</stp>
        <tr r="I3673" s="2"/>
      </tp>
      <tp t="s">
        <v>#N/A N/A</v>
        <stp/>
        <stp>BDP|12346751158417474735</stp>
        <tr r="B541" s="2"/>
      </tp>
      <tp t="s">
        <v>#N/A N/A</v>
        <stp/>
        <stp>BDP|13163537792519047693</stp>
        <tr r="C580" s="2"/>
      </tp>
      <tp t="s">
        <v>#N/A N/A</v>
        <stp/>
        <stp>BDP|11675127969324050244</stp>
        <tr r="A4814" s="2"/>
      </tp>
      <tp t="s">
        <v>#N/A N/A</v>
        <stp/>
        <stp>BDP|13124784013292106726</stp>
        <tr r="I726" s="2"/>
      </tp>
      <tp t="s">
        <v>#N/A N/A</v>
        <stp/>
        <stp>BDP|16600440813365195698</stp>
        <tr r="H4848" s="2"/>
      </tp>
      <tp t="s">
        <v>#N/A N/A</v>
        <stp/>
        <stp>BDP|10916834284779144964</stp>
        <tr r="D4121" s="2"/>
      </tp>
      <tp t="s">
        <v>#N/A N/A</v>
        <stp/>
        <stp>BDP|15030457433234736687</stp>
        <tr r="G1173" s="2"/>
      </tp>
      <tp t="s">
        <v>#N/A N/A</v>
        <stp/>
        <stp>BDP|10942632325420050465</stp>
        <tr r="G154" s="2"/>
      </tp>
      <tp t="s">
        <v>#N/A N/A</v>
        <stp/>
        <stp>BDP|12593795506532318709</stp>
        <tr r="A1857" s="2"/>
      </tp>
      <tp t="s">
        <v>#N/A N/A</v>
        <stp/>
        <stp>BDP|17901147661297341760</stp>
        <tr r="I4304" s="2"/>
      </tp>
      <tp t="s">
        <v>#N/A N/A</v>
        <stp/>
        <stp>BDP|16658784676190929683</stp>
        <tr r="F2343" s="2"/>
      </tp>
      <tp t="s">
        <v>#N/A N/A</v>
        <stp/>
        <stp>BDP|16438581824225469457</stp>
        <tr r="D1977" s="2"/>
      </tp>
      <tp t="s">
        <v>#N/A N/A</v>
        <stp/>
        <stp>BDP|15779537900632826255</stp>
        <tr r="A1598" s="2"/>
      </tp>
      <tp t="s">
        <v>#N/A N/A</v>
        <stp/>
        <stp>BDP|16544913198536011052</stp>
        <tr r="I1502" s="2"/>
      </tp>
      <tp t="s">
        <v>#N/A N/A</v>
        <stp/>
        <stp>BDP|17808959981857293179</stp>
        <tr r="I442" s="2"/>
      </tp>
      <tp t="s">
        <v>#N/A N/A</v>
        <stp/>
        <stp>BDP|12661885328001864974</stp>
        <tr r="F4973" s="2"/>
      </tp>
      <tp t="s">
        <v>#N/A N/A</v>
        <stp/>
        <stp>BDP|13901700546172345254</stp>
        <tr r="B2237" s="2"/>
      </tp>
      <tp t="s">
        <v>#N/A N/A</v>
        <stp/>
        <stp>BDP|16456728052374461099</stp>
        <tr r="H782" s="2"/>
      </tp>
      <tp t="s">
        <v>#N/A N/A</v>
        <stp/>
        <stp>BDP|15637030516307801321</stp>
        <tr r="G1880" s="2"/>
      </tp>
      <tp t="s">
        <v>#N/A N/A</v>
        <stp/>
        <stp>BDP|10140222315694908761</stp>
        <tr r="D249" s="2"/>
      </tp>
      <tp t="s">
        <v>#N/A N/A</v>
        <stp/>
        <stp>BDP|17774324527524318287</stp>
        <tr r="B420" s="2"/>
      </tp>
      <tp t="s">
        <v>#N/A N/A</v>
        <stp/>
        <stp>BDP|16608710944295945031</stp>
        <tr r="A4231" s="2"/>
      </tp>
      <tp t="s">
        <v>#N/A N/A</v>
        <stp/>
        <stp>BDP|18334335109293333830</stp>
        <tr r="I2378" s="2"/>
      </tp>
      <tp t="s">
        <v>#N/A N/A</v>
        <stp/>
        <stp>BDP|11178402510437810307</stp>
        <tr r="F3370" s="2"/>
      </tp>
      <tp t="s">
        <v>#N/A N/A</v>
        <stp/>
        <stp>BDP|17528653044202476793</stp>
        <tr r="G1583" s="2"/>
      </tp>
      <tp t="s">
        <v>#N/A N/A</v>
        <stp/>
        <stp>BDP|17656102866162946205</stp>
        <tr r="D2701" s="2"/>
      </tp>
      <tp t="s">
        <v>#N/A N/A</v>
        <stp/>
        <stp>BDP|14920121113086929286</stp>
        <tr r="H1408" s="2"/>
      </tp>
      <tp t="s">
        <v>#N/A N/A</v>
        <stp/>
        <stp>BDP|10382525425760583785</stp>
        <tr r="I4890" s="2"/>
      </tp>
      <tp t="s">
        <v>#N/A N/A</v>
        <stp/>
        <stp>BDP|14953847225119872793</stp>
        <tr r="I4091" s="2"/>
      </tp>
      <tp t="s">
        <v>#N/A N/A</v>
        <stp/>
        <stp>BDP|10588436746115010598</stp>
        <tr r="F3898" s="2"/>
      </tp>
      <tp t="s">
        <v>#N/A N/A</v>
        <stp/>
        <stp>BDP|13954296430893957108</stp>
        <tr r="G125" s="2"/>
      </tp>
      <tp t="s">
        <v>#N/A N/A</v>
        <stp/>
        <stp>BDP|11758741856000939351</stp>
        <tr r="D230" s="2"/>
      </tp>
      <tp t="s">
        <v>#N/A N/A</v>
        <stp/>
        <stp>BDP|13974663862005015643</stp>
        <tr r="H3345" s="2"/>
      </tp>
      <tp t="s">
        <v>#N/A N/A</v>
        <stp/>
        <stp>BDP|14531261457162948141</stp>
        <tr r="G2541" s="2"/>
      </tp>
      <tp t="s">
        <v>#N/A N/A</v>
        <stp/>
        <stp>BDP|14763355223082852700</stp>
        <tr r="C1119" s="2"/>
      </tp>
      <tp t="s">
        <v>#N/A N/A</v>
        <stp/>
        <stp>BDP|10306428206464937079</stp>
        <tr r="I4137" s="2"/>
      </tp>
      <tp t="s">
        <v>#N/A N/A</v>
        <stp/>
        <stp>BDP|10994609571025424454</stp>
        <tr r="G4148" s="2"/>
      </tp>
      <tp t="s">
        <v>#N/A N/A</v>
        <stp/>
        <stp>BDP|15099519919380628177</stp>
        <tr r="D2751" s="2"/>
      </tp>
      <tp t="s">
        <v>#N/A N/A</v>
        <stp/>
        <stp>BDP|15019081719477886309</stp>
        <tr r="B2222" s="2"/>
      </tp>
      <tp t="s">
        <v>#N/A N/A</v>
        <stp/>
        <stp>BDP|15355805639838685655</stp>
        <tr r="H961" s="2"/>
      </tp>
      <tp t="s">
        <v>#N/A N/A</v>
        <stp/>
        <stp>BDP|14261204401452264485</stp>
        <tr r="D699" s="2"/>
      </tp>
      <tp t="s">
        <v>#N/A N/A</v>
        <stp/>
        <stp>BDP|15225541811429911872</stp>
        <tr r="C517" s="2"/>
      </tp>
      <tp t="s">
        <v>#N/A N/A</v>
        <stp/>
        <stp>BDP|14332743908422212141</stp>
        <tr r="A1040" s="2"/>
      </tp>
      <tp t="s">
        <v>#N/A N/A</v>
        <stp/>
        <stp>BDP|17606274763431818235</stp>
        <tr r="H4084" s="2"/>
      </tp>
      <tp t="s">
        <v>#N/A N/A</v>
        <stp/>
        <stp>BDP|16850775526954897784</stp>
        <tr r="A4418" s="2"/>
      </tp>
      <tp t="s">
        <v>#N/A N/A</v>
        <stp/>
        <stp>BDP|12416433678573305253</stp>
        <tr r="H2388" s="2"/>
      </tp>
      <tp t="s">
        <v>#N/A N/A</v>
        <stp/>
        <stp>BDP|13916170745877384115</stp>
        <tr r="I2485" s="2"/>
      </tp>
      <tp t="s">
        <v>#N/A N/A</v>
        <stp/>
        <stp>BDP|10856685279951228030</stp>
        <tr r="H4156" s="2"/>
      </tp>
      <tp t="s">
        <v>#N/A N/A</v>
        <stp/>
        <stp>BDP|13865288678766031001</stp>
        <tr r="A2599" s="2"/>
      </tp>
      <tp t="s">
        <v>#N/A N/A</v>
        <stp/>
        <stp>BDP|14135799670763224724</stp>
        <tr r="A3169" s="2"/>
      </tp>
      <tp t="s">
        <v>#N/A N/A</v>
        <stp/>
        <stp>BDP|16392064025972198697</stp>
        <tr r="I3334" s="2"/>
      </tp>
      <tp t="s">
        <v>#N/A N/A</v>
        <stp/>
        <stp>BDP|13138512197976746986</stp>
        <tr r="D2929" s="2"/>
      </tp>
      <tp t="s">
        <v>#N/A N/A</v>
        <stp/>
        <stp>BDP|14609233175258895902</stp>
        <tr r="B3543" s="2"/>
      </tp>
      <tp t="s">
        <v>#N/A N/A</v>
        <stp/>
        <stp>BDP|13787737034497954014</stp>
        <tr r="G4460" s="2"/>
      </tp>
      <tp t="s">
        <v>#N/A N/A</v>
        <stp/>
        <stp>BDP|12518361878642095435</stp>
        <tr r="B195" s="2"/>
      </tp>
      <tp t="s">
        <v>#N/A N/A</v>
        <stp/>
        <stp>BDP|10610031179057287062</stp>
        <tr r="D19" s="2"/>
      </tp>
      <tp t="s">
        <v>#N/A N/A</v>
        <stp/>
        <stp>BDP|11859706606840657607</stp>
        <tr r="G4219" s="2"/>
      </tp>
      <tp t="s">
        <v>#N/A N/A</v>
        <stp/>
        <stp>BDP|18113797002817709857</stp>
        <tr r="A4076" s="2"/>
      </tp>
      <tp t="s">
        <v>#N/A N/A</v>
        <stp/>
        <stp>BDP|17616262138524690266</stp>
        <tr r="G3332" s="2"/>
      </tp>
      <tp t="s">
        <v>#N/A N/A</v>
        <stp/>
        <stp>BDP|16971117247407395444</stp>
        <tr r="F3469" s="2"/>
      </tp>
      <tp t="s">
        <v>#N/A N/A</v>
        <stp/>
        <stp>BDP|14993202276518551922</stp>
        <tr r="C3945" s="2"/>
      </tp>
      <tp t="s">
        <v>#N/A N/A</v>
        <stp/>
        <stp>BDP|18261687396846585118</stp>
        <tr r="G4952" s="2"/>
      </tp>
      <tp t="s">
        <v>#N/A N/A</v>
        <stp/>
        <stp>BDP|10528145052752310689</stp>
        <tr r="F1228" s="2"/>
      </tp>
      <tp t="s">
        <v>#N/A N/A</v>
        <stp/>
        <stp>BDP|12211080474601371458</stp>
        <tr r="F4633" s="2"/>
      </tp>
      <tp t="s">
        <v>#N/A N/A</v>
        <stp/>
        <stp>BDP|11645154040977304381</stp>
        <tr r="F2101" s="2"/>
      </tp>
      <tp t="s">
        <v>#N/A N/A</v>
        <stp/>
        <stp>BDP|14014081810444699165</stp>
        <tr r="G4344" s="2"/>
      </tp>
      <tp t="s">
        <v>#N/A N/A</v>
        <stp/>
        <stp>BDP|16559589447642165533</stp>
        <tr r="C3020" s="2"/>
      </tp>
      <tp t="s">
        <v>#N/A N/A</v>
        <stp/>
        <stp>BDP|13146193907973767107</stp>
        <tr r="B3704" s="2"/>
      </tp>
      <tp t="s">
        <v>#N/A N/A</v>
        <stp/>
        <stp>BDP|12046188421263519241</stp>
        <tr r="B1706" s="2"/>
      </tp>
      <tp t="s">
        <v>#N/A N/A</v>
        <stp/>
        <stp>BDP|11315480131415221309</stp>
        <tr r="H2590" s="2"/>
      </tp>
      <tp t="s">
        <v>#N/A N/A</v>
        <stp/>
        <stp>BDP|10544029275327224082</stp>
        <tr r="H2965" s="2"/>
      </tp>
      <tp t="s">
        <v>#N/A N/A</v>
        <stp/>
        <stp>BDP|12093602946187912775</stp>
        <tr r="G3773" s="2"/>
      </tp>
      <tp t="s">
        <v>#N/A N/A</v>
        <stp/>
        <stp>BDP|17088580453257529066</stp>
        <tr r="I3600" s="2"/>
      </tp>
      <tp t="s">
        <v>#N/A N/A</v>
        <stp/>
        <stp>BDP|13948920108329896333</stp>
        <tr r="B1642" s="2"/>
      </tp>
      <tp t="s">
        <v>#N/A N/A</v>
        <stp/>
        <stp>BDP|17388876173330957865</stp>
        <tr r="I274" s="2"/>
      </tp>
      <tp t="s">
        <v>#N/A N/A</v>
        <stp/>
        <stp>BDP|16348521466836813371</stp>
        <tr r="G3668" s="2"/>
      </tp>
      <tp t="s">
        <v>#N/A N/A</v>
        <stp/>
        <stp>BDP|13949294469815445251</stp>
        <tr r="B2474" s="2"/>
      </tp>
      <tp t="s">
        <v>#N/A N/A</v>
        <stp/>
        <stp>BDP|15866172871770081366</stp>
        <tr r="I3492" s="2"/>
      </tp>
      <tp t="s">
        <v>#N/A N/A</v>
        <stp/>
        <stp>BDP|17202191966412111249</stp>
        <tr r="G570" s="2"/>
      </tp>
      <tp t="s">
        <v>#N/A N/A</v>
        <stp/>
        <stp>BDP|17668115066769899910</stp>
        <tr r="D2277" s="2"/>
      </tp>
      <tp t="s">
        <v>#N/A N/A</v>
        <stp/>
        <stp>BDP|14147072770642985175</stp>
        <tr r="F3160" s="2"/>
      </tp>
      <tp t="s">
        <v>#N/A N/A</v>
        <stp/>
        <stp>BDP|14317435729436183405</stp>
        <tr r="C2562" s="2"/>
      </tp>
      <tp t="s">
        <v>#N/A N/A</v>
        <stp/>
        <stp>BDP|14722348530962361688</stp>
        <tr r="G3212" s="2"/>
      </tp>
      <tp t="s">
        <v>#N/A N/A</v>
        <stp/>
        <stp>BDP|11965087144175540089</stp>
        <tr r="H2726" s="2"/>
      </tp>
      <tp t="s">
        <v>#N/A N/A</v>
        <stp/>
        <stp>BDP|11482623888678552734</stp>
        <tr r="G4435" s="2"/>
      </tp>
      <tp t="s">
        <v>#N/A N/A</v>
        <stp/>
        <stp>BDP|18327920979421693763</stp>
        <tr r="F800" s="2"/>
      </tp>
      <tp t="s">
        <v>#N/A N/A</v>
        <stp/>
        <stp>BDP|13410669937176845051</stp>
        <tr r="D422" s="2"/>
      </tp>
      <tp t="s">
        <v>#N/A N/A</v>
        <stp/>
        <stp>BDP|12142978230278732091</stp>
        <tr r="I2113" s="2"/>
      </tp>
      <tp t="s">
        <v>#N/A N/A</v>
        <stp/>
        <stp>BDP|14953570531626792406</stp>
        <tr r="C4229" s="2"/>
      </tp>
      <tp t="s">
        <v>#N/A N/A</v>
        <stp/>
        <stp>BDP|11178006833886808425</stp>
        <tr r="C4951" s="2"/>
      </tp>
      <tp t="s">
        <v>#N/A N/A</v>
        <stp/>
        <stp>BDP|10539735141127636497</stp>
        <tr r="A2567" s="2"/>
      </tp>
      <tp t="s">
        <v>#N/A N/A</v>
        <stp/>
        <stp>BDP|13648854670175877935</stp>
        <tr r="D3044" s="2"/>
      </tp>
      <tp t="s">
        <v>#N/A N/A</v>
        <stp/>
        <stp>BDP|18082445525856128884</stp>
        <tr r="D3776" s="2"/>
      </tp>
      <tp t="s">
        <v>#N/A N/A</v>
        <stp/>
        <stp>BDP|14045706029464205535</stp>
        <tr r="D4392" s="2"/>
      </tp>
      <tp t="s">
        <v>#N/A N/A</v>
        <stp/>
        <stp>BDP|14084789361984332129</stp>
        <tr r="F2295" s="2"/>
      </tp>
      <tp t="s">
        <v>#N/A N/A</v>
        <stp/>
        <stp>BDP|10833336873725305133</stp>
        <tr r="C574" s="2"/>
      </tp>
      <tp t="s">
        <v>#N/A N/A</v>
        <stp/>
        <stp>BDP|16793993691595175369</stp>
        <tr r="I4673" s="2"/>
      </tp>
      <tp t="s">
        <v>#N/A N/A</v>
        <stp/>
        <stp>BDP|10666742492407849905</stp>
        <tr r="C2712" s="2"/>
      </tp>
      <tp t="s">
        <v>#N/A N/A</v>
        <stp/>
        <stp>BDP|11093507444439881943</stp>
        <tr r="F1916" s="2"/>
      </tp>
      <tp t="s">
        <v>#N/A N/A</v>
        <stp/>
        <stp>BDP|17136850298247704130</stp>
        <tr r="A2702" s="2"/>
      </tp>
      <tp t="s">
        <v>#N/A N/A</v>
        <stp/>
        <stp>BDP|16756752128502114132</stp>
        <tr r="G2919" s="2"/>
      </tp>
      <tp t="s">
        <v>#N/A N/A</v>
        <stp/>
        <stp>BDP|15423902487685327184</stp>
        <tr r="F4249" s="2"/>
      </tp>
      <tp t="s">
        <v>#N/A N/A</v>
        <stp/>
        <stp>BDP|18176697301357465955</stp>
        <tr r="D3418" s="2"/>
      </tp>
      <tp t="s">
        <v>#N/A N/A</v>
        <stp/>
        <stp>BDP|17969154218255557292</stp>
        <tr r="I569" s="2"/>
      </tp>
      <tp t="s">
        <v>#N/A N/A</v>
        <stp/>
        <stp>BDP|11418805679496100847</stp>
        <tr r="H1246" s="2"/>
      </tp>
      <tp t="s">
        <v>#N/A N/A</v>
        <stp/>
        <stp>BDP|11591493401363294677</stp>
        <tr r="B2347" s="2"/>
      </tp>
      <tp t="s">
        <v>#N/A N/A</v>
        <stp/>
        <stp>BDP|10347422535005572296</stp>
        <tr r="C2837" s="2"/>
      </tp>
      <tp t="s">
        <v>#N/A N/A</v>
        <stp/>
        <stp>BDP|15862179135262287502</stp>
        <tr r="B171" s="2"/>
      </tp>
      <tp t="s">
        <v>#N/A N/A</v>
        <stp/>
        <stp>BDP|12620560988658671765</stp>
        <tr r="G4575" s="2"/>
      </tp>
      <tp t="s">
        <v>#N/A N/A</v>
        <stp/>
        <stp>BDP|10848496466237950563</stp>
        <tr r="H1108" s="2"/>
      </tp>
      <tp t="s">
        <v>#N/A N/A</v>
        <stp/>
        <stp>BDP|14926049170104398765</stp>
        <tr r="F4230" s="2"/>
      </tp>
      <tp t="s">
        <v>#N/A N/A</v>
        <stp/>
        <stp>BDP|10568383292462165861</stp>
        <tr r="G4271" s="2"/>
      </tp>
      <tp t="s">
        <v>#N/A N/A</v>
        <stp/>
        <stp>BDP|16694490914132496177</stp>
        <tr r="H4272" s="2"/>
      </tp>
      <tp t="s">
        <v>#N/A N/A</v>
        <stp/>
        <stp>BDP|11228335661600875400</stp>
        <tr r="A1256" s="2"/>
      </tp>
      <tp t="s">
        <v>#N/A N/A</v>
        <stp/>
        <stp>BDP|14427435697468163193</stp>
        <tr r="D365" s="2"/>
      </tp>
      <tp t="s">
        <v>#N/A N/A</v>
        <stp/>
        <stp>BDP|16552441673235971037</stp>
        <tr r="I1174" s="2"/>
      </tp>
      <tp t="s">
        <v>#N/A N/A</v>
        <stp/>
        <stp>BDP|11770615442692907151</stp>
        <tr r="F3689" s="2"/>
      </tp>
      <tp t="s">
        <v>#N/A N/A</v>
        <stp/>
        <stp>BDP|16519781351686626221</stp>
        <tr r="A2707" s="2"/>
      </tp>
      <tp t="s">
        <v>#N/A N/A</v>
        <stp/>
        <stp>BDP|11974743643023010160</stp>
        <tr r="I127" s="2"/>
      </tp>
      <tp t="s">
        <v>#N/A N/A</v>
        <stp/>
        <stp>BDP|18296808567446947044</stp>
        <tr r="B4622" s="2"/>
      </tp>
      <tp t="s">
        <v>#N/A N/A</v>
        <stp/>
        <stp>BDP|14452456802379940920</stp>
        <tr r="D462" s="2"/>
      </tp>
      <tp t="s">
        <v>#N/A N/A</v>
        <stp/>
        <stp>BDP|12269625354908474989</stp>
        <tr r="B1573" s="2"/>
      </tp>
      <tp t="s">
        <v>#N/A N/A</v>
        <stp/>
        <stp>BDP|15736905551088603182</stp>
        <tr r="H4861" s="2"/>
      </tp>
      <tp t="s">
        <v>#N/A N/A</v>
        <stp/>
        <stp>BDP|14945592260442039585</stp>
        <tr r="G1247" s="2"/>
      </tp>
      <tp t="s">
        <v>#N/A N/A</v>
        <stp/>
        <stp>BDP|11176589729054035289</stp>
        <tr r="G3231" s="2"/>
      </tp>
      <tp t="s">
        <v>#N/A N/A</v>
        <stp/>
        <stp>BDP|16623386086348354536</stp>
        <tr r="B3358" s="2"/>
      </tp>
      <tp t="s">
        <v>#N/A N/A</v>
        <stp/>
        <stp>BDP|15526732427141804115</stp>
        <tr r="H4901" s="2"/>
      </tp>
      <tp t="s">
        <v>#N/A N/A</v>
        <stp/>
        <stp>BDP|11392662802413816445</stp>
        <tr r="D3532" s="2"/>
      </tp>
      <tp t="s">
        <v>#N/A N/A</v>
        <stp/>
        <stp>BDP|11288924568309705744</stp>
        <tr r="H3487" s="2"/>
      </tp>
      <tp t="s">
        <v>#N/A N/A</v>
        <stp/>
        <stp>BDP|14700028722641847741</stp>
        <tr r="H2847" s="2"/>
      </tp>
      <tp t="s">
        <v>#N/A N/A</v>
        <stp/>
        <stp>BDP|17885410813544134604</stp>
        <tr r="A4641" s="2"/>
      </tp>
      <tp t="s">
        <v>#N/A N/A</v>
        <stp/>
        <stp>BDP|15166037819542576659</stp>
        <tr r="D4279" s="2"/>
      </tp>
      <tp t="s">
        <v>#N/A N/A</v>
        <stp/>
        <stp>BDP|10511298205981333319</stp>
        <tr r="C406" s="2"/>
      </tp>
      <tp t="s">
        <v>#N/A N/A</v>
        <stp/>
        <stp>BDP|16630101878084385460</stp>
        <tr r="G1820" s="2"/>
      </tp>
      <tp t="s">
        <v>#N/A N/A</v>
        <stp/>
        <stp>BDP|16373002009883916585</stp>
        <tr r="I196" s="2"/>
      </tp>
      <tp t="s">
        <v>#N/A N/A</v>
        <stp/>
        <stp>BDP|16840274845714977489</stp>
        <tr r="H708" s="2"/>
      </tp>
      <tp t="s">
        <v>#N/A N/A</v>
        <stp/>
        <stp>BDP|16699506794559043397</stp>
        <tr r="G172" s="2"/>
      </tp>
      <tp t="s">
        <v>#N/A N/A</v>
        <stp/>
        <stp>BDP|14172539404790595189</stp>
        <tr r="F4762" s="2"/>
      </tp>
      <tp t="s">
        <v>#N/A N/A</v>
        <stp/>
        <stp>BDP|10099436252355323496</stp>
        <tr r="D754" s="2"/>
      </tp>
      <tp t="s">
        <v>#N/A N/A</v>
        <stp/>
        <stp>BDP|15522537412862905365</stp>
        <tr r="D1082" s="2"/>
      </tp>
      <tp t="s">
        <v>#N/A N/A</v>
        <stp/>
        <stp>BDP|11356600605703484492</stp>
        <tr r="I1464" s="2"/>
      </tp>
      <tp t="s">
        <v>#N/A N/A</v>
        <stp/>
        <stp>BDP|10281284459680802705</stp>
        <tr r="I1941" s="2"/>
      </tp>
      <tp t="s">
        <v>#N/A N/A</v>
        <stp/>
        <stp>BDP|16832825369359880102</stp>
        <tr r="G1204" s="2"/>
      </tp>
      <tp t="s">
        <v>#N/A N/A</v>
        <stp/>
        <stp>BDP|15078581503547658769</stp>
        <tr r="F4287" s="2"/>
      </tp>
      <tp t="s">
        <v>#N/A N/A</v>
        <stp/>
        <stp>BDP|13935658403240546512</stp>
        <tr r="C2481" s="2"/>
      </tp>
      <tp t="s">
        <v>#N/A N/A</v>
        <stp/>
        <stp>BDP|12251052385439893315</stp>
        <tr r="F1251" s="2"/>
      </tp>
      <tp t="s">
        <v>#N/A N/A</v>
        <stp/>
        <stp>BDP|15999005367177272474</stp>
        <tr r="H3013" s="2"/>
      </tp>
      <tp t="s">
        <v>#N/A N/A</v>
        <stp/>
        <stp>BDP|17456043515917938172</stp>
        <tr r="I819" s="2"/>
      </tp>
      <tp t="s">
        <v>#N/A N/A</v>
        <stp/>
        <stp>BDP|10756691476953222211</stp>
        <tr r="H319" s="2"/>
      </tp>
      <tp t="s">
        <v>#N/A N/A</v>
        <stp/>
        <stp>BDP|11801441078866723485</stp>
        <tr r="F4324" s="2"/>
      </tp>
      <tp t="s">
        <v>#N/A N/A</v>
        <stp/>
        <stp>BDP|12081325425422513196</stp>
        <tr r="H4247" s="2"/>
      </tp>
      <tp t="s">
        <v>#N/A N/A</v>
        <stp/>
        <stp>BDP|16884750910616628602</stp>
        <tr r="I3620" s="2"/>
      </tp>
      <tp t="s">
        <v>#N/A N/A</v>
        <stp/>
        <stp>BDP|16014808283687039182</stp>
        <tr r="C3920" s="2"/>
      </tp>
      <tp t="s">
        <v>#N/A N/A</v>
        <stp/>
        <stp>BDP|17636870790947834127</stp>
        <tr r="H828" s="2"/>
      </tp>
      <tp t="s">
        <v>#N/A N/A</v>
        <stp/>
        <stp>BDP|13960630617871378554</stp>
        <tr r="H4852" s="2"/>
      </tp>
      <tp t="s">
        <v>#N/A N/A</v>
        <stp/>
        <stp>BDP|11058385652831601674</stp>
        <tr r="F112" s="2"/>
      </tp>
      <tp t="s">
        <v>#N/A N/A</v>
        <stp/>
        <stp>BDP|11906171133647296442</stp>
        <tr r="B2449" s="2"/>
      </tp>
      <tp t="s">
        <v>#N/A N/A</v>
        <stp/>
        <stp>BDP|13732608958543338371</stp>
        <tr r="F4695" s="2"/>
      </tp>
      <tp t="s">
        <v>#N/A N/A</v>
        <stp/>
        <stp>BDP|11111193755957505237</stp>
        <tr r="I1482" s="2"/>
      </tp>
      <tp t="s">
        <v>#N/A N/A</v>
        <stp/>
        <stp>BDP|10096516288474432964</stp>
        <tr r="I2570" s="2"/>
      </tp>
      <tp t="s">
        <v>#N/A N/A</v>
        <stp/>
        <stp>BDP|14280642123510762095</stp>
        <tr r="G2500" s="2"/>
      </tp>
      <tp t="s">
        <v>#N/A N/A</v>
        <stp/>
        <stp>BDP|14689209882058646699</stp>
        <tr r="B863" s="2"/>
      </tp>
      <tp t="s">
        <v>#N/A N/A</v>
        <stp/>
        <stp>BDP|15337588269246113084</stp>
        <tr r="H1120" s="2"/>
      </tp>
      <tp t="s">
        <v>#N/A N/A</v>
        <stp/>
        <stp>BDP|15499712365960281499</stp>
        <tr r="I745" s="2"/>
      </tp>
      <tp t="s">
        <v>#N/A N/A</v>
        <stp/>
        <stp>BDP|17297293266187205448</stp>
        <tr r="I2925" s="2"/>
      </tp>
      <tp t="s">
        <v>#N/A N/A</v>
        <stp/>
        <stp>BDP|13116968416992261985</stp>
        <tr r="C2438" s="2"/>
      </tp>
      <tp t="s">
        <v>#N/A N/A</v>
        <stp/>
        <stp>BDP|14478645342796021094</stp>
        <tr r="D3234" s="2"/>
      </tp>
      <tp t="s">
        <v>#N/A N/A</v>
        <stp/>
        <stp>BDP|10606145389041544853</stp>
        <tr r="D1500" s="2"/>
      </tp>
      <tp t="s">
        <v>#N/A N/A</v>
        <stp/>
        <stp>BDP|17913141277313596248</stp>
        <tr r="D4145" s="2"/>
      </tp>
      <tp t="s">
        <v>#N/A N/A</v>
        <stp/>
        <stp>BDP|13337684435224070250</stp>
        <tr r="B4249" s="2"/>
      </tp>
      <tp t="s">
        <v>#N/A N/A</v>
        <stp/>
        <stp>BDP|17046796012151302031</stp>
        <tr r="B1494" s="2"/>
      </tp>
      <tp t="s">
        <v>#N/A N/A</v>
        <stp/>
        <stp>BDP|10828243957787869082</stp>
        <tr r="A740" s="2"/>
      </tp>
      <tp t="s">
        <v>#N/A N/A</v>
        <stp/>
        <stp>BDP|17133337650092974302</stp>
        <tr r="I2173" s="2"/>
      </tp>
      <tp t="s">
        <v>#N/A N/A</v>
        <stp/>
        <stp>BDP|15941487499488278011</stp>
        <tr r="F4437" s="2"/>
      </tp>
      <tp t="s">
        <v>#N/A N/A</v>
        <stp/>
        <stp>BDP|14288688270370279535</stp>
        <tr r="D3574" s="2"/>
      </tp>
      <tp t="s">
        <v>#N/A N/A</v>
        <stp/>
        <stp>BDP|17134780543427774361</stp>
        <tr r="B4507" s="2"/>
      </tp>
      <tp t="s">
        <v>#N/A N/A</v>
        <stp/>
        <stp>BDP|10557473228532640476</stp>
        <tr r="C991" s="2"/>
      </tp>
      <tp t="s">
        <v>#N/A N/A</v>
        <stp/>
        <stp>BDP|10220922418328455077</stp>
        <tr r="I2588" s="2"/>
      </tp>
      <tp t="s">
        <v>#N/A N/A</v>
        <stp/>
        <stp>BDP|10192844580780697083</stp>
        <tr r="C4425" s="2"/>
      </tp>
      <tp t="s">
        <v>#N/A N/A</v>
        <stp/>
        <stp>BDP|17084532208851818383</stp>
        <tr r="C1191" s="2"/>
      </tp>
      <tp t="s">
        <v>#N/A N/A</v>
        <stp/>
        <stp>BDP|16938121746216119571</stp>
        <tr r="C4238" s="2"/>
      </tp>
      <tp t="s">
        <v>#N/A N/A</v>
        <stp/>
        <stp>BDP|15727583653342706702</stp>
        <tr r="F3892" s="2"/>
      </tp>
      <tp t="s">
        <v>#N/A N/A</v>
        <stp/>
        <stp>BDP|11924783034492707792</stp>
        <tr r="I3143" s="2"/>
      </tp>
      <tp t="s">
        <v>#N/A N/A</v>
        <stp/>
        <stp>BDP|10899138991411834991</stp>
        <tr r="G1639" s="2"/>
      </tp>
      <tp t="s">
        <v>#N/A N/A</v>
        <stp/>
        <stp>BDP|15426886792225581109</stp>
        <tr r="F765" s="2"/>
      </tp>
      <tp t="s">
        <v>#N/A N/A</v>
        <stp/>
        <stp>BDP|16971726262060559772</stp>
        <tr r="G1803" s="2"/>
      </tp>
      <tp t="s">
        <v>#N/A N/A</v>
        <stp/>
        <stp>BDP|18400913201147778683</stp>
        <tr r="I4639" s="2"/>
      </tp>
      <tp t="s">
        <v>#N/A N/A</v>
        <stp/>
        <stp>BDP|13048443426250041597</stp>
        <tr r="A1654" s="2"/>
      </tp>
      <tp t="s">
        <v>#N/A N/A</v>
        <stp/>
        <stp>BDP|13623895084716459543</stp>
        <tr r="D906" s="2"/>
      </tp>
      <tp t="s">
        <v>#N/A N/A</v>
        <stp/>
        <stp>BDP|10978484410406346395</stp>
        <tr r="C229" s="2"/>
      </tp>
      <tp t="s">
        <v>#N/A N/A</v>
        <stp/>
        <stp>BDP|18411598597265440159</stp>
        <tr r="D3403" s="2"/>
      </tp>
      <tp t="s">
        <v>#N/A N/A</v>
        <stp/>
        <stp>BDP|17565024621951979449</stp>
        <tr r="F3096" s="2"/>
      </tp>
      <tp t="s">
        <v>#N/A N/A</v>
        <stp/>
        <stp>BDP|13954702348457956733</stp>
        <tr r="D4426" s="2"/>
      </tp>
      <tp t="s">
        <v>#N/A N/A</v>
        <stp/>
        <stp>BDP|11171687253166522446</stp>
        <tr r="B4492" s="2"/>
      </tp>
      <tp t="s">
        <v>#N/A N/A</v>
        <stp/>
        <stp>BDP|11740633899668269642</stp>
        <tr r="C3407" s="2"/>
      </tp>
      <tp t="s">
        <v>#N/A N/A</v>
        <stp/>
        <stp>BDP|12400643540439826930</stp>
        <tr r="H3842" s="2"/>
      </tp>
      <tp t="s">
        <v>#N/A N/A</v>
        <stp/>
        <stp>BDP|16246321097198853445</stp>
        <tr r="I4796" s="2"/>
      </tp>
      <tp t="s">
        <v>#N/A N/A</v>
        <stp/>
        <stp>BDP|16257125272585801511</stp>
        <tr r="H1311" s="2"/>
      </tp>
      <tp t="s">
        <v>#N/A N/A</v>
        <stp/>
        <stp>BDP|14103492155746019360</stp>
        <tr r="B4443" s="2"/>
      </tp>
      <tp t="s">
        <v>#N/A N/A</v>
        <stp/>
        <stp>BDP|14903757737047719772</stp>
        <tr r="A496" s="2"/>
      </tp>
      <tp t="s">
        <v>#N/A N/A</v>
        <stp/>
        <stp>BDP|10617114019320463014</stp>
        <tr r="D4747" s="2"/>
      </tp>
      <tp t="s">
        <v>#N/A N/A</v>
        <stp/>
        <stp>BDP|13821511977277539606</stp>
        <tr r="B496" s="2"/>
      </tp>
      <tp t="s">
        <v>#N/A N/A</v>
        <stp/>
        <stp>BDP|10927731117703679518</stp>
        <tr r="H2697" s="2"/>
      </tp>
      <tp t="s">
        <v>#N/A N/A</v>
        <stp/>
        <stp>BDP|16882569915464676679</stp>
        <tr r="A1405" s="2"/>
      </tp>
      <tp t="s">
        <v>#N/A N/A</v>
        <stp/>
        <stp>BDP|13914369645600005405</stp>
        <tr r="F1785" s="2"/>
      </tp>
      <tp t="s">
        <v>#N/A N/A</v>
        <stp/>
        <stp>BDP|10845746966230639168</stp>
        <tr r="D4036" s="2"/>
      </tp>
      <tp t="s">
        <v>#N/A N/A</v>
        <stp/>
        <stp>BDP|11295983587032183269</stp>
        <tr r="G1709" s="2"/>
      </tp>
      <tp t="s">
        <v>#N/A N/A</v>
        <stp/>
        <stp>BDP|14427325634825800104</stp>
        <tr r="G1931" s="2"/>
      </tp>
      <tp t="s">
        <v>#N/A N/A</v>
        <stp/>
        <stp>BDP|14698714052074716286</stp>
        <tr r="H3649" s="2"/>
      </tp>
      <tp t="s">
        <v>#N/A N/A</v>
        <stp/>
        <stp>BDP|14681427602182859241</stp>
        <tr r="D4323" s="2"/>
      </tp>
      <tp t="s">
        <v>#N/A N/A</v>
        <stp/>
        <stp>BDP|17899663236832708058</stp>
        <tr r="G3978" s="2"/>
      </tp>
      <tp t="s">
        <v>#N/A N/A</v>
        <stp/>
        <stp>BDP|14122076673727695490</stp>
        <tr r="A2663" s="2"/>
      </tp>
      <tp t="s">
        <v>#N/A N/A</v>
        <stp/>
        <stp>BDP|16124666059812327774</stp>
        <tr r="I3207" s="2"/>
      </tp>
      <tp t="s">
        <v>#N/A N/A</v>
        <stp/>
        <stp>BDP|13811277930537484512</stp>
        <tr r="B3619" s="2"/>
      </tp>
      <tp t="s">
        <v>#N/A N/A</v>
        <stp/>
        <stp>BDP|15858442228817844462</stp>
        <tr r="B4141" s="2"/>
      </tp>
      <tp t="s">
        <v>#N/A N/A</v>
        <stp/>
        <stp>BDP|14697686255382216534</stp>
        <tr r="G77" s="2"/>
      </tp>
      <tp t="s">
        <v>#N/A N/A</v>
        <stp/>
        <stp>BDP|14005498202481463152</stp>
        <tr r="D1555" s="2"/>
      </tp>
      <tp t="s">
        <v>#N/A N/A</v>
        <stp/>
        <stp>BDP|16319847959159171258</stp>
        <tr r="A4605" s="2"/>
      </tp>
      <tp t="s">
        <v>#N/A N/A</v>
        <stp/>
        <stp>BDP|17957020558213977108</stp>
        <tr r="F857" s="2"/>
      </tp>
      <tp t="s">
        <v>#N/A N/A</v>
        <stp/>
        <stp>BDP|12847608445121566123</stp>
        <tr r="G2261" s="2"/>
      </tp>
      <tp t="s">
        <v>#N/A N/A</v>
        <stp/>
        <stp>BDP|11392621775668713897</stp>
        <tr r="H1121" s="2"/>
      </tp>
      <tp t="s">
        <v>#N/A N/A</v>
        <stp/>
        <stp>BDP|14994169403284547139</stp>
        <tr r="C1143" s="2"/>
      </tp>
      <tp t="s">
        <v>#N/A N/A</v>
        <stp/>
        <stp>BDP|15390676804085385698</stp>
        <tr r="H4821" s="2"/>
      </tp>
      <tp t="s">
        <v>#N/A N/A</v>
        <stp/>
        <stp>BDP|10341712988336939999</stp>
        <tr r="C583" s="2"/>
      </tp>
      <tp t="s">
        <v>#N/A N/A</v>
        <stp/>
        <stp>BDP|16828520844186194154</stp>
        <tr r="G777" s="2"/>
      </tp>
      <tp t="s">
        <v>#N/A N/A</v>
        <stp/>
        <stp>BDP|16622700173655726388</stp>
        <tr r="A2039" s="2"/>
      </tp>
      <tp t="s">
        <v>#N/A N/A</v>
        <stp/>
        <stp>BDP|13831246077936940086</stp>
        <tr r="F3345" s="2"/>
      </tp>
      <tp t="s">
        <v>#N/A N/A</v>
        <stp/>
        <stp>BDP|14923720853964431265</stp>
        <tr r="H3324" s="2"/>
      </tp>
      <tp t="s">
        <v>#N/A N/A</v>
        <stp/>
        <stp>BDP|12184261539367128455</stp>
        <tr r="A513" s="2"/>
      </tp>
      <tp t="s">
        <v>#N/A N/A</v>
        <stp/>
        <stp>BDP|18376975557686002299</stp>
        <tr r="I1805" s="2"/>
      </tp>
      <tp t="s">
        <v>#N/A N/A</v>
        <stp/>
        <stp>BDP|14493080227417621172</stp>
        <tr r="C1132" s="2"/>
      </tp>
      <tp t="s">
        <v>#N/A N/A</v>
        <stp/>
        <stp>BDP|10992810130008348311</stp>
        <tr r="I1198" s="2"/>
      </tp>
      <tp t="s">
        <v>#N/A N/A</v>
        <stp/>
        <stp>BDP|18185135089160874197</stp>
        <tr r="G3888" s="2"/>
      </tp>
      <tp t="s">
        <v>#N/A N/A</v>
        <stp/>
        <stp>BDP|14898375606491556661</stp>
        <tr r="D3826" s="2"/>
      </tp>
      <tp t="s">
        <v>#N/A N/A</v>
        <stp/>
        <stp>BDP|16085404997163908841</stp>
        <tr r="C2150" s="2"/>
      </tp>
      <tp t="s">
        <v>#N/A N/A</v>
        <stp/>
        <stp>BDP|16430660921793819116</stp>
        <tr r="F3687" s="2"/>
      </tp>
      <tp t="s">
        <v>#N/A N/A</v>
        <stp/>
        <stp>BDP|17244621795391662993</stp>
        <tr r="I3318" s="2"/>
      </tp>
      <tp t="s">
        <v>#N/A N/A</v>
        <stp/>
        <stp>BDP|16511225688635792928</stp>
        <tr r="D446" s="2"/>
      </tp>
      <tp t="s">
        <v>#N/A N/A</v>
        <stp/>
        <stp>BDP|16027900389514345300</stp>
        <tr r="G2099" s="2"/>
      </tp>
      <tp t="s">
        <v>#N/A N/A</v>
        <stp/>
        <stp>BDP|10607236926708056896</stp>
        <tr r="C3111" s="2"/>
      </tp>
      <tp t="s">
        <v>#N/A N/A</v>
        <stp/>
        <stp>BDP|10266689205677439118</stp>
        <tr r="I1367" s="2"/>
      </tp>
      <tp t="s">
        <v>#N/A N/A</v>
        <stp/>
        <stp>BDP|15249531543496140297</stp>
        <tr r="A2901" s="2"/>
      </tp>
      <tp t="s">
        <v>#N/A N/A</v>
        <stp/>
        <stp>BDP|14945130741219217835</stp>
        <tr r="D578" s="2"/>
      </tp>
      <tp t="s">
        <v>#N/A N/A</v>
        <stp/>
        <stp>BDP|10315502865654509797</stp>
        <tr r="C3672" s="2"/>
      </tp>
      <tp t="s">
        <v>#N/A N/A</v>
        <stp/>
        <stp>BDP|10632228254571944638</stp>
        <tr r="G2418" s="2"/>
      </tp>
      <tp t="s">
        <v>#N/A N/A</v>
        <stp/>
        <stp>BDP|14162085272505673673</stp>
        <tr r="A2650" s="2"/>
      </tp>
      <tp t="s">
        <v>#N/A N/A</v>
        <stp/>
        <stp>BDP|15099194590004693955</stp>
        <tr r="I3161" s="2"/>
      </tp>
      <tp t="s">
        <v>#N/A N/A</v>
        <stp/>
        <stp>BDP|17654163139721428472</stp>
        <tr r="G2826" s="2"/>
      </tp>
      <tp t="s">
        <v>#N/A N/A</v>
        <stp/>
        <stp>BDP|15266421379643162526</stp>
        <tr r="G3798" s="2"/>
      </tp>
      <tp t="s">
        <v>#N/A N/A</v>
        <stp/>
        <stp>BDP|17097818691867808129</stp>
        <tr r="D12" s="2"/>
      </tp>
      <tp t="s">
        <v>#N/A N/A</v>
        <stp/>
        <stp>BDP|13371527266518849851</stp>
        <tr r="G686" s="2"/>
      </tp>
      <tp t="s">
        <v>#N/A N/A</v>
        <stp/>
        <stp>BDP|13071305114270943174</stp>
        <tr r="B586" s="2"/>
      </tp>
      <tp t="s">
        <v>#N/A N/A</v>
        <stp/>
        <stp>BDP|16105707262195906201</stp>
        <tr r="I4196" s="2"/>
      </tp>
      <tp t="s">
        <v>#N/A N/A</v>
        <stp/>
        <stp>BDP|16533989486106946188</stp>
        <tr r="H545" s="2"/>
      </tp>
      <tp t="s">
        <v>#N/A N/A</v>
        <stp/>
        <stp>BDP|13892490711821257783</stp>
        <tr r="A3099" s="2"/>
      </tp>
      <tp t="s">
        <v>#N/A N/A</v>
        <stp/>
        <stp>BDP|11166154050405605081</stp>
        <tr r="F1320" s="2"/>
      </tp>
      <tp t="s">
        <v>#N/A N/A</v>
        <stp/>
        <stp>BDP|18054162017340303883</stp>
        <tr r="C2199" s="2"/>
      </tp>
      <tp t="s">
        <v>#N/A N/A</v>
        <stp/>
        <stp>BDP|14796646619555541658</stp>
        <tr r="A3655" s="2"/>
      </tp>
      <tp t="s">
        <v>#N/A N/A</v>
        <stp/>
        <stp>BDP|12425161188429291228</stp>
        <tr r="H1240" s="2"/>
      </tp>
      <tp t="s">
        <v>#N/A N/A</v>
        <stp/>
        <stp>BDP|17910844386401204637</stp>
        <tr r="H2740" s="2"/>
      </tp>
      <tp t="s">
        <v>#N/A N/A</v>
        <stp/>
        <stp>BDP|11117987417411364872</stp>
        <tr r="B4385" s="2"/>
      </tp>
      <tp t="s">
        <v>#N/A N/A</v>
        <stp/>
        <stp>BDP|15711139198915501837</stp>
        <tr r="I703" s="2"/>
      </tp>
      <tp t="s">
        <v>#N/A N/A</v>
        <stp/>
        <stp>BDP|18083115084458859979</stp>
        <tr r="I2756" s="2"/>
      </tp>
      <tp t="s">
        <v>#N/A N/A</v>
        <stp/>
        <stp>BDP|11428030257063366791</stp>
        <tr r="I4938" s="2"/>
      </tp>
      <tp t="s">
        <v>#N/A N/A</v>
        <stp/>
        <stp>BDP|11821771653544619702</stp>
        <tr r="H2941" s="2"/>
      </tp>
      <tp t="s">
        <v>#N/A N/A</v>
        <stp/>
        <stp>BDP|17739896425374670974</stp>
        <tr r="B509" s="2"/>
      </tp>
      <tp t="s">
        <v>#N/A N/A</v>
        <stp/>
        <stp>BDP|11041200498658634244</stp>
        <tr r="D4876" s="2"/>
      </tp>
      <tp t="s">
        <v>#N/A N/A</v>
        <stp/>
        <stp>BDP|15911183198954294917</stp>
        <tr r="H1958" s="2"/>
      </tp>
      <tp t="s">
        <v>#N/A N/A</v>
        <stp/>
        <stp>BDP|10681049337560904361</stp>
        <tr r="D3222" s="2"/>
      </tp>
      <tp t="s">
        <v>#N/A N/A</v>
        <stp/>
        <stp>BDP|13695054613736860429</stp>
        <tr r="I1901" s="2"/>
      </tp>
      <tp t="s">
        <v>#N/A N/A</v>
        <stp/>
        <stp>BDP|14268297065635479505</stp>
        <tr r="B2221" s="2"/>
      </tp>
      <tp t="s">
        <v>#N/A N/A</v>
        <stp/>
        <stp>BDP|14511769119367374539</stp>
        <tr r="G2752" s="2"/>
      </tp>
      <tp t="s">
        <v>#N/A N/A</v>
        <stp/>
        <stp>BDP|14419102663732810151</stp>
        <tr r="B2576" s="2"/>
      </tp>
      <tp t="s">
        <v>#N/A N/A</v>
        <stp/>
        <stp>BDP|12958065866113348701</stp>
        <tr r="H4468" s="2"/>
      </tp>
      <tp t="s">
        <v>#N/A N/A</v>
        <stp/>
        <stp>BDP|14967097227577508180</stp>
        <tr r="G3001" s="2"/>
      </tp>
      <tp t="s">
        <v>#N/A N/A</v>
        <stp/>
        <stp>BDP|14289092180979229535</stp>
        <tr r="C3210" s="2"/>
      </tp>
      <tp t="s">
        <v>#N/A N/A</v>
        <stp/>
        <stp>BDP|10314135392261141996</stp>
        <tr r="A3113" s="2"/>
      </tp>
      <tp t="s">
        <v>#N/A N/A</v>
        <stp/>
        <stp>BDP|16381949575359821104</stp>
        <tr r="B4760" s="2"/>
      </tp>
      <tp t="s">
        <v>#N/A N/A</v>
        <stp/>
        <stp>BDP|17769327009926146207</stp>
        <tr r="H318" s="2"/>
      </tp>
      <tp t="s">
        <v>#N/A N/A</v>
        <stp/>
        <stp>BDP|14280097718616631381</stp>
        <tr r="F4456" s="2"/>
      </tp>
      <tp t="s">
        <v>#N/A N/A</v>
        <stp/>
        <stp>BDP|15614937726077895964</stp>
        <tr r="D1530" s="2"/>
      </tp>
      <tp t="s">
        <v>#N/A N/A</v>
        <stp/>
        <stp>BDP|15526403602917867624</stp>
        <tr r="D2900" s="2"/>
      </tp>
      <tp t="s">
        <v>#N/A N/A</v>
        <stp/>
        <stp>BDP|11175390434858049912</stp>
        <tr r="I467" s="2"/>
      </tp>
      <tp t="s">
        <v>#N/A N/A</v>
        <stp/>
        <stp>BDP|11144117952217818279</stp>
        <tr r="F1313" s="2"/>
      </tp>
      <tp t="s">
        <v>#N/A N/A</v>
        <stp/>
        <stp>BDP|16683330929986416159</stp>
        <tr r="D592" s="2"/>
      </tp>
      <tp t="s">
        <v>#N/A N/A</v>
        <stp/>
        <stp>BDP|12959059053212459562</stp>
        <tr r="A4659" s="2"/>
      </tp>
      <tp t="s">
        <v>#N/A N/A</v>
        <stp/>
        <stp>BDP|18414494856789637008</stp>
        <tr r="H1947" s="2"/>
      </tp>
      <tp t="s">
        <v>#N/A N/A</v>
        <stp/>
        <stp>BDP|14274071361966976400</stp>
        <tr r="B4013" s="2"/>
      </tp>
      <tp t="s">
        <v>#N/A N/A</v>
        <stp/>
        <stp>BDP|11126236799352072868</stp>
        <tr r="D2773" s="2"/>
      </tp>
      <tp t="s">
        <v>#N/A N/A</v>
        <stp/>
        <stp>BDP|10647449404465204191</stp>
        <tr r="A3642" s="2"/>
      </tp>
      <tp t="s">
        <v>#N/A N/A</v>
        <stp/>
        <stp>BDP|13068315201607899754</stp>
        <tr r="F4106" s="2"/>
      </tp>
      <tp t="s">
        <v>#N/A N/A</v>
        <stp/>
        <stp>BDP|16984268647410029059</stp>
        <tr r="B3990" s="2"/>
      </tp>
      <tp t="s">
        <v>#N/A N/A</v>
        <stp/>
        <stp>BDP|11107691245277445448</stp>
        <tr r="C1951" s="2"/>
      </tp>
      <tp t="s">
        <v>#N/A N/A</v>
        <stp/>
        <stp>BDP|16499493189398122284</stp>
        <tr r="B591" s="2"/>
      </tp>
      <tp t="s">
        <v>#N/A N/A</v>
        <stp/>
        <stp>BDP|16431636143086130288</stp>
        <tr r="G2031" s="2"/>
      </tp>
      <tp t="s">
        <v>#N/A N/A</v>
        <stp/>
        <stp>BDP|18037325002832992949</stp>
        <tr r="D3088" s="2"/>
      </tp>
      <tp t="s">
        <v>#N/A N/A</v>
        <stp/>
        <stp>BDP|13945205517818130824</stp>
        <tr r="B4185" s="2"/>
      </tp>
      <tp t="s">
        <v>#N/A N/A</v>
        <stp/>
        <stp>BDP|10426675235477243299</stp>
        <tr r="D2654" s="2"/>
      </tp>
      <tp t="s">
        <v>#N/A N/A</v>
        <stp/>
        <stp>BDP|15778009120955921238</stp>
        <tr r="I424" s="2"/>
      </tp>
      <tp t="s">
        <v>#N/A N/A</v>
        <stp/>
        <stp>BDP|12830719171393347160</stp>
        <tr r="F3417" s="2"/>
      </tp>
      <tp t="s">
        <v>#N/A N/A</v>
        <stp/>
        <stp>BDP|14968644168536183292</stp>
        <tr r="B2198" s="2"/>
      </tp>
      <tp t="s">
        <v>#N/A N/A</v>
        <stp/>
        <stp>BDP|14791984102348528550</stp>
        <tr r="I4695" s="2"/>
      </tp>
      <tp t="s">
        <v>#N/A N/A</v>
        <stp/>
        <stp>BDP|10073651074806825740</stp>
        <tr r="D3862" s="2"/>
      </tp>
      <tp t="s">
        <v>#N/A N/A</v>
        <stp/>
        <stp>BDP|14430755620125828446</stp>
        <tr r="C3038" s="2"/>
      </tp>
      <tp t="s">
        <v>#N/A N/A</v>
        <stp/>
        <stp>BDP|17860423872077533305</stp>
        <tr r="H3485" s="2"/>
      </tp>
      <tp t="s">
        <v>#N/A N/A</v>
        <stp/>
        <stp>BDP|11737064641586876356</stp>
        <tr r="G3047" s="2"/>
      </tp>
      <tp t="s">
        <v>#N/A N/A</v>
        <stp/>
        <stp>BDP|12081152099842801891</stp>
        <tr r="H1046" s="2"/>
      </tp>
      <tp t="s">
        <v>#N/A N/A</v>
        <stp/>
        <stp>BDP|13729174523601808163</stp>
        <tr r="F1935" s="2"/>
      </tp>
      <tp t="s">
        <v>#N/A N/A</v>
        <stp/>
        <stp>BDP|15030405628250515306</stp>
        <tr r="B1233" s="2"/>
      </tp>
      <tp t="s">
        <v>#N/A N/A</v>
        <stp/>
        <stp>BDP|16534322544762851360</stp>
        <tr r="D3747" s="2"/>
      </tp>
      <tp t="s">
        <v>#N/A N/A</v>
        <stp/>
        <stp>BDP|14939722927984286532</stp>
        <tr r="A2795" s="2"/>
      </tp>
      <tp t="s">
        <v>#N/A N/A</v>
        <stp/>
        <stp>BDP|15674461258690727420</stp>
        <tr r="D3616" s="2"/>
      </tp>
      <tp t="s">
        <v>#N/A N/A</v>
        <stp/>
        <stp>BDP|17511170835586969330</stp>
        <tr r="B1241" s="2"/>
      </tp>
      <tp t="s">
        <v>#N/A N/A</v>
        <stp/>
        <stp>BDP|10701602278535424467</stp>
        <tr r="C117" s="2"/>
      </tp>
      <tp t="s">
        <v>#N/A N/A</v>
        <stp/>
        <stp>BDP|13671140729867584735</stp>
        <tr r="A799" s="2"/>
      </tp>
      <tp t="s">
        <v>#N/A N/A</v>
        <stp/>
        <stp>BDP|10371845722572036885</stp>
        <tr r="H4706" s="2"/>
      </tp>
      <tp t="s">
        <v>#N/A N/A</v>
        <stp/>
        <stp>BDP|16675584432642633277</stp>
        <tr r="D2582" s="2"/>
      </tp>
      <tp t="s">
        <v>#N/A N/A</v>
        <stp/>
        <stp>BDP|11945659235992573613</stp>
        <tr r="G4921" s="2"/>
      </tp>
      <tp t="s">
        <v>#N/A N/A</v>
        <stp/>
        <stp>BDP|14278655479406570361</stp>
        <tr r="D812" s="2"/>
      </tp>
      <tp t="s">
        <v>#N/A N/A</v>
        <stp/>
        <stp>BDP|12738698325412465429</stp>
        <tr r="H744" s="2"/>
      </tp>
      <tp t="s">
        <v>#N/A N/A</v>
        <stp/>
        <stp>BDP|10599889127228021270</stp>
        <tr r="F1165" s="2"/>
      </tp>
      <tp t="s">
        <v>#N/A N/A</v>
        <stp/>
        <stp>BDP|15160537478863709409</stp>
        <tr r="F643" s="2"/>
      </tp>
      <tp t="s">
        <v>#N/A N/A</v>
        <stp/>
        <stp>BDP|12062039310934846762</stp>
        <tr r="G4782" s="2"/>
      </tp>
      <tp t="s">
        <v>#N/A N/A</v>
        <stp/>
        <stp>BDP|12740855646048155684</stp>
        <tr r="H282" s="2"/>
      </tp>
      <tp t="s">
        <v>#N/A N/A</v>
        <stp/>
        <stp>BDP|18426065734718217391</stp>
        <tr r="G1842" s="2"/>
      </tp>
      <tp t="s">
        <v>#N/A N/A</v>
        <stp/>
        <stp>BDP|15392140047245489594</stp>
        <tr r="C480" s="2"/>
      </tp>
      <tp t="s">
        <v>#N/A N/A</v>
        <stp/>
        <stp>BDP|16583881517089567628</stp>
        <tr r="G1130" s="2"/>
      </tp>
      <tp t="s">
        <v>#N/A N/A</v>
        <stp/>
        <stp>BDP|15997762409662982022</stp>
        <tr r="G265" s="2"/>
      </tp>
      <tp t="s">
        <v>#N/A N/A</v>
        <stp/>
        <stp>BDP|11323512299664176976</stp>
        <tr r="C1976" s="2"/>
      </tp>
      <tp t="s">
        <v>#N/A N/A</v>
        <stp/>
        <stp>BDP|15208709876012861718</stp>
        <tr r="F3674" s="2"/>
      </tp>
      <tp t="s">
        <v>#N/A N/A</v>
        <stp/>
        <stp>BDP|18248337343098812775</stp>
        <tr r="F1612" s="2"/>
      </tp>
      <tp t="s">
        <v>#N/A N/A</v>
        <stp/>
        <stp>BDP|13403171160083858763</stp>
        <tr r="F4939" s="2"/>
      </tp>
      <tp t="s">
        <v>#N/A N/A</v>
        <stp/>
        <stp>BDP|13476058919143796121</stp>
        <tr r="D2210" s="2"/>
      </tp>
      <tp t="s">
        <v>#N/A N/A</v>
        <stp/>
        <stp>BDP|12170110840955413299</stp>
        <tr r="I2573" s="2"/>
      </tp>
      <tp t="s">
        <v>#N/A N/A</v>
        <stp/>
        <stp>BDP|11842649805623592414</stp>
        <tr r="F198" s="2"/>
      </tp>
      <tp t="s">
        <v>#N/A N/A</v>
        <stp/>
        <stp>BDP|18194064169899669755</stp>
        <tr r="C4958" s="2"/>
      </tp>
      <tp t="s">
        <v>#N/A N/A</v>
        <stp/>
        <stp>BDP|15042480223707767413</stp>
        <tr r="B3284" s="2"/>
      </tp>
      <tp t="s">
        <v>#N/A N/A</v>
        <stp/>
        <stp>BDP|14984034730902605513</stp>
        <tr r="G3864" s="2"/>
      </tp>
      <tp t="s">
        <v>#N/A N/A</v>
        <stp/>
        <stp>BDP|15592794794408250379</stp>
        <tr r="F2929" s="2"/>
      </tp>
      <tp t="s">
        <v>#N/A N/A</v>
        <stp/>
        <stp>BDP|12904576020756130327</stp>
        <tr r="G3204" s="2"/>
      </tp>
      <tp t="s">
        <v>#N/A N/A</v>
        <stp/>
        <stp>BDP|12865747657041309155</stp>
        <tr r="H3666" s="2"/>
      </tp>
      <tp t="s">
        <v>#N/A N/A</v>
        <stp/>
        <stp>BDP|12427227948724305006</stp>
        <tr r="A4683" s="2"/>
      </tp>
      <tp t="s">
        <v>#N/A N/A</v>
        <stp/>
        <stp>BDP|11114834044075826833</stp>
        <tr r="F2491" s="2"/>
      </tp>
      <tp t="s">
        <v>#N/A N/A</v>
        <stp/>
        <stp>BDP|13212232810494423481</stp>
        <tr r="I653" s="2"/>
      </tp>
      <tp t="s">
        <v>#N/A N/A</v>
        <stp/>
        <stp>BDP|15763169109765594105</stp>
        <tr r="F4795" s="2"/>
      </tp>
      <tp t="s">
        <v>#N/A N/A</v>
        <stp/>
        <stp>BDP|11346421340607567691</stp>
        <tr r="B468" s="2"/>
      </tp>
      <tp t="s">
        <v>#N/A N/A</v>
        <stp/>
        <stp>BDP|11632351552313574492</stp>
        <tr r="G3779" s="2"/>
      </tp>
      <tp t="s">
        <v>#N/A N/A</v>
        <stp/>
        <stp>BDP|17333942814078939769</stp>
        <tr r="D4264" s="2"/>
      </tp>
      <tp t="s">
        <v>#N/A N/A</v>
        <stp/>
        <stp>BDP|10669699067968589815</stp>
        <tr r="B858" s="2"/>
      </tp>
      <tp t="s">
        <v>#N/A N/A</v>
        <stp/>
        <stp>BDP|14730280476424257579</stp>
        <tr r="I1233" s="2"/>
      </tp>
      <tp t="s">
        <v>#N/A N/A</v>
        <stp/>
        <stp>BDP|13103911691566961549</stp>
        <tr r="D4104" s="2"/>
      </tp>
      <tp t="s">
        <v>#N/A N/A</v>
        <stp/>
        <stp>BDP|10058599584559036410</stp>
        <tr r="H3219" s="2"/>
      </tp>
      <tp t="s">
        <v>#N/A N/A</v>
        <stp/>
        <stp>BDP|10740606143372080083</stp>
        <tr r="G1321" s="2"/>
      </tp>
      <tp t="s">
        <v>#N/A N/A</v>
        <stp/>
        <stp>BDP|15302999382787375370</stp>
        <tr r="I2183" s="2"/>
      </tp>
      <tp t="s">
        <v>#N/A N/A</v>
        <stp/>
        <stp>BDP|12519264060770790682</stp>
        <tr r="A4500" s="2"/>
      </tp>
      <tp t="s">
        <v>#N/A N/A</v>
        <stp/>
        <stp>BDP|13305164112814261793</stp>
        <tr r="B4768" s="2"/>
      </tp>
      <tp t="s">
        <v>#N/A N/A</v>
        <stp/>
        <stp>BDP|12849931913803367972</stp>
        <tr r="B909" s="2"/>
      </tp>
      <tp t="s">
        <v>#N/A N/A</v>
        <stp/>
        <stp>BDP|15197016158225745530</stp>
        <tr r="B1736" s="2"/>
      </tp>
      <tp t="s">
        <v>#N/A N/A</v>
        <stp/>
        <stp>BDP|16865292466330866239</stp>
        <tr r="I2201" s="2"/>
      </tp>
      <tp t="s">
        <v>#N/A N/A</v>
        <stp/>
        <stp>BDP|11125789554752315125</stp>
        <tr r="D1738" s="2"/>
      </tp>
      <tp t="s">
        <v>#N/A N/A</v>
        <stp/>
        <stp>BDP|12490492773619236806</stp>
        <tr r="G3766" s="2"/>
      </tp>
      <tp t="s">
        <v>#N/A N/A</v>
        <stp/>
        <stp>BDP|10343055818614199536</stp>
        <tr r="A4293" s="2"/>
      </tp>
      <tp t="s">
        <v>#N/A N/A</v>
        <stp/>
        <stp>BDP|12319468967987798796</stp>
        <tr r="B4808" s="2"/>
      </tp>
      <tp t="s">
        <v>#N/A N/A</v>
        <stp/>
        <stp>BDP|18181705611639838746</stp>
        <tr r="I4884" s="2"/>
      </tp>
      <tp t="s">
        <v>#N/A N/A</v>
        <stp/>
        <stp>BDP|10991364221259008821</stp>
        <tr r="B3917" s="2"/>
      </tp>
      <tp t="s">
        <v>#N/A N/A</v>
        <stp/>
        <stp>BDP|17640638831605113795</stp>
        <tr r="G3993" s="2"/>
      </tp>
      <tp t="s">
        <v>#N/A N/A</v>
        <stp/>
        <stp>BDP|15670191980705145928</stp>
        <tr r="F4623" s="2"/>
      </tp>
      <tp t="s">
        <v>#N/A N/A</v>
        <stp/>
        <stp>BDP|16176638396428059183</stp>
        <tr r="B4167" s="2"/>
      </tp>
      <tp t="s">
        <v>#N/A N/A</v>
        <stp/>
        <stp>BDP|17316597153893175444</stp>
        <tr r="I4777" s="2"/>
      </tp>
      <tp t="s">
        <v>#N/A N/A</v>
        <stp/>
        <stp>BDP|11876401095854846897</stp>
        <tr r="C789" s="2"/>
      </tp>
      <tp t="s">
        <v>#N/A N/A</v>
        <stp/>
        <stp>BDP|17505564749907364156</stp>
        <tr r="C1567" s="2"/>
      </tp>
      <tp t="s">
        <v>#N/A N/A</v>
        <stp/>
        <stp>BDP|14546283857046731518</stp>
        <tr r="G3958" s="2"/>
      </tp>
      <tp t="s">
        <v>#N/A N/A</v>
        <stp/>
        <stp>BDP|13607968288407211561</stp>
        <tr r="C367" s="2"/>
      </tp>
      <tp t="s">
        <v>#N/A N/A</v>
        <stp/>
        <stp>BDP|10864450391618485544</stp>
        <tr r="F3054" s="2"/>
      </tp>
      <tp t="s">
        <v>#N/A N/A</v>
        <stp/>
        <stp>BDP|16617326655080902044</stp>
        <tr r="A3120" s="2"/>
      </tp>
      <tp t="s">
        <v>#N/A N/A</v>
        <stp/>
        <stp>BDP|17789579130741806045</stp>
        <tr r="B1056" s="2"/>
      </tp>
      <tp t="s">
        <v>#N/A N/A</v>
        <stp/>
        <stp>BDP|10927118930984263666</stp>
        <tr r="G221" s="2"/>
      </tp>
      <tp t="s">
        <v>#N/A N/A</v>
        <stp/>
        <stp>BDP|15499839854568772081</stp>
        <tr r="I68" s="2"/>
      </tp>
      <tp t="s">
        <v>#N/A N/A</v>
        <stp/>
        <stp>BDP|15255180067711405351</stp>
        <tr r="H1647" s="2"/>
      </tp>
      <tp t="s">
        <v>#N/A N/A</v>
        <stp/>
        <stp>BDP|10088319132507639794</stp>
        <tr r="F1388" s="2"/>
      </tp>
      <tp t="s">
        <v>#N/A N/A</v>
        <stp/>
        <stp>BDP|12663978124819830016</stp>
        <tr r="A3621" s="2"/>
      </tp>
      <tp t="s">
        <v>#N/A N/A</v>
        <stp/>
        <stp>BDP|18290616029349487527</stp>
        <tr r="I4711" s="2"/>
      </tp>
      <tp t="s">
        <v>#N/A N/A</v>
        <stp/>
        <stp>BDP|14242681575974492176</stp>
        <tr r="A4145" s="2"/>
      </tp>
      <tp t="s">
        <v>#N/A N/A</v>
        <stp/>
        <stp>BDP|18109394787041110227</stp>
        <tr r="I3237" s="2"/>
      </tp>
      <tp t="s">
        <v>#N/A N/A</v>
        <stp/>
        <stp>BDP|10473886747365627912</stp>
        <tr r="B3801" s="2"/>
      </tp>
      <tp t="s">
        <v>#N/A N/A</v>
        <stp/>
        <stp>BDP|12620232512396219790</stp>
        <tr r="F1649" s="2"/>
      </tp>
      <tp t="s">
        <v>#N/A N/A</v>
        <stp/>
        <stp>BDP|11633080877455669333</stp>
        <tr r="F2400" s="2"/>
      </tp>
      <tp t="s">
        <v>#N/A N/A</v>
        <stp/>
        <stp>BDP|10007686274723264225</stp>
        <tr r="B1968" s="2"/>
      </tp>
      <tp t="s">
        <v>#N/A N/A</v>
        <stp/>
        <stp>BDP|11341484428223924462</stp>
        <tr r="I2911" s="2"/>
      </tp>
      <tp t="s">
        <v>#N/A N/A</v>
        <stp/>
        <stp>BDP|17371316375061379287</stp>
        <tr r="H335" s="2"/>
      </tp>
      <tp t="s">
        <v>#N/A N/A</v>
        <stp/>
        <stp>BDP|13407786852041512076</stp>
        <tr r="D745" s="2"/>
      </tp>
      <tp t="s">
        <v>#N/A N/A</v>
        <stp/>
        <stp>BDP|18358923379555315373</stp>
        <tr r="A209" s="2"/>
      </tp>
      <tp t="s">
        <v>#N/A N/A</v>
        <stp/>
        <stp>BDP|16940376135271540725</stp>
        <tr r="D311" s="2"/>
      </tp>
      <tp t="s">
        <v>#N/A N/A</v>
        <stp/>
        <stp>BDP|17358318206846148290</stp>
        <tr r="F4773" s="2"/>
      </tp>
      <tp t="s">
        <v>#N/A N/A</v>
        <stp/>
        <stp>BDP|11118241379355017102</stp>
        <tr r="I1354" s="2"/>
      </tp>
      <tp t="s">
        <v>#N/A N/A</v>
        <stp/>
        <stp>BDP|11424099857956041266</stp>
        <tr r="F4502" s="2"/>
      </tp>
      <tp t="s">
        <v>#N/A N/A</v>
        <stp/>
        <stp>BDP|16146480427436646644</stp>
        <tr r="D3094" s="2"/>
      </tp>
      <tp t="s">
        <v>#N/A N/A</v>
        <stp/>
        <stp>BDP|10965917187203015232</stp>
        <tr r="D4021" s="2"/>
      </tp>
      <tp t="s">
        <v>#N/A N/A</v>
        <stp/>
        <stp>BDP|14614563243517894279</stp>
        <tr r="F3295" s="2"/>
      </tp>
      <tp t="s">
        <v>#N/A N/A</v>
        <stp/>
        <stp>BDP|11641043108746649702</stp>
        <tr r="I2952" s="2"/>
      </tp>
      <tp t="s">
        <v>#N/A N/A</v>
        <stp/>
        <stp>BDP|16629197261005544477</stp>
        <tr r="D3249" s="2"/>
      </tp>
      <tp t="s">
        <v>#N/A N/A</v>
        <stp/>
        <stp>BDP|14513336429631554462</stp>
        <tr r="I2996" s="2"/>
      </tp>
      <tp t="s">
        <v>#N/A N/A</v>
        <stp/>
        <stp>BDP|16808447696288756316</stp>
        <tr r="D739" s="2"/>
      </tp>
      <tp t="s">
        <v>#N/A N/A</v>
        <stp/>
        <stp>BDP|18323220025949144199</stp>
        <tr r="D1759" s="2"/>
      </tp>
      <tp t="s">
        <v>#N/A N/A</v>
        <stp/>
        <stp>BDP|12096387634105326738</stp>
        <tr r="G4121" s="2"/>
      </tp>
      <tp t="s">
        <v>#N/A N/A</v>
        <stp/>
        <stp>BDP|18046499697303126638</stp>
        <tr r="D254" s="2"/>
      </tp>
      <tp t="s">
        <v>#N/A N/A</v>
        <stp/>
        <stp>BDP|11819433901801088459</stp>
        <tr r="C2187" s="2"/>
      </tp>
      <tp t="s">
        <v>#N/A N/A</v>
        <stp/>
        <stp>BDP|10863080756292099796</stp>
        <tr r="B3401" s="2"/>
      </tp>
      <tp t="s">
        <v>#N/A N/A</v>
        <stp/>
        <stp>BDP|11891704706140661671</stp>
        <tr r="B845" s="2"/>
      </tp>
      <tp t="s">
        <v>#N/A N/A</v>
        <stp/>
        <stp>BDP|15736192563482769058</stp>
        <tr r="F2042" s="2"/>
      </tp>
      <tp t="s">
        <v>#N/A N/A</v>
        <stp/>
        <stp>BDP|14378395153251594333</stp>
        <tr r="F4607" s="2"/>
      </tp>
      <tp t="s">
        <v>#N/A N/A</v>
        <stp/>
        <stp>BDP|15624278728580210544</stp>
        <tr r="F2869" s="2"/>
      </tp>
      <tp t="s">
        <v>#N/A N/A</v>
        <stp/>
        <stp>BDP|10748966709130731909</stp>
        <tr r="A4135" s="2"/>
      </tp>
      <tp t="s">
        <v>#N/A N/A</v>
        <stp/>
        <stp>BDP|15861166925942092449</stp>
        <tr r="G2128" s="2"/>
      </tp>
      <tp t="s">
        <v>#N/A N/A</v>
        <stp/>
        <stp>BDP|15411558218517269643</stp>
        <tr r="A2103" s="2"/>
      </tp>
      <tp t="s">
        <v>#N/A N/A</v>
        <stp/>
        <stp>BDP|11685341624056081698</stp>
        <tr r="G539" s="2"/>
      </tp>
      <tp t="s">
        <v>#N/A N/A</v>
        <stp/>
        <stp>BDP|16558981596865748331</stp>
        <tr r="C1203" s="2"/>
      </tp>
      <tp t="s">
        <v>#N/A N/A</v>
        <stp/>
        <stp>BDP|14163565739902069014</stp>
        <tr r="G347" s="2"/>
      </tp>
      <tp t="s">
        <v>#N/A N/A</v>
        <stp/>
        <stp>BDP|17167740794988757192</stp>
        <tr r="B921" s="2"/>
      </tp>
      <tp t="s">
        <v>#N/A N/A</v>
        <stp/>
        <stp>BDP|11897701944922202019</stp>
        <tr r="F362" s="2"/>
      </tp>
      <tp t="s">
        <v>#N/A N/A</v>
        <stp/>
        <stp>BDP|11052249433227070781</stp>
        <tr r="G1828" s="2"/>
      </tp>
      <tp t="s">
        <v>#N/A N/A</v>
        <stp/>
        <stp>BDP|11497345569225678106</stp>
        <tr r="D4789" s="2"/>
      </tp>
      <tp t="s">
        <v>#N/A N/A</v>
        <stp/>
        <stp>BDP|14234381171119791935</stp>
        <tr r="C4051" s="2"/>
      </tp>
      <tp t="s">
        <v>#N/A N/A</v>
        <stp/>
        <stp>BDP|10170404778926022567</stp>
        <tr r="H606" s="2"/>
      </tp>
      <tp t="s">
        <v>#N/A N/A</v>
        <stp/>
        <stp>BDP|17274554728834462442</stp>
        <tr r="A2770" s="2"/>
      </tp>
      <tp t="s">
        <v>#N/A N/A</v>
        <stp/>
        <stp>BDP|18172563536396692880</stp>
        <tr r="I881" s="2"/>
      </tp>
      <tp t="s">
        <v>#N/A N/A</v>
        <stp/>
        <stp>BDP|12287551777087656792</stp>
        <tr r="H1808" s="2"/>
      </tp>
      <tp t="s">
        <v>#N/A N/A</v>
        <stp/>
        <stp>BDP|14664131099929258515</stp>
        <tr r="I4087" s="2"/>
      </tp>
      <tp t="s">
        <v>#N/A N/A</v>
        <stp/>
        <stp>BDP|11190106106318871805</stp>
        <tr r="B1334" s="2"/>
      </tp>
      <tp t="s">
        <v>#N/A N/A</v>
        <stp/>
        <stp>BDP|10516913988391395006</stp>
        <tr r="F3197" s="2"/>
      </tp>
      <tp t="s">
        <v>#N/A N/A</v>
        <stp/>
        <stp>BDP|16127430645154188296</stp>
        <tr r="B2168" s="2"/>
      </tp>
      <tp t="s">
        <v>#N/A N/A</v>
        <stp/>
        <stp>BDP|13529094090823548967</stp>
        <tr r="H750" s="2"/>
      </tp>
      <tp t="s">
        <v>#N/A N/A</v>
        <stp/>
        <stp>BDP|14583914720558938726</stp>
        <tr r="F1486" s="2"/>
      </tp>
      <tp t="s">
        <v>#N/A N/A</v>
        <stp/>
        <stp>BDP|10624029888718615051</stp>
        <tr r="I1698" s="2"/>
      </tp>
      <tp t="s">
        <v>#N/A N/A</v>
        <stp/>
        <stp>BDP|18210982060936118147</stp>
        <tr r="I4039" s="2"/>
      </tp>
      <tp t="s">
        <v>#N/A N/A</v>
        <stp/>
        <stp>BDP|14939260787886253852</stp>
        <tr r="G3910" s="2"/>
      </tp>
      <tp t="s">
        <v>#N/A N/A</v>
        <stp/>
        <stp>BDP|15663669751453956572</stp>
        <tr r="F3380" s="2"/>
      </tp>
      <tp t="s">
        <v>#N/A N/A</v>
        <stp/>
        <stp>BDP|18079057680958882822</stp>
        <tr r="A778" s="2"/>
      </tp>
      <tp t="s">
        <v>#N/A N/A</v>
        <stp/>
        <stp>BDP|15576994836037307860</stp>
        <tr r="C2607" s="2"/>
      </tp>
      <tp t="s">
        <v>#N/A N/A</v>
        <stp/>
        <stp>BDP|17449212749559001830</stp>
        <tr r="D2295" s="2"/>
      </tp>
      <tp t="s">
        <v>#N/A N/A</v>
        <stp/>
        <stp>BDP|10222003107289894928</stp>
        <tr r="B2094" s="2"/>
      </tp>
      <tp t="s">
        <v>#N/A N/A</v>
        <stp/>
        <stp>BDP|15727656972416620290</stp>
        <tr r="I1241" s="2"/>
      </tp>
      <tp t="s">
        <v>#N/A N/A</v>
        <stp/>
        <stp>BDP|17876013865466657757</stp>
        <tr r="F1431" s="2"/>
      </tp>
      <tp t="s">
        <v>#N/A N/A</v>
        <stp/>
        <stp>BDP|17779967064609307194</stp>
        <tr r="C2574" s="2"/>
      </tp>
      <tp t="s">
        <v>#N/A N/A</v>
        <stp/>
        <stp>BDP|11458337331467035697</stp>
        <tr r="F3567" s="2"/>
      </tp>
      <tp t="s">
        <v>#N/A N/A</v>
        <stp/>
        <stp>BDP|16742452199928354378</stp>
        <tr r="D1741" s="2"/>
      </tp>
      <tp t="s">
        <v>#N/A N/A</v>
        <stp/>
        <stp>BDP|10459245830730966163</stp>
        <tr r="D2361" s="2"/>
      </tp>
      <tp t="s">
        <v>#N/A N/A</v>
        <stp/>
        <stp>BDP|11991996132003540889</stp>
        <tr r="C2599" s="2"/>
      </tp>
      <tp t="s">
        <v>#N/A N/A</v>
        <stp/>
        <stp>BDP|11484591235904288359</stp>
        <tr r="F3580" s="2"/>
      </tp>
      <tp t="s">
        <v>#N/A N/A</v>
        <stp/>
        <stp>BDP|13881458414392304452</stp>
        <tr r="B4786" s="2"/>
      </tp>
      <tp t="s">
        <v>#N/A N/A</v>
        <stp/>
        <stp>BDP|13077018453982971440</stp>
        <tr r="A1586" s="2"/>
      </tp>
      <tp t="s">
        <v>#N/A N/A</v>
        <stp/>
        <stp>BDP|16352614418566034756</stp>
        <tr r="H4355" s="2"/>
      </tp>
      <tp t="s">
        <v>#N/A N/A</v>
        <stp/>
        <stp>BDP|10086290472845577016</stp>
        <tr r="I1565" s="2"/>
      </tp>
      <tp t="s">
        <v>#N/A N/A</v>
        <stp/>
        <stp>BDP|14473708961130865528</stp>
        <tr r="H4295" s="2"/>
      </tp>
      <tp t="s">
        <v>#N/A N/A</v>
        <stp/>
        <stp>BDP|14798386000135987296</stp>
        <tr r="A2967" s="2"/>
      </tp>
      <tp t="s">
        <v>#N/A N/A</v>
        <stp/>
        <stp>BDP|11228201644701144680</stp>
        <tr r="F780" s="2"/>
      </tp>
      <tp t="s">
        <v>#N/A N/A</v>
        <stp/>
        <stp>BDP|13942511759214921775</stp>
        <tr r="I3440" s="2"/>
      </tp>
      <tp t="s">
        <v>#N/A N/A</v>
        <stp/>
        <stp>BDP|12851635837443013432</stp>
        <tr r="B2822" s="2"/>
      </tp>
      <tp t="s">
        <v>#N/A N/A</v>
        <stp/>
        <stp>BDP|14677959229987116841</stp>
        <tr r="H3213" s="2"/>
      </tp>
      <tp t="s">
        <v>#N/A N/A</v>
        <stp/>
        <stp>BDP|10020543236242553481</stp>
        <tr r="F1762" s="2"/>
      </tp>
      <tp t="s">
        <v>#N/A N/A</v>
        <stp/>
        <stp>BDP|13029459544586883561</stp>
        <tr r="B753" s="2"/>
      </tp>
      <tp t="s">
        <v>#N/A N/A</v>
        <stp/>
        <stp>BDP|11202490041160702126</stp>
        <tr r="F1584" s="2"/>
      </tp>
      <tp t="s">
        <v>#N/A N/A</v>
        <stp/>
        <stp>BDP|11711531725413727591</stp>
        <tr r="I2062" s="2"/>
      </tp>
      <tp t="s">
        <v>#N/A N/A</v>
        <stp/>
        <stp>BDP|15123295909415829266</stp>
        <tr r="F1413" s="2"/>
      </tp>
      <tp t="s">
        <v>#N/A N/A</v>
        <stp/>
        <stp>BDP|14209124501863897663</stp>
        <tr r="D1643" s="2"/>
      </tp>
      <tp t="s">
        <v>#N/A N/A</v>
        <stp/>
        <stp>BDP|10135990306381565840</stp>
        <tr r="I2079" s="2"/>
      </tp>
      <tp t="s">
        <v>#N/A N/A</v>
        <stp/>
        <stp>BDP|13060322458520370560</stp>
        <tr r="I914" s="2"/>
      </tp>
      <tp t="s">
        <v>#N/A N/A</v>
        <stp/>
        <stp>BDP|16213328439476330058</stp>
        <tr r="G367" s="2"/>
      </tp>
      <tp t="s">
        <v>#N/A N/A</v>
        <stp/>
        <stp>BDP|10683146074084982203</stp>
        <tr r="F3556" s="2"/>
      </tp>
      <tp t="s">
        <v>#N/A N/A</v>
        <stp/>
        <stp>BDP|17759220246297526690</stp>
        <tr r="I462" s="2"/>
      </tp>
      <tp t="s">
        <v>#N/A N/A</v>
        <stp/>
        <stp>BDP|17057300741667647782</stp>
        <tr r="C2606" s="2"/>
      </tp>
      <tp t="s">
        <v>#N/A N/A</v>
        <stp/>
        <stp>BDP|14125183725533063437</stp>
        <tr r="A1182" s="2"/>
      </tp>
      <tp t="s">
        <v>#N/A N/A</v>
        <stp/>
        <stp>BDP|12807002940915392346</stp>
        <tr r="D2126" s="2"/>
      </tp>
      <tp t="s">
        <v>#N/A N/A</v>
        <stp/>
        <stp>BDP|12210756849273033212</stp>
        <tr r="I1362" s="2"/>
      </tp>
      <tp t="s">
        <v>#N/A N/A</v>
        <stp/>
        <stp>BDP|12563440901872621498</stp>
        <tr r="G2472" s="2"/>
      </tp>
      <tp t="s">
        <v>#N/A N/A</v>
        <stp/>
        <stp>BDP|14913451375765227241</stp>
        <tr r="H816" s="2"/>
      </tp>
      <tp t="s">
        <v>#N/A N/A</v>
        <stp/>
        <stp>BDP|11144902354128377594</stp>
        <tr r="D1713" s="2"/>
      </tp>
      <tp t="s">
        <v>#N/A N/A</v>
        <stp/>
        <stp>BDP|14456708263220028596</stp>
        <tr r="C3049" s="2"/>
      </tp>
      <tp t="s">
        <v>#N/A N/A</v>
        <stp/>
        <stp>BDP|15671377768277718708</stp>
        <tr r="I2309" s="2"/>
      </tp>
      <tp t="s">
        <v>#N/A N/A</v>
        <stp/>
        <stp>BDP|11697745679016158742</stp>
        <tr r="F1761" s="2"/>
      </tp>
      <tp t="s">
        <v>#N/A N/A</v>
        <stp/>
        <stp>BDP|13598680660353370006</stp>
        <tr r="G4283" s="2"/>
      </tp>
      <tp t="s">
        <v>#N/A N/A</v>
        <stp/>
        <stp>BDP|16466149348576408521</stp>
        <tr r="D2580" s="2"/>
      </tp>
      <tp t="s">
        <v>#N/A N/A</v>
        <stp/>
        <stp>BDP|11928777896208357759</stp>
        <tr r="A3769" s="2"/>
      </tp>
      <tp t="s">
        <v>#N/A N/A</v>
        <stp/>
        <stp>BDP|14085366383437322883</stp>
        <tr r="C621" s="2"/>
      </tp>
      <tp t="s">
        <v>#N/A N/A</v>
        <stp/>
        <stp>BDP|14260425339004292751</stp>
        <tr r="B4371" s="2"/>
      </tp>
      <tp t="s">
        <v>#N/A N/A</v>
        <stp/>
        <stp>BDP|10923708755404718655</stp>
        <tr r="D4612" s="2"/>
      </tp>
      <tp t="s">
        <v>#N/A N/A</v>
        <stp/>
        <stp>BDP|15683197063516473467</stp>
        <tr r="A3427" s="2"/>
      </tp>
      <tp t="s">
        <v>#N/A N/A</v>
        <stp/>
        <stp>BDP|16455483620255195537</stp>
        <tr r="C2815" s="2"/>
      </tp>
      <tp t="s">
        <v>#N/A N/A</v>
        <stp/>
        <stp>BDP|17365061348234776748</stp>
        <tr r="D3553" s="2"/>
      </tp>
      <tp t="s">
        <v>#N/A N/A</v>
        <stp/>
        <stp>BDP|10150251459195681254</stp>
        <tr r="G1564" s="2"/>
      </tp>
      <tp t="s">
        <v>#N/A N/A</v>
        <stp/>
        <stp>BDP|10405500673555089794</stp>
        <tr r="G2265" s="2"/>
      </tp>
      <tp t="s">
        <v>#N/A N/A</v>
        <stp/>
        <stp>BDP|10640119082531319880</stp>
        <tr r="D4052" s="2"/>
      </tp>
      <tp t="s">
        <v>#N/A N/A</v>
        <stp/>
        <stp>BDP|13778194351661097615</stp>
        <tr r="B4407" s="2"/>
      </tp>
      <tp t="s">
        <v>#N/A N/A</v>
        <stp/>
        <stp>BDP|16476258927595134390</stp>
        <tr r="G3939" s="2"/>
      </tp>
      <tp t="s">
        <v>#N/A N/A</v>
        <stp/>
        <stp>BDP|17669689502099549873</stp>
        <tr r="H4346" s="2"/>
      </tp>
      <tp t="s">
        <v>#N/A N/A</v>
        <stp/>
        <stp>BDP|13183502918301083679</stp>
        <tr r="B4193" s="2"/>
      </tp>
      <tp t="s">
        <v>#N/A N/A</v>
        <stp/>
        <stp>BDP|17288273365601622287</stp>
        <tr r="F4179" s="2"/>
      </tp>
      <tp t="s">
        <v>#N/A N/A</v>
        <stp/>
        <stp>BDP|13605210161962834502</stp>
        <tr r="H896" s="2"/>
      </tp>
      <tp t="s">
        <v>#N/A N/A</v>
        <stp/>
        <stp>BDP|14929311835620198423</stp>
        <tr r="H2827" s="2"/>
      </tp>
      <tp t="s">
        <v>#N/A N/A</v>
        <stp/>
        <stp>BDP|12823714704973079637</stp>
        <tr r="A462" s="2"/>
      </tp>
      <tp t="s">
        <v>#N/A N/A</v>
        <stp/>
        <stp>BDP|17098122533551752484</stp>
        <tr r="C1261" s="2"/>
      </tp>
      <tp t="s">
        <v>#N/A N/A</v>
        <stp/>
        <stp>BDP|15580127458432523346</stp>
        <tr r="D1167" s="2"/>
      </tp>
      <tp t="s">
        <v>#N/A N/A</v>
        <stp/>
        <stp>BDP|13536955714288327398</stp>
        <tr r="A320" s="2"/>
      </tp>
      <tp t="s">
        <v>#N/A N/A</v>
        <stp/>
        <stp>BDP|14705498444630077447</stp>
        <tr r="A3431" s="2"/>
      </tp>
      <tp t="s">
        <v>#N/A N/A</v>
        <stp/>
        <stp>BDP|15804478667824471329</stp>
        <tr r="D618" s="2"/>
      </tp>
      <tp t="s">
        <v>#N/A N/A</v>
        <stp/>
        <stp>BDP|15086283006350771771</stp>
        <tr r="B4788" s="2"/>
      </tp>
      <tp t="s">
        <v>#N/A N/A</v>
        <stp/>
        <stp>BDP|15208597842561299556</stp>
        <tr r="C83" s="2"/>
      </tp>
      <tp t="s">
        <v>#N/A N/A</v>
        <stp/>
        <stp>BDP|18234297285883006101</stp>
        <tr r="C4156" s="2"/>
      </tp>
      <tp t="s">
        <v>#N/A N/A</v>
        <stp/>
        <stp>BDP|16295419523529682980</stp>
        <tr r="G3387" s="2"/>
      </tp>
      <tp t="s">
        <v>#N/A N/A</v>
        <stp/>
        <stp>BDP|15855312208732747489</stp>
        <tr r="C1723" s="2"/>
      </tp>
      <tp t="s">
        <v>#N/A N/A</v>
        <stp/>
        <stp>BDP|12558465229353097746</stp>
        <tr r="D2865" s="2"/>
      </tp>
      <tp t="s">
        <v>#N/A N/A</v>
        <stp/>
        <stp>BDP|17551289991685070921</stp>
        <tr r="A2049" s="2"/>
      </tp>
      <tp t="s">
        <v>#N/A N/A</v>
        <stp/>
        <stp>BDP|14779662878163038674</stp>
        <tr r="A1015" s="2"/>
      </tp>
      <tp t="s">
        <v>#N/A N/A</v>
        <stp/>
        <stp>BDP|15004991177408430345</stp>
        <tr r="G492" s="2"/>
      </tp>
      <tp t="s">
        <v>#N/A N/A</v>
        <stp/>
        <stp>BDP|15320110253482739386</stp>
        <tr r="H2556" s="2"/>
      </tp>
      <tp t="s">
        <v>#N/A N/A</v>
        <stp/>
        <stp>BDP|11234655715404951254</stp>
        <tr r="B3213" s="2"/>
      </tp>
      <tp t="s">
        <v>#N/A N/A</v>
        <stp/>
        <stp>BDP|12241273008763658357</stp>
        <tr r="F2155" s="2"/>
      </tp>
      <tp t="s">
        <v>#N/A N/A</v>
        <stp/>
        <stp>BDP|16721059639200199542</stp>
        <tr r="H3725" s="2"/>
      </tp>
      <tp t="s">
        <v>#N/A N/A</v>
        <stp/>
        <stp>BDP|16328166640005967620</stp>
        <tr r="C3417" s="2"/>
      </tp>
      <tp t="s">
        <v>#N/A N/A</v>
        <stp/>
        <stp>BDP|10041978671246848808</stp>
        <tr r="H2431" s="2"/>
      </tp>
      <tp t="s">
        <v>#N/A N/A</v>
        <stp/>
        <stp>BDP|16676752159367005344</stp>
        <tr r="C2125" s="2"/>
      </tp>
      <tp t="s">
        <v>#N/A N/A</v>
        <stp/>
        <stp>BDP|17008470794508822256</stp>
        <tr r="G3103" s="2"/>
      </tp>
      <tp t="s">
        <v>#N/A N/A</v>
        <stp/>
        <stp>BDP|12633514164077903646</stp>
        <tr r="D2941" s="2"/>
      </tp>
      <tp t="s">
        <v>#N/A N/A</v>
        <stp/>
        <stp>BDP|12539787478663260194</stp>
        <tr r="I2294" s="2"/>
      </tp>
      <tp t="s">
        <v>#N/A N/A</v>
        <stp/>
        <stp>BDP|16763782008479822812</stp>
        <tr r="D1048" s="2"/>
      </tp>
      <tp t="s">
        <v>#N/A N/A</v>
        <stp/>
        <stp>BDP|16673384531950583642</stp>
        <tr r="B4410" s="2"/>
      </tp>
      <tp t="s">
        <v>#N/A N/A</v>
        <stp/>
        <stp>BDP|10210191295768877080</stp>
        <tr r="F2977" s="2"/>
      </tp>
      <tp t="s">
        <v>#N/A N/A</v>
        <stp/>
        <stp>BDP|12941260206442504220</stp>
        <tr r="F2837" s="2"/>
      </tp>
      <tp t="s">
        <v>#N/A N/A</v>
        <stp/>
        <stp>BDP|11495338908604131603</stp>
        <tr r="H1554" s="2"/>
      </tp>
      <tp t="s">
        <v>#N/A N/A</v>
        <stp/>
        <stp>BDP|16061266403221928527</stp>
        <tr r="I4889" s="2"/>
      </tp>
      <tp t="s">
        <v>#N/A N/A</v>
        <stp/>
        <stp>BDP|16818573639663141397</stp>
        <tr r="F636" s="2"/>
      </tp>
      <tp t="s">
        <v>#N/A N/A</v>
        <stp/>
        <stp>BDP|12725501739195741171</stp>
        <tr r="H97" s="2"/>
      </tp>
      <tp t="s">
        <v>#N/A N/A</v>
        <stp/>
        <stp>BDP|10995752921215188026</stp>
        <tr r="F4453" s="2"/>
      </tp>
      <tp t="s">
        <v>#N/A N/A</v>
        <stp/>
        <stp>BDP|17900394704120231481</stp>
        <tr r="B1010" s="2"/>
      </tp>
      <tp t="s">
        <v>#N/A N/A</v>
        <stp/>
        <stp>BDP|11754594869425838711</stp>
        <tr r="D4040" s="2"/>
      </tp>
      <tp t="s">
        <v>#N/A N/A</v>
        <stp/>
        <stp>BDP|16136443517801585297</stp>
        <tr r="F2964" s="2"/>
      </tp>
      <tp t="s">
        <v>#N/A N/A</v>
        <stp/>
        <stp>BDP|17425866175441946903</stp>
        <tr r="I1323" s="2"/>
      </tp>
      <tp t="s">
        <v>#N/A N/A</v>
        <stp/>
        <stp>BDP|11208043868175434246</stp>
        <tr r="H2774" s="2"/>
      </tp>
      <tp t="s">
        <v>#N/A N/A</v>
        <stp/>
        <stp>BDP|10799224266740452499</stp>
        <tr r="F3789" s="2"/>
      </tp>
      <tp t="s">
        <v>#N/A N/A</v>
        <stp/>
        <stp>BDP|10259500401564450193</stp>
        <tr r="A4505" s="2"/>
      </tp>
      <tp t="s">
        <v>#N/A N/A</v>
        <stp/>
        <stp>BDP|10961293126698113894</stp>
        <tr r="A2278" s="2"/>
      </tp>
      <tp t="s">
        <v>#N/A N/A</v>
        <stp/>
        <stp>BDP|14524294404264254247</stp>
        <tr r="A154" s="2"/>
      </tp>
      <tp t="s">
        <v>#N/A N/A</v>
        <stp/>
        <stp>BDP|15395372848844152633</stp>
        <tr r="G3550" s="2"/>
      </tp>
      <tp t="s">
        <v>#N/A N/A</v>
        <stp/>
        <stp>BDP|18194347312373094991</stp>
        <tr r="D4889" s="2"/>
      </tp>
      <tp t="s">
        <v>#N/A N/A</v>
        <stp/>
        <stp>BDP|12793885850986265936</stp>
        <tr r="G2232" s="2"/>
      </tp>
      <tp t="s">
        <v>#N/A N/A</v>
        <stp/>
        <stp>BDP|12324803580340515286</stp>
        <tr r="B2666" s="2"/>
      </tp>
      <tp t="s">
        <v>#N/A N/A</v>
        <stp/>
        <stp>BDP|16733325949916486763</stp>
        <tr r="C2444" s="2"/>
      </tp>
      <tp t="s">
        <v>#N/A N/A</v>
        <stp/>
        <stp>BDP|17522350328276051061</stp>
        <tr r="A2186" s="2"/>
      </tp>
      <tp t="s">
        <v>#N/A N/A</v>
        <stp/>
        <stp>BDP|16608593764775558005</stp>
        <tr r="D1505" s="2"/>
      </tp>
      <tp t="s">
        <v>#N/A N/A</v>
        <stp/>
        <stp>BDP|17445070826554325178</stp>
        <tr r="H4533" s="2"/>
      </tp>
      <tp t="s">
        <v>#N/A N/A</v>
        <stp/>
        <stp>BDP|17563614219404448489</stp>
        <tr r="F340" s="2"/>
      </tp>
      <tp t="s">
        <v>#N/A N/A</v>
        <stp/>
        <stp>BDP|11075982386285994565</stp>
        <tr r="F4978" s="2"/>
      </tp>
      <tp t="s">
        <v>#N/A N/A</v>
        <stp/>
        <stp>BDP|14061759812560315250</stp>
        <tr r="A4162" s="2"/>
      </tp>
      <tp t="s">
        <v>#N/A N/A</v>
        <stp/>
        <stp>BDP|14226048020381504722</stp>
        <tr r="A3994" s="2"/>
      </tp>
      <tp t="s">
        <v>#N/A N/A</v>
        <stp/>
        <stp>BDP|10597101622657412424</stp>
        <tr r="I4770" s="2"/>
      </tp>
      <tp t="s">
        <v>#N/A N/A</v>
        <stp/>
        <stp>BDP|17978197276261494031</stp>
        <tr r="G1720" s="2"/>
      </tp>
      <tp t="s">
        <v>#N/A N/A</v>
        <stp/>
        <stp>BDP|12968118298909190304</stp>
        <tr r="B1122" s="2"/>
      </tp>
      <tp t="s">
        <v>#N/A N/A</v>
        <stp/>
        <stp>BDP|14699103800166453334</stp>
        <tr r="D28" s="2"/>
      </tp>
      <tp t="s">
        <v>#N/A N/A</v>
        <stp/>
        <stp>BDP|10488047810657334620</stp>
        <tr r="G1851" s="2"/>
      </tp>
      <tp t="s">
        <v>#N/A N/A</v>
        <stp/>
        <stp>BDP|14586603670131062445</stp>
        <tr r="A2528" s="2"/>
      </tp>
      <tp t="s">
        <v>#N/A N/A</v>
        <stp/>
        <stp>BDP|16406337047132298337</stp>
        <tr r="H405" s="2"/>
      </tp>
      <tp t="s">
        <v>#N/A N/A</v>
        <stp/>
        <stp>BDP|11288053004681116034</stp>
        <tr r="F4175" s="2"/>
      </tp>
      <tp t="s">
        <v>#N/A N/A</v>
        <stp/>
        <stp>BDP|13118641670983566117</stp>
        <tr r="H4506" s="2"/>
      </tp>
      <tp t="s">
        <v>#N/A N/A</v>
        <stp/>
        <stp>BDP|12736876305809306375</stp>
        <tr r="C3320" s="2"/>
      </tp>
      <tp t="s">
        <v>#N/A N/A</v>
        <stp/>
        <stp>BDP|17995285701386415351</stp>
        <tr r="I1389" s="2"/>
      </tp>
      <tp t="s">
        <v>#N/A N/A</v>
        <stp/>
        <stp>BDP|12300903098973956130</stp>
        <tr r="B4082" s="2"/>
      </tp>
      <tp t="s">
        <v>#N/A N/A</v>
        <stp/>
        <stp>BDP|15849073117883051795</stp>
        <tr r="C3669" s="2"/>
      </tp>
      <tp t="s">
        <v>#N/A N/A</v>
        <stp/>
        <stp>BDP|11796713023560200460</stp>
        <tr r="H2639" s="2"/>
      </tp>
      <tp t="s">
        <v>#N/A N/A</v>
        <stp/>
        <stp>BDP|14015044816177339208</stp>
        <tr r="D1364" s="2"/>
      </tp>
      <tp t="s">
        <v>#N/A N/A</v>
        <stp/>
        <stp>BDP|14326665950863676426</stp>
        <tr r="F4529" s="2"/>
      </tp>
      <tp t="s">
        <v>#N/A N/A</v>
        <stp/>
        <stp>BDP|11178603932191223509</stp>
        <tr r="B2725" s="2"/>
      </tp>
      <tp t="s">
        <v>#N/A N/A</v>
        <stp/>
        <stp>BDP|15790203763428450915</stp>
        <tr r="D4370" s="2"/>
      </tp>
      <tp t="s">
        <v>#N/A N/A</v>
        <stp/>
        <stp>BDP|17163511223873562377</stp>
        <tr r="C3276" s="2"/>
      </tp>
      <tp t="s">
        <v>#N/A N/A</v>
        <stp/>
        <stp>BDP|15285393079535170427</stp>
        <tr r="A1999" s="2"/>
      </tp>
      <tp t="s">
        <v>#N/A N/A</v>
        <stp/>
        <stp>BDP|15868133274206734599</stp>
        <tr r="C942" s="2"/>
      </tp>
      <tp t="s">
        <v>#N/A N/A</v>
        <stp/>
        <stp>BDP|18292392199983071138</stp>
        <tr r="B1157" s="2"/>
      </tp>
      <tp t="s">
        <v>#N/A N/A</v>
        <stp/>
        <stp>BDP|13504397003597988777</stp>
        <tr r="A1754" s="2"/>
      </tp>
      <tp t="s">
        <v>#N/A N/A</v>
        <stp/>
        <stp>BDP|10455537173254796624</stp>
        <tr r="B2600" s="2"/>
      </tp>
      <tp t="s">
        <v>#N/A N/A</v>
        <stp/>
        <stp>BDP|12743842524168580032</stp>
        <tr r="H4965" s="2"/>
      </tp>
      <tp t="s">
        <v>#N/A N/A</v>
        <stp/>
        <stp>BDP|11260655257385746768</stp>
        <tr r="H4665" s="2"/>
      </tp>
      <tp t="s">
        <v>#N/A N/A</v>
        <stp/>
        <stp>BDP|11295144755081315410</stp>
        <tr r="F2103" s="2"/>
      </tp>
      <tp t="s">
        <v>#N/A N/A</v>
        <stp/>
        <stp>BDP|14496902490757009350</stp>
        <tr r="C3467" s="2"/>
      </tp>
      <tp t="s">
        <v>#N/A N/A</v>
        <stp/>
        <stp>BDP|16162113712820019630</stp>
        <tr r="G391" s="2"/>
      </tp>
      <tp t="s">
        <v>#N/A N/A</v>
        <stp/>
        <stp>BDP|16786479167884625007</stp>
        <tr r="A4440" s="2"/>
      </tp>
      <tp t="s">
        <v>#N/A N/A</v>
        <stp/>
        <stp>BDP|15554864498060257488</stp>
        <tr r="H2160" s="2"/>
      </tp>
      <tp t="s">
        <v>#N/A N/A</v>
        <stp/>
        <stp>BDP|10889984781266746779</stp>
        <tr r="A2873" s="2"/>
      </tp>
      <tp t="s">
        <v>#N/A N/A</v>
        <stp/>
        <stp>BDP|15089418075555704326</stp>
        <tr r="G3643" s="2"/>
      </tp>
      <tp t="s">
        <v>#N/A N/A</v>
        <stp/>
        <stp>BDP|11014327134458525923</stp>
        <tr r="B1973" s="2"/>
      </tp>
      <tp t="s">
        <v>#N/A N/A</v>
        <stp/>
        <stp>BDP|16009237546616029640</stp>
        <tr r="F631" s="2"/>
      </tp>
      <tp t="s">
        <v>#N/A N/A</v>
        <stp/>
        <stp>BDP|18155930818885982526</stp>
        <tr r="D3501" s="2"/>
      </tp>
      <tp t="s">
        <v>#N/A N/A</v>
        <stp/>
        <stp>BDP|11735938651258787532</stp>
        <tr r="I2036" s="2"/>
      </tp>
      <tp t="s">
        <v>#N/A N/A</v>
        <stp/>
        <stp>BDP|17074156630374074146</stp>
        <tr r="F4490" s="2"/>
      </tp>
      <tp t="s">
        <v>#N/A N/A</v>
        <stp/>
        <stp>BDP|10776479807794327058</stp>
        <tr r="B928" s="2"/>
      </tp>
      <tp t="s">
        <v>#N/A N/A</v>
        <stp/>
        <stp>BDP|12948598831950948493</stp>
        <tr r="I4825" s="2"/>
      </tp>
      <tp t="s">
        <v>#N/A N/A</v>
        <stp/>
        <stp>BDP|15053054254071622161</stp>
        <tr r="C63" s="2"/>
      </tp>
      <tp t="s">
        <v>#N/A N/A</v>
        <stp/>
        <stp>BDP|12396018726552573201</stp>
        <tr r="F3230" s="2"/>
      </tp>
      <tp t="s">
        <v>#N/A N/A</v>
        <stp/>
        <stp>BDP|10653034426605711754</stp>
        <tr r="H4462" s="2"/>
      </tp>
      <tp t="s">
        <v>#N/A N/A</v>
        <stp/>
        <stp>BDP|11145501473551065234</stp>
        <tr r="B3051" s="2"/>
      </tp>
      <tp t="s">
        <v>#N/A N/A</v>
        <stp/>
        <stp>BDP|16834384602522213711</stp>
        <tr r="C584" s="2"/>
      </tp>
      <tp t="s">
        <v>#N/A N/A</v>
        <stp/>
        <stp>BDP|16322813991525570272</stp>
        <tr r="I4729" s="2"/>
      </tp>
      <tp t="s">
        <v>#N/A N/A</v>
        <stp/>
        <stp>BDP|11232585018525458077</stp>
        <tr r="G986" s="2"/>
      </tp>
      <tp t="s">
        <v>#N/A N/A</v>
        <stp/>
        <stp>BDP|13290768271135579616</stp>
        <tr r="A2396" s="2"/>
      </tp>
      <tp t="s">
        <v>#N/A N/A</v>
        <stp/>
        <stp>BDP|14840294366998390851</stp>
        <tr r="H3699" s="2"/>
      </tp>
      <tp t="s">
        <v>#N/A N/A</v>
        <stp/>
        <stp>BDP|16941845465820884810</stp>
        <tr r="F36" s="2"/>
      </tp>
      <tp t="s">
        <v>#N/A N/A</v>
        <stp/>
        <stp>BDP|10599901858255896942</stp>
        <tr r="G3320" s="2"/>
      </tp>
      <tp t="s">
        <v>#N/A N/A</v>
        <stp/>
        <stp>BDP|17799001087948031712</stp>
        <tr r="G3148" s="2"/>
      </tp>
      <tp t="s">
        <v>#N/A N/A</v>
        <stp/>
        <stp>BDP|14634272852867712458</stp>
        <tr r="I1856" s="2"/>
      </tp>
      <tp t="s">
        <v>#N/A N/A</v>
        <stp/>
        <stp>BDP|10026745656327528566</stp>
        <tr r="D4588" s="2"/>
      </tp>
      <tp t="s">
        <v>#N/A N/A</v>
        <stp/>
        <stp>BDP|13943349008731185152</stp>
        <tr r="C4022" s="2"/>
      </tp>
      <tp t="s">
        <v>#N/A N/A</v>
        <stp/>
        <stp>BDP|18041543114949471559</stp>
        <tr r="A152" s="2"/>
      </tp>
      <tp t="s">
        <v>#N/A N/A</v>
        <stp/>
        <stp>BDP|12672843336178010154</stp>
        <tr r="D37" s="2"/>
      </tp>
      <tp t="s">
        <v>#N/A N/A</v>
        <stp/>
        <stp>BDP|18187405540938427046</stp>
        <tr r="H2477" s="2"/>
      </tp>
      <tp t="s">
        <v>#N/A N/A</v>
        <stp/>
        <stp>BDP|15742125577207116422</stp>
        <tr r="C3791" s="2"/>
      </tp>
      <tp t="s">
        <v>#N/A N/A</v>
        <stp/>
        <stp>BDP|14647519825833602052</stp>
        <tr r="H3166" s="2"/>
      </tp>
      <tp t="s">
        <v>#N/A N/A</v>
        <stp/>
        <stp>BDP|11746561870033114013</stp>
        <tr r="B2263" s="2"/>
      </tp>
      <tp t="s">
        <v>#N/A N/A</v>
        <stp/>
        <stp>BDP|14332491423540919211</stp>
        <tr r="B3391" s="2"/>
      </tp>
      <tp t="s">
        <v>#N/A N/A</v>
        <stp/>
        <stp>BDP|11843672186226111992</stp>
        <tr r="F1365" s="2"/>
      </tp>
      <tp t="s">
        <v>#N/A N/A</v>
        <stp/>
        <stp>BDP|12614266331645852683</stp>
        <tr r="C1548" s="2"/>
      </tp>
      <tp t="s">
        <v>#N/A N/A</v>
        <stp/>
        <stp>BDP|11519271178095933124</stp>
        <tr r="C289" s="2"/>
      </tp>
      <tp t="s">
        <v>#N/A N/A</v>
        <stp/>
        <stp>BDP|13004611853554304402</stp>
        <tr r="H842" s="2"/>
      </tp>
      <tp t="s">
        <v>#N/A N/A</v>
        <stp/>
        <stp>BDP|12897251778586237168</stp>
        <tr r="B4763" s="2"/>
      </tp>
      <tp t="s">
        <v>#N/A N/A</v>
        <stp/>
        <stp>BDP|12026366358786846271</stp>
        <tr r="G3412" s="2"/>
      </tp>
      <tp t="s">
        <v>#N/A N/A</v>
        <stp/>
        <stp>BDP|18431924323286570514</stp>
        <tr r="C4053" s="2"/>
      </tp>
      <tp t="s">
        <v>#N/A N/A</v>
        <stp/>
        <stp>BDP|14512917102064230953</stp>
        <tr r="D1470" s="2"/>
      </tp>
      <tp t="s">
        <v>#N/A N/A</v>
        <stp/>
        <stp>BDP|11711394646474827215</stp>
        <tr r="D2171" s="2"/>
      </tp>
      <tp t="s">
        <v>#N/A N/A</v>
        <stp/>
        <stp>BDP|10914524541503310287</stp>
        <tr r="A2637" s="2"/>
      </tp>
      <tp t="s">
        <v>#N/A N/A</v>
        <stp/>
        <stp>BDP|12173258681158200068</stp>
        <tr r="A4628" s="2"/>
      </tp>
      <tp t="s">
        <v>#N/A N/A</v>
        <stp/>
        <stp>BDP|11353377211066674523</stp>
        <tr r="I1573" s="2"/>
      </tp>
      <tp t="s">
        <v>#N/A N/A</v>
        <stp/>
        <stp>BDP|10588950215990061841</stp>
        <tr r="F4861" s="2"/>
      </tp>
      <tp t="s">
        <v>#N/A N/A</v>
        <stp/>
        <stp>BDP|11445773358314205782</stp>
        <tr r="I475" s="2"/>
      </tp>
      <tp t="s">
        <v>#N/A N/A</v>
        <stp/>
        <stp>BDP|11555463898528261480</stp>
        <tr r="C3319" s="2"/>
      </tp>
      <tp t="s">
        <v>#N/A N/A</v>
        <stp/>
        <stp>BDP|15629571645460000452</stp>
        <tr r="G2823" s="2"/>
      </tp>
      <tp t="s">
        <v>#N/A N/A</v>
        <stp/>
        <stp>BDP|11266012743392352727</stp>
        <tr r="F3922" s="2"/>
      </tp>
      <tp t="s">
        <v>#N/A N/A</v>
        <stp/>
        <stp>BDP|16157545207006010534</stp>
        <tr r="D3450" s="2"/>
      </tp>
      <tp t="s">
        <v>#N/A N/A</v>
        <stp/>
        <stp>BDP|15992202908893055403</stp>
        <tr r="C206" s="2"/>
      </tp>
      <tp t="s">
        <v>#N/A N/A</v>
        <stp/>
        <stp>BDP|15882586516162187362</stp>
        <tr r="G1823" s="2"/>
      </tp>
      <tp t="s">
        <v>#N/A N/A</v>
        <stp/>
        <stp>BDP|14844417353721876436</stp>
        <tr r="F3233" s="2"/>
      </tp>
      <tp t="s">
        <v>#N/A N/A</v>
        <stp/>
        <stp>BDP|17244656256827068308</stp>
        <tr r="A3623" s="2"/>
      </tp>
      <tp t="s">
        <v>#N/A N/A</v>
        <stp/>
        <stp>BDP|11839984794340075157</stp>
        <tr r="I2628" s="2"/>
      </tp>
      <tp t="s">
        <v>#N/A N/A</v>
        <stp/>
        <stp>BDP|15171034857150234065</stp>
        <tr r="D3268" s="2"/>
      </tp>
      <tp t="s">
        <v>#N/A N/A</v>
        <stp/>
        <stp>BDP|17773805546438703372</stp>
        <tr r="D3047" s="2"/>
      </tp>
      <tp t="s">
        <v>#N/A N/A</v>
        <stp/>
        <stp>BDP|10096241454926630176</stp>
        <tr r="I704" s="2"/>
      </tp>
      <tp t="s">
        <v>#N/A N/A</v>
        <stp/>
        <stp>BDP|17185828183714345327</stp>
        <tr r="C1055" s="2"/>
      </tp>
      <tp t="s">
        <v>#N/A N/A</v>
        <stp/>
        <stp>BDP|17604963384445373364</stp>
        <tr r="G619" s="2"/>
      </tp>
      <tp t="s">
        <v>#N/A N/A</v>
        <stp/>
        <stp>BDP|12600237116311502070</stp>
        <tr r="B295" s="2"/>
      </tp>
      <tp t="s">
        <v>#N/A N/A</v>
        <stp/>
        <stp>BDP|15551210345934125705</stp>
        <tr r="A4529" s="2"/>
      </tp>
      <tp t="s">
        <v>#N/A N/A</v>
        <stp/>
        <stp>BDP|16596312849390571184</stp>
        <tr r="B3754" s="2"/>
      </tp>
      <tp t="s">
        <v>#N/A N/A</v>
        <stp/>
        <stp>BDP|11068750475343099207</stp>
        <tr r="B1285" s="2"/>
      </tp>
      <tp t="s">
        <v>#N/A N/A</v>
        <stp/>
        <stp>BDP|13875444992896685888</stp>
        <tr r="D1854" s="2"/>
      </tp>
      <tp t="s">
        <v>#N/A N/A</v>
        <stp/>
        <stp>BDP|17526201433122780411</stp>
        <tr r="H3154" s="2"/>
      </tp>
      <tp t="s">
        <v>#N/A N/A</v>
        <stp/>
        <stp>BDP|13933444779268580816</stp>
        <tr r="I701" s="2"/>
      </tp>
      <tp t="s">
        <v>#N/A N/A</v>
        <stp/>
        <stp>BDP|17752575758112086582</stp>
        <tr r="F4765" s="2"/>
      </tp>
      <tp t="s">
        <v>#N/A N/A</v>
        <stp/>
        <stp>BDP|18099723026454031947</stp>
        <tr r="H4320" s="2"/>
      </tp>
      <tp t="s">
        <v>#N/A N/A</v>
        <stp/>
        <stp>BDP|16421374925252794517</stp>
        <tr r="I4092" s="2"/>
      </tp>
      <tp t="s">
        <v>#N/A N/A</v>
        <stp/>
        <stp>BDP|14738257803295783364</stp>
        <tr r="D2137" s="2"/>
      </tp>
      <tp t="s">
        <v>#N/A N/A</v>
        <stp/>
        <stp>BDP|16643465585658089255</stp>
        <tr r="F3744" s="2"/>
      </tp>
      <tp t="s">
        <v>#N/A N/A</v>
        <stp/>
        <stp>BDP|17599182153495654680</stp>
        <tr r="C1339" s="2"/>
      </tp>
      <tp t="s">
        <v>#N/A N/A</v>
        <stp/>
        <stp>BDP|14731163473964140637</stp>
        <tr r="F3273" s="2"/>
      </tp>
      <tp t="s">
        <v>#N/A N/A</v>
        <stp/>
        <stp>BDP|16585939719926653897</stp>
        <tr r="I3139" s="2"/>
      </tp>
      <tp t="s">
        <v>#N/A N/A</v>
        <stp/>
        <stp>BDP|11339236336421004168</stp>
        <tr r="D3331" s="2"/>
      </tp>
      <tp t="s">
        <v>#N/A N/A</v>
        <stp/>
        <stp>BDP|15745640557175549318</stp>
        <tr r="F4234" s="2"/>
      </tp>
      <tp t="s">
        <v>#N/A N/A</v>
        <stp/>
        <stp>BDP|14028619287269647304</stp>
        <tr r="B2515" s="2"/>
      </tp>
      <tp t="s">
        <v>#N/A N/A</v>
        <stp/>
        <stp>BDP|17049526332493078208</stp>
        <tr r="I2841" s="2"/>
      </tp>
      <tp t="s">
        <v>#N/A N/A</v>
        <stp/>
        <stp>BDP|10012545735235963389</stp>
        <tr r="D595" s="2"/>
      </tp>
      <tp t="s">
        <v>#N/A N/A</v>
        <stp/>
        <stp>BDP|15591702082949781303</stp>
        <tr r="B1996" s="2"/>
      </tp>
      <tp t="s">
        <v>#N/A N/A</v>
        <stp/>
        <stp>BDP|12834076463911526597</stp>
        <tr r="I1094" s="2"/>
      </tp>
      <tp t="s">
        <v>#N/A N/A</v>
        <stp/>
        <stp>BDP|12654547823193384622</stp>
        <tr r="F2631" s="2"/>
      </tp>
      <tp t="s">
        <v>#N/A N/A</v>
        <stp/>
        <stp>BDP|12982252635557043492</stp>
        <tr r="D2467" s="2"/>
      </tp>
      <tp t="s">
        <v>#N/A N/A</v>
        <stp/>
        <stp>BDP|10881796392266459871</stp>
        <tr r="D4992" s="2"/>
      </tp>
      <tp t="s">
        <v>#N/A N/A</v>
        <stp/>
        <stp>BDP|13691833820118413112</stp>
        <tr r="F4215" s="2"/>
      </tp>
      <tp t="s">
        <v>#N/A N/A</v>
        <stp/>
        <stp>BDP|12224758690669045570</stp>
        <tr r="G3723" s="2"/>
      </tp>
      <tp t="s">
        <v>#N/A N/A</v>
        <stp/>
        <stp>BDP|18322057831439419238</stp>
        <tr r="A4981" s="2"/>
      </tp>
      <tp t="s">
        <v>#N/A N/A</v>
        <stp/>
        <stp>BDP|14007639282108557245</stp>
        <tr r="C423" s="2"/>
      </tp>
      <tp t="s">
        <v>#N/A N/A</v>
        <stp/>
        <stp>BDP|11077649862522251341</stp>
        <tr r="G1934" s="2"/>
      </tp>
      <tp t="s">
        <v>#N/A N/A</v>
        <stp/>
        <stp>BDP|17597173764481447125</stp>
        <tr r="H3874" s="2"/>
      </tp>
      <tp t="s">
        <v>#N/A N/A</v>
        <stp/>
        <stp>BDP|13304359960697221142</stp>
        <tr r="H1622" s="2"/>
      </tp>
      <tp t="s">
        <v>#N/A N/A</v>
        <stp/>
        <stp>BDP|16674048673670670171</stp>
        <tr r="F246" s="2"/>
      </tp>
      <tp t="s">
        <v>#N/A N/A</v>
        <stp/>
        <stp>BDP|15991658736927902737</stp>
        <tr r="I2005" s="2"/>
      </tp>
      <tp t="s">
        <v>#N/A N/A</v>
        <stp/>
        <stp>BDP|16484667011837704648</stp>
        <tr r="B3402" s="2"/>
      </tp>
      <tp t="s">
        <v>#N/A N/A</v>
        <stp/>
        <stp>BDP|16366939221444272933</stp>
        <tr r="F1399" s="2"/>
      </tp>
      <tp t="s">
        <v>#N/A N/A</v>
        <stp/>
        <stp>BDP|13484622530181566733</stp>
        <tr r="D3200" s="2"/>
      </tp>
      <tp t="s">
        <v>#N/A N/A</v>
        <stp/>
        <stp>BDP|11878636003033193496</stp>
        <tr r="F489" s="2"/>
      </tp>
      <tp t="s">
        <v>#N/A N/A</v>
        <stp/>
        <stp>BDP|13065555937845234005</stp>
        <tr r="F1575" s="2"/>
      </tp>
      <tp t="s">
        <v>#N/A N/A</v>
        <stp/>
        <stp>BDP|17735779444557513313</stp>
        <tr r="I1577" s="2"/>
      </tp>
      <tp t="s">
        <v>#N/A N/A</v>
        <stp/>
        <stp>BDP|18187748391733281562</stp>
        <tr r="D409" s="2"/>
      </tp>
      <tp t="s">
        <v>#N/A N/A</v>
        <stp/>
        <stp>BDP|13764243989299925038</stp>
        <tr r="I1764" s="2"/>
      </tp>
      <tp t="s">
        <v>#N/A N/A</v>
        <stp/>
        <stp>BDP|12928084260045631179</stp>
        <tr r="C4387" s="2"/>
      </tp>
      <tp t="s">
        <v>#N/A N/A</v>
        <stp/>
        <stp>BDP|14694159754484392441</stp>
        <tr r="H3311" s="2"/>
      </tp>
      <tp t="s">
        <v>#N/A N/A</v>
        <stp/>
        <stp>BDP|11050593285709487585</stp>
        <tr r="D2554" s="2"/>
      </tp>
      <tp t="s">
        <v>#N/A N/A</v>
        <stp/>
        <stp>BDP|11027288149741844695</stp>
        <tr r="B1769" s="2"/>
      </tp>
      <tp t="s">
        <v>#N/A N/A</v>
        <stp/>
        <stp>BDP|17569851382284182331</stp>
        <tr r="G418" s="2"/>
      </tp>
      <tp t="s">
        <v>#N/A N/A</v>
        <stp/>
        <stp>BDP|11622924073348459733</stp>
        <tr r="B122" s="2"/>
      </tp>
      <tp t="s">
        <v>#N/A N/A</v>
        <stp/>
        <stp>BDP|15986783003817233503</stp>
        <tr r="G4342" s="2"/>
      </tp>
      <tp t="s">
        <v>#N/A N/A</v>
        <stp/>
        <stp>BDP|13485225123856210577</stp>
        <tr r="G1191" s="2"/>
      </tp>
      <tp t="s">
        <v>#N/A N/A</v>
        <stp/>
        <stp>BDP|15186433902569449849</stp>
        <tr r="B2960" s="2"/>
      </tp>
      <tp t="s">
        <v>#N/A N/A</v>
        <stp/>
        <stp>BDP|17693914620125494936</stp>
        <tr r="D3010" s="2"/>
      </tp>
      <tp t="s">
        <v>#N/A N/A</v>
        <stp/>
        <stp>BDP|10547145546740259551</stp>
        <tr r="G1839" s="2"/>
      </tp>
      <tp t="s">
        <v>#N/A N/A</v>
        <stp/>
        <stp>BDP|12514821202319558304</stp>
        <tr r="G520" s="2"/>
      </tp>
      <tp t="s">
        <v>#N/A N/A</v>
        <stp/>
        <stp>BDP|11158621601114647343</stp>
        <tr r="I1963" s="2"/>
      </tp>
      <tp t="s">
        <v>#N/A N/A</v>
        <stp/>
        <stp>BDP|11551055916369156974</stp>
        <tr r="D845" s="2"/>
      </tp>
      <tp t="s">
        <v>#N/A N/A</v>
        <stp/>
        <stp>BDP|17174953497326368103</stp>
        <tr r="I408" s="2"/>
      </tp>
      <tp t="s">
        <v>#N/A N/A</v>
        <stp/>
        <stp>BDP|17822195050937054419</stp>
        <tr r="F1287" s="2"/>
      </tp>
      <tp t="s">
        <v>#N/A N/A</v>
        <stp/>
        <stp>BDP|16213420657144315343</stp>
        <tr r="C1594" s="2"/>
      </tp>
      <tp t="s">
        <v>#N/A N/A</v>
        <stp/>
        <stp>BDP|11010545447421731141</stp>
        <tr r="C3394" s="2"/>
      </tp>
      <tp t="s">
        <v>#N/A N/A</v>
        <stp/>
        <stp>BDP|10612553831655349312</stp>
        <tr r="I2554" s="2"/>
      </tp>
      <tp t="s">
        <v>#N/A N/A</v>
        <stp/>
        <stp>BDP|14460202577817162628</stp>
        <tr r="D1465" s="2"/>
      </tp>
      <tp t="s">
        <v>#N/A N/A</v>
        <stp/>
        <stp>BDP|17142275987948082511</stp>
        <tr r="C3820" s="2"/>
      </tp>
      <tp t="s">
        <v>#N/A N/A</v>
        <stp/>
        <stp>BDP|12657109867872913784</stp>
        <tr r="B1707" s="2"/>
      </tp>
      <tp t="s">
        <v>#N/A N/A</v>
        <stp/>
        <stp>BDP|14929554619233677332</stp>
        <tr r="C1519" s="2"/>
      </tp>
      <tp t="s">
        <v>#N/A N/A</v>
        <stp/>
        <stp>BDP|16269280776970962358</stp>
        <tr r="C2315" s="2"/>
      </tp>
      <tp t="s">
        <v>#N/A N/A</v>
        <stp/>
        <stp>BDP|17047365801070348444</stp>
        <tr r="A2419" s="2"/>
      </tp>
      <tp t="s">
        <v>#N/A N/A</v>
        <stp/>
        <stp>BDP|17497598081472902854</stp>
        <tr r="D1499" s="2"/>
      </tp>
      <tp t="s">
        <v>#N/A N/A</v>
        <stp/>
        <stp>BDP|12308206651715416060</stp>
        <tr r="A987" s="2"/>
      </tp>
      <tp t="s">
        <v>#N/A N/A</v>
        <stp/>
        <stp>BDP|11760704170732055370</stp>
        <tr r="I891" s="2"/>
      </tp>
      <tp t="s">
        <v>#N/A N/A</v>
        <stp/>
        <stp>BDP|15651111333251531615</stp>
        <tr r="C461" s="2"/>
      </tp>
      <tp t="s">
        <v>#N/A N/A</v>
        <stp/>
        <stp>BDP|16741649905683531338</stp>
        <tr r="C618" s="2"/>
      </tp>
      <tp t="s">
        <v>#N/A N/A</v>
        <stp/>
        <stp>BDP|16589267210291451478</stp>
        <tr r="I1392" s="2"/>
      </tp>
      <tp t="s">
        <v>#N/A N/A</v>
        <stp/>
        <stp>BDP|12864486465531076155</stp>
        <tr r="F2486" s="2"/>
      </tp>
      <tp t="s">
        <v>#N/A N/A</v>
        <stp/>
        <stp>BDP|17698476323818347915</stp>
        <tr r="I1273" s="2"/>
      </tp>
      <tp t="s">
        <v>#N/A N/A</v>
        <stp/>
        <stp>BDP|13521123856134276331</stp>
        <tr r="B3817" s="2"/>
      </tp>
      <tp t="s">
        <v>#N/A N/A</v>
        <stp/>
        <stp>BDP|18009852793221606806</stp>
        <tr r="H2595" s="2"/>
      </tp>
      <tp t="s">
        <v>#N/A N/A</v>
        <stp/>
        <stp>BDP|18395364695931576355</stp>
        <tr r="F4002" s="2"/>
      </tp>
      <tp t="s">
        <v>#N/A N/A</v>
        <stp/>
        <stp>BDP|11589875133923946985</stp>
        <tr r="I4769" s="2"/>
      </tp>
      <tp t="s">
        <v>#N/A N/A</v>
        <stp/>
        <stp>BDP|12890425519297286013</stp>
        <tr r="H989" s="2"/>
      </tp>
      <tp t="s">
        <v>#N/A N/A</v>
        <stp/>
        <stp>BDP|12820647062317966575</stp>
        <tr r="H1330" s="2"/>
      </tp>
      <tp t="s">
        <v>#N/A N/A</v>
        <stp/>
        <stp>BDP|11782685065947956634</stp>
        <tr r="F64" s="2"/>
      </tp>
      <tp t="s">
        <v>#N/A N/A</v>
        <stp/>
        <stp>BDP|13299439963082156331</stp>
        <tr r="A2375" s="2"/>
      </tp>
      <tp t="s">
        <v>#N/A N/A</v>
        <stp/>
        <stp>BDP|12128700372835707771</stp>
        <tr r="D910" s="2"/>
      </tp>
      <tp t="s">
        <v>#N/A N/A</v>
        <stp/>
        <stp>BDP|18086805877785303271</stp>
        <tr r="B3261" s="2"/>
      </tp>
      <tp t="s">
        <v>#N/A N/A</v>
        <stp/>
        <stp>BDP|13390028380208395311</stp>
        <tr r="G1088" s="2"/>
      </tp>
      <tp t="s">
        <v>#N/A N/A</v>
        <stp/>
        <stp>BDP|18010368536739270112</stp>
        <tr r="B2211" s="2"/>
      </tp>
      <tp t="s">
        <v>#N/A N/A</v>
        <stp/>
        <stp>BDP|14547328130596652226</stp>
        <tr r="B3868" s="2"/>
      </tp>
      <tp t="s">
        <v>#N/A N/A</v>
        <stp/>
        <stp>BDP|14185151020124302342</stp>
        <tr r="A4939" s="2"/>
      </tp>
      <tp t="s">
        <v>#N/A N/A</v>
        <stp/>
        <stp>BDP|15219541001148638828</stp>
        <tr r="H1277" s="2"/>
      </tp>
      <tp t="s">
        <v>#N/A N/A</v>
        <stp/>
        <stp>BDP|16951218730670814730</stp>
        <tr r="H4958" s="2"/>
      </tp>
      <tp t="s">
        <v>#N/A N/A</v>
        <stp/>
        <stp>BDP|16242602404290278079</stp>
        <tr r="H3872" s="2"/>
      </tp>
      <tp t="s">
        <v>#N/A N/A</v>
        <stp/>
        <stp>BDP|11245906786138480831</stp>
        <tr r="H55" s="2"/>
      </tp>
      <tp t="s">
        <v>#N/A N/A</v>
        <stp/>
        <stp>BDP|17532298509653153672</stp>
        <tr r="D3795" s="2"/>
      </tp>
      <tp t="s">
        <v>#N/A N/A</v>
        <stp/>
        <stp>BDP|13307507633865207015</stp>
        <tr r="C3495" s="2"/>
      </tp>
      <tp t="s">
        <v>#N/A N/A</v>
        <stp/>
        <stp>BDP|13254286971821963714</stp>
        <tr r="G3467" s="2"/>
      </tp>
      <tp t="s">
        <v>#N/A N/A</v>
        <stp/>
        <stp>BDP|10531572753865354515</stp>
        <tr r="A1583" s="2"/>
      </tp>
      <tp t="s">
        <v>#N/A N/A</v>
        <stp/>
        <stp>BDP|17588477549587961015</stp>
        <tr r="G3582" s="2"/>
      </tp>
      <tp t="s">
        <v>#N/A N/A</v>
        <stp/>
        <stp>BDP|14224488122216267497</stp>
        <tr r="B1376" s="2"/>
      </tp>
      <tp t="s">
        <v>#N/A N/A</v>
        <stp/>
        <stp>BDP|10389254232705206453</stp>
        <tr r="H4668" s="2"/>
      </tp>
      <tp t="s">
        <v>#N/A N/A</v>
        <stp/>
        <stp>BDP|11106488724541879662</stp>
        <tr r="H4842" s="2"/>
      </tp>
      <tp t="s">
        <v>#N/A N/A</v>
        <stp/>
        <stp>BDP|13166217361037493060</stp>
        <tr r="A3461" s="2"/>
      </tp>
      <tp t="s">
        <v>#N/A N/A</v>
        <stp/>
        <stp>BDP|16847958268020242940</stp>
        <tr r="C4553" s="2"/>
      </tp>
      <tp t="s">
        <v>#N/A N/A</v>
        <stp/>
        <stp>BDP|18128839859604857100</stp>
        <tr r="H775" s="2"/>
      </tp>
      <tp t="s">
        <v>#N/A N/A</v>
        <stp/>
        <stp>BDP|14967559986860069999</stp>
        <tr r="B1971" s="2"/>
      </tp>
      <tp t="s">
        <v>#N/A N/A</v>
        <stp/>
        <stp>BDP|12927138434386567680</stp>
        <tr r="D2152" s="2"/>
      </tp>
      <tp t="s">
        <v>#N/A N/A</v>
        <stp/>
        <stp>BDP|15099200451462542076</stp>
        <tr r="I4869" s="2"/>
      </tp>
      <tp t="s">
        <v>#N/A N/A</v>
        <stp/>
        <stp>BDP|14229599154146974252</stp>
        <tr r="A2460" s="2"/>
      </tp>
      <tp t="s">
        <v>#N/A N/A</v>
        <stp/>
        <stp>BDP|15170788137689922844</stp>
        <tr r="D3861" s="2"/>
      </tp>
      <tp t="s">
        <v>#N/A N/A</v>
        <stp/>
        <stp>BDP|15389445897411141922</stp>
        <tr r="I822" s="2"/>
      </tp>
      <tp t="s">
        <v>#N/A N/A</v>
        <stp/>
        <stp>BDP|12555866691630830399</stp>
        <tr r="I2924" s="2"/>
      </tp>
      <tp t="s">
        <v>#N/A N/A</v>
        <stp/>
        <stp>BDP|16427117573181599102</stp>
        <tr r="I3973" s="2"/>
      </tp>
      <tp t="s">
        <v>#N/A N/A</v>
        <stp/>
        <stp>BDP|17402118930762142775</stp>
        <tr r="A1644" s="2"/>
      </tp>
      <tp t="s">
        <v>#N/A N/A</v>
        <stp/>
        <stp>BDP|12912075222597681797</stp>
        <tr r="B1863" s="2"/>
      </tp>
      <tp t="s">
        <v>#N/A N/A</v>
        <stp/>
        <stp>BDP|13159116937563411209</stp>
        <tr r="F1650" s="2"/>
      </tp>
      <tp t="s">
        <v>#N/A N/A</v>
        <stp/>
        <stp>BDP|11261295828966459741</stp>
        <tr r="B891" s="2"/>
      </tp>
      <tp t="s">
        <v>#N/A N/A</v>
        <stp/>
        <stp>BDP|14622735237609960989</stp>
        <tr r="B4295" s="2"/>
      </tp>
      <tp t="s">
        <v>#N/A N/A</v>
        <stp/>
        <stp>BDP|10889256100222727093</stp>
        <tr r="I3281" s="2"/>
      </tp>
      <tp t="s">
        <v>#N/A N/A</v>
        <stp/>
        <stp>BDP|14406132325415638278</stp>
        <tr r="A3582" s="2"/>
      </tp>
      <tp t="s">
        <v>#N/A N/A</v>
        <stp/>
        <stp>BDP|11272707551995844680</stp>
        <tr r="G1127" s="2"/>
      </tp>
      <tp t="s">
        <v>#N/A N/A</v>
        <stp/>
        <stp>BDP|13186792626112535485</stp>
        <tr r="D2043" s="2"/>
      </tp>
      <tp t="s">
        <v>#N/A N/A</v>
        <stp/>
        <stp>BDP|10563172375834420203</stp>
        <tr r="I1961" s="2"/>
      </tp>
      <tp t="s">
        <v>#N/A N/A</v>
        <stp/>
        <stp>BDP|16437424815695283625</stp>
        <tr r="A3458" s="2"/>
      </tp>
      <tp t="s">
        <v>#N/A N/A</v>
        <stp/>
        <stp>BDP|17393424724414011564</stp>
        <tr r="A4963" s="2"/>
      </tp>
      <tp t="s">
        <v>#N/A N/A</v>
        <stp/>
        <stp>BDP|10388996924188838350</stp>
        <tr r="D2379" s="2"/>
      </tp>
      <tp t="s">
        <v>#N/A N/A</v>
        <stp/>
        <stp>BDP|14840062876486262598</stp>
        <tr r="H3171" s="2"/>
      </tp>
      <tp t="s">
        <v>#N/A N/A</v>
        <stp/>
        <stp>BDP|14543912657681515952</stp>
        <tr r="D3132" s="2"/>
      </tp>
      <tp t="s">
        <v>#N/A N/A</v>
        <stp/>
        <stp>BDP|10657327234084369407</stp>
        <tr r="C2683" s="2"/>
      </tp>
      <tp t="s">
        <v>#N/A N/A</v>
        <stp/>
        <stp>BDP|13477578777768631918</stp>
        <tr r="B2859" s="2"/>
      </tp>
      <tp t="s">
        <v>#N/A N/A</v>
        <stp/>
        <stp>BDP|12819088634999509822</stp>
        <tr r="H2338" s="2"/>
      </tp>
      <tp t="s">
        <v>#N/A N/A</v>
        <stp/>
        <stp>BDP|17442628740882072751</stp>
        <tr r="I1621" s="2"/>
      </tp>
      <tp t="s">
        <v>#N/A N/A</v>
        <stp/>
        <stp>BDP|13062702292384756960</stp>
        <tr r="H2606" s="2"/>
      </tp>
      <tp t="s">
        <v>#N/A N/A</v>
        <stp/>
        <stp>BDP|11156109750836536375</stp>
        <tr r="G1811" s="2"/>
      </tp>
      <tp t="s">
        <v>#N/A N/A</v>
        <stp/>
        <stp>BDP|13068706530901289613</stp>
        <tr r="A1503" s="2"/>
      </tp>
      <tp t="s">
        <v>#N/A N/A</v>
        <stp/>
        <stp>BDP|13010325211634150515</stp>
        <tr r="G1296" s="2"/>
      </tp>
      <tp t="s">
        <v>#N/A N/A</v>
        <stp/>
        <stp>BDP|17495927600868635637</stp>
        <tr r="I568" s="2"/>
      </tp>
      <tp t="s">
        <v>#N/A N/A</v>
        <stp/>
        <stp>BDP|11432647401285342213</stp>
        <tr r="C3730" s="2"/>
      </tp>
      <tp t="s">
        <v>#N/A N/A</v>
        <stp/>
        <stp>BDP|14101756397282476842</stp>
        <tr r="D3215" s="2"/>
      </tp>
      <tp t="s">
        <v>#N/A N/A</v>
        <stp/>
        <stp>BDP|13015877504198320334</stp>
        <tr r="F4843" s="2"/>
      </tp>
      <tp t="s">
        <v>#N/A N/A</v>
        <stp/>
        <stp>BDP|15246944786035116120</stp>
        <tr r="A2513" s="2"/>
      </tp>
      <tp t="s">
        <v>#N/A N/A</v>
        <stp/>
        <stp>BDP|14753736010056416433</stp>
        <tr r="H2900" s="2"/>
      </tp>
      <tp t="s">
        <v>#N/A N/A</v>
        <stp/>
        <stp>BDP|11475279821962606377</stp>
        <tr r="G1102" s="2"/>
      </tp>
      <tp t="s">
        <v>#N/A N/A</v>
        <stp/>
        <stp>BDP|13192201405820318141</stp>
        <tr r="F585" s="2"/>
      </tp>
      <tp t="s">
        <v>#N/A N/A</v>
        <stp/>
        <stp>BDP|11609467234131226753</stp>
        <tr r="H515" s="2"/>
      </tp>
      <tp t="s">
        <v>#N/A N/A</v>
        <stp/>
        <stp>BDP|11344478761527292447</stp>
        <tr r="G3206" s="2"/>
      </tp>
      <tp t="s">
        <v>#N/A N/A</v>
        <stp/>
        <stp>BDP|11023507368007342586</stp>
        <tr r="D4218" s="2"/>
      </tp>
      <tp t="s">
        <v>#N/A N/A</v>
        <stp/>
        <stp>BDP|17643153215730140743</stp>
        <tr r="I4319" s="2"/>
      </tp>
      <tp t="s">
        <v>#N/A N/A</v>
        <stp/>
        <stp>BDP|10878098194118104178</stp>
        <tr r="I136" s="2"/>
      </tp>
      <tp t="s">
        <v>#N/A N/A</v>
        <stp/>
        <stp>BDP|13670626966690447355</stp>
        <tr r="C2222" s="2"/>
      </tp>
      <tp t="s">
        <v>#N/A N/A</v>
        <stp/>
        <stp>BDP|13438747131281260606</stp>
        <tr r="G1544" s="2"/>
      </tp>
      <tp t="s">
        <v>#N/A N/A</v>
        <stp/>
        <stp>BDP|13365427795686515823</stp>
        <tr r="I267" s="2"/>
      </tp>
      <tp t="s">
        <v>#N/A N/A</v>
        <stp/>
        <stp>BDP|10553184389529683019</stp>
        <tr r="G2001" s="2"/>
      </tp>
      <tp t="s">
        <v>#N/A N/A</v>
        <stp/>
        <stp>BDP|14320450764775300320</stp>
        <tr r="G3507" s="2"/>
      </tp>
      <tp t="s">
        <v>#N/A N/A</v>
        <stp/>
        <stp>BDP|17155061287429745641</stp>
        <tr r="F4197" s="2"/>
      </tp>
      <tp t="s">
        <v>#N/A N/A</v>
        <stp/>
        <stp>BDP|11776797681937481984</stp>
        <tr r="I3509" s="2"/>
      </tp>
      <tp t="s">
        <v>#N/A N/A</v>
        <stp/>
        <stp>BDP|11277796042201351392</stp>
        <tr r="A3490" s="2"/>
      </tp>
      <tp t="s">
        <v>#N/A N/A</v>
        <stp/>
        <stp>BDP|15647594138304740733</stp>
        <tr r="C3180" s="2"/>
      </tp>
      <tp t="s">
        <v>#N/A N/A</v>
        <stp/>
        <stp>BDP|16326294712405353083</stp>
        <tr r="B1344" s="2"/>
      </tp>
      <tp t="s">
        <v>#N/A N/A</v>
        <stp/>
        <stp>BDP|12411619345382186238</stp>
        <tr r="F1798" s="2"/>
      </tp>
      <tp t="s">
        <v>#N/A N/A</v>
        <stp/>
        <stp>BDP|10669389558700113652</stp>
        <tr r="B1567" s="2"/>
      </tp>
      <tp t="s">
        <v>#N/A N/A</v>
        <stp/>
        <stp>BDP|16169003064954443433</stp>
        <tr r="F601" s="2"/>
      </tp>
      <tp t="s">
        <v>#N/A N/A</v>
        <stp/>
        <stp>BDP|14012712891852411861</stp>
        <tr r="H1250" s="2"/>
      </tp>
      <tp t="s">
        <v>#N/A N/A</v>
        <stp/>
        <stp>BDP|11698438816022230639</stp>
        <tr r="I2864" s="2"/>
      </tp>
      <tp t="s">
        <v>#N/A N/A</v>
        <stp/>
        <stp>BDP|12529176230523526359</stp>
        <tr r="A4175" s="2"/>
      </tp>
      <tp t="s">
        <v>#N/A N/A</v>
        <stp/>
        <stp>BDP|13167801573549819589</stp>
        <tr r="D3880" s="2"/>
      </tp>
      <tp t="s">
        <v>#N/A N/A</v>
        <stp/>
        <stp>BDP|15456606987922292939</stp>
        <tr r="B4576" s="2"/>
      </tp>
      <tp t="s">
        <v>#N/A N/A</v>
        <stp/>
        <stp>BDP|17144806597085186350</stp>
        <tr r="D1793" s="2"/>
      </tp>
      <tp t="s">
        <v>#N/A N/A</v>
        <stp/>
        <stp>BDP|17783890339794518804</stp>
        <tr r="I3436" s="2"/>
      </tp>
      <tp t="s">
        <v>#N/A N/A</v>
        <stp/>
        <stp>BDP|11794470226350310771</stp>
        <tr r="C3314" s="2"/>
      </tp>
      <tp t="s">
        <v>#N/A N/A</v>
        <stp/>
        <stp>BDP|14564885585784951038</stp>
        <tr r="B1558" s="2"/>
      </tp>
      <tp t="s">
        <v>#N/A N/A</v>
        <stp/>
        <stp>BDP|16893546249687668016</stp>
        <tr r="F3262" s="2"/>
      </tp>
      <tp t="s">
        <v>#N/A N/A</v>
        <stp/>
        <stp>BDP|17221453509871452285</stp>
        <tr r="F1086" s="2"/>
      </tp>
      <tp t="s">
        <v>#N/A N/A</v>
        <stp/>
        <stp>BDP|15499725738778535990</stp>
        <tr r="A4721" s="2"/>
      </tp>
      <tp t="s">
        <v>#N/A N/A</v>
        <stp/>
        <stp>BDP|15911152604790852429</stp>
        <tr r="F1911" s="2"/>
      </tp>
      <tp t="s">
        <v>#N/A N/A</v>
        <stp/>
        <stp>BDP|15204724966773783733</stp>
        <tr r="F3991" s="2"/>
      </tp>
      <tp t="s">
        <v>#N/A N/A</v>
        <stp/>
        <stp>BDP|13193015302537218420</stp>
        <tr r="B437" s="2"/>
      </tp>
      <tp t="s">
        <v>#N/A N/A</v>
        <stp/>
        <stp>BDP|11047917714009336048</stp>
        <tr r="H4108" s="2"/>
      </tp>
      <tp t="s">
        <v>#N/A N/A</v>
        <stp/>
        <stp>BDP|11353150133812161163</stp>
        <tr r="D583" s="2"/>
      </tp>
      <tp t="s">
        <v>#N/A N/A</v>
        <stp/>
        <stp>BDP|17817374047709825928</stp>
        <tr r="C554" s="2"/>
      </tp>
      <tp t="s">
        <v>#N/A N/A</v>
        <stp/>
        <stp>BDP|10637573382804203937</stp>
        <tr r="D4499" s="2"/>
      </tp>
      <tp t="s">
        <v>#N/A N/A</v>
        <stp/>
        <stp>BDP|11531968692689218813</stp>
        <tr r="H1697" s="2"/>
      </tp>
      <tp t="s">
        <v>#N/A N/A</v>
        <stp/>
        <stp>BDP|15866718771052274786</stp>
        <tr r="D1269" s="2"/>
      </tp>
      <tp t="s">
        <v>#N/A N/A</v>
        <stp/>
        <stp>BDP|16497180040454812763</stp>
        <tr r="I2874" s="2"/>
      </tp>
      <tp t="s">
        <v>#N/A N/A</v>
        <stp/>
        <stp>BDP|12036049886428062206</stp>
        <tr r="D907" s="2"/>
      </tp>
      <tp t="s">
        <v>#N/A N/A</v>
        <stp/>
        <stp>BDP|12579049014511271252</stp>
        <tr r="F3083" s="2"/>
      </tp>
      <tp t="s">
        <v>#N/A N/A</v>
        <stp/>
        <stp>BDP|10639119901008258961</stp>
        <tr r="C1476" s="2"/>
      </tp>
      <tp t="s">
        <v>#N/A N/A</v>
        <stp/>
        <stp>BDP|10802498545839581936</stp>
        <tr r="G1237" s="2"/>
      </tp>
      <tp t="s">
        <v>#N/A N/A</v>
        <stp/>
        <stp>BDP|15991199613845016017</stp>
        <tr r="B3245" s="2"/>
      </tp>
      <tp t="s">
        <v>#N/A N/A</v>
        <stp/>
        <stp>BDP|10058718766591429017</stp>
        <tr r="C1980" s="2"/>
      </tp>
      <tp t="s">
        <v>#N/A N/A</v>
        <stp/>
        <stp>BDP|12329505910990941687</stp>
        <tr r="B2552" s="2"/>
      </tp>
      <tp t="s">
        <v>#N/A N/A</v>
        <stp/>
        <stp>BDP|11708341917925479622</stp>
        <tr r="B3171" s="2"/>
      </tp>
      <tp t="s">
        <v>#N/A N/A</v>
        <stp/>
        <stp>BDP|13890273512597926760</stp>
        <tr r="B941" s="2"/>
      </tp>
      <tp t="s">
        <v>#N/A N/A</v>
        <stp/>
        <stp>BDP|10179913406210436909</stp>
        <tr r="G2774" s="2"/>
      </tp>
      <tp t="s">
        <v>#N/A N/A</v>
        <stp/>
        <stp>BDP|14173178020365611221</stp>
        <tr r="G657" s="2"/>
      </tp>
      <tp t="s">
        <v>#N/A N/A</v>
        <stp/>
        <stp>BDP|11816947143618541488</stp>
        <tr r="D327" s="2"/>
      </tp>
      <tp t="s">
        <v>#N/A N/A</v>
        <stp/>
        <stp>BDP|14781962134639494739</stp>
        <tr r="A1518" s="2"/>
      </tp>
      <tp t="s">
        <v>#N/A N/A</v>
        <stp/>
        <stp>BDP|10800434998389031418</stp>
        <tr r="F10" s="2"/>
      </tp>
      <tp t="s">
        <v>#N/A N/A</v>
        <stp/>
        <stp>BDP|16783698040496842243</stp>
        <tr r="D1370" s="2"/>
      </tp>
      <tp t="s">
        <v>#N/A N/A</v>
        <stp/>
        <stp>BDP|13936415231830880435</stp>
        <tr r="C163" s="2"/>
      </tp>
      <tp t="s">
        <v>#N/A N/A</v>
        <stp/>
        <stp>BDP|10117142067731559653</stp>
        <tr r="C1457" s="2"/>
      </tp>
      <tp t="s">
        <v>#N/A N/A</v>
        <stp/>
        <stp>BDP|15294425726963278060</stp>
        <tr r="C3079" s="2"/>
      </tp>
      <tp t="s">
        <v>#N/A N/A</v>
        <stp/>
        <stp>BDP|15134551333385579604</stp>
        <tr r="D1415" s="2"/>
      </tp>
      <tp t="s">
        <v>#N/A N/A</v>
        <stp/>
        <stp>BDP|17641364572570122315</stp>
        <tr r="G1830" s="2"/>
      </tp>
      <tp t="s">
        <v>#N/A N/A</v>
        <stp/>
        <stp>BDP|15210240811336149044</stp>
        <tr r="G3413" s="2"/>
      </tp>
      <tp t="s">
        <v>#N/A N/A</v>
        <stp/>
        <stp>BDP|10066643898058837767</stp>
        <tr r="G3273" s="2"/>
      </tp>
      <tp t="s">
        <v>#N/A N/A</v>
        <stp/>
        <stp>BDP|12486141441840403770</stp>
        <tr r="C1765" s="2"/>
      </tp>
      <tp t="s">
        <v>#N/A N/A</v>
        <stp/>
        <stp>BDP|14656121013731272575</stp>
        <tr r="F1601" s="2"/>
      </tp>
      <tp t="s">
        <v>#N/A N/A</v>
        <stp/>
        <stp>BDP|17247222704840582537</stp>
        <tr r="D2004" s="2"/>
      </tp>
      <tp t="s">
        <v>#N/A N/A</v>
        <stp/>
        <stp>BDP|17071170611657262066</stp>
        <tr r="D3858" s="2"/>
      </tp>
      <tp t="s">
        <v>#N/A N/A</v>
        <stp/>
        <stp>BDP|13764074832698117814</stp>
        <tr r="C2585" s="2"/>
      </tp>
      <tp t="s">
        <v>#N/A N/A</v>
        <stp/>
        <stp>BDP|13891792507237185350</stp>
        <tr r="F4180" s="2"/>
      </tp>
      <tp t="s">
        <v>#N/A N/A</v>
        <stp/>
        <stp>BDP|12668474933177354236</stp>
        <tr r="F4778" s="2"/>
      </tp>
      <tp t="s">
        <v>#N/A N/A</v>
        <stp/>
        <stp>BDP|13538012792152488808</stp>
        <tr r="A1545" s="2"/>
      </tp>
      <tp t="s">
        <v>#N/A N/A</v>
        <stp/>
        <stp>BDP|11651373467842509619</stp>
        <tr r="D4915" s="2"/>
      </tp>
      <tp t="s">
        <v>#N/A N/A</v>
        <stp/>
        <stp>BDP|15811498597151185957</stp>
        <tr r="G271" s="2"/>
      </tp>
      <tp t="s">
        <v>#N/A N/A</v>
        <stp/>
        <stp>BDP|15078347930060720515</stp>
        <tr r="C193" s="2"/>
      </tp>
      <tp t="s">
        <v>#N/A N/A</v>
        <stp/>
        <stp>BDP|10111032421210916287</stp>
        <tr r="F3900" s="2"/>
      </tp>
      <tp t="s">
        <v>#N/A N/A</v>
        <stp/>
        <stp>BDP|14839582228051273280</stp>
        <tr r="F2713" s="2"/>
      </tp>
      <tp t="s">
        <v>#N/A N/A</v>
        <stp/>
        <stp>BDP|11412533553325239444</stp>
        <tr r="G4440" s="2"/>
      </tp>
      <tp t="s">
        <v>#N/A N/A</v>
        <stp/>
        <stp>BDP|12586517887926860996</stp>
        <tr r="C645" s="2"/>
      </tp>
      <tp t="s">
        <v>#N/A N/A</v>
        <stp/>
        <stp>BDP|14743270433983097612</stp>
        <tr r="B4656" s="2"/>
      </tp>
      <tp t="s">
        <v>#N/A N/A</v>
        <stp/>
        <stp>BDP|11216410497485678904</stp>
        <tr r="F2927" s="2"/>
      </tp>
      <tp t="s">
        <v>#N/A N/A</v>
        <stp/>
        <stp>BDP|16798428124140570062</stp>
        <tr r="G3930" s="2"/>
      </tp>
      <tp t="s">
        <v>#N/A N/A</v>
        <stp/>
        <stp>BDP|14570231634197621260</stp>
        <tr r="C4371" s="2"/>
      </tp>
      <tp t="s">
        <v>#N/A N/A</v>
        <stp/>
        <stp>BDP|10700648888807043991</stp>
        <tr r="A4506" s="2"/>
      </tp>
      <tp t="s">
        <v>#N/A N/A</v>
        <stp/>
        <stp>BDP|13237111094008227375</stp>
        <tr r="H4819" s="2"/>
      </tp>
      <tp t="s">
        <v>#N/A N/A</v>
        <stp/>
        <stp>BDP|11794004500210323168</stp>
        <tr r="A1308" s="2"/>
      </tp>
      <tp t="s">
        <v>#N/A N/A</v>
        <stp/>
        <stp>BDP|16520667753064653145</stp>
        <tr r="I4217" s="2"/>
      </tp>
      <tp t="s">
        <v>#N/A N/A</v>
        <stp/>
        <stp>BDP|18259083928743848981</stp>
        <tr r="F547" s="2"/>
      </tp>
      <tp t="s">
        <v>#N/A N/A</v>
        <stp/>
        <stp>BDP|14928010555046927764</stp>
        <tr r="G3683" s="2"/>
      </tp>
      <tp t="s">
        <v>#N/A N/A</v>
        <stp/>
        <stp>BDP|16418134664027122603</stp>
        <tr r="I3657" s="2"/>
      </tp>
      <tp t="s">
        <v>#N/A N/A</v>
        <stp/>
        <stp>BDP|11705876252568125415</stp>
        <tr r="I1096" s="2"/>
      </tp>
      <tp t="s">
        <v>#N/A N/A</v>
        <stp/>
        <stp>BDP|11571043105972611308</stp>
        <tr r="F4208" s="2"/>
      </tp>
      <tp t="s">
        <v>#N/A N/A</v>
        <stp/>
        <stp>BDP|15093586201058528896</stp>
        <tr r="H4189" s="2"/>
      </tp>
      <tp t="s">
        <v>#N/A N/A</v>
        <stp/>
        <stp>BDP|17941297523815259245</stp>
        <tr r="I1120" s="2"/>
      </tp>
      <tp t="s">
        <v>#N/A N/A</v>
        <stp/>
        <stp>BDP|16315318755655536577</stp>
        <tr r="D4712" s="2"/>
      </tp>
      <tp t="s">
        <v>#N/A N/A</v>
        <stp/>
        <stp>BDP|17025833732739450508</stp>
        <tr r="H3700" s="2"/>
      </tp>
      <tp t="s">
        <v>#N/A N/A</v>
        <stp/>
        <stp>BDP|16310661039750857319</stp>
        <tr r="I2034" s="2"/>
      </tp>
      <tp t="s">
        <v>#N/A N/A</v>
        <stp/>
        <stp>BDP|10896408153059939878</stp>
        <tr r="C4925" s="2"/>
      </tp>
      <tp t="s">
        <v>#N/A N/A</v>
        <stp/>
        <stp>BDP|17715958714026175924</stp>
        <tr r="F2153" s="2"/>
      </tp>
      <tp t="s">
        <v>#N/A N/A</v>
        <stp/>
        <stp>BDP|16436250243922557225</stp>
        <tr r="B4964" s="2"/>
      </tp>
      <tp t="s">
        <v>#N/A N/A</v>
        <stp/>
        <stp>BDP|17911999300908793622</stp>
        <tr r="C872" s="2"/>
      </tp>
      <tp t="s">
        <v>#N/A N/A</v>
        <stp/>
        <stp>BDP|14679065627575198334</stp>
        <tr r="G1041" s="2"/>
      </tp>
      <tp t="s">
        <v>#N/A N/A</v>
        <stp/>
        <stp>BDP|11958640630146079289</stp>
        <tr r="I3924" s="2"/>
      </tp>
      <tp t="s">
        <v>#N/A N/A</v>
        <stp/>
        <stp>BDP|17459938436514637922</stp>
        <tr r="I4757" s="2"/>
      </tp>
      <tp t="s">
        <v>#N/A N/A</v>
        <stp/>
        <stp>BDP|16338894984957360181</stp>
        <tr r="G1661" s="2"/>
      </tp>
      <tp t="s">
        <v>#N/A N/A</v>
        <stp/>
        <stp>BDP|17593282517236906260</stp>
        <tr r="C3477" s="2"/>
      </tp>
      <tp t="s">
        <v>#N/A N/A</v>
        <stp/>
        <stp>BDP|17972377987305987953</stp>
        <tr r="F815" s="2"/>
      </tp>
      <tp t="s">
        <v>#N/A N/A</v>
        <stp/>
        <stp>BDP|10022372516204098643</stp>
        <tr r="H486" s="2"/>
      </tp>
      <tp t="s">
        <v>#N/A N/A</v>
        <stp/>
        <stp>BDP|12746546806125435248</stp>
        <tr r="B765" s="2"/>
      </tp>
      <tp t="s">
        <v>#N/A N/A</v>
        <stp/>
        <stp>BDP|15008110717352393702</stp>
        <tr r="B4120" s="2"/>
      </tp>
      <tp t="s">
        <v>#N/A N/A</v>
        <stp/>
        <stp>BDP|12562874758649944668</stp>
        <tr r="D3223" s="2"/>
      </tp>
      <tp t="s">
        <v>#N/A N/A</v>
        <stp/>
        <stp>BDP|13933469821556279390</stp>
        <tr r="A2888" s="2"/>
      </tp>
      <tp t="s">
        <v>#N/A N/A</v>
        <stp/>
        <stp>BDP|10421648344731507345</stp>
        <tr r="B4741" s="2"/>
      </tp>
      <tp t="s">
        <v>#N/A N/A</v>
        <stp/>
        <stp>BDP|11203636276983608347</stp>
        <tr r="A892" s="2"/>
      </tp>
      <tp t="s">
        <v>#N/A N/A</v>
        <stp/>
        <stp>BDP|18362999690008925065</stp>
        <tr r="A1294" s="2"/>
      </tp>
      <tp t="s">
        <v>#N/A N/A</v>
        <stp/>
        <stp>BDP|10994528763911862256</stp>
        <tr r="B2349" s="2"/>
      </tp>
      <tp t="s">
        <v>#N/A N/A</v>
        <stp/>
        <stp>BDP|15429098909621920486</stp>
        <tr r="G2638" s="2"/>
      </tp>
      <tp t="s">
        <v>#N/A N/A</v>
        <stp/>
        <stp>BDP|13352100874010287502</stp>
        <tr r="H3120" s="2"/>
      </tp>
      <tp t="s">
        <v>#N/A N/A</v>
        <stp/>
        <stp>BDP|12630865043279230748</stp>
        <tr r="D2418" s="2"/>
      </tp>
      <tp t="s">
        <v>#N/A N/A</v>
        <stp/>
        <stp>BDP|12507645740558376878</stp>
        <tr r="G3031" s="2"/>
      </tp>
      <tp t="s">
        <v>#N/A N/A</v>
        <stp/>
        <stp>BDP|14824685654802778566</stp>
        <tr r="I3834" s="2"/>
      </tp>
      <tp t="s">
        <v>#N/A N/A</v>
        <stp/>
        <stp>BDP|16824154799186282832</stp>
        <tr r="A3575" s="2"/>
      </tp>
      <tp t="s">
        <v>#N/A N/A</v>
        <stp/>
        <stp>BDP|15214113200043398756</stp>
        <tr r="B2076" s="2"/>
      </tp>
      <tp t="s">
        <v>#N/A N/A</v>
        <stp/>
        <stp>BDP|12135032697113055808</stp>
        <tr r="C3965" s="2"/>
      </tp>
      <tp t="s">
        <v>#N/A N/A</v>
        <stp/>
        <stp>BDP|13280270275125103344</stp>
        <tr r="G2392" s="2"/>
      </tp>
      <tp t="s">
        <v>#N/A N/A</v>
        <stp/>
        <stp>BDP|16642884708656133828</stp>
        <tr r="B1256" s="2"/>
      </tp>
      <tp t="s">
        <v>#N/A N/A</v>
        <stp/>
        <stp>BDP|16364418933754045541</stp>
        <tr r="G4461" s="2"/>
      </tp>
      <tp t="s">
        <v>#N/A N/A</v>
        <stp/>
        <stp>BDP|11897235579621259553</stp>
        <tr r="A1515" s="2"/>
      </tp>
      <tp t="s">
        <v>#N/A N/A</v>
        <stp/>
        <stp>BDP|17817542718435299632</stp>
        <tr r="G3559" s="2"/>
      </tp>
      <tp t="s">
        <v>#N/A N/A</v>
        <stp/>
        <stp>BDP|13736330598501996803</stp>
        <tr r="D468" s="2"/>
      </tp>
      <tp t="s">
        <v>#N/A N/A</v>
        <stp/>
        <stp>BDP|12730029602831062328</stp>
        <tr r="B1218" s="2"/>
      </tp>
      <tp t="s">
        <v>#N/A N/A</v>
        <stp/>
        <stp>BDP|14795556176030767665</stp>
        <tr r="I1062" s="2"/>
      </tp>
      <tp t="s">
        <v>#N/A N/A</v>
        <stp/>
        <stp>BDP|16836598018631807341</stp>
        <tr r="F4521" s="2"/>
      </tp>
      <tp t="s">
        <v>#N/A N/A</v>
        <stp/>
        <stp>BDP|10650946981006257745</stp>
        <tr r="G1522" s="2"/>
      </tp>
      <tp t="s">
        <v>#N/A N/A</v>
        <stp/>
        <stp>BDP|17679225077037153574</stp>
        <tr r="A3802" s="2"/>
      </tp>
      <tp t="s">
        <v>#N/A N/A</v>
        <stp/>
        <stp>BDP|16032070711275148226</stp>
        <tr r="B880" s="2"/>
      </tp>
      <tp t="s">
        <v>#N/A N/A</v>
        <stp/>
        <stp>BDP|11907236728033522227</stp>
        <tr r="G1923" s="2"/>
      </tp>
      <tp t="s">
        <v>#N/A N/A</v>
        <stp/>
        <stp>BDP|16520844585903087514</stp>
        <tr r="D691" s="2"/>
      </tp>
      <tp t="s">
        <v>#N/A N/A</v>
        <stp/>
        <stp>BDP|10472974823648426315</stp>
        <tr r="C4601" s="2"/>
      </tp>
      <tp t="s">
        <v>#N/A N/A</v>
        <stp/>
        <stp>BDP|15628535536013544031</stp>
        <tr r="G1758" s="2"/>
      </tp>
      <tp t="s">
        <v>#N/A N/A</v>
        <stp/>
        <stp>BDP|12724655553835788435</stp>
        <tr r="D4192" s="2"/>
      </tp>
      <tp t="s">
        <v>#N/A N/A</v>
        <stp/>
        <stp>BDP|16500884219318005715</stp>
        <tr r="H70" s="2"/>
      </tp>
      <tp t="s">
        <v>#N/A N/A</v>
        <stp/>
        <stp>BDP|10606282323315804503</stp>
        <tr r="A3289" s="2"/>
      </tp>
      <tp t="s">
        <v>#N/A N/A</v>
        <stp/>
        <stp>BDP|16909500028418048942</stp>
        <tr r="I2986" s="2"/>
      </tp>
      <tp t="s">
        <v>#N/A N/A</v>
        <stp/>
        <stp>BDP|10958621951713942065</stp>
        <tr r="H4035" s="2"/>
      </tp>
      <tp t="s">
        <v>#N/A N/A</v>
        <stp/>
        <stp>BDP|14964664550732900537</stp>
        <tr r="H996" s="2"/>
      </tp>
      <tp t="s">
        <v>#N/A N/A</v>
        <stp/>
        <stp>BDP|15402082439786647060</stp>
        <tr r="F2357" s="2"/>
      </tp>
      <tp t="s">
        <v>#N/A N/A</v>
        <stp/>
        <stp>BDP|12269813414149032226</stp>
        <tr r="G579" s="2"/>
      </tp>
      <tp t="s">
        <v>#N/A N/A</v>
        <stp/>
        <stp>BDP|18398193194158899833</stp>
        <tr r="D2019" s="2"/>
      </tp>
      <tp t="s">
        <v>#N/A N/A</v>
        <stp/>
        <stp>BDP|12099353865350202778</stp>
        <tr r="C2254" s="2"/>
      </tp>
      <tp t="s">
        <v>#N/A N/A</v>
        <stp/>
        <stp>BDP|18250354796155411700</stp>
        <tr r="B4281" s="2"/>
      </tp>
      <tp t="s">
        <v>#N/A N/A</v>
        <stp/>
        <stp>BDP|14228205632390525507</stp>
        <tr r="I106" s="2"/>
      </tp>
      <tp t="s">
        <v>#N/A N/A</v>
        <stp/>
        <stp>BDP|13794504867017340769</stp>
        <tr r="G3641" s="2"/>
      </tp>
      <tp t="s">
        <v>#N/A N/A</v>
        <stp/>
        <stp>BDP|10070694249496030454</stp>
        <tr r="F2066" s="2"/>
      </tp>
      <tp t="s">
        <v>#N/A N/A</v>
        <stp/>
        <stp>BDP|11194581359459692835</stp>
        <tr r="D2843" s="2"/>
      </tp>
      <tp t="s">
        <v>#N/A N/A</v>
        <stp/>
        <stp>BDP|14353943314329001565</stp>
        <tr r="G4102" s="2"/>
      </tp>
      <tp t="s">
        <v>#N/A N/A</v>
        <stp/>
        <stp>BDP|13426713992345559877</stp>
        <tr r="H1270" s="2"/>
      </tp>
      <tp t="s">
        <v>#N/A N/A</v>
        <stp/>
        <stp>BDP|16913049329981217537</stp>
        <tr r="G4288" s="2"/>
      </tp>
      <tp t="s">
        <v>#N/A N/A</v>
        <stp/>
        <stp>BDP|16798524829485086496</stp>
        <tr r="F1743" s="2"/>
      </tp>
      <tp t="s">
        <v>#N/A N/A</v>
        <stp/>
        <stp>BDP|13024137920508015866</stp>
        <tr r="F1783" s="2"/>
      </tp>
      <tp t="s">
        <v>#N/A N/A</v>
        <stp/>
        <stp>BDP|15681416516995766536</stp>
        <tr r="D2108" s="2"/>
      </tp>
      <tp t="s">
        <v>#N/A N/A</v>
        <stp/>
        <stp>BDP|11306736664925108508</stp>
        <tr r="F1252" s="2"/>
      </tp>
      <tp t="s">
        <v>#N/A N/A</v>
        <stp/>
        <stp>BDP|14408729030657297711</stp>
        <tr r="I987" s="2"/>
      </tp>
      <tp t="s">
        <v>#N/A N/A</v>
        <stp/>
        <stp>BDP|18324070792448179927</stp>
        <tr r="G4709" s="2"/>
      </tp>
      <tp t="s">
        <v>#N/A N/A</v>
        <stp/>
        <stp>BDP|17714041751080153263</stp>
        <tr r="C1552" s="2"/>
      </tp>
      <tp t="s">
        <v>#N/A N/A</v>
        <stp/>
        <stp>BDP|17312822149412523983</stp>
        <tr r="F2325" s="2"/>
      </tp>
      <tp t="s">
        <v>#N/A N/A</v>
        <stp/>
        <stp>BDP|16896337341203996263</stp>
        <tr r="I2930" s="2"/>
      </tp>
      <tp t="s">
        <v>#N/A N/A</v>
        <stp/>
        <stp>BDP|10315670829140104495</stp>
        <tr r="C535" s="2"/>
      </tp>
      <tp t="s">
        <v>#N/A N/A</v>
        <stp/>
        <stp>BDP|11234341138714969526</stp>
        <tr r="D357" s="2"/>
      </tp>
      <tp t="s">
        <v>#N/A N/A</v>
        <stp/>
        <stp>BDP|12437611555955382466</stp>
        <tr r="B298" s="2"/>
      </tp>
      <tp t="s">
        <v>#N/A N/A</v>
        <stp/>
        <stp>BDP|15594190038611430659</stp>
        <tr r="C1910" s="2"/>
      </tp>
      <tp t="s">
        <v>#N/A N/A</v>
        <stp/>
        <stp>BDP|14552323030953683742</stp>
        <tr r="A3865" s="2"/>
      </tp>
      <tp t="s">
        <v>#N/A N/A</v>
        <stp/>
        <stp>BDP|12628475414252642565</stp>
        <tr r="A4491" s="2"/>
      </tp>
      <tp t="s">
        <v>#N/A N/A</v>
        <stp/>
        <stp>BDP|14014100708796551387</stp>
        <tr r="A3561" s="2"/>
      </tp>
      <tp t="s">
        <v>#N/A N/A</v>
        <stp/>
        <stp>BDP|12795549204847457069</stp>
        <tr r="A2689" s="2"/>
      </tp>
      <tp t="s">
        <v>#N/A N/A</v>
        <stp/>
        <stp>BDP|12103369952836836299</stp>
        <tr r="I432" s="2"/>
      </tp>
      <tp t="s">
        <v>#N/A N/A</v>
        <stp/>
        <stp>BDP|11339306332871004056</stp>
        <tr r="H344" s="2"/>
      </tp>
      <tp t="s">
        <v>#N/A N/A</v>
        <stp/>
        <stp>BDP|14680706963553286638</stp>
        <tr r="F4189" s="2"/>
      </tp>
      <tp t="s">
        <v>#N/A N/A</v>
        <stp/>
        <stp>BDP|14624141400553750618</stp>
        <tr r="D4147" s="2"/>
      </tp>
      <tp t="s">
        <v>#N/A N/A</v>
        <stp/>
        <stp>BDP|13727514526502412609</stp>
        <tr r="B223" s="2"/>
      </tp>
      <tp t="s">
        <v>#N/A N/A</v>
        <stp/>
        <stp>BDP|14819069949548064830</stp>
        <tr r="H227" s="2"/>
      </tp>
      <tp t="s">
        <v>#N/A N/A</v>
        <stp/>
        <stp>BDP|15361279461372032314</stp>
        <tr r="I2486" s="2"/>
      </tp>
      <tp t="s">
        <v>#N/A N/A</v>
        <stp/>
        <stp>BDP|12393055456193561411</stp>
        <tr r="G3197" s="2"/>
      </tp>
      <tp t="s">
        <v>#N/A N/A</v>
        <stp/>
        <stp>BDP|12378122620935673431</stp>
        <tr r="H2227" s="2"/>
      </tp>
      <tp t="s">
        <v>#N/A N/A</v>
        <stp/>
        <stp>BDP|14509170270615288744</stp>
        <tr r="I2710" s="2"/>
      </tp>
      <tp t="s">
        <v>#N/A N/A</v>
        <stp/>
        <stp>BDP|13577877591881307341</stp>
        <tr r="H3774" s="2"/>
      </tp>
      <tp t="s">
        <v>#N/A N/A</v>
        <stp/>
        <stp>BDP|13770139916165037665</stp>
        <tr r="B2948" s="2"/>
      </tp>
      <tp t="s">
        <v>#N/A N/A</v>
        <stp/>
        <stp>BDP|17124022971961381158</stp>
        <tr r="I4679" s="2"/>
      </tp>
      <tp t="s">
        <v>#N/A N/A</v>
        <stp/>
        <stp>BDP|13833676311953850720</stp>
        <tr r="D4995" s="2"/>
      </tp>
      <tp t="s">
        <v>#N/A N/A</v>
        <stp/>
        <stp>BDP|13261404444734382714</stp>
        <tr r="F4975" s="2"/>
      </tp>
      <tp t="s">
        <v>#N/A N/A</v>
        <stp/>
        <stp>BDP|17196086102103970460</stp>
        <tr r="H2347" s="2"/>
      </tp>
      <tp t="s">
        <v>#N/A N/A</v>
        <stp/>
        <stp>BDP|18074067424343792913</stp>
        <tr r="F4193" s="2"/>
      </tp>
      <tp t="s">
        <v>#N/A N/A</v>
        <stp/>
        <stp>BDP|14926293391288581703</stp>
        <tr r="B1828" s="2"/>
      </tp>
      <tp t="s">
        <v>#N/A N/A</v>
        <stp/>
        <stp>BDP|11184298467661399487</stp>
        <tr r="I33" s="2"/>
      </tp>
      <tp t="s">
        <v>#N/A N/A</v>
        <stp/>
        <stp>BDP|10688439831480556758</stp>
        <tr r="C4730" s="2"/>
      </tp>
      <tp t="s">
        <v>#N/A N/A</v>
        <stp/>
        <stp>BDP|12687732306607640210</stp>
        <tr r="H717" s="2"/>
      </tp>
      <tp t="s">
        <v>#N/A N/A</v>
        <stp/>
        <stp>BDP|17207369116121005460</stp>
        <tr r="C2097" s="2"/>
      </tp>
      <tp t="s">
        <v>#N/A N/A</v>
        <stp/>
        <stp>BDP|10319794400434870369</stp>
        <tr r="D1045" s="2"/>
      </tp>
      <tp t="s">
        <v>#N/A N/A</v>
        <stp/>
        <stp>BDP|15184777260270238401</stp>
        <tr r="H462" s="2"/>
      </tp>
      <tp t="s">
        <v>#N/A N/A</v>
        <stp/>
        <stp>BDP|11373598129053702500</stp>
        <tr r="B426" s="2"/>
      </tp>
      <tp t="s">
        <v>#N/A N/A</v>
        <stp/>
        <stp>BDP|11889283541594370366</stp>
        <tr r="I3130" s="2"/>
      </tp>
      <tp t="s">
        <v>#N/A N/A</v>
        <stp/>
        <stp>BDP|17320600311901451121</stp>
        <tr r="D4953" s="2"/>
      </tp>
      <tp t="s">
        <v>#N/A N/A</v>
        <stp/>
        <stp>BDP|15544283804147408098</stp>
        <tr r="B641" s="2"/>
      </tp>
      <tp t="s">
        <v>#N/A N/A</v>
        <stp/>
        <stp>BDP|15283381638022444723</stp>
        <tr r="D3500" s="2"/>
      </tp>
      <tp t="s">
        <v>#N/A N/A</v>
        <stp/>
        <stp>BDP|15692391430236926326</stp>
        <tr r="G962" s="2"/>
      </tp>
      <tp t="s">
        <v>#N/A N/A</v>
        <stp/>
        <stp>BDP|12492078044847664151</stp>
        <tr r="C2713" s="2"/>
      </tp>
      <tp t="s">
        <v>#N/A N/A</v>
        <stp/>
        <stp>BDP|16324810037309899495</stp>
        <tr r="B1664" s="2"/>
      </tp>
      <tp t="s">
        <v>#N/A N/A</v>
        <stp/>
        <stp>BDP|15779475648153576699</stp>
        <tr r="D3884" s="2"/>
      </tp>
      <tp t="s">
        <v>#N/A N/A</v>
        <stp/>
        <stp>BDP|13588332427165032755</stp>
        <tr r="B3298" s="2"/>
      </tp>
      <tp t="s">
        <v>#N/A N/A</v>
        <stp/>
        <stp>BDP|16683412977722623722</stp>
        <tr r="D3733" s="2"/>
      </tp>
      <tp t="s">
        <v>#N/A N/A</v>
        <stp/>
        <stp>BDP|14396012154804163538</stp>
        <tr r="H1116" s="2"/>
      </tp>
      <tp t="s">
        <v>#N/A N/A</v>
        <stp/>
        <stp>BDP|15067077797208291467</stp>
        <tr r="G4592" s="2"/>
      </tp>
      <tp t="s">
        <v>#N/A N/A</v>
        <stp/>
        <stp>BDP|12847438398708227754</stp>
        <tr r="F4033" s="2"/>
      </tp>
      <tp t="s">
        <v>#N/A N/A</v>
        <stp/>
        <stp>BDP|12398498418344585336</stp>
        <tr r="A2848" s="2"/>
      </tp>
      <tp t="s">
        <v>#N/A N/A</v>
        <stp/>
        <stp>BDP|17016499020163808255</stp>
        <tr r="B1417" s="2"/>
      </tp>
      <tp t="s">
        <v>#N/A N/A</v>
        <stp/>
        <stp>BDP|14538168186615262837</stp>
        <tr r="A2223" s="2"/>
      </tp>
      <tp t="s">
        <v>#N/A N/A</v>
        <stp/>
        <stp>BDP|16459664760044531231</stp>
        <tr r="F1188" s="2"/>
      </tp>
      <tp t="s">
        <v>#N/A N/A</v>
        <stp/>
        <stp>BDP|16054434927297043704</stp>
        <tr r="G3931" s="2"/>
      </tp>
      <tp t="s">
        <v>#N/A N/A</v>
        <stp/>
        <stp>BDP|12606590625510841562</stp>
        <tr r="D2452" s="2"/>
      </tp>
      <tp t="s">
        <v>#N/A N/A</v>
        <stp/>
        <stp>BDP|10235266340004254223</stp>
        <tr r="H1736" s="2"/>
      </tp>
      <tp t="s">
        <v>#N/A N/A</v>
        <stp/>
        <stp>BDP|16729080393438875703</stp>
        <tr r="I4832" s="2"/>
      </tp>
      <tp t="s">
        <v>#N/A N/A</v>
        <stp/>
        <stp>BDP|14663684513917808419</stp>
        <tr r="I1235" s="2"/>
      </tp>
      <tp t="s">
        <v>#N/A N/A</v>
        <stp/>
        <stp>BDP|14140684044510809617</stp>
        <tr r="F1928" s="2"/>
      </tp>
      <tp t="s">
        <v>#N/A N/A</v>
        <stp/>
        <stp>BDP|14898211959684349778</stp>
        <tr r="I1881" s="2"/>
      </tp>
      <tp t="s">
        <v>#N/A N/A</v>
        <stp/>
        <stp>BDP|11449476177407615566</stp>
        <tr r="B2826" s="2"/>
      </tp>
      <tp t="s">
        <v>#N/A N/A</v>
        <stp/>
        <stp>BDP|14623444446093632764</stp>
        <tr r="B3132" s="2"/>
      </tp>
      <tp t="s">
        <v>#N/A N/A</v>
        <stp/>
        <stp>BDP|15384573907967724701</stp>
        <tr r="I197" s="2"/>
      </tp>
      <tp t="s">
        <v>#N/A N/A</v>
        <stp/>
        <stp>BDP|16583331825711485637</stp>
        <tr r="C3745" s="2"/>
      </tp>
      <tp t="s">
        <v>#N/A N/A</v>
        <stp/>
        <stp>BDP|13548707131430022704</stp>
        <tr r="D2790" s="2"/>
      </tp>
      <tp t="s">
        <v>#N/A N/A</v>
        <stp/>
        <stp>BDP|13928482055273147117</stp>
        <tr r="F676" s="2"/>
      </tp>
      <tp t="s">
        <v>#N/A N/A</v>
        <stp/>
        <stp>BDP|11016121623767771520</stp>
        <tr r="A4859" s="2"/>
      </tp>
      <tp t="s">
        <v>#N/A N/A</v>
        <stp/>
        <stp>BDP|17074218673256084465</stp>
        <tr r="H2515" s="2"/>
      </tp>
      <tp t="s">
        <v>#N/A N/A</v>
        <stp/>
        <stp>BDP|10226129111701430118</stp>
        <tr r="D3685" s="2"/>
      </tp>
      <tp t="s">
        <v>#N/A N/A</v>
        <stp/>
        <stp>BDP|10531582813676278287</stp>
        <tr r="A63" s="2"/>
      </tp>
      <tp t="s">
        <v>#N/A N/A</v>
        <stp/>
        <stp>BDP|11406703250237056403</stp>
        <tr r="I3220" s="2"/>
      </tp>
      <tp t="s">
        <v>#N/A N/A</v>
        <stp/>
        <stp>BDP|14178024194558419571</stp>
        <tr r="B4884" s="2"/>
      </tp>
      <tp t="s">
        <v>#N/A N/A</v>
        <stp/>
        <stp>BDP|11291790289366153879</stp>
        <tr r="A2917" s="2"/>
      </tp>
      <tp t="s">
        <v>#N/A N/A</v>
        <stp/>
        <stp>BDP|14660762317231511361</stp>
        <tr r="G1695" s="2"/>
      </tp>
      <tp t="s">
        <v>#N/A N/A</v>
        <stp/>
        <stp>BDP|16298079730544908183</stp>
        <tr r="I3204" s="2"/>
      </tp>
      <tp t="s">
        <v>#N/A N/A</v>
        <stp/>
        <stp>BDP|17032949707927245951</stp>
        <tr r="D2373" s="2"/>
      </tp>
      <tp t="s">
        <v>#N/A N/A</v>
        <stp/>
        <stp>BDP|10087785916864803220</stp>
        <tr r="B4" s="2"/>
      </tp>
      <tp t="s">
        <v>#N/A N/A</v>
        <stp/>
        <stp>BDP|12850526255416323480</stp>
        <tr r="C2027" s="2"/>
      </tp>
      <tp t="s">
        <v>#N/A N/A</v>
        <stp/>
        <stp>BDP|11553094603563821233</stp>
        <tr r="F3915" s="2"/>
      </tp>
      <tp t="s">
        <v>#N/A N/A</v>
        <stp/>
        <stp>BDP|13845305778390739734</stp>
        <tr r="G2029" s="2"/>
      </tp>
      <tp t="s">
        <v>#N/A N/A</v>
        <stp/>
        <stp>BDP|12688578617644146236</stp>
        <tr r="C2348" s="2"/>
      </tp>
      <tp t="s">
        <v>#N/A N/A</v>
        <stp/>
        <stp>BDP|15631316815155574237</stp>
        <tr r="F402" s="2"/>
      </tp>
      <tp t="s">
        <v>#N/A N/A</v>
        <stp/>
        <stp>BDP|10594122408720947113</stp>
        <tr r="G4779" s="2"/>
      </tp>
      <tp t="s">
        <v>#N/A N/A</v>
        <stp/>
        <stp>BDP|15492502856090367566</stp>
        <tr r="B285" s="2"/>
      </tp>
      <tp t="s">
        <v>#N/A N/A</v>
        <stp/>
        <stp>BDP|16540759409573734290</stp>
        <tr r="F931" s="2"/>
      </tp>
      <tp t="s">
        <v>#N/A N/A</v>
        <stp/>
        <stp>BDP|12515734013664785050</stp>
        <tr r="G891" s="2"/>
      </tp>
      <tp t="s">
        <v>#N/A N/A</v>
        <stp/>
        <stp>BDP|11755508927492776405</stp>
        <tr r="D4075" s="2"/>
      </tp>
      <tp t="s">
        <v>#N/A N/A</v>
        <stp/>
        <stp>BDP|10577413013750389531</stp>
        <tr r="C1036" s="2"/>
      </tp>
      <tp t="s">
        <v>#N/A N/A</v>
        <stp/>
        <stp>BDP|16641287547920660086</stp>
        <tr r="A397" s="2"/>
      </tp>
      <tp t="s">
        <v>#N/A N/A</v>
        <stp/>
        <stp>BDP|14763565184359597073</stp>
        <tr r="C4357" s="2"/>
      </tp>
      <tp t="s">
        <v>#N/A N/A</v>
        <stp/>
        <stp>BDP|14948516645120221588</stp>
        <tr r="A1560" s="2"/>
      </tp>
      <tp t="s">
        <v>#N/A N/A</v>
        <stp/>
        <stp>BDP|16620612914071202069</stp>
        <tr r="C2416" s="2"/>
      </tp>
      <tp t="s">
        <v>#N/A N/A</v>
        <stp/>
        <stp>BDP|18078732689630997743</stp>
        <tr r="I3344" s="2"/>
      </tp>
      <tp t="s">
        <v>#N/A N/A</v>
        <stp/>
        <stp>BDP|15614331384366434829</stp>
        <tr r="I2852" s="2"/>
      </tp>
      <tp t="s">
        <v>#N/A N/A</v>
        <stp/>
        <stp>BDP|17473116674773076268</stp>
        <tr r="C1999" s="2"/>
      </tp>
      <tp t="s">
        <v>#N/A N/A</v>
        <stp/>
        <stp>BDP|18297523160578677311</stp>
        <tr r="D2558" s="2"/>
      </tp>
      <tp t="s">
        <v>#N/A N/A</v>
        <stp/>
        <stp>BDP|10556125712245024529</stp>
        <tr r="A4613" s="2"/>
      </tp>
      <tp t="s">
        <v>#N/A N/A</v>
        <stp/>
        <stp>BDP|13692865690717534521</stp>
        <tr r="G4840" s="2"/>
      </tp>
      <tp t="s">
        <v>#N/A N/A</v>
        <stp/>
        <stp>BDP|15330508778112555596</stp>
        <tr r="C1571" s="2"/>
      </tp>
      <tp t="s">
        <v>#N/A N/A</v>
        <stp/>
        <stp>BDP|18225468789190846427</stp>
        <tr r="F2541" s="2"/>
      </tp>
      <tp t="s">
        <v>#N/A N/A</v>
        <stp/>
        <stp>BDP|14928676282369990326</stp>
        <tr r="H2846" s="2"/>
      </tp>
      <tp t="s">
        <v>#N/A N/A</v>
        <stp/>
        <stp>BDP|10159881051914936966</stp>
        <tr r="B1023" s="2"/>
      </tp>
      <tp t="s">
        <v>#N/A N/A</v>
        <stp/>
        <stp>BDP|17335417304203296037</stp>
        <tr r="I2135" s="2"/>
      </tp>
      <tp t="s">
        <v>#N/A N/A</v>
        <stp/>
        <stp>BDP|14581393814220856673</stp>
        <tr r="B3833" s="2"/>
      </tp>
      <tp t="s">
        <v>#N/A N/A</v>
        <stp/>
        <stp>BDP|13222685922206683192</stp>
        <tr r="I256" s="2"/>
      </tp>
      <tp t="s">
        <v>#N/A N/A</v>
        <stp/>
        <stp>BDP|11576118820735706747</stp>
        <tr r="G3659" s="2"/>
      </tp>
      <tp t="s">
        <v>#N/A N/A</v>
        <stp/>
        <stp>BDP|12595112689113265883</stp>
        <tr r="F2318" s="2"/>
      </tp>
      <tp t="s">
        <v>#N/A N/A</v>
        <stp/>
        <stp>BDP|16614521122915173401</stp>
        <tr r="I508" s="2"/>
      </tp>
      <tp t="s">
        <v>#N/A N/A</v>
        <stp/>
        <stp>BDP|10391472927115302374</stp>
        <tr r="D1558" s="2"/>
      </tp>
      <tp t="s">
        <v>#N/A N/A</v>
        <stp/>
        <stp>BDP|15377138355195376417</stp>
        <tr r="A561" s="2"/>
      </tp>
      <tp t="s">
        <v>#N/A N/A</v>
        <stp/>
        <stp>BDP|13271089135376962615</stp>
        <tr r="F4428" s="2"/>
      </tp>
      <tp t="s">
        <v>#N/A N/A</v>
        <stp/>
        <stp>BDP|10694542562207575420</stp>
        <tr r="F4791" s="2"/>
      </tp>
      <tp t="s">
        <v>#N/A N/A</v>
        <stp/>
        <stp>BDP|10493083302477120782</stp>
        <tr r="C3979" s="2"/>
      </tp>
      <tp t="s">
        <v>#N/A N/A</v>
        <stp/>
        <stp>BDP|10621010901576022618</stp>
        <tr r="F544" s="2"/>
      </tp>
      <tp t="s">
        <v>#N/A N/A</v>
        <stp/>
        <stp>BDP|14789941584277724274</stp>
        <tr r="H3358" s="2"/>
      </tp>
      <tp t="s">
        <v>#N/A N/A</v>
        <stp/>
        <stp>BDP|13663073250271388752</stp>
        <tr r="C3471" s="2"/>
      </tp>
      <tp t="s">
        <v>#N/A N/A</v>
        <stp/>
        <stp>BDP|11714106504221099141</stp>
        <tr r="F3952" s="2"/>
      </tp>
      <tp t="s">
        <v>#N/A N/A</v>
        <stp/>
        <stp>BDP|15439104221921603743</stp>
        <tr r="B2594" s="2"/>
      </tp>
      <tp t="s">
        <v>#N/A N/A</v>
        <stp/>
        <stp>BDP|13743248536743326114</stp>
        <tr r="C250" s="2"/>
      </tp>
      <tp t="s">
        <v>#N/A N/A</v>
        <stp/>
        <stp>BDP|14490541543586359375</stp>
        <tr r="C1642" s="2"/>
      </tp>
      <tp t="s">
        <v>#N/A N/A</v>
        <stp/>
        <stp>BDP|13584649253623782322</stp>
        <tr r="C4163" s="2"/>
      </tp>
      <tp t="s">
        <v>#N/A N/A</v>
        <stp/>
        <stp>BDP|14022643430999759840</stp>
        <tr r="I2210" s="2"/>
      </tp>
      <tp t="s">
        <v>#N/A N/A</v>
        <stp/>
        <stp>BDP|17467748185179648147</stp>
        <tr r="H1255" s="2"/>
      </tp>
      <tp t="s">
        <v>#N/A N/A</v>
        <stp/>
        <stp>BDP|18412929900145876492</stp>
        <tr r="I759" s="2"/>
      </tp>
      <tp t="s">
        <v>#N/A N/A</v>
        <stp/>
        <stp>BDP|12734277412424488514</stp>
        <tr r="B537" s="2"/>
      </tp>
      <tp t="s">
        <v>#N/A N/A</v>
        <stp/>
        <stp>BDP|12641786534736487091</stp>
        <tr r="F2446" s="2"/>
      </tp>
      <tp t="s">
        <v>#N/A N/A</v>
        <stp/>
        <stp>BDP|10330609530656312371</stp>
        <tr r="I2598" s="2"/>
      </tp>
      <tp t="s">
        <v>#N/A N/A</v>
        <stp/>
        <stp>BDP|11955431676370949220</stp>
        <tr r="A1036" s="2"/>
      </tp>
      <tp t="s">
        <v>#N/A N/A</v>
        <stp/>
        <stp>BDP|16900965526089751493</stp>
        <tr r="B1189" s="2"/>
      </tp>
      <tp t="s">
        <v>#N/A N/A</v>
        <stp/>
        <stp>BDP|12747456216693643453</stp>
        <tr r="D1620" s="2"/>
      </tp>
      <tp t="s">
        <v>#N/A N/A</v>
        <stp/>
        <stp>BDP|18256474450521504877</stp>
        <tr r="I81" s="2"/>
      </tp>
      <tp t="s">
        <v>#N/A N/A</v>
        <stp/>
        <stp>BDP|13594175174955863090</stp>
        <tr r="I109" s="2"/>
      </tp>
      <tp t="s">
        <v>#N/A N/A</v>
        <stp/>
        <stp>BDP|17617023241811507279</stp>
        <tr r="F4391" s="2"/>
      </tp>
      <tp t="s">
        <v>#N/A N/A</v>
        <stp/>
        <stp>BDP|16293164713404098202</stp>
        <tr r="I880" s="2"/>
      </tp>
      <tp t="s">
        <v>#N/A N/A</v>
        <stp/>
        <stp>BDP|17704047104254335334</stp>
        <tr r="C441" s="2"/>
      </tp>
      <tp t="s">
        <v>#N/A N/A</v>
        <stp/>
        <stp>BDP|11372312640205117344</stp>
        <tr r="H245" s="2"/>
      </tp>
      <tp t="s">
        <v>#N/A N/A</v>
        <stp/>
        <stp>BDP|16189649840186357214</stp>
        <tr r="D1708" s="2"/>
      </tp>
      <tp t="s">
        <v>#N/A N/A</v>
        <stp/>
        <stp>BDP|17257335970155381658</stp>
        <tr r="A717" s="2"/>
      </tp>
      <tp t="s">
        <v>#N/A N/A</v>
        <stp/>
        <stp>BDP|11462100437315625626</stp>
        <tr r="A2062" s="2"/>
      </tp>
      <tp t="s">
        <v>#N/A N/A</v>
        <stp/>
        <stp>BDP|12184972084775788625</stp>
        <tr r="A3455" s="2"/>
      </tp>
      <tp t="s">
        <v>#N/A N/A</v>
        <stp/>
        <stp>BDP|12106115133308250863</stp>
        <tr r="H96" s="2"/>
      </tp>
      <tp t="s">
        <v>#N/A N/A</v>
        <stp/>
        <stp>BDP|11004814486564875586</stp>
        <tr r="G4933" s="2"/>
      </tp>
      <tp t="s">
        <v>#N/A N/A</v>
        <stp/>
        <stp>BDP|18165980495998915029</stp>
        <tr r="G2143" s="2"/>
      </tp>
      <tp t="s">
        <v>#N/A N/A</v>
        <stp/>
        <stp>BDP|10444634671230708165</stp>
        <tr r="D149" s="2"/>
      </tp>
      <tp t="s">
        <v>#N/A N/A</v>
        <stp/>
        <stp>BDP|14533404746051458505</stp>
        <tr r="C2227" s="2"/>
      </tp>
      <tp t="s">
        <v>#N/A N/A</v>
        <stp/>
        <stp>BDP|16048411600627767512</stp>
        <tr r="D1590" s="2"/>
      </tp>
      <tp t="s">
        <v>#N/A N/A</v>
        <stp/>
        <stp>BDP|15248175163793555144</stp>
        <tr r="A111" s="2"/>
      </tp>
      <tp t="s">
        <v>#N/A N/A</v>
        <stp/>
        <stp>BDP|10964628232035994070</stp>
        <tr r="I4979" s="2"/>
      </tp>
      <tp t="s">
        <v>#N/A N/A</v>
        <stp/>
        <stp>BDP|14417774829335481498</stp>
        <tr r="C3626" s="2"/>
      </tp>
      <tp t="s">
        <v>#N/A N/A</v>
        <stp/>
        <stp>BDP|13377169522589891984</stp>
        <tr r="D2915" s="2"/>
      </tp>
      <tp t="s">
        <v>#N/A N/A</v>
        <stp/>
        <stp>BDP|11308142655593352664</stp>
        <tr r="D323" s="2"/>
      </tp>
      <tp t="s">
        <v>#N/A N/A</v>
        <stp/>
        <stp>BDP|16277930240729142272</stp>
        <tr r="H4556" s="2"/>
      </tp>
      <tp t="s">
        <v>#N/A N/A</v>
        <stp/>
        <stp>BDP|12596972650079083755</stp>
        <tr r="F1008" s="2"/>
      </tp>
      <tp t="s">
        <v>#N/A N/A</v>
        <stp/>
        <stp>BDP|17873573080709947311</stp>
        <tr r="F405" s="2"/>
      </tp>
      <tp t="s">
        <v>#N/A N/A</v>
        <stp/>
        <stp>BDP|11312616362054654514</stp>
        <tr r="B4848" s="2"/>
      </tp>
      <tp t="s">
        <v>#N/A N/A</v>
        <stp/>
        <stp>BDP|13921146681153232990</stp>
        <tr r="F3498" s="2"/>
      </tp>
      <tp t="s">
        <v>#N/A N/A</v>
        <stp/>
        <stp>BDP|16308022992469415601</stp>
        <tr r="D795" s="2"/>
      </tp>
      <tp t="s">
        <v>#N/A N/A</v>
        <stp/>
        <stp>BDP|17601839919096293896</stp>
        <tr r="G2687" s="2"/>
      </tp>
      <tp t="s">
        <v>#N/A N/A</v>
        <stp/>
        <stp>BDP|18236593029496360967</stp>
        <tr r="G1427" s="2"/>
      </tp>
      <tp t="s">
        <v>#N/A N/A</v>
        <stp/>
        <stp>BDP|13777325763767838193</stp>
        <tr r="A248" s="2"/>
      </tp>
      <tp t="s">
        <v>#N/A N/A</v>
        <stp/>
        <stp>BDP|10217347203304621742</stp>
        <tr r="D206" s="2"/>
      </tp>
      <tp t="s">
        <v>#N/A N/A</v>
        <stp/>
        <stp>BDP|14090587841821769495</stp>
        <tr r="F30" s="2"/>
      </tp>
      <tp t="s">
        <v>#N/A N/A</v>
        <stp/>
        <stp>BDP|10628129978265255399</stp>
        <tr r="C3368" s="2"/>
      </tp>
      <tp t="s">
        <v>#N/A N/A</v>
        <stp/>
        <stp>BDP|12236591839057175341</stp>
        <tr r="D4651" s="2"/>
      </tp>
      <tp t="s">
        <v>#N/A N/A</v>
        <stp/>
        <stp>BDP|10196113005267798655</stp>
        <tr r="F3773" s="2"/>
      </tp>
      <tp t="s">
        <v>#N/A N/A</v>
        <stp/>
        <stp>BDP|18414200616358300366</stp>
        <tr r="G4161" s="2"/>
      </tp>
      <tp t="s">
        <v>#N/A N/A</v>
        <stp/>
        <stp>BDP|10974893192106245775</stp>
        <tr r="C1694" s="2"/>
      </tp>
      <tp t="s">
        <v>#N/A N/A</v>
        <stp/>
        <stp>BDP|12949300038072591026</stp>
        <tr r="I798" s="2"/>
      </tp>
      <tp t="s">
        <v>#N/A N/A</v>
        <stp/>
        <stp>BDP|11649338157090345773</stp>
        <tr r="G2067" s="2"/>
      </tp>
      <tp t="s">
        <v>#N/A N/A</v>
        <stp/>
        <stp>BDP|16338408410280776325</stp>
        <tr r="G117" s="2"/>
      </tp>
      <tp t="s">
        <v>#N/A N/A</v>
        <stp/>
        <stp>BDP|12768258385768267035</stp>
        <tr r="A4315" s="2"/>
      </tp>
      <tp t="s">
        <v>#N/A N/A</v>
        <stp/>
        <stp>BDP|14665850221888059641</stp>
        <tr r="C4774" s="2"/>
      </tp>
      <tp t="s">
        <v>#N/A N/A</v>
        <stp/>
        <stp>BDP|13263306525922129002</stp>
        <tr r="A2252" s="2"/>
      </tp>
      <tp t="s">
        <v>#N/A N/A</v>
        <stp/>
        <stp>BDP|15568873201755294872</stp>
        <tr r="C297" s="2"/>
      </tp>
      <tp t="s">
        <v>#N/A N/A</v>
        <stp/>
        <stp>BDP|14466968112028604407</stp>
        <tr r="G2614" s="2"/>
      </tp>
      <tp t="s">
        <v>#N/A N/A</v>
        <stp/>
        <stp>BDP|10275392456882219495</stp>
        <tr r="F4449" s="2"/>
      </tp>
      <tp t="s">
        <v>#N/A N/A</v>
        <stp/>
        <stp>BDP|12471279536204524767</stp>
        <tr r="D2759" s="2"/>
      </tp>
      <tp t="s">
        <v>#N/A N/A</v>
        <stp/>
        <stp>BDP|13955637865795054699</stp>
        <tr r="D330" s="2"/>
      </tp>
      <tp t="s">
        <v>#N/A N/A</v>
        <stp/>
        <stp>BDP|14773397008403793474</stp>
        <tr r="B4711" s="2"/>
      </tp>
      <tp t="s">
        <v>#N/A N/A</v>
        <stp/>
        <stp>BDP|13463216052343594743</stp>
        <tr r="I988" s="2"/>
      </tp>
      <tp t="s">
        <v>#N/A N/A</v>
        <stp/>
        <stp>BDP|14341645260905920183</stp>
        <tr r="I1767" s="2"/>
      </tp>
      <tp t="s">
        <v>#N/A N/A</v>
        <stp/>
        <stp>BDP|16288201646103386318</stp>
        <tr r="C276" s="2"/>
      </tp>
      <tp t="s">
        <v>#N/A N/A</v>
        <stp/>
        <stp>BDP|13521307536847305465</stp>
        <tr r="G2398" s="2"/>
      </tp>
      <tp t="s">
        <v>#N/A N/A</v>
        <stp/>
        <stp>BDP|12951089330377752602</stp>
        <tr r="A4177" s="2"/>
      </tp>
      <tp t="s">
        <v>#N/A N/A</v>
        <stp/>
        <stp>BDP|16767034449966344487</stp>
        <tr r="I4687" s="2"/>
      </tp>
      <tp t="s">
        <v>#N/A N/A</v>
        <stp/>
        <stp>BDP|10409641126454695063</stp>
        <tr r="D775" s="2"/>
      </tp>
      <tp t="s">
        <v>#N/A N/A</v>
        <stp/>
        <stp>BDP|10919767509501056609</stp>
        <tr r="A1613" s="2"/>
      </tp>
      <tp t="s">
        <v>#N/A N/A</v>
        <stp/>
        <stp>BDP|13757826730629095133</stp>
        <tr r="H94" s="2"/>
      </tp>
      <tp t="s">
        <v>#N/A N/A</v>
        <stp/>
        <stp>BDP|14270132901194383153</stp>
        <tr r="G169" s="2"/>
      </tp>
      <tp t="s">
        <v>#N/A N/A</v>
        <stp/>
        <stp>BDP|16706071812841671620</stp>
        <tr r="C23" s="2"/>
      </tp>
      <tp t="s">
        <v>#N/A N/A</v>
        <stp/>
        <stp>BDP|14544949173628778231</stp>
        <tr r="A2463" s="2"/>
      </tp>
      <tp t="s">
        <v>#N/A N/A</v>
        <stp/>
        <stp>BDP|10210640082066551879</stp>
        <tr r="C2833" s="2"/>
      </tp>
      <tp t="s">
        <v>#N/A N/A</v>
        <stp/>
        <stp>BDP|10723071566927862181</stp>
        <tr r="H36" s="2"/>
      </tp>
      <tp t="s">
        <v>#N/A N/A</v>
        <stp/>
        <stp>BDP|11450586645986953663</stp>
        <tr r="H1778" s="2"/>
      </tp>
      <tp t="s">
        <v>#N/A N/A</v>
        <stp/>
        <stp>BDP|14590205674193730202</stp>
        <tr r="A3139" s="2"/>
      </tp>
      <tp t="s">
        <v>#N/A N/A</v>
        <stp/>
        <stp>BDP|13919610988985266842</stp>
        <tr r="C4537" s="2"/>
      </tp>
      <tp t="s">
        <v>#N/A N/A</v>
        <stp/>
        <stp>BDP|17522066449400851349</stp>
        <tr r="C4269" s="2"/>
      </tp>
      <tp t="s">
        <v>#N/A N/A</v>
        <stp/>
        <stp>BDP|14157250693549754669</stp>
        <tr r="F4275" s="2"/>
      </tp>
      <tp t="s">
        <v>#N/A N/A</v>
        <stp/>
        <stp>BDP|16481205805190242454</stp>
        <tr r="D368" s="2"/>
      </tp>
      <tp t="s">
        <v>#N/A N/A</v>
        <stp/>
        <stp>BDP|18417820373382534562</stp>
        <tr r="I4102" s="2"/>
      </tp>
      <tp t="s">
        <v>#N/A N/A</v>
        <stp/>
        <stp>BDP|13438183175742851770</stp>
        <tr r="C1365" s="2"/>
      </tp>
      <tp t="s">
        <v>#N/A N/A</v>
        <stp/>
        <stp>BDP|15676767497708649371</stp>
        <tr r="C3912" s="2"/>
      </tp>
      <tp t="s">
        <v>#N/A N/A</v>
        <stp/>
        <stp>BDP|16631740883089207051</stp>
        <tr r="G4486" s="2"/>
      </tp>
      <tp t="s">
        <v>#N/A N/A</v>
        <stp/>
        <stp>BDP|12441177972035535121</stp>
        <tr r="I4669" s="2"/>
      </tp>
      <tp t="s">
        <v>#N/A N/A</v>
        <stp/>
        <stp>BDP|18298245096986329556</stp>
        <tr r="F822" s="2"/>
      </tp>
      <tp t="s">
        <v>#N/A N/A</v>
        <stp/>
        <stp>BDP|10058944762109017600</stp>
        <tr r="H4347" s="2"/>
      </tp>
      <tp t="s">
        <v>#N/A N/A</v>
        <stp/>
        <stp>BDP|12026645676280123356</stp>
        <tr r="F447" s="2"/>
      </tp>
      <tp t="s">
        <v>#N/A N/A</v>
        <stp/>
        <stp>BDP|11245409869812556181</stp>
        <tr r="B472" s="2"/>
      </tp>
      <tp t="s">
        <v>#N/A N/A</v>
        <stp/>
        <stp>BDP|16738050334650634567</stp>
        <tr r="I3044" s="2"/>
      </tp>
      <tp t="s">
        <v>#N/A N/A</v>
        <stp/>
        <stp>BDP|13234547064295558512</stp>
        <tr r="D1901" s="2"/>
      </tp>
      <tp t="s">
        <v>#N/A N/A</v>
        <stp/>
        <stp>BDP|14482276819392547598</stp>
        <tr r="F1305" s="2"/>
      </tp>
      <tp t="s">
        <v>#N/A N/A</v>
        <stp/>
        <stp>BDP|17697037325523191673</stp>
        <tr r="I3631" s="2"/>
      </tp>
      <tp t="s">
        <v>#N/A N/A</v>
        <stp/>
        <stp>BDP|13658470478079966963</stp>
        <tr r="A4028" s="2"/>
      </tp>
      <tp t="s">
        <v>#N/A N/A</v>
        <stp/>
        <stp>BDP|16990781401391281043</stp>
        <tr r="G4225" s="2"/>
      </tp>
      <tp t="s">
        <v>#N/A N/A</v>
        <stp/>
        <stp>BDP|13216468035595491135</stp>
        <tr r="C2457" s="2"/>
      </tp>
      <tp t="s">
        <v>#N/A N/A</v>
        <stp/>
        <stp>BDP|15519459300962132372</stp>
        <tr r="H3870" s="2"/>
      </tp>
      <tp t="s">
        <v>#N/A N/A</v>
        <stp/>
        <stp>BDP|16370063245222234045</stp>
        <tr r="B4229" s="2"/>
      </tp>
      <tp t="s">
        <v>#N/A N/A</v>
        <stp/>
        <stp>BDP|13983663027803773494</stp>
        <tr r="D4325" s="2"/>
      </tp>
      <tp t="s">
        <v>#N/A N/A</v>
        <stp/>
        <stp>BDP|15827745736477914652</stp>
        <tr r="D2" s="2"/>
      </tp>
      <tp t="s">
        <v>#N/A N/A</v>
        <stp/>
        <stp>BDP|14737201969676951616</stp>
        <tr r="H1161" s="2"/>
      </tp>
      <tp t="s">
        <v>#N/A N/A</v>
        <stp/>
        <stp>BDP|16864733200671516085</stp>
        <tr r="D1523" s="2"/>
      </tp>
      <tp t="s">
        <v>#N/A N/A</v>
        <stp/>
        <stp>BDP|17823278356964975463</stp>
        <tr r="B4934" s="2"/>
      </tp>
      <tp t="s">
        <v>#N/A N/A</v>
        <stp/>
        <stp>BDP|16926188694268174628</stp>
        <tr r="F4911" s="2"/>
      </tp>
      <tp t="s">
        <v>#N/A N/A</v>
        <stp/>
        <stp>BDP|14453252216254549347</stp>
        <tr r="I4030" s="2"/>
      </tp>
      <tp t="s">
        <v>#N/A N/A</v>
        <stp/>
        <stp>BDP|13585291420932265180</stp>
        <tr r="C2346" s="2"/>
      </tp>
      <tp t="s">
        <v>#N/A N/A</v>
        <stp/>
        <stp>BDP|15140355743472171004</stp>
        <tr r="I4978" s="2"/>
      </tp>
      <tp t="s">
        <v>#N/A N/A</v>
        <stp/>
        <stp>BDP|14861717534861272198</stp>
        <tr r="A4724" s="2"/>
      </tp>
      <tp t="s">
        <v>#N/A N/A</v>
        <stp/>
        <stp>BDP|10545276634685056404</stp>
        <tr r="G3845" s="2"/>
      </tp>
      <tp t="s">
        <v>#N/A N/A</v>
        <stp/>
        <stp>BDP|12578271232351316251</stp>
        <tr r="I4849" s="2"/>
      </tp>
      <tp t="s">
        <v>#N/A N/A</v>
        <stp/>
        <stp>BDP|13139939100419291362</stp>
        <tr r="F889" s="2"/>
      </tp>
      <tp t="s">
        <v>#N/A N/A</v>
        <stp/>
        <stp>BDP|11079462024123050444</stp>
        <tr r="D4779" s="2"/>
      </tp>
      <tp t="s">
        <v>#N/A N/A</v>
        <stp/>
        <stp>BDP|14472112335625059363</stp>
        <tr r="C3792" s="2"/>
      </tp>
      <tp t="s">
        <v>#N/A N/A</v>
        <stp/>
        <stp>BDP|16408642068542936471</stp>
        <tr r="B1149" s="2"/>
      </tp>
      <tp t="s">
        <v>#N/A N/A</v>
        <stp/>
        <stp>BDP|16954340416741500587</stp>
        <tr r="I2454" s="2"/>
      </tp>
      <tp t="s">
        <v>#N/A N/A</v>
        <stp/>
        <stp>BDP|10516817114558721114</stp>
        <tr r="F1759" s="2"/>
      </tp>
      <tp t="s">
        <v>#N/A N/A</v>
        <stp/>
        <stp>BDP|12538850063679255574</stp>
        <tr r="A3698" s="2"/>
      </tp>
      <tp t="s">
        <v>#N/A N/A</v>
        <stp/>
        <stp>BDP|15575045777794308631</stp>
        <tr r="D4780" s="2"/>
      </tp>
      <tp t="s">
        <v>#N/A N/A</v>
        <stp/>
        <stp>BDP|16648639053923478647</stp>
        <tr r="C907" s="2"/>
      </tp>
      <tp t="s">
        <v>#N/A N/A</v>
        <stp/>
        <stp>BDP|11304974896327281794</stp>
        <tr r="C3511" s="2"/>
      </tp>
      <tp t="s">
        <v>#N/A N/A</v>
        <stp/>
        <stp>BDP|10757456550319390982</stp>
        <tr r="I1222" s="2"/>
      </tp>
      <tp t="s">
        <v>#N/A N/A</v>
        <stp/>
        <stp>BDP|11180985474706757834</stp>
        <tr r="A3217" s="2"/>
      </tp>
      <tp t="s">
        <v>#N/A N/A</v>
        <stp/>
        <stp>BDP|18141596872868340304</stp>
        <tr r="G3712" s="2"/>
      </tp>
      <tp t="s">
        <v>#N/A N/A</v>
        <stp/>
        <stp>BDP|17209139456473631184</stp>
        <tr r="B3807" s="2"/>
      </tp>
      <tp t="s">
        <v>#N/A N/A</v>
        <stp/>
        <stp>BDP|17788981624724167932</stp>
        <tr r="I1119" s="2"/>
      </tp>
      <tp t="s">
        <v>#N/A N/A</v>
        <stp/>
        <stp>BDP|12947774309941817562</stp>
        <tr r="G3495" s="2"/>
      </tp>
      <tp t="s">
        <v>#N/A N/A</v>
        <stp/>
        <stp>BDP|16156787968605079389</stp>
        <tr r="I2022" s="2"/>
      </tp>
      <tp t="s">
        <v>#N/A N/A</v>
        <stp/>
        <stp>BDP|11808234741705292313</stp>
        <tr r="C3211" s="2"/>
      </tp>
      <tp t="s">
        <v>#N/A N/A</v>
        <stp/>
        <stp>BDP|15551858726178679692</stp>
        <tr r="F438" s="2"/>
      </tp>
      <tp t="s">
        <v>#N/A N/A</v>
        <stp/>
        <stp>BDP|14181463620134720791</stp>
        <tr r="H4826" s="2"/>
      </tp>
      <tp t="s">
        <v>#N/A N/A</v>
        <stp/>
        <stp>BDP|16291740084309940127</stp>
        <tr r="B1765" s="2"/>
      </tp>
      <tp t="s">
        <v>#N/A N/A</v>
        <stp/>
        <stp>BDP|17265421800190077298</stp>
        <tr r="C2422" s="2"/>
      </tp>
      <tp t="s">
        <v>#N/A N/A</v>
        <stp/>
        <stp>BDP|17514208942396717692</stp>
        <tr r="H2569" s="2"/>
      </tp>
      <tp t="s">
        <v>#N/A N/A</v>
        <stp/>
        <stp>BDP|17006599125414369563</stp>
        <tr r="A2360" s="2"/>
      </tp>
      <tp t="s">
        <v>#N/A N/A</v>
        <stp/>
        <stp>BDP|10424188911164232560</stp>
        <tr r="B2129" s="2"/>
      </tp>
      <tp t="s">
        <v>#N/A N/A</v>
        <stp/>
        <stp>BDP|12061558362431768194</stp>
        <tr r="F286" s="2"/>
      </tp>
      <tp t="s">
        <v>#N/A N/A</v>
        <stp/>
        <stp>BDP|16279170838385341078</stp>
        <tr r="G4584" s="2"/>
      </tp>
      <tp t="s">
        <v>#N/A N/A</v>
        <stp/>
        <stp>BDP|14553710639896646721</stp>
        <tr r="F2473" s="2"/>
      </tp>
      <tp t="s">
        <v>#N/A N/A</v>
        <stp/>
        <stp>BDP|11091598494978775437</stp>
        <tr r="A4301" s="2"/>
      </tp>
      <tp t="s">
        <v>#N/A N/A</v>
        <stp/>
        <stp>BDP|12269991258956928934</stp>
        <tr r="F4739" s="2"/>
      </tp>
      <tp t="s">
        <v>#N/A N/A</v>
        <stp/>
        <stp>BDP|15706671221340183092</stp>
        <tr r="B3010" s="2"/>
      </tp>
      <tp t="s">
        <v>#N/A N/A</v>
        <stp/>
        <stp>BDP|13265128614386945446</stp>
        <tr r="I1873" s="2"/>
      </tp>
      <tp t="s">
        <v>#N/A N/A</v>
        <stp/>
        <stp>BDP|13035436609313405579</stp>
        <tr r="D3483" s="2"/>
      </tp>
      <tp t="s">
        <v>#N/A N/A</v>
        <stp/>
        <stp>BDP|10582832736453831912</stp>
        <tr r="C4781" s="2"/>
      </tp>
      <tp t="s">
        <v>#N/A N/A</v>
        <stp/>
        <stp>BDP|11606475703162224699</stp>
        <tr r="C4223" s="2"/>
      </tp>
      <tp t="s">
        <v>#N/A N/A</v>
        <stp/>
        <stp>BDP|12322249738274321654</stp>
        <tr r="I3196" s="2"/>
      </tp>
      <tp t="s">
        <v>#N/A N/A</v>
        <stp/>
        <stp>BDP|18340777476591804838</stp>
        <tr r="H1571" s="2"/>
      </tp>
      <tp t="s">
        <v>#N/A N/A</v>
        <stp/>
        <stp>BDP|16823224193035007908</stp>
        <tr r="F1726" s="2"/>
      </tp>
      <tp t="s">
        <v>#N/A N/A</v>
        <stp/>
        <stp>BDP|17648201367952108092</stp>
        <tr r="C3680" s="2"/>
      </tp>
      <tp t="s">
        <v>#N/A N/A</v>
        <stp/>
        <stp>BDP|11984585348484824586</stp>
        <tr r="A2675" s="2"/>
      </tp>
      <tp t="s">
        <v>#N/A N/A</v>
        <stp/>
        <stp>BDP|12453684165021595255</stp>
        <tr r="F4635" s="2"/>
      </tp>
      <tp t="s">
        <v>#N/A N/A</v>
        <stp/>
        <stp>BDP|14811850527817130827</stp>
        <tr r="F4574" s="2"/>
      </tp>
      <tp t="s">
        <v>#N/A N/A</v>
        <stp/>
        <stp>BDP|15856900026919580629</stp>
        <tr r="B669" s="2"/>
      </tp>
      <tp t="s">
        <v>#N/A N/A</v>
        <stp/>
        <stp>BDP|15724398124144521164</stp>
        <tr r="F3090" s="2"/>
      </tp>
      <tp t="s">
        <v>#N/A N/A</v>
        <stp/>
        <stp>BDP|17578494551912074541</stp>
        <tr r="G1924" s="2"/>
      </tp>
      <tp t="s">
        <v>#N/A N/A</v>
        <stp/>
        <stp>BDP|11364575709857222265</stp>
        <tr r="C4561" s="2"/>
      </tp>
      <tp t="s">
        <v>#N/A N/A</v>
        <stp/>
        <stp>BDP|14890157199818436599</stp>
        <tr r="F819" s="2"/>
      </tp>
      <tp t="s">
        <v>#N/A N/A</v>
        <stp/>
        <stp>BDP|17674105650414823678</stp>
        <tr r="G2570" s="2"/>
      </tp>
      <tp t="s">
        <v>#N/A N/A</v>
        <stp/>
        <stp>BDP|14101268559331004377</stp>
        <tr r="H3164" s="2"/>
      </tp>
      <tp t="s">
        <v>#N/A N/A</v>
        <stp/>
        <stp>BDP|13107717008951940486</stp>
        <tr r="I4340" s="2"/>
      </tp>
      <tp t="s">
        <v>#N/A N/A</v>
        <stp/>
        <stp>BDP|12879607917145706112</stp>
        <tr r="H491" s="2"/>
      </tp>
      <tp t="s">
        <v>#N/A N/A</v>
        <stp/>
        <stp>BDP|14017647618697266574</stp>
        <tr r="H2568" s="2"/>
      </tp>
      <tp t="s">
        <v>#N/A N/A</v>
        <stp/>
        <stp>BDP|13838003536018136961</stp>
        <tr r="H4334" s="2"/>
      </tp>
      <tp t="s">
        <v>#N/A N/A</v>
        <stp/>
        <stp>BDP|13987373700926707700</stp>
        <tr r="I3547" s="2"/>
      </tp>
      <tp t="s">
        <v>#N/A N/A</v>
        <stp/>
        <stp>BDP|11149263526197011785</stp>
        <tr r="D4730" s="2"/>
      </tp>
      <tp t="s">
        <v>#N/A N/A</v>
        <stp/>
        <stp>BDP|13381785079352940028</stp>
        <tr r="I665" s="2"/>
      </tp>
      <tp t="s">
        <v>#N/A N/A</v>
        <stp/>
        <stp>BDP|16931692279273477546</stp>
        <tr r="I2883" s="2"/>
      </tp>
      <tp t="s">
        <v>#N/A N/A</v>
        <stp/>
        <stp>BDP|17171335063697967413</stp>
        <tr r="H1405" s="2"/>
      </tp>
      <tp t="s">
        <v>#N/A N/A</v>
        <stp/>
        <stp>BDP|12831235555595045176</stp>
        <tr r="G1044" s="2"/>
      </tp>
      <tp t="s">
        <v>#N/A N/A</v>
        <stp/>
        <stp>BDP|14774262368209579850</stp>
        <tr r="I527" s="2"/>
      </tp>
      <tp t="s">
        <v>#N/A N/A</v>
        <stp/>
        <stp>BDP|17956528304985206644</stp>
        <tr r="F3682" s="2"/>
      </tp>
      <tp t="s">
        <v>#N/A N/A</v>
        <stp/>
        <stp>BDP|16545403369055625035</stp>
        <tr r="I3262" s="2"/>
      </tp>
      <tp t="s">
        <v>#N/A N/A</v>
        <stp/>
        <stp>BDP|13947165340302617503</stp>
        <tr r="C2306" s="2"/>
      </tp>
      <tp t="s">
        <v>#N/A N/A</v>
        <stp/>
        <stp>BDP|10803727343531339336</stp>
        <tr r="H1333" s="2"/>
      </tp>
      <tp t="s">
        <v>#N/A N/A</v>
        <stp/>
        <stp>BDP|14177491425945702638</stp>
        <tr r="D1503" s="2"/>
      </tp>
      <tp t="s">
        <v>#N/A N/A</v>
        <stp/>
        <stp>BDP|11166034196249517086</stp>
        <tr r="B1715" s="2"/>
      </tp>
      <tp t="s">
        <v>#N/A N/A</v>
        <stp/>
        <stp>BDP|11958309717201319348</stp>
        <tr r="I2109" s="2"/>
      </tp>
      <tp t="s">
        <v>#N/A N/A</v>
        <stp/>
        <stp>BDP|16542736508263342343</stp>
        <tr r="H3060" s="2"/>
      </tp>
      <tp t="s">
        <v>#N/A N/A</v>
        <stp/>
        <stp>BDP|12518886531309347166</stp>
        <tr r="A1310" s="2"/>
      </tp>
      <tp t="s">
        <v>#N/A N/A</v>
        <stp/>
        <stp>BDP|13731517058690471230</stp>
        <tr r="C2479" s="2"/>
      </tp>
      <tp t="s">
        <v>#N/A N/A</v>
        <stp/>
        <stp>BDP|14097099343424583569</stp>
        <tr r="B3981" s="2"/>
      </tp>
      <tp t="s">
        <v>#N/A N/A</v>
        <stp/>
        <stp>BDP|11760010148937795303</stp>
        <tr r="I2192" s="2"/>
      </tp>
      <tp t="s">
        <v>#N/A N/A</v>
        <stp/>
        <stp>BDP|15241506956075859152</stp>
        <tr r="C3851" s="2"/>
      </tp>
      <tp t="s">
        <v>#N/A N/A</v>
        <stp/>
        <stp>BDP|15695775252425959339</stp>
        <tr r="D1081" s="2"/>
      </tp>
      <tp t="s">
        <v>#N/A N/A</v>
        <stp/>
        <stp>BDP|10580260062935168093</stp>
        <tr r="B1136" s="2"/>
      </tp>
      <tp t="s">
        <v>#N/A N/A</v>
        <stp/>
        <stp>BDP|11340040206111159194</stp>
        <tr r="F1656" s="2"/>
      </tp>
      <tp t="s">
        <v>#N/A N/A</v>
        <stp/>
        <stp>BDP|13193715848404281534</stp>
        <tr r="B2328" s="2"/>
      </tp>
      <tp t="s">
        <v>#N/A N/A</v>
        <stp/>
        <stp>BDP|17452285962023753101</stp>
        <tr r="I375" s="2"/>
      </tp>
      <tp t="s">
        <v>#N/A N/A</v>
        <stp/>
        <stp>BDP|13954136136749384968</stp>
        <tr r="H1313" s="2"/>
      </tp>
      <tp t="s">
        <v>#N/A N/A</v>
        <stp/>
        <stp>BDP|17866523461636044323</stp>
        <tr r="F999" s="2"/>
      </tp>
      <tp t="s">
        <v>#N/A N/A</v>
        <stp/>
        <stp>BDP|12754845371208350483</stp>
        <tr r="I2202" s="2"/>
      </tp>
      <tp t="s">
        <v>#N/A N/A</v>
        <stp/>
        <stp>BDP|13452466041707334593</stp>
        <tr r="H585" s="2"/>
      </tp>
      <tp t="s">
        <v>#N/A N/A</v>
        <stp/>
        <stp>BDP|12836172409593896166</stp>
        <tr r="F342" s="2"/>
      </tp>
      <tp t="s">
        <v>#N/A N/A</v>
        <stp/>
        <stp>BDP|10798343107676412486</stp>
        <tr r="I3056" s="2"/>
      </tp>
      <tp t="s">
        <v>#N/A N/A</v>
        <stp/>
        <stp>BDP|11659568132711395798</stp>
        <tr r="F3110" s="2"/>
      </tp>
      <tp t="s">
        <v>#N/A N/A</v>
        <stp/>
        <stp>BDP|15871282052993914036</stp>
        <tr r="C4876" s="2"/>
      </tp>
      <tp t="s">
        <v>#N/A N/A</v>
        <stp/>
        <stp>BDP|10588081203771405025</stp>
        <tr r="A4775" s="2"/>
      </tp>
      <tp t="s">
        <v>#N/A N/A</v>
        <stp/>
        <stp>BDP|17039068186399145797</stp>
        <tr r="H4210" s="2"/>
      </tp>
      <tp t="s">
        <v>#N/A N/A</v>
        <stp/>
        <stp>BDP|11994023318050823133</stp>
        <tr r="B2633" s="2"/>
      </tp>
      <tp t="s">
        <v>#N/A N/A</v>
        <stp/>
        <stp>BDP|14367654015365890733</stp>
        <tr r="I3397" s="2"/>
      </tp>
      <tp t="s">
        <v>#N/A N/A</v>
        <stp/>
        <stp>BDP|14956110322216555079</stp>
        <tr r="I4995" s="2"/>
      </tp>
      <tp t="s">
        <v>#N/A N/A</v>
        <stp/>
        <stp>BDP|15545666615212930178</stp>
        <tr r="F960" s="2"/>
      </tp>
      <tp t="s">
        <v>#N/A N/A</v>
        <stp/>
        <stp>BDP|15969631282242297826</stp>
        <tr r="D1805" s="2"/>
      </tp>
      <tp t="s">
        <v>#N/A N/A</v>
        <stp/>
        <stp>BDP|13103376706481887000</stp>
        <tr r="I1547" s="2"/>
      </tp>
      <tp t="s">
        <v>#N/A N/A</v>
        <stp/>
        <stp>BDP|14902998629097158907</stp>
        <tr r="H1863" s="2"/>
      </tp>
      <tp t="s">
        <v>#N/A N/A</v>
        <stp/>
        <stp>BDP|13853427829580352488</stp>
        <tr r="H3306" s="2"/>
      </tp>
      <tp t="s">
        <v>#N/A N/A</v>
        <stp/>
        <stp>BDP|14353663228880759121</stp>
        <tr r="D2565" s="2"/>
      </tp>
      <tp t="s">
        <v>#N/A N/A</v>
        <stp/>
        <stp>BDP|16635746478685195233</stp>
        <tr r="A975" s="2"/>
      </tp>
      <tp t="s">
        <v>#N/A N/A</v>
        <stp/>
        <stp>BDP|17829424273452626779</stp>
        <tr r="G3002" s="2"/>
      </tp>
      <tp t="s">
        <v>#N/A N/A</v>
        <stp/>
        <stp>BDP|13360642455971246080</stp>
        <tr r="B4658" s="2"/>
      </tp>
      <tp t="s">
        <v>#N/A N/A</v>
        <stp/>
        <stp>BDP|14462589007678792849</stp>
        <tr r="G1495" s="2"/>
      </tp>
      <tp t="s">
        <v>#N/A N/A</v>
        <stp/>
        <stp>BDP|12879423316237584116</stp>
        <tr r="A333" s="2"/>
      </tp>
      <tp t="s">
        <v>#N/A N/A</v>
        <stp/>
        <stp>BDP|10960741724310849498</stp>
        <tr r="D3731" s="2"/>
      </tp>
      <tp t="s">
        <v>#N/A N/A</v>
        <stp/>
        <stp>BDP|13625934784583132088</stp>
        <tr r="G4821" s="2"/>
      </tp>
      <tp t="s">
        <v>#N/A N/A</v>
        <stp/>
        <stp>BDP|18103774539895464832</stp>
        <tr r="G2115" s="2"/>
      </tp>
      <tp t="s">
        <v>#N/A N/A</v>
        <stp/>
        <stp>BDP|10314677627101290496</stp>
        <tr r="A1866" s="2"/>
      </tp>
      <tp t="s">
        <v>#N/A N/A</v>
        <stp/>
        <stp>BDP|10273953332868408393</stp>
        <tr r="F798" s="2"/>
      </tp>
      <tp t="s">
        <v>#N/A N/A</v>
        <stp/>
        <stp>BDP|12358381154871638410</stp>
        <tr r="C4273" s="2"/>
      </tp>
      <tp t="s">
        <v>#N/A N/A</v>
        <stp/>
        <stp>BDP|15780081527952991496</stp>
        <tr r="C3220" s="2"/>
      </tp>
      <tp t="s">
        <v>#N/A N/A</v>
        <stp/>
        <stp>BDP|17978377950614381451</stp>
        <tr r="D2222" s="2"/>
      </tp>
      <tp t="s">
        <v>#N/A N/A</v>
        <stp/>
        <stp>BDP|18264939819747035605</stp>
        <tr r="C1361" s="2"/>
      </tp>
      <tp t="s">
        <v>#N/A N/A</v>
        <stp/>
        <stp>BDP|10440856699882222226</stp>
        <tr r="H3423" s="2"/>
      </tp>
      <tp t="s">
        <v>#N/A N/A</v>
        <stp/>
        <stp>BDP|17147301442286813738</stp>
        <tr r="G4774" s="2"/>
      </tp>
      <tp t="s">
        <v>#N/A N/A</v>
        <stp/>
        <stp>BDP|10149364392592588983</stp>
        <tr r="I1746" s="2"/>
      </tp>
      <tp t="s">
        <v>#N/A N/A</v>
        <stp/>
        <stp>BDP|10553721607996161096</stp>
        <tr r="I4271" s="2"/>
      </tp>
      <tp t="s">
        <v>#N/A N/A</v>
        <stp/>
        <stp>BDP|17997589845315897247</stp>
        <tr r="A3440" s="2"/>
      </tp>
      <tp t="s">
        <v>#N/A N/A</v>
        <stp/>
        <stp>BDP|10373933999709780866</stp>
        <tr r="A3945" s="2"/>
      </tp>
      <tp t="s">
        <v>#N/A N/A</v>
        <stp/>
        <stp>BDP|11002046368946431001</stp>
        <tr r="D2952" s="2"/>
      </tp>
      <tp t="s">
        <v>#N/A N/A</v>
        <stp/>
        <stp>BDP|15980877985173679754</stp>
        <tr r="F2220" s="2"/>
      </tp>
      <tp t="s">
        <v>#N/A N/A</v>
        <stp/>
        <stp>BDP|12696072339535970594</stp>
        <tr r="C3947" s="2"/>
      </tp>
      <tp t="s">
        <v>#N/A N/A</v>
        <stp/>
        <stp>BDP|11037339377275421187</stp>
        <tr r="I3124" s="2"/>
      </tp>
      <tp t="s">
        <v>#N/A N/A</v>
        <stp/>
        <stp>BDP|14879356666482408279</stp>
        <tr r="A2281" s="2"/>
      </tp>
      <tp t="s">
        <v>#N/A N/A</v>
        <stp/>
        <stp>BDP|14558904284463892710</stp>
        <tr r="F4478" s="2"/>
      </tp>
      <tp t="s">
        <v>#N/A N/A</v>
        <stp/>
        <stp>BDP|16160735965025695396</stp>
        <tr r="C815" s="2"/>
      </tp>
      <tp t="s">
        <v>#N/A N/A</v>
        <stp/>
        <stp>BDP|17806289521380045692</stp>
        <tr r="I573" s="2"/>
      </tp>
      <tp t="s">
        <v>#N/A N/A</v>
        <stp/>
        <stp>BDP|17150545806117292494</stp>
        <tr r="I178" s="2"/>
      </tp>
      <tp t="s">
        <v>#N/A N/A</v>
        <stp/>
        <stp>BDP|12019158386203970920</stp>
        <tr r="B380" s="2"/>
      </tp>
      <tp t="s">
        <v>#N/A N/A</v>
        <stp/>
        <stp>BDP|15396634963681242593</stp>
        <tr r="D2436" s="2"/>
      </tp>
      <tp t="s">
        <v>#N/A N/A</v>
        <stp/>
        <stp>BDP|10298689214484491221</stp>
        <tr r="A1213" s="2"/>
      </tp>
      <tp t="s">
        <v>#N/A N/A</v>
        <stp/>
        <stp>BDP|10179244048627743022</stp>
        <tr r="H1733" s="2"/>
      </tp>
      <tp t="s">
        <v>#N/A N/A</v>
        <stp/>
        <stp>BDP|15745142006614954146</stp>
        <tr r="C4572" s="2"/>
      </tp>
      <tp t="s">
        <v>#N/A N/A</v>
        <stp/>
        <stp>BDP|12146064297263970916</stp>
        <tr r="A2947" s="2"/>
      </tp>
      <tp t="s">
        <v>#N/A N/A</v>
        <stp/>
        <stp>BDP|15338696331496000732</stp>
        <tr r="I212" s="2"/>
      </tp>
      <tp t="s">
        <v>#N/A N/A</v>
        <stp/>
        <stp>BDP|15739858151220298993</stp>
        <tr r="G1621" s="2"/>
      </tp>
      <tp t="s">
        <v>#N/A N/A</v>
        <stp/>
        <stp>BDP|10141677729584330147</stp>
        <tr r="H1209" s="2"/>
      </tp>
      <tp t="s">
        <v>#N/A N/A</v>
        <stp/>
        <stp>BDP|16823723223236562447</stp>
        <tr r="H4310" s="2"/>
      </tp>
      <tp t="s">
        <v>#N/A N/A</v>
        <stp/>
        <stp>BDP|12837130912793825094</stp>
        <tr r="I3900" s="2"/>
      </tp>
      <tp t="s">
        <v>#N/A N/A</v>
        <stp/>
        <stp>BDP|12245792917856094346</stp>
        <tr r="F3883" s="2"/>
      </tp>
      <tp t="s">
        <v>#N/A N/A</v>
        <stp/>
        <stp>BDP|13120897932630575975</stp>
        <tr r="F4496" s="2"/>
      </tp>
      <tp t="s">
        <v>#N/A N/A</v>
        <stp/>
        <stp>BDP|12564381866417652156</stp>
        <tr r="A4389" s="2"/>
      </tp>
      <tp t="s">
        <v>#N/A N/A</v>
        <stp/>
        <stp>BDP|10584218019696139445</stp>
        <tr r="G4306" s="2"/>
      </tp>
      <tp t="s">
        <v>#N/A N/A</v>
        <stp/>
        <stp>BDP|15385586405639397856</stp>
        <tr r="D1575" s="2"/>
      </tp>
      <tp t="s">
        <v>#N/A N/A</v>
        <stp/>
        <stp>BDP|11314125077800620689</stp>
        <tr r="B4609" s="2"/>
      </tp>
      <tp t="s">
        <v>#N/A N/A</v>
        <stp/>
        <stp>BDP|12721786370220147365</stp>
        <tr r="B282" s="2"/>
      </tp>
      <tp t="s">
        <v>#N/A N/A</v>
        <stp/>
        <stp>BDP|17711286057353103213</stp>
        <tr r="C1887" s="2"/>
      </tp>
      <tp t="s">
        <v>#N/A N/A</v>
        <stp/>
        <stp>BDP|10842286074021852540</stp>
        <tr r="C3566" s="2"/>
      </tp>
      <tp t="s">
        <v>#N/A N/A</v>
        <stp/>
        <stp>BDP|15864926530316312815</stp>
        <tr r="C816" s="2"/>
      </tp>
      <tp t="s">
        <v>#N/A N/A</v>
        <stp/>
        <stp>BDP|14027015010007052394</stp>
        <tr r="D2072" s="2"/>
      </tp>
      <tp t="s">
        <v>#N/A N/A</v>
        <stp/>
        <stp>BDP|18137509677308660389</stp>
        <tr r="F3120" s="2"/>
      </tp>
      <tp t="s">
        <v>#N/A N/A</v>
        <stp/>
        <stp>BDP|13180511042234953738</stp>
        <tr r="B1147" s="2"/>
      </tp>
      <tp t="s">
        <v>#N/A N/A</v>
        <stp/>
        <stp>BDP|10271421582004907930</stp>
        <tr r="A893" s="2"/>
      </tp>
      <tp t="s">
        <v>#N/A N/A</v>
        <stp/>
        <stp>BDP|16136629640276984326</stp>
        <tr r="B3765" s="2"/>
      </tp>
      <tp t="s">
        <v>#N/A N/A</v>
        <stp/>
        <stp>BDP|12347686813554715073</stp>
        <tr r="H1144" s="2"/>
      </tp>
      <tp t="s">
        <v>#N/A N/A</v>
        <stp/>
        <stp>BDP|16618792616236113705</stp>
        <tr r="A878" s="2"/>
      </tp>
      <tp t="s">
        <v>#N/A N/A</v>
        <stp/>
        <stp>BDP|16544215842543842265</stp>
        <tr r="A2801" s="2"/>
      </tp>
      <tp t="s">
        <v>#N/A N/A</v>
        <stp/>
        <stp>BDP|12314740028330032674</stp>
        <tr r="C717" s="2"/>
      </tp>
      <tp t="s">
        <v>#N/A N/A</v>
        <stp/>
        <stp>BDP|13732713076462133092</stp>
        <tr r="G684" s="2"/>
      </tp>
      <tp t="s">
        <v>#N/A N/A</v>
        <stp/>
        <stp>BDP|15737123607585359095</stp>
        <tr r="A2709" s="2"/>
      </tp>
      <tp t="s">
        <v>#N/A N/A</v>
        <stp/>
        <stp>BDP|15593201478269483817</stp>
        <tr r="F3348" s="2"/>
      </tp>
      <tp t="s">
        <v>#N/A N/A</v>
        <stp/>
        <stp>BDP|17754543235187601783</stp>
        <tr r="A686" s="2"/>
      </tp>
      <tp t="s">
        <v>#N/A N/A</v>
        <stp/>
        <stp>BDP|17408541211692156086</stp>
        <tr r="A1295" s="2"/>
      </tp>
      <tp t="s">
        <v>#N/A N/A</v>
        <stp/>
        <stp>BDP|18228625218566759873</stp>
        <tr r="G2117" s="2"/>
      </tp>
      <tp t="s">
        <v>#N/A N/A</v>
        <stp/>
        <stp>BDP|14737084234233411570</stp>
        <tr r="I1374" s="2"/>
      </tp>
      <tp t="s">
        <v>#N/A N/A</v>
        <stp/>
        <stp>BDP|12406878066809546480</stp>
        <tr r="D4526" s="2"/>
      </tp>
      <tp t="s">
        <v>#N/A N/A</v>
        <stp/>
        <stp>BDP|16792771143490846403</stp>
        <tr r="C2624" s="2"/>
      </tp>
      <tp t="s">
        <v>#N/A N/A</v>
        <stp/>
        <stp>BDP|17273697642000036428</stp>
        <tr r="A3489" s="2"/>
      </tp>
      <tp t="s">
        <v>#N/A N/A</v>
        <stp/>
        <stp>BDP|11726827890828661981</stp>
        <tr r="H2646" s="2"/>
      </tp>
      <tp t="s">
        <v>#N/A N/A</v>
        <stp/>
        <stp>BDP|18231299781457434457</stp>
        <tr r="B227" s="2"/>
      </tp>
      <tp t="s">
        <v>#N/A N/A</v>
        <stp/>
        <stp>BDP|15551571904777999640</stp>
        <tr r="B2022" s="2"/>
      </tp>
      <tp t="s">
        <v>#N/A N/A</v>
        <stp/>
        <stp>BDP|16967363204844047003</stp>
        <tr r="H3093" s="2"/>
      </tp>
      <tp t="s">
        <v>#N/A N/A</v>
        <stp/>
        <stp>BDP|10772989985049625975</stp>
        <tr r="D1525" s="2"/>
      </tp>
      <tp t="s">
        <v>#N/A N/A</v>
        <stp/>
        <stp>BDP|14960654037270780071</stp>
        <tr r="B2420" s="2"/>
      </tp>
      <tp t="s">
        <v>#N/A N/A</v>
        <stp/>
        <stp>BDP|11827019236510322375</stp>
        <tr r="I1070" s="2"/>
      </tp>
      <tp t="s">
        <v>#N/A N/A</v>
        <stp/>
        <stp>BDP|10874608045516709512</stp>
        <tr r="I1619" s="2"/>
      </tp>
      <tp t="s">
        <v>#N/A N/A</v>
        <stp/>
        <stp>BDP|14314986231217181805</stp>
        <tr r="H343" s="2"/>
      </tp>
      <tp t="s">
        <v>#N/A N/A</v>
        <stp/>
        <stp>BDP|15642685610246690532</stp>
        <tr r="B2875" s="2"/>
      </tp>
      <tp t="s">
        <v>#N/A N/A</v>
        <stp/>
        <stp>BDP|13091015327089908944</stp>
        <tr r="C2878" s="2"/>
      </tp>
      <tp t="s">
        <v>#N/A N/A</v>
        <stp/>
        <stp>BDP|13358901055956935841</stp>
        <tr r="D2480" s="2"/>
      </tp>
      <tp t="s">
        <v>#N/A N/A</v>
        <stp/>
        <stp>BDP|12792601779690526203</stp>
        <tr r="C865" s="2"/>
      </tp>
      <tp t="s">
        <v>#N/A N/A</v>
        <stp/>
        <stp>BDP|10285080272632425473</stp>
        <tr r="D3442" s="2"/>
      </tp>
      <tp t="s">
        <v>#N/A N/A</v>
        <stp/>
        <stp>BDP|15412478161064944202</stp>
        <tr r="F3228" s="2"/>
      </tp>
      <tp t="s">
        <v>#N/A N/A</v>
        <stp/>
        <stp>BDP|16797158742846965420</stp>
        <tr r="F3485" s="2"/>
      </tp>
      <tp t="s">
        <v>#N/A N/A</v>
        <stp/>
        <stp>BDP|16082023976002618295</stp>
        <tr r="C762" s="2"/>
      </tp>
      <tp t="s">
        <v>#N/A N/A</v>
        <stp/>
        <stp>BDP|13274455459965558600</stp>
        <tr r="B168" s="2"/>
      </tp>
      <tp t="s">
        <v>#N/A N/A</v>
        <stp/>
        <stp>BDP|14875664055942475443</stp>
        <tr r="H4486" s="2"/>
      </tp>
      <tp t="s">
        <v>#N/A N/A</v>
        <stp/>
        <stp>BDP|17250948878621355963</stp>
        <tr r="G149" s="2"/>
      </tp>
      <tp t="s">
        <v>#N/A N/A</v>
        <stp/>
        <stp>BDP|11522788757147728564</stp>
        <tr r="G4114" s="2"/>
      </tp>
      <tp t="s">
        <v>#N/A N/A</v>
        <stp/>
        <stp>BDP|10314584552187401669</stp>
        <tr r="G4275" s="2"/>
      </tp>
      <tp t="s">
        <v>#N/A N/A</v>
        <stp/>
        <stp>BDP|10605248815675900753</stp>
        <tr r="B4676" s="2"/>
      </tp>
      <tp t="s">
        <v>#N/A N/A</v>
        <stp/>
        <stp>BDP|12932858016243573943</stp>
        <tr r="F1897" s="2"/>
      </tp>
      <tp t="s">
        <v>#N/A N/A</v>
        <stp/>
        <stp>BDP|16897926450053922880</stp>
        <tr r="G3536" s="2"/>
      </tp>
      <tp t="s">
        <v>#N/A N/A</v>
        <stp/>
        <stp>BDP|11247259941742578480</stp>
        <tr r="F1198" s="2"/>
      </tp>
      <tp t="s">
        <v>#N/A N/A</v>
        <stp/>
        <stp>BDP|12465363949696788277</stp>
        <tr r="I686" s="2"/>
      </tp>
      <tp t="s">
        <v>#N/A N/A</v>
        <stp/>
        <stp>BDP|12173479650164976644</stp>
        <tr r="D2644" s="2"/>
      </tp>
      <tp t="s">
        <v>#N/A N/A</v>
        <stp/>
        <stp>BDP|13487815991361685295</stp>
        <tr r="F239" s="2"/>
      </tp>
      <tp t="s">
        <v>#N/A N/A</v>
        <stp/>
        <stp>BDP|11477783534195714147</stp>
        <tr r="C2669" s="2"/>
      </tp>
      <tp t="s">
        <v>#N/A N/A</v>
        <stp/>
        <stp>BDP|15159202665832642298</stp>
        <tr r="F2660" s="2"/>
      </tp>
      <tp t="s">
        <v>#N/A N/A</v>
        <stp/>
        <stp>BDP|14448822191005413184</stp>
        <tr r="H712" s="2"/>
      </tp>
      <tp t="s">
        <v>#N/A N/A</v>
        <stp/>
        <stp>BDP|16769902393787656095</stp>
        <tr r="I2180" s="2"/>
      </tp>
      <tp t="s">
        <v>#N/A N/A</v>
        <stp/>
        <stp>BDP|10334464949378319946</stp>
        <tr r="C4983" s="2"/>
      </tp>
      <tp t="s">
        <v>#N/A N/A</v>
        <stp/>
        <stp>BDP|14381193377856005560</stp>
        <tr r="G3487" s="2"/>
      </tp>
      <tp t="s">
        <v>#N/A N/A</v>
        <stp/>
        <stp>BDP|10513386943155643330</stp>
        <tr r="I1011" s="2"/>
      </tp>
      <tp t="s">
        <v>#N/A N/A</v>
        <stp/>
        <stp>BDP|11868349241417705019</stp>
        <tr r="H1197" s="2"/>
      </tp>
      <tp t="s">
        <v>#N/A N/A</v>
        <stp/>
        <stp>BDP|18377522589093105727</stp>
        <tr r="F4028" s="2"/>
      </tp>
      <tp t="s">
        <v>#N/A N/A</v>
        <stp/>
        <stp>BDP|15002421125711425386</stp>
        <tr r="F3153" s="2"/>
      </tp>
      <tp t="s">
        <v>#N/A N/A</v>
        <stp/>
        <stp>BDP|15386090246807073775</stp>
        <tr r="H2800" s="2"/>
      </tp>
      <tp t="s">
        <v>#N/A N/A</v>
        <stp/>
        <stp>BDP|16150873389453031443</stp>
        <tr r="D2470" s="2"/>
      </tp>
      <tp t="s">
        <v>#N/A N/A</v>
        <stp/>
        <stp>BDP|17770381602495470024</stp>
        <tr r="F3597" s="2"/>
      </tp>
      <tp t="s">
        <v>#N/A N/A</v>
        <stp/>
        <stp>BDP|18122880171045442377</stp>
        <tr r="F3894" s="2"/>
      </tp>
      <tp t="s">
        <v>#N/A N/A</v>
        <stp/>
        <stp>BDP|18365918479967953093</stp>
        <tr r="A80" s="2"/>
      </tp>
      <tp t="s">
        <v>#N/A N/A</v>
        <stp/>
        <stp>BDP|18072631094206425087</stp>
        <tr r="C79" s="2"/>
      </tp>
      <tp t="s">
        <v>#N/A N/A</v>
        <stp/>
        <stp>BDP|15018553728095500633</stp>
        <tr r="I1877" s="2"/>
      </tp>
      <tp t="s">
        <v>#N/A N/A</v>
        <stp/>
        <stp>BDP|11778722909685267255</stp>
        <tr r="C4519" s="2"/>
      </tp>
      <tp t="s">
        <v>#N/A N/A</v>
        <stp/>
        <stp>BDP|17277385902002146726</stp>
        <tr r="I1798" s="2"/>
      </tp>
      <tp t="s">
        <v>#N/A N/A</v>
        <stp/>
        <stp>BDP|16694177529704005039</stp>
        <tr r="I147" s="2"/>
      </tp>
      <tp t="s">
        <v>#N/A N/A</v>
        <stp/>
        <stp>BDP|14127703308502333017</stp>
        <tr r="D4379" s="2"/>
      </tp>
      <tp t="s">
        <v>#N/A N/A</v>
        <stp/>
        <stp>BDP|15042480322046452451</stp>
        <tr r="F147" s="2"/>
      </tp>
      <tp t="s">
        <v>#N/A N/A</v>
        <stp/>
        <stp>BDP|10793094407624534578</stp>
        <tr r="C2603" s="2"/>
      </tp>
      <tp t="s">
        <v>#N/A N/A</v>
        <stp/>
        <stp>BDP|13815348772757594107</stp>
        <tr r="I4153" s="2"/>
      </tp>
      <tp t="s">
        <v>#N/A N/A</v>
        <stp/>
        <stp>BDP|18084655249018745309</stp>
        <tr r="G3297" s="2"/>
      </tp>
      <tp t="s">
        <v>#N/A N/A</v>
        <stp/>
        <stp>BDP|15381480119831130084</stp>
        <tr r="A4291" s="2"/>
      </tp>
      <tp t="s">
        <v>#N/A N/A</v>
        <stp/>
        <stp>BDP|17165696770163127424</stp>
        <tr r="G780" s="2"/>
      </tp>
      <tp t="s">
        <v>#N/A N/A</v>
        <stp/>
        <stp>BDP|17371420424779641983</stp>
        <tr r="D2901" s="2"/>
      </tp>
      <tp t="s">
        <v>#N/A N/A</v>
        <stp/>
        <stp>BDP|17529679675701522698</stp>
        <tr r="H1008" s="2"/>
      </tp>
      <tp t="s">
        <v>#N/A N/A</v>
        <stp/>
        <stp>BDP|15854930259320158885</stp>
        <tr r="I204" s="2"/>
      </tp>
      <tp t="s">
        <v>#N/A N/A</v>
        <stp/>
        <stp>BDP|13075930625419447091</stp>
        <tr r="G4252" s="2"/>
      </tp>
      <tp t="s">
        <v>#N/A N/A</v>
        <stp/>
        <stp>BDP|10510698745734604748</stp>
        <tr r="H3551" s="2"/>
      </tp>
      <tp t="s">
        <v>#N/A N/A</v>
        <stp/>
        <stp>BDP|14741070299479204506</stp>
        <tr r="C952" s="2"/>
      </tp>
      <tp t="s">
        <v>#N/A N/A</v>
        <stp/>
        <stp>BDP|13541615505162325697</stp>
        <tr r="D2287" s="2"/>
      </tp>
      <tp t="s">
        <v>#N/A N/A</v>
        <stp/>
        <stp>BDP|18342981527712506027</stp>
        <tr r="A3831" s="2"/>
      </tp>
      <tp t="s">
        <v>#N/A N/A</v>
        <stp/>
        <stp>BDP|16910483406146943552</stp>
        <tr r="H4395" s="2"/>
      </tp>
      <tp t="s">
        <v>#N/A N/A</v>
        <stp/>
        <stp>BDP|16481356840114327499</stp>
        <tr r="F2520" s="2"/>
      </tp>
      <tp t="s">
        <v>#N/A N/A</v>
        <stp/>
        <stp>BDP|13311386435002631030</stp>
        <tr r="F3386" s="2"/>
      </tp>
      <tp t="s">
        <v>#N/A N/A</v>
        <stp/>
        <stp>BDP|12293422510997388191</stp>
        <tr r="B1631" s="2"/>
      </tp>
      <tp t="s">
        <v>#N/A N/A</v>
        <stp/>
        <stp>BDP|13650060479623585660</stp>
        <tr r="B4916" s="2"/>
      </tp>
      <tp t="s">
        <v>#N/A N/A</v>
        <stp/>
        <stp>BDP|15150082671924477762</stp>
        <tr r="A4936" s="2"/>
      </tp>
      <tp t="s">
        <v>#N/A N/A</v>
        <stp/>
        <stp>BDP|11042784780957262804</stp>
        <tr r="F1854" s="2"/>
      </tp>
      <tp t="s">
        <v>#N/A N/A</v>
        <stp/>
        <stp>BDP|14880077351659254967</stp>
        <tr r="H1660" s="2"/>
      </tp>
      <tp t="s">
        <v>#N/A N/A</v>
        <stp/>
        <stp>BDP|10844295318325202718</stp>
        <tr r="A3008" s="2"/>
      </tp>
      <tp t="s">
        <v>#N/A N/A</v>
        <stp/>
        <stp>BDP|16253450518501637339</stp>
        <tr r="F4827" s="2"/>
      </tp>
      <tp t="s">
        <v>#N/A N/A</v>
        <stp/>
        <stp>BDP|11531934098384779439</stp>
        <tr r="F3405" s="2"/>
      </tp>
      <tp t="s">
        <v>#N/A N/A</v>
        <stp/>
        <stp>BDP|10268344790739453289</stp>
        <tr r="G2163" s="2"/>
      </tp>
      <tp t="s">
        <v>#N/A N/A</v>
        <stp/>
        <stp>BDP|10399289496859321343</stp>
        <tr r="D4822" s="2"/>
      </tp>
      <tp t="s">
        <v>#N/A N/A</v>
        <stp/>
        <stp>BDP|12643098200056430516</stp>
        <tr r="I3635" s="2"/>
      </tp>
      <tp t="s">
        <v>#N/A N/A</v>
        <stp/>
        <stp>BDP|16370727668513090535</stp>
        <tr r="C4560" s="2"/>
      </tp>
      <tp t="s">
        <v>#N/A N/A</v>
        <stp/>
        <stp>BDP|16966975192610040768</stp>
        <tr r="I3797" s="2"/>
      </tp>
      <tp t="s">
        <v>#N/A N/A</v>
        <stp/>
        <stp>BDP|10314600027865681088</stp>
        <tr r="B2804" s="2"/>
      </tp>
      <tp t="s">
        <v>#N/A N/A</v>
        <stp/>
        <stp>BDP|11406923482433798296</stp>
        <tr r="A2847" s="2"/>
      </tp>
      <tp t="s">
        <v>#N/A N/A</v>
        <stp/>
        <stp>BDP|14812017920973659452</stp>
        <tr r="C135" s="2"/>
      </tp>
      <tp t="s">
        <v>#N/A N/A</v>
        <stp/>
        <stp>BDP|16187797366326079044</stp>
        <tr r="B3286" s="2"/>
      </tp>
      <tp t="s">
        <v>#N/A N/A</v>
        <stp/>
        <stp>BDP|15561471639705284637</stp>
        <tr r="D25" s="2"/>
      </tp>
      <tp t="s">
        <v>#N/A N/A</v>
        <stp/>
        <stp>BDP|12095299426026191546</stp>
        <tr r="C4740" s="2"/>
      </tp>
      <tp t="s">
        <v>#N/A N/A</v>
        <stp/>
        <stp>BDP|17916525232233405379</stp>
        <tr r="H2502" s="2"/>
      </tp>
      <tp t="s">
        <v>#N/A N/A</v>
        <stp/>
        <stp>BDP|17949513998843316991</stp>
        <tr r="D4372" s="2"/>
      </tp>
      <tp t="s">
        <v>#N/A N/A</v>
        <stp/>
        <stp>BDP|16527369128454377226</stp>
        <tr r="H2229" s="2"/>
      </tp>
      <tp t="s">
        <v>#N/A N/A</v>
        <stp/>
        <stp>BDP|16680312619000771533</stp>
        <tr r="A1897" s="2"/>
      </tp>
      <tp t="s">
        <v>#N/A N/A</v>
        <stp/>
        <stp>BDP|10864805261846114924</stp>
        <tr r="F192" s="2"/>
      </tp>
      <tp t="s">
        <v>#N/A N/A</v>
        <stp/>
        <stp>BDP|13854445608065877369</stp>
        <tr r="B771" s="2"/>
      </tp>
      <tp t="s">
        <v>#N/A N/A</v>
        <stp/>
        <stp>BDP|10562720608213389561</stp>
        <tr r="G107" s="2"/>
      </tp>
      <tp t="s">
        <v>#N/A N/A</v>
        <stp/>
        <stp>BDP|15979470539761856258</stp>
        <tr r="F143" s="2"/>
      </tp>
      <tp t="s">
        <v>#N/A N/A</v>
        <stp/>
        <stp>BDP|15094720909656246536</stp>
        <tr r="I1760" s="2"/>
      </tp>
      <tp t="s">
        <v>#N/A N/A</v>
        <stp/>
        <stp>BDP|18183105964736770880</stp>
        <tr r="H2390" s="2"/>
      </tp>
      <tp t="s">
        <v>#N/A N/A</v>
        <stp/>
        <stp>BDP|13394229302973848310</stp>
        <tr r="G837" s="2"/>
      </tp>
      <tp t="s">
        <v>#N/A N/A</v>
        <stp/>
        <stp>BDP|13469498465611766153</stp>
        <tr r="A4744" s="2"/>
      </tp>
      <tp t="s">
        <v>#N/A N/A</v>
        <stp/>
        <stp>BDP|14725496377861765747</stp>
        <tr r="H2458" s="2"/>
      </tp>
      <tp t="s">
        <v>#N/A N/A</v>
        <stp/>
        <stp>BDP|17194452262023814746</stp>
        <tr r="B597" s="2"/>
      </tp>
      <tp t="s">
        <v>#N/A N/A</v>
        <stp/>
        <stp>BDP|11461280546570861689</stp>
        <tr r="C4293" s="2"/>
      </tp>
      <tp t="s">
        <v>#N/A N/A</v>
        <stp/>
        <stp>BDP|15663767409686731547</stp>
        <tr r="D865" s="2"/>
      </tp>
      <tp t="s">
        <v>#N/A N/A</v>
        <stp/>
        <stp>BDP|13397889560594911887</stp>
        <tr r="D4857" s="2"/>
      </tp>
      <tp t="s">
        <v>#N/A N/A</v>
        <stp/>
        <stp>BDP|16636182772454241542</stp>
        <tr r="F596" s="2"/>
      </tp>
      <tp t="s">
        <v>#N/A N/A</v>
        <stp/>
        <stp>BDP|13359957423098793188</stp>
        <tr r="C1443" s="2"/>
      </tp>
      <tp t="s">
        <v>#N/A N/A</v>
        <stp/>
        <stp>BDP|15524071232790958732</stp>
        <tr r="C2751" s="2"/>
      </tp>
      <tp t="s">
        <v>#N/A N/A</v>
        <stp/>
        <stp>BDP|11073091354616720301</stp>
        <tr r="D13" s="2"/>
      </tp>
      <tp t="s">
        <v>#N/A N/A</v>
        <stp/>
        <stp>BDP|15083561521074990743</stp>
        <tr r="A1580" s="2"/>
      </tp>
      <tp t="s">
        <v>#N/A N/A</v>
        <stp/>
        <stp>BDP|17303338835815616393</stp>
        <tr r="C136" s="2"/>
      </tp>
      <tp t="s">
        <v>#N/A N/A</v>
        <stp/>
        <stp>BDP|11508005265607380199</stp>
        <tr r="D661" s="2"/>
      </tp>
      <tp t="s">
        <v>#N/A N/A</v>
        <stp/>
        <stp>BDP|11943968020013165848</stp>
        <tr r="D3084" s="2"/>
      </tp>
      <tp t="s">
        <v>#N/A N/A</v>
        <stp/>
        <stp>BDP|11385089996351467835</stp>
        <tr r="G3116" s="2"/>
      </tp>
      <tp t="s">
        <v>#N/A N/A</v>
        <stp/>
        <stp>BDP|14683346856300950379</stp>
        <tr r="F3613" s="2"/>
      </tp>
      <tp t="s">
        <v>#N/A N/A</v>
        <stp/>
        <stp>BDP|10726046932405289799</stp>
        <tr r="G2044" s="2"/>
      </tp>
      <tp t="s">
        <v>#N/A N/A</v>
        <stp/>
        <stp>BDP|13308798178787082586</stp>
        <tr r="B1813" s="2"/>
      </tp>
      <tp t="s">
        <v>#N/A N/A</v>
        <stp/>
        <stp>BDP|11036439608701958588</stp>
        <tr r="C2093" s="2"/>
      </tp>
      <tp t="s">
        <v>#N/A N/A</v>
        <stp/>
        <stp>BDP|17871005654936591532</stp>
        <tr r="H1741" s="2"/>
      </tp>
      <tp t="s">
        <v>#N/A N/A</v>
        <stp/>
        <stp>BDP|16819168149162987047</stp>
        <tr r="I4783" s="2"/>
      </tp>
      <tp t="s">
        <v>#N/A N/A</v>
        <stp/>
        <stp>BDP|10936967286346478677</stp>
        <tr r="B2178" s="2"/>
      </tp>
      <tp t="s">
        <v>#N/A N/A</v>
        <stp/>
        <stp>BDP|11777422600434737085</stp>
        <tr r="I1998" s="2"/>
      </tp>
      <tp t="s">
        <v>#N/A N/A</v>
        <stp/>
        <stp>BDP|16265893787936135178</stp>
        <tr r="D2676" s="2"/>
      </tp>
      <tp t="s">
        <v>#N/A N/A</v>
        <stp/>
        <stp>BDP|11872743065567508667</stp>
        <tr r="B1878" s="2"/>
      </tp>
      <tp t="s">
        <v>#N/A N/A</v>
        <stp/>
        <stp>BDP|10317193760766669065</stp>
        <tr r="H1737" s="2"/>
      </tp>
      <tp t="s">
        <v>#N/A N/A</v>
        <stp/>
        <stp>BDP|11338972651314930867</stp>
        <tr r="B4678" s="2"/>
      </tp>
      <tp t="s">
        <v>#N/A N/A</v>
        <stp/>
        <stp>BDP|11958275670612770737</stp>
        <tr r="H4123" s="2"/>
      </tp>
      <tp t="s">
        <v>#N/A N/A</v>
        <stp/>
        <stp>BDP|17839732309072144393</stp>
        <tr r="C876" s="2"/>
      </tp>
      <tp t="s">
        <v>#N/A N/A</v>
        <stp/>
        <stp>BDP|16991649844232661752</stp>
        <tr r="I1611" s="2"/>
      </tp>
      <tp t="s">
        <v>#N/A N/A</v>
        <stp/>
        <stp>BDP|16956383221423902534</stp>
        <tr r="H3848" s="2"/>
      </tp>
      <tp t="s">
        <v>#N/A N/A</v>
        <stp/>
        <stp>BDP|17353934595045805377</stp>
        <tr r="F2151" s="2"/>
      </tp>
      <tp t="s">
        <v>#N/A N/A</v>
        <stp/>
        <stp>BDP|16466579655942507590</stp>
        <tr r="H3580" s="2"/>
      </tp>
      <tp t="s">
        <v>#N/A N/A</v>
        <stp/>
        <stp>BDP|17092163160375449488</stp>
        <tr r="B2066" s="2"/>
      </tp>
      <tp t="s">
        <v>#N/A N/A</v>
        <stp/>
        <stp>BDP|18274582346609238145</stp>
        <tr r="G4115" s="2"/>
      </tp>
      <tp t="s">
        <v>#N/A N/A</v>
        <stp/>
        <stp>BDP|15422928381177578289</stp>
        <tr r="A4112" s="2"/>
      </tp>
      <tp t="s">
        <v>#N/A N/A</v>
        <stp/>
        <stp>BDP|16533526589888016249</stp>
        <tr r="G4027" s="2"/>
      </tp>
      <tp t="s">
        <v>#N/A N/A</v>
        <stp/>
        <stp>BDP|14277285065546149746</stp>
        <tr r="I3766" s="2"/>
      </tp>
      <tp t="s">
        <v>#N/A N/A</v>
        <stp/>
        <stp>BDP|11192524264865437693</stp>
        <tr r="F4569" s="2"/>
      </tp>
      <tp t="s">
        <v>#N/A N/A</v>
        <stp/>
        <stp>BDP|12432947035998899171</stp>
        <tr r="C1847" s="2"/>
      </tp>
      <tp t="s">
        <v>#N/A N/A</v>
        <stp/>
        <stp>BDP|13205407912732853521</stp>
        <tr r="I1919" s="2"/>
      </tp>
      <tp t="s">
        <v>#N/A N/A</v>
        <stp/>
        <stp>BDP|11200406915317536282</stp>
        <tr r="D835" s="2"/>
      </tp>
      <tp t="s">
        <v>#N/A N/A</v>
        <stp/>
        <stp>BDP|11435591149681794099</stp>
        <tr r="F1361" s="2"/>
      </tp>
      <tp t="s">
        <v>#N/A N/A</v>
        <stp/>
        <stp>BDP|14248315626051631596</stp>
        <tr r="I1768" s="2"/>
      </tp>
      <tp t="s">
        <v>#N/A N/A</v>
        <stp/>
        <stp>BDP|14920247605762670541</stp>
        <tr r="C4260" s="2"/>
      </tp>
      <tp t="s">
        <v>#N/A N/A</v>
        <stp/>
        <stp>BDP|12239858770059978548</stp>
        <tr r="B4087" s="2"/>
      </tp>
      <tp t="s">
        <v>#N/A N/A</v>
        <stp/>
        <stp>BDP|10259728979791701031</stp>
        <tr r="F53" s="2"/>
      </tp>
      <tp t="s">
        <v>#N/A N/A</v>
        <stp/>
        <stp>BDP|10282968078886501943</stp>
        <tr r="H4937" s="2"/>
      </tp>
      <tp t="s">
        <v>#N/A N/A</v>
        <stp/>
        <stp>BDP|11992226552021363672</stp>
        <tr r="D1700" s="2"/>
      </tp>
      <tp t="s">
        <v>#N/A N/A</v>
        <stp/>
        <stp>BDP|13419461755992265184</stp>
        <tr r="B3892" s="2"/>
      </tp>
      <tp t="s">
        <v>#N/A N/A</v>
        <stp/>
        <stp>BDP|14848516649667891357</stp>
        <tr r="H1673" s="2"/>
      </tp>
      <tp t="s">
        <v>#N/A N/A</v>
        <stp/>
        <stp>BDP|13119141539832247236</stp>
        <tr r="C948" s="2"/>
      </tp>
      <tp t="s">
        <v>#N/A N/A</v>
        <stp/>
        <stp>BDP|14866243305551797633</stp>
        <tr r="G3433" s="2"/>
      </tp>
      <tp t="s">
        <v>#N/A N/A</v>
        <stp/>
        <stp>BDP|13516282139412140189</stp>
        <tr r="C610" s="2"/>
      </tp>
      <tp t="s">
        <v>#N/A N/A</v>
        <stp/>
        <stp>BDP|18427690610899714772</stp>
        <tr r="B3016" s="2"/>
      </tp>
      <tp t="s">
        <v>#N/A N/A</v>
        <stp/>
        <stp>BDP|10552869127199823216</stp>
        <tr r="F3149" s="2"/>
      </tp>
      <tp t="s">
        <v>#N/A N/A</v>
        <stp/>
        <stp>BDP|15978116552695163568</stp>
        <tr r="F708" s="2"/>
      </tp>
      <tp t="s">
        <v>#N/A N/A</v>
        <stp/>
        <stp>BDP|10729168968121742736</stp>
        <tr r="B174" s="2"/>
      </tp>
      <tp t="s">
        <v>#N/A N/A</v>
        <stp/>
        <stp>BDP|11411238973603901607</stp>
        <tr r="A2333" s="2"/>
      </tp>
      <tp t="s">
        <v>#N/A N/A</v>
        <stp/>
        <stp>BDP|17098426858724063376</stp>
        <tr r="B1639" s="2"/>
      </tp>
      <tp t="s">
        <v>#N/A N/A</v>
        <stp/>
        <stp>BDP|10842897688807674624</stp>
        <tr r="G4035" s="2"/>
      </tp>
      <tp t="s">
        <v>#N/A N/A</v>
        <stp/>
        <stp>BDP|11900650354025402618</stp>
        <tr r="I4238" s="2"/>
      </tp>
      <tp t="s">
        <v>#N/A N/A</v>
        <stp/>
        <stp>BDP|10294625243932888162</stp>
        <tr r="F4638" s="2"/>
      </tp>
      <tp t="s">
        <v>#N/A N/A</v>
        <stp/>
        <stp>BDP|13194948811493828918</stp>
        <tr r="I152" s="2"/>
      </tp>
      <tp t="s">
        <v>#N/A N/A</v>
        <stp/>
        <stp>BDP|14928529477300961781</stp>
        <tr r="F1312" s="2"/>
      </tp>
      <tp t="s">
        <v>#N/A N/A</v>
        <stp/>
        <stp>BDP|11803189959414627020</stp>
        <tr r="B652" s="2"/>
      </tp>
      <tp t="s">
        <v>#N/A N/A</v>
        <stp/>
        <stp>BDP|17901565034981415122</stp>
        <tr r="A1173" s="2"/>
      </tp>
      <tp t="s">
        <v>#N/A N/A</v>
        <stp/>
        <stp>BDP|17997307135437417154</stp>
        <tr r="A4851" s="2"/>
      </tp>
      <tp t="s">
        <v>#N/A N/A</v>
        <stp/>
        <stp>BDP|12125068672993144799</stp>
        <tr r="I2196" s="2"/>
      </tp>
      <tp t="s">
        <v>#N/A N/A</v>
        <stp/>
        <stp>BDP|13605123038930413055</stp>
        <tr r="I2217" s="2"/>
      </tp>
      <tp t="s">
        <v>#N/A N/A</v>
        <stp/>
        <stp>BDP|11900417112622797706</stp>
        <tr r="F2666" s="2"/>
      </tp>
      <tp t="s">
        <v>#N/A N/A</v>
        <stp/>
        <stp>BDP|15249685670445794001</stp>
        <tr r="G671" s="2"/>
      </tp>
      <tp t="s">
        <v>#N/A N/A</v>
        <stp/>
        <stp>BDP|12933887648236734938</stp>
        <tr r="I912" s="2"/>
      </tp>
      <tp t="s">
        <v>#N/A N/A</v>
        <stp/>
        <stp>BDP|17774162058070011249</stp>
        <tr r="F1247" s="2"/>
      </tp>
      <tp t="s">
        <v>#N/A N/A</v>
        <stp/>
        <stp>BDP|12850454840946201524</stp>
        <tr r="A3710" s="2"/>
      </tp>
      <tp t="s">
        <v>#N/A N/A</v>
        <stp/>
        <stp>BDP|14931733265255673149</stp>
        <tr r="C2133" s="2"/>
      </tp>
      <tp t="s">
        <v>#N/A N/A</v>
        <stp/>
        <stp>BDP|10160230712737940549</stp>
        <tr r="I3811" s="2"/>
      </tp>
      <tp t="s">
        <v>#N/A N/A</v>
        <stp/>
        <stp>BDP|12925539326025810196</stp>
        <tr r="G1779" s="2"/>
      </tp>
      <tp t="s">
        <v>#N/A N/A</v>
        <stp/>
        <stp>BDP|10065697615020586645</stp>
        <tr r="D4289" s="2"/>
      </tp>
      <tp t="s">
        <v>#N/A N/A</v>
        <stp/>
        <stp>BDP|15831483306800802034</stp>
        <tr r="H1636" s="2"/>
      </tp>
      <tp t="s">
        <v>#N/A N/A</v>
        <stp/>
        <stp>BDP|18137607151902805851</stp>
        <tr r="D3540" s="2"/>
      </tp>
      <tp t="s">
        <v>#N/A N/A</v>
        <stp/>
        <stp>BDP|16312047928047532276</stp>
        <tr r="C1134" s="2"/>
      </tp>
      <tp t="s">
        <v>#N/A N/A</v>
        <stp/>
        <stp>BDP|13906431819335683289</stp>
        <tr r="B2712" s="2"/>
      </tp>
      <tp t="s">
        <v>#N/A N/A</v>
        <stp/>
        <stp>BDP|10577841104669868005</stp>
        <tr r="G283" s="2"/>
      </tp>
      <tp t="s">
        <v>#N/A N/A</v>
        <stp/>
        <stp>BDP|11538792974234678437</stp>
        <tr r="D4149" s="2"/>
      </tp>
      <tp t="s">
        <v>#N/A N/A</v>
        <stp/>
        <stp>BDP|11764627459047431451</stp>
        <tr r="H3086" s="2"/>
      </tp>
      <tp t="s">
        <v>#N/A N/A</v>
        <stp/>
        <stp>BDP|13962882094931194297</stp>
        <tr r="H1667" s="2"/>
      </tp>
      <tp t="s">
        <v>#N/A N/A</v>
        <stp/>
        <stp>BDP|14145556923383874125</stp>
        <tr r="I4684" s="2"/>
      </tp>
      <tp t="s">
        <v>#N/A N/A</v>
        <stp/>
        <stp>BDP|17720082515914096373</stp>
        <tr r="B723" s="2"/>
      </tp>
      <tp t="s">
        <v>#N/A N/A</v>
        <stp/>
        <stp>BDP|12508380061066652077</stp>
        <tr r="I1851" s="2"/>
      </tp>
      <tp t="s">
        <v>#N/A N/A</v>
        <stp/>
        <stp>BDP|17004946249098960392</stp>
        <tr r="B1633" s="2"/>
      </tp>
      <tp t="s">
        <v>#N/A N/A</v>
        <stp/>
        <stp>BDP|13049280072125302247</stp>
        <tr r="B3610" s="2"/>
      </tp>
      <tp t="s">
        <v>#N/A N/A</v>
        <stp/>
        <stp>BDP|15916598909924534511</stp>
        <tr r="G1711" s="2"/>
      </tp>
      <tp t="s">
        <v>#N/A N/A</v>
        <stp/>
        <stp>BDP|12372922699403630030</stp>
        <tr r="F2244" s="2"/>
      </tp>
      <tp t="s">
        <v>#N/A N/A</v>
        <stp/>
        <stp>BDP|10252566319455312034</stp>
        <tr r="A2097" s="2"/>
      </tp>
      <tp t="s">
        <v>#N/A N/A</v>
        <stp/>
        <stp>BDP|11158293071683716633</stp>
        <tr r="F1919" s="2"/>
      </tp>
      <tp t="s">
        <v>#N/A N/A</v>
        <stp/>
        <stp>BDP|10536376556133800416</stp>
        <tr r="B213" s="2"/>
      </tp>
      <tp t="s">
        <v>#N/A N/A</v>
        <stp/>
        <stp>BDP|16259971969171239937</stp>
        <tr r="I1514" s="2"/>
      </tp>
      <tp t="s">
        <v>#N/A N/A</v>
        <stp/>
        <stp>BDP|10519777046081179380</stp>
        <tr r="H3050" s="2"/>
      </tp>
      <tp t="s">
        <v>#N/A N/A</v>
        <stp/>
        <stp>BDP|11048759778291693167</stp>
        <tr r="C1067" s="2"/>
      </tp>
      <tp t="s">
        <v>#N/A N/A</v>
        <stp/>
        <stp>BDP|17336364520463823400</stp>
        <tr r="A1630" s="2"/>
      </tp>
      <tp t="s">
        <v>#N/A N/A</v>
        <stp/>
        <stp>BDP|15305794553485708331</stp>
        <tr r="B1947" s="2"/>
      </tp>
      <tp t="s">
        <v>#N/A N/A</v>
        <stp/>
        <stp>BDP|16748010613413137593</stp>
        <tr r="I51" s="2"/>
      </tp>
      <tp t="s">
        <v>#N/A N/A</v>
        <stp/>
        <stp>BDP|10466093355300040452</stp>
        <tr r="H2280" s="2"/>
      </tp>
      <tp t="s">
        <v>#N/A N/A</v>
        <stp/>
        <stp>BDP|17960027417765527244</stp>
        <tr r="C1315" s="2"/>
      </tp>
      <tp t="s">
        <v>#N/A N/A</v>
        <stp/>
        <stp>BDP|10025706797736940937</stp>
        <tr r="G1069" s="2"/>
      </tp>
      <tp t="s">
        <v>#N/A N/A</v>
        <stp/>
        <stp>BDP|14768118176905428695</stp>
        <tr r="A1800" s="2"/>
      </tp>
      <tp t="s">
        <v>#N/A N/A</v>
        <stp/>
        <stp>BDP|14770426718629688968</stp>
        <tr r="C803" s="2"/>
      </tp>
      <tp t="s">
        <v>#N/A N/A</v>
        <stp/>
        <stp>BDP|16552790530927738468</stp>
        <tr r="B3466" s="2"/>
      </tp>
      <tp t="s">
        <v>#N/A N/A</v>
        <stp/>
        <stp>BDP|13106327818167550734</stp>
        <tr r="H1397" s="2"/>
      </tp>
      <tp t="s">
        <v>#N/A N/A</v>
        <stp/>
        <stp>BDP|15770311118417558160</stp>
        <tr r="H4953" s="2"/>
      </tp>
      <tp t="s">
        <v>#N/A N/A</v>
        <stp/>
        <stp>BDP|14484396734362383772</stp>
        <tr r="D1888" s="2"/>
      </tp>
      <tp t="s">
        <v>#N/A N/A</v>
        <stp/>
        <stp>BDP|16048512810652574190</stp>
        <tr r="C482" s="2"/>
      </tp>
      <tp t="s">
        <v>#N/A N/A</v>
        <stp/>
        <stp>BDP|15095539472300502694</stp>
        <tr r="C4259" s="2"/>
      </tp>
      <tp t="s">
        <v>#N/A N/A</v>
        <stp/>
        <stp>BDP|16183363423865962302</stp>
        <tr r="D4168" s="2"/>
      </tp>
      <tp t="s">
        <v>#N/A N/A</v>
        <stp/>
        <stp>BDP|10297033084961963812</stp>
        <tr r="A3302" s="2"/>
      </tp>
      <tp t="s">
        <v>#N/A N/A</v>
        <stp/>
        <stp>BDP|13242042809871201308</stp>
        <tr r="I1283" s="2"/>
      </tp>
      <tp t="s">
        <v>#N/A N/A</v>
        <stp/>
        <stp>BDP|11844095105299832916</stp>
        <tr r="I290" s="2"/>
      </tp>
      <tp t="s">
        <v>#N/A N/A</v>
        <stp/>
        <stp>BDP|10263700070548652990</stp>
        <tr r="A476" s="2"/>
      </tp>
      <tp t="s">
        <v>#N/A N/A</v>
        <stp/>
        <stp>BDP|12720263620367420486</stp>
        <tr r="D1707" s="2"/>
      </tp>
      <tp t="s">
        <v>#N/A N/A</v>
        <stp/>
        <stp>BDP|13347106167744948104</stp>
        <tr r="D10" s="2"/>
      </tp>
      <tp t="s">
        <v>#N/A N/A</v>
        <stp/>
        <stp>BDP|17711393881808399516</stp>
        <tr r="I496" s="2"/>
      </tp>
      <tp t="s">
        <v>#N/A N/A</v>
        <stp/>
        <stp>BDP|12179282410088406800</stp>
        <tr r="C3707" s="2"/>
      </tp>
      <tp t="s">
        <v>#N/A N/A</v>
        <stp/>
        <stp>BDP|14499480001803071202</stp>
        <tr r="C1629" s="2"/>
      </tp>
      <tp t="s">
        <v>#N/A N/A</v>
        <stp/>
        <stp>BDP|16564249108150524518</stp>
        <tr r="A2511" s="2"/>
      </tp>
      <tp t="s">
        <v>#N/A N/A</v>
        <stp/>
        <stp>BDP|11476992965296437910</stp>
        <tr r="C179" s="2"/>
      </tp>
      <tp t="s">
        <v>#N/A N/A</v>
        <stp/>
        <stp>BDP|13239724899815245970</stp>
        <tr r="I3608" s="2"/>
      </tp>
      <tp t="s">
        <v>#N/A N/A</v>
        <stp/>
        <stp>BDP|16984274797659762527</stp>
        <tr r="A1878" s="2"/>
      </tp>
      <tp t="s">
        <v>#N/A N/A</v>
        <stp/>
        <stp>BDP|10602718576141835051</stp>
        <tr r="H3180" s="2"/>
      </tp>
      <tp t="s">
        <v>#N/A N/A</v>
        <stp/>
        <stp>BDP|10790119275953926460</stp>
        <tr r="C1318" s="2"/>
      </tp>
      <tp t="s">
        <v>#N/A N/A</v>
        <stp/>
        <stp>BDP|18295515252299940040</stp>
        <tr r="A260" s="2"/>
      </tp>
      <tp t="s">
        <v>#N/A N/A</v>
        <stp/>
        <stp>BDP|15299284172330350171</stp>
        <tr r="F3313" s="2"/>
      </tp>
      <tp t="s">
        <v>#N/A N/A</v>
        <stp/>
        <stp>BDP|15727644549505507339</stp>
        <tr r="B2433" s="2"/>
      </tp>
      <tp t="s">
        <v>#N/A N/A</v>
        <stp/>
        <stp>BDP|17969919381703138441</stp>
        <tr r="A327" s="2"/>
      </tp>
      <tp t="s">
        <v>#N/A N/A</v>
        <stp/>
        <stp>BDP|13871469261585306502</stp>
        <tr r="C4100" s="2"/>
      </tp>
      <tp t="s">
        <v>#N/A N/A</v>
        <stp/>
        <stp>BDP|14011160989374630858</stp>
        <tr r="D3941" s="2"/>
      </tp>
      <tp t="s">
        <v>#N/A N/A</v>
        <stp/>
        <stp>BDP|15401547930865934755</stp>
        <tr r="F1345" s="2"/>
      </tp>
      <tp t="s">
        <v>#N/A N/A</v>
        <stp/>
        <stp>BDP|15033065616975517096</stp>
        <tr r="H3777" s="2"/>
      </tp>
      <tp t="s">
        <v>#N/A N/A</v>
        <stp/>
        <stp>BDP|11992358801980355325</stp>
        <tr r="D903" s="2"/>
      </tp>
      <tp t="s">
        <v>#N/A N/A</v>
        <stp/>
        <stp>BDP|12600331619806490748</stp>
        <tr r="C1349" s="2"/>
      </tp>
      <tp t="s">
        <v>#N/A N/A</v>
        <stp/>
        <stp>BDP|13301620153441742098</stp>
        <tr r="D4913" s="2"/>
      </tp>
      <tp t="s">
        <v>#N/A N/A</v>
        <stp/>
        <stp>BDP|10558752248832354074</stp>
        <tr r="C422" s="2"/>
      </tp>
      <tp t="s">
        <v>#N/A N/A</v>
        <stp/>
        <stp>BDP|17663254252411997041</stp>
        <tr r="A3237" s="2"/>
      </tp>
      <tp t="s">
        <v>#N/A N/A</v>
        <stp/>
        <stp>BDP|12161408667856801728</stp>
        <tr r="G1050" s="2"/>
      </tp>
      <tp t="s">
        <v>#N/A N/A</v>
        <stp/>
        <stp>BDP|13499315140132925702</stp>
        <tr r="A337" s="2"/>
      </tp>
      <tp t="s">
        <v>#N/A N/A</v>
        <stp/>
        <stp>BDP|17543908406008894778</stp>
        <tr r="I1891" s="2"/>
      </tp>
      <tp t="s">
        <v>#N/A N/A</v>
        <stp/>
        <stp>BDP|17579588035234642425</stp>
        <tr r="A637" s="2"/>
      </tp>
      <tp t="s">
        <v>#N/A N/A</v>
        <stp/>
        <stp>BDP|10629653542255593686</stp>
        <tr r="G3174" s="2"/>
      </tp>
      <tp t="s">
        <v>#N/A N/A</v>
        <stp/>
        <stp>BDP|17508274101007603398</stp>
        <tr r="G1043" s="2"/>
      </tp>
      <tp t="s">
        <v>#N/A N/A</v>
        <stp/>
        <stp>BDP|14738386746985410711</stp>
        <tr r="H4126" s="2"/>
      </tp>
      <tp t="s">
        <v>#N/A N/A</v>
        <stp/>
        <stp>BDP|10282852649629186438</stp>
        <tr r="G3838" s="2"/>
      </tp>
      <tp t="s">
        <v>#N/A N/A</v>
        <stp/>
        <stp>BDP|15276775655103582597</stp>
        <tr r="D1992" s="2"/>
      </tp>
      <tp t="s">
        <v>#N/A N/A</v>
        <stp/>
        <stp>BDP|15998221241745743718</stp>
        <tr r="A4224" s="2"/>
      </tp>
      <tp t="s">
        <v>#N/A N/A</v>
        <stp/>
        <stp>BDP|14876650738713909303</stp>
        <tr r="H4056" s="2"/>
      </tp>
      <tp t="s">
        <v>#N/A N/A</v>
        <stp/>
        <stp>BDP|11770738658503215128</stp>
        <tr r="C1432" s="2"/>
      </tp>
      <tp t="s">
        <v>#N/A N/A</v>
        <stp/>
        <stp>BDP|12165694821281407613</stp>
        <tr r="D2757" s="2"/>
      </tp>
      <tp t="s">
        <v>#N/A N/A</v>
        <stp/>
        <stp>BDP|14082599094368149104</stp>
        <tr r="A1615" s="2"/>
      </tp>
      <tp t="s">
        <v>#N/A N/A</v>
        <stp/>
        <stp>BDP|16408393063954794651</stp>
        <tr r="I3770" s="2"/>
      </tp>
      <tp t="s">
        <v>#N/A N/A</v>
        <stp/>
        <stp>BDP|10215487158974689485</stp>
        <tr r="F2024" s="2"/>
      </tp>
      <tp t="s">
        <v>#N/A N/A</v>
        <stp/>
        <stp>BDP|10915157218211957013</stp>
        <tr r="A3011" s="2"/>
      </tp>
      <tp t="s">
        <v>#N/A N/A</v>
        <stp/>
        <stp>BDP|11120916254859886506</stp>
        <tr r="B4859" s="2"/>
      </tp>
      <tp t="s">
        <v>#N/A N/A</v>
        <stp/>
        <stp>BDP|17064083411633403411</stp>
        <tr r="B1223" s="2"/>
      </tp>
      <tp t="s">
        <v>#N/A N/A</v>
        <stp/>
        <stp>BDP|12089550246857646595</stp>
        <tr r="D2150" s="2"/>
      </tp>
      <tp t="s">
        <v>#N/A N/A</v>
        <stp/>
        <stp>BDP|16096562398713642849</stp>
        <tr r="G4742" s="2"/>
      </tp>
      <tp t="s">
        <v>#N/A N/A</v>
        <stp/>
        <stp>BDP|16359014424085973037</stp>
        <tr r="F519" s="2"/>
      </tp>
      <tp t="s">
        <v>#N/A N/A</v>
        <stp/>
        <stp>BDP|18428957315264967511</stp>
        <tr r="G1631" s="2"/>
      </tp>
      <tp t="s">
        <v>#N/A N/A</v>
        <stp/>
        <stp>BDP|11931039968817834167</stp>
        <tr r="I2908" s="2"/>
      </tp>
      <tp t="s">
        <v>#N/A N/A</v>
        <stp/>
        <stp>BDP|13927064710857719449</stp>
        <tr r="A1868" s="2"/>
      </tp>
      <tp t="s">
        <v>#N/A N/A</v>
        <stp/>
        <stp>BDP|18166635599591145764</stp>
        <tr r="D2511" s="2"/>
      </tp>
      <tp t="s">
        <v>#N/A N/A</v>
        <stp/>
        <stp>BDP|11629198159272286686</stp>
        <tr r="B1684" s="2"/>
      </tp>
      <tp t="s">
        <v>#N/A N/A</v>
        <stp/>
        <stp>BDP|16987045852005137728</stp>
        <tr r="A3481" s="2"/>
      </tp>
      <tp t="s">
        <v>#N/A N/A</v>
        <stp/>
        <stp>BDP|12449440156534910636</stp>
        <tr r="A32" s="2"/>
      </tp>
      <tp t="s">
        <v>#N/A N/A</v>
        <stp/>
        <stp>BDP|12783770969584521609</stp>
        <tr r="C1899" s="2"/>
      </tp>
      <tp t="s">
        <v>#N/A N/A</v>
        <stp/>
        <stp>BDP|16292057542340930308</stp>
        <tr r="A3336" s="2"/>
      </tp>
      <tp t="s">
        <v>#N/A N/A</v>
        <stp/>
        <stp>BDP|15569454068624650224</stp>
        <tr r="D1349" s="2"/>
      </tp>
      <tp t="s">
        <v>#N/A N/A</v>
        <stp/>
        <stp>BDP|13051580552526519435</stp>
        <tr r="G2854" s="2"/>
      </tp>
      <tp t="s">
        <v>#N/A N/A</v>
        <stp/>
        <stp>BDP|14302497207089826891</stp>
        <tr r="B4589" s="2"/>
      </tp>
      <tp t="s">
        <v>#N/A N/A</v>
        <stp/>
        <stp>BDP|17465344557080222094</stp>
        <tr r="A3004" s="2"/>
      </tp>
      <tp t="s">
        <v>#N/A N/A</v>
        <stp/>
        <stp>BDP|15827632313326253562</stp>
        <tr r="H477" s="2"/>
      </tp>
      <tp t="s">
        <v>#N/A N/A</v>
        <stp/>
        <stp>BDP|17956040332665417076</stp>
        <tr r="D1683" s="2"/>
      </tp>
      <tp t="s">
        <v>#N/A N/A</v>
        <stp/>
        <stp>BDP|16090200004233194696</stp>
        <tr r="F2743" s="2"/>
      </tp>
      <tp t="s">
        <v>#N/A N/A</v>
        <stp/>
        <stp>BDP|17173406942003927558</stp>
        <tr r="A4935" s="2"/>
      </tp>
      <tp t="s">
        <v>#N/A N/A</v>
        <stp/>
        <stp>BDP|10201714339171589406</stp>
        <tr r="B2736" s="2"/>
      </tp>
      <tp t="s">
        <v>#N/A N/A</v>
        <stp/>
        <stp>BDP|11038571459466255638</stp>
        <tr r="D1932" s="2"/>
      </tp>
      <tp t="s">
        <v>#N/A N/A</v>
        <stp/>
        <stp>BDP|11493414265097811577</stp>
        <tr r="F2658" s="2"/>
      </tp>
      <tp t="s">
        <v>#N/A N/A</v>
        <stp/>
        <stp>BDP|17628172013943964544</stp>
        <tr r="D299" s="2"/>
      </tp>
      <tp t="s">
        <v>#N/A N/A</v>
        <stp/>
        <stp>BDP|10409010941687848239</stp>
        <tr r="I1907" s="2"/>
      </tp>
      <tp t="s">
        <v>#N/A N/A</v>
        <stp/>
        <stp>BDP|12588358361824729291</stp>
        <tr r="G434" s="2"/>
      </tp>
      <tp t="s">
        <v>#N/A N/A</v>
        <stp/>
        <stp>BDP|16175403839164082477</stp>
        <tr r="G2152" s="2"/>
      </tp>
      <tp t="s">
        <v>#N/A N/A</v>
        <stp/>
        <stp>BDP|17918915167029242029</stp>
        <tr r="A3358" s="2"/>
      </tp>
      <tp t="s">
        <v>#N/A N/A</v>
        <stp/>
        <stp>BDP|16408527029279355939</stp>
        <tr r="I3983" s="2"/>
      </tp>
      <tp t="s">
        <v>#N/A N/A</v>
        <stp/>
        <stp>BDP|14002262609923560454</stp>
        <tr r="A2889" s="2"/>
      </tp>
      <tp t="s">
        <v>#N/A N/A</v>
        <stp/>
        <stp>BDP|14950769594713542816</stp>
        <tr r="I4381" s="2"/>
      </tp>
      <tp t="s">
        <v>#N/A N/A</v>
        <stp/>
        <stp>BDP|11388382851614153240</stp>
        <tr r="H825" s="2"/>
      </tp>
      <tp t="s">
        <v>#N/A N/A</v>
        <stp/>
        <stp>BDP|10265304118626692535</stp>
        <tr r="B1949" s="2"/>
      </tp>
      <tp t="s">
        <v>#N/A N/A</v>
        <stp/>
        <stp>BDP|15092364002211374680</stp>
        <tr r="A4611" s="2"/>
      </tp>
      <tp t="s">
        <v>#N/A N/A</v>
        <stp/>
        <stp>BDP|10886468046708390946</stp>
        <tr r="H1877" s="2"/>
      </tp>
      <tp t="s">
        <v>#N/A N/A</v>
        <stp/>
        <stp>BDP|16734760272745582294</stp>
        <tr r="F526" s="2"/>
      </tp>
      <tp t="s">
        <v>#N/A N/A</v>
        <stp/>
        <stp>BDP|11417270010917805440</stp>
        <tr r="C314" s="2"/>
      </tp>
      <tp t="s">
        <v>#N/A N/A</v>
        <stp/>
        <stp>BDP|12438379663243947563</stp>
        <tr r="D1982" s="2"/>
      </tp>
      <tp t="s">
        <v>#N/A N/A</v>
        <stp/>
        <stp>BDP|10263486453466499622</stp>
        <tr r="A3687" s="2"/>
      </tp>
      <tp t="s">
        <v>#N/A N/A</v>
        <stp/>
        <stp>BDP|12205459039681485558</stp>
        <tr r="F1477" s="2"/>
      </tp>
      <tp t="s">
        <v>#N/A N/A</v>
        <stp/>
        <stp>BDP|12732319009064031406</stp>
        <tr r="F4744" s="2"/>
      </tp>
      <tp t="s">
        <v>#N/A N/A</v>
        <stp/>
        <stp>BDP|11883317188443630887</stp>
        <tr r="A3255" s="2"/>
      </tp>
      <tp t="s">
        <v>#N/A N/A</v>
        <stp/>
        <stp>BDP|15916022205967941381</stp>
        <tr r="B4463" s="2"/>
      </tp>
      <tp t="s">
        <v>#N/A N/A</v>
        <stp/>
        <stp>BDP|13900178041672549554</stp>
        <tr r="I1435" s="2"/>
      </tp>
      <tp t="s">
        <v>#N/A N/A</v>
        <stp/>
        <stp>BDP|17027571409480192300</stp>
        <tr r="H1199" s="2"/>
      </tp>
      <tp t="s">
        <v>#N/A N/A</v>
        <stp/>
        <stp>BDP|10037210534014986435</stp>
        <tr r="B1523" s="2"/>
      </tp>
      <tp t="s">
        <v>#N/A N/A</v>
        <stp/>
        <stp>BDP|18405833189931843890</stp>
        <tr r="B4779" s="2"/>
      </tp>
      <tp t="s">
        <v>#N/A N/A</v>
        <stp/>
        <stp>BDP|11984022143796075277</stp>
        <tr r="C4248" s="2"/>
      </tp>
      <tp t="s">
        <v>#N/A N/A</v>
        <stp/>
        <stp>BDP|11192101047964081194</stp>
        <tr r="B969" s="2"/>
      </tp>
      <tp t="s">
        <v>#N/A N/A</v>
        <stp/>
        <stp>BDP|15256484340521210578</stp>
        <tr r="B1420" s="2"/>
      </tp>
      <tp t="s">
        <v>#N/A N/A</v>
        <stp/>
        <stp>BDP|13179480442221181351</stp>
        <tr r="B2442" s="2"/>
      </tp>
      <tp t="s">
        <v>#N/A N/A</v>
        <stp/>
        <stp>BDP|18265838864313872426</stp>
        <tr r="C2173" s="2"/>
      </tp>
      <tp t="s">
        <v>#N/A N/A</v>
        <stp/>
        <stp>BDP|15785030899744510972</stp>
        <tr r="A387" s="2"/>
      </tp>
      <tp t="s">
        <v>#N/A N/A</v>
        <stp/>
        <stp>BDP|15732773308100044379</stp>
        <tr r="D4623" s="2"/>
      </tp>
      <tp t="s">
        <v>#N/A N/A</v>
        <stp/>
        <stp>BDP|12835359946931478507</stp>
        <tr r="C4846" s="2"/>
      </tp>
      <tp t="s">
        <v>#N/A N/A</v>
        <stp/>
        <stp>BDP|14934305663333119346</stp>
        <tr r="I2574" s="2"/>
      </tp>
      <tp t="s">
        <v>#N/A N/A</v>
        <stp/>
        <stp>BDP|17011614518669289849</stp>
        <tr r="D1132" s="2"/>
      </tp>
      <tp t="s">
        <v>#N/A N/A</v>
        <stp/>
        <stp>BDP|10101555257655872446</stp>
        <tr r="F2536" s="2"/>
      </tp>
      <tp t="s">
        <v>#N/A N/A</v>
        <stp/>
        <stp>BDP|11073287161465450123</stp>
        <tr r="D1052" s="2"/>
      </tp>
      <tp t="s">
        <v>#N/A N/A</v>
        <stp/>
        <stp>BDP|13628115716223759192</stp>
        <tr r="H3092" s="2"/>
      </tp>
      <tp t="s">
        <v>#N/A N/A</v>
        <stp/>
        <stp>BDP|11911025327791273315</stp>
        <tr r="D1702" s="2"/>
      </tp>
      <tp t="s">
        <v>#N/A N/A</v>
        <stp/>
        <stp>BDP|12252237428615003665</stp>
        <tr r="A1973" s="2"/>
      </tp>
      <tp t="s">
        <v>#N/A N/A</v>
        <stp/>
        <stp>BDP|15312551833255338790</stp>
        <tr r="I4562" s="2"/>
      </tp>
      <tp t="s">
        <v>#N/A N/A</v>
        <stp/>
        <stp>BDP|11838022929775846743</stp>
        <tr r="C3990" s="2"/>
      </tp>
      <tp t="s">
        <v>#N/A N/A</v>
        <stp/>
        <stp>BDP|10234316837517222692</stp>
        <tr r="B4701" s="2"/>
      </tp>
      <tp t="s">
        <v>#N/A N/A</v>
        <stp/>
        <stp>BDP|15981343835513173769</stp>
        <tr r="C1818" s="2"/>
      </tp>
      <tp t="s">
        <v>#N/A N/A</v>
        <stp/>
        <stp>BDP|17295970591890919620</stp>
        <tr r="F1535" s="2"/>
      </tp>
      <tp t="s">
        <v>#N/A N/A</v>
        <stp/>
        <stp>BDP|16209211649050361160</stp>
        <tr r="B1320" s="2"/>
      </tp>
      <tp t="s">
        <v>#N/A N/A</v>
        <stp/>
        <stp>BDP|16589704049494587067</stp>
        <tr r="F1818" s="2"/>
      </tp>
      <tp t="s">
        <v>#N/A N/A</v>
        <stp/>
        <stp>BDP|10621443783154822965</stp>
        <tr r="B2805" s="2"/>
      </tp>
      <tp t="s">
        <v>#N/A N/A</v>
        <stp/>
        <stp>BDP|13759550679072015242</stp>
        <tr r="F4061" s="2"/>
      </tp>
      <tp t="s">
        <v>#N/A N/A</v>
        <stp/>
        <stp>BDP|12749068564863214683</stp>
        <tr r="G280" s="2"/>
      </tp>
      <tp t="s">
        <v>#N/A N/A</v>
        <stp/>
        <stp>BDP|16672082176182435231</stp>
        <tr r="D3642" s="2"/>
      </tp>
      <tp t="s">
        <v>#N/A N/A</v>
        <stp/>
        <stp>BDP|11850442510312700742</stp>
        <tr r="I1682" s="2"/>
      </tp>
      <tp t="s">
        <v>#N/A N/A</v>
        <stp/>
        <stp>BDP|13926348948703900638</stp>
        <tr r="I3905" s="2"/>
      </tp>
      <tp t="s">
        <v>#N/A N/A</v>
        <stp/>
        <stp>BDP|15798798118460987208</stp>
        <tr r="B2913" s="2"/>
      </tp>
      <tp t="s">
        <v>#N/A N/A</v>
        <stp/>
        <stp>BDP|14461996766458466207</stp>
        <tr r="H3218" s="2"/>
      </tp>
      <tp t="s">
        <v>#N/A N/A</v>
        <stp/>
        <stp>BDP|14215787961505538115</stp>
        <tr r="B2835" s="2"/>
      </tp>
      <tp t="s">
        <v>#N/A N/A</v>
        <stp/>
        <stp>BDP|16565672028364610733</stp>
        <tr r="G3685" s="2"/>
      </tp>
      <tp t="s">
        <v>#N/A N/A</v>
        <stp/>
        <stp>BDP|18172986023154718625</stp>
        <tr r="I2292" s="2"/>
      </tp>
      <tp t="s">
        <v>#N/A N/A</v>
        <stp/>
        <stp>BDP|15679644431504509592</stp>
        <tr r="B1626" s="2"/>
      </tp>
      <tp t="s">
        <v>#N/A N/A</v>
        <stp/>
        <stp>BDP|16871036075264850492</stp>
        <tr r="A4971" s="2"/>
      </tp>
      <tp t="s">
        <v>#N/A N/A</v>
        <stp/>
        <stp>BDP|18331190032323104864</stp>
        <tr r="A380" s="2"/>
      </tp>
      <tp t="s">
        <v>#N/A N/A</v>
        <stp/>
        <stp>BDP|15805912562142324975</stp>
        <tr r="C4316" s="2"/>
      </tp>
      <tp t="s">
        <v>#N/A N/A</v>
        <stp/>
        <stp>BDP|10493114309113224305</stp>
        <tr r="I283" s="2"/>
      </tp>
      <tp t="s">
        <v>#N/A N/A</v>
        <stp/>
        <stp>BDP|11585011010388808921</stp>
        <tr r="I952" s="2"/>
      </tp>
      <tp t="s">
        <v>#N/A N/A</v>
        <stp/>
        <stp>BDP|13226708123162655595</stp>
        <tr r="H3134" s="2"/>
      </tp>
      <tp t="s">
        <v>#N/A N/A</v>
        <stp/>
        <stp>BDP|16336796460023067548</stp>
        <tr r="G3831" s="2"/>
      </tp>
      <tp t="s">
        <v>#N/A N/A</v>
        <stp/>
        <stp>BDP|16165003139971004566</stp>
        <tr r="F144" s="2"/>
      </tp>
      <tp t="s">
        <v>#N/A N/A</v>
        <stp/>
        <stp>BDP|16647625738973410163</stp>
        <tr r="F3793" s="2"/>
      </tp>
      <tp t="s">
        <v>#N/A N/A</v>
        <stp/>
        <stp>BDP|14833056751035084527</stp>
        <tr r="C399" s="2"/>
      </tp>
      <tp t="s">
        <v>#N/A N/A</v>
        <stp/>
        <stp>BDP|16912706015757135639</stp>
        <tr r="G1062" s="2"/>
      </tp>
      <tp t="s">
        <v>#N/A N/A</v>
        <stp/>
        <stp>BDP|15061390071385395555</stp>
        <tr r="D3154" s="2"/>
      </tp>
      <tp t="s">
        <v>#N/A N/A</v>
        <stp/>
        <stp>BDP|13898325931887456518</stp>
        <tr r="A483" s="2"/>
      </tp>
      <tp t="s">
        <v>#N/A N/A</v>
        <stp/>
        <stp>BDP|11823334708137979449</stp>
        <tr r="B3784" s="2"/>
      </tp>
      <tp t="s">
        <v>#N/A N/A</v>
        <stp/>
        <stp>BDP|12364057243801978627</stp>
        <tr r="D781" s="2"/>
      </tp>
      <tp t="s">
        <v>#N/A N/A</v>
        <stp/>
        <stp>BDP|11033065835860878350</stp>
        <tr r="G4181" s="2"/>
      </tp>
      <tp t="s">
        <v>#N/A N/A</v>
        <stp/>
        <stp>BDP|14611762458213590431</stp>
        <tr r="D1350" s="2"/>
      </tp>
      <tp t="s">
        <v>#N/A N/A</v>
        <stp/>
        <stp>BDP|15913374572414783450</stp>
        <tr r="D4482" s="2"/>
      </tp>
      <tp t="s">
        <v>#N/A N/A</v>
        <stp/>
        <stp>BDP|13537696015703390642</stp>
        <tr r="C4352" s="2"/>
      </tp>
      <tp t="s">
        <v>#N/A N/A</v>
        <stp/>
        <stp>BDP|13803115526803737267</stp>
        <tr r="I3580" s="2"/>
      </tp>
      <tp t="s">
        <v>#N/A N/A</v>
        <stp/>
        <stp>BDP|12671577159111792211</stp>
        <tr r="A876" s="2"/>
      </tp>
      <tp t="s">
        <v>#N/A N/A</v>
        <stp/>
        <stp>BDP|12805124091009446219</stp>
        <tr r="I3111" s="2"/>
      </tp>
      <tp t="s">
        <v>#N/A N/A</v>
        <stp/>
        <stp>BDP|11428673572693688297</stp>
        <tr r="H2575" s="2"/>
      </tp>
      <tp t="s">
        <v>#N/A N/A</v>
        <stp/>
        <stp>BDP|13886679071931989298</stp>
        <tr r="G2906" s="2"/>
      </tp>
      <tp t="s">
        <v>#N/A N/A</v>
        <stp/>
        <stp>BDP|11471904900699395094</stp>
        <tr r="C2484" s="2"/>
      </tp>
      <tp t="s">
        <v>#N/A N/A</v>
        <stp/>
        <stp>BDP|16814476232753007338</stp>
        <tr r="C2857" s="2"/>
      </tp>
      <tp t="s">
        <v>#N/A N/A</v>
        <stp/>
        <stp>BDP|10365139438761121272</stp>
        <tr r="A2018" s="2"/>
      </tp>
      <tp t="s">
        <v>#N/A N/A</v>
        <stp/>
        <stp>BDP|16178349661787906531</stp>
        <tr r="B4304" s="2"/>
      </tp>
      <tp t="s">
        <v>#N/A N/A</v>
        <stp/>
        <stp>BDP|11307392147965332200</stp>
        <tr r="D2811" s="2"/>
      </tp>
      <tp t="s">
        <v>#N/A N/A</v>
        <stp/>
        <stp>BDP|15683220829394319005</stp>
        <tr r="B2391" s="2"/>
      </tp>
      <tp t="s">
        <v>#N/A N/A</v>
        <stp/>
        <stp>BDP|15865013180874238851</stp>
        <tr r="G358" s="2"/>
      </tp>
      <tp t="s">
        <v>#N/A N/A</v>
        <stp/>
        <stp>BDP|18424821009023280234</stp>
        <tr r="F4733" s="2"/>
      </tp>
      <tp t="s">
        <v>#N/A N/A</v>
        <stp/>
        <stp>BDP|11895620217773092438</stp>
        <tr r="I1593" s="2"/>
      </tp>
      <tp t="s">
        <v>#N/A N/A</v>
        <stp/>
        <stp>BDP|13029100230149982975</stp>
        <tr r="H309" s="2"/>
      </tp>
      <tp t="s">
        <v>#N/A N/A</v>
        <stp/>
        <stp>BDP|11559097009159885936</stp>
        <tr r="B2093" s="2"/>
      </tp>
      <tp t="s">
        <v>#N/A N/A</v>
        <stp/>
        <stp>BDP|17451661500676598696</stp>
        <tr r="H1909" s="2"/>
      </tp>
      <tp t="s">
        <v>#N/A N/A</v>
        <stp/>
        <stp>BDP|10649753923013825768</stp>
        <tr r="F635" s="2"/>
      </tp>
      <tp t="s">
        <v>#N/A N/A</v>
        <stp/>
        <stp>BDP|12081863369444857997</stp>
        <tr r="H450" s="2"/>
      </tp>
      <tp t="s">
        <v>#N/A N/A</v>
        <stp/>
        <stp>BDP|14985775473677654253</stp>
        <tr r="I2522" s="2"/>
      </tp>
      <tp t="s">
        <v>#N/A N/A</v>
        <stp/>
        <stp>BDP|11234465602211808508</stp>
        <tr r="G1596" s="2"/>
      </tp>
      <tp t="s">
        <v>#N/A N/A</v>
        <stp/>
        <stp>BDP|12622083575982405614</stp>
        <tr r="B714" s="2"/>
      </tp>
      <tp t="s">
        <v>#N/A N/A</v>
        <stp/>
        <stp>BDP|15739499134045628624</stp>
        <tr r="F4117" s="2"/>
      </tp>
      <tp t="s">
        <v>#N/A N/A</v>
        <stp/>
        <stp>BDP|15870286019386778109</stp>
        <tr r="F4177" s="2"/>
      </tp>
      <tp t="s">
        <v>#N/A N/A</v>
        <stp/>
        <stp>BDP|14779690577160499433</stp>
        <tr r="H3118" s="2"/>
      </tp>
      <tp t="s">
        <v>#N/A N/A</v>
        <stp/>
        <stp>BDP|14835131507216482264</stp>
        <tr r="B4352" s="2"/>
      </tp>
      <tp t="s">
        <v>#N/A N/A</v>
        <stp/>
        <stp>BDP|17125551156466879043</stp>
        <tr r="H4714" s="2"/>
      </tp>
      <tp t="s">
        <v>#N/A N/A</v>
        <stp/>
        <stp>BDP|13353420378622004370</stp>
        <tr r="A2976" s="2"/>
      </tp>
      <tp t="s">
        <v>#N/A N/A</v>
        <stp/>
        <stp>BDP|14208224875770351085</stp>
        <tr r="F3565" s="2"/>
      </tp>
      <tp t="s">
        <v>#N/A N/A</v>
        <stp/>
        <stp>BDP|17690530439948020821</stp>
        <tr r="B2079" s="2"/>
      </tp>
      <tp t="s">
        <v>#N/A N/A</v>
        <stp/>
        <stp>BDP|13568713386719899448</stp>
        <tr r="F556" s="2"/>
      </tp>
      <tp t="s">
        <v>#N/A N/A</v>
        <stp/>
        <stp>BDP|17982782698219789102</stp>
        <tr r="H1540" s="2"/>
      </tp>
      <tp t="s">
        <v>#N/A N/A</v>
        <stp/>
        <stp>BDP|16838463503472534165</stp>
        <tr r="G1928" s="2"/>
      </tp>
      <tp t="s">
        <v>#N/A N/A</v>
        <stp/>
        <stp>BDP|16475744218551158071</stp>
        <tr r="D736" s="2"/>
      </tp>
      <tp t="s">
        <v>#N/A N/A</v>
        <stp/>
        <stp>BDP|12826367724761026342</stp>
        <tr r="H57" s="2"/>
      </tp>
      <tp t="s">
        <v>#N/A N/A</v>
        <stp/>
        <stp>BDP|12937111492713242863</stp>
        <tr r="A2896" s="2"/>
      </tp>
      <tp t="s">
        <v>#N/A N/A</v>
        <stp/>
        <stp>BDP|13408710464286966566</stp>
        <tr r="F4348" s="2"/>
      </tp>
      <tp t="s">
        <v>#N/A N/A</v>
        <stp/>
        <stp>BDP|13998745267610597312</stp>
        <tr r="A1874" s="2"/>
      </tp>
      <tp t="s">
        <v>#N/A N/A</v>
        <stp/>
        <stp>BDP|12362950378258845581</stp>
        <tr r="F2773" s="2"/>
      </tp>
      <tp t="s">
        <v>#N/A N/A</v>
        <stp/>
        <stp>BDP|15211584448105515094</stp>
        <tr r="C2980" s="2"/>
      </tp>
      <tp t="s">
        <v>#N/A N/A</v>
        <stp/>
        <stp>BDP|11392548877663717196</stp>
        <tr r="A2247" s="2"/>
      </tp>
      <tp t="s">
        <v>#N/A N/A</v>
        <stp/>
        <stp>BDP|13198707970807770581</stp>
        <tr r="H3572" s="2"/>
      </tp>
      <tp t="s">
        <v>#N/A N/A</v>
        <stp/>
        <stp>BDP|13453340406465062487</stp>
        <tr r="H1360" s="2"/>
      </tp>
      <tp t="s">
        <v>#N/A N/A</v>
        <stp/>
        <stp>BDP|17158184037304024007</stp>
        <tr r="D1837" s="2"/>
      </tp>
      <tp t="s">
        <v>#N/A N/A</v>
        <stp/>
        <stp>BDP|18057183455364051937</stp>
        <tr r="I4518" s="2"/>
      </tp>
      <tp t="s">
        <v>#N/A N/A</v>
        <stp/>
        <stp>BDP|15294299062517454737</stp>
        <tr r="I1859" s="2"/>
      </tp>
      <tp t="s">
        <v>#N/A N/A</v>
        <stp/>
        <stp>BDP|16105745676371929642</stp>
        <tr r="G4736" s="2"/>
      </tp>
      <tp t="s">
        <v>#N/A N/A</v>
        <stp/>
        <stp>BDP|14869806251060475831</stp>
        <tr r="I237" s="2"/>
      </tp>
      <tp t="s">
        <v>#N/A N/A</v>
        <stp/>
        <stp>BDP|13847341459263800731</stp>
        <tr r="C3328" s="2"/>
      </tp>
      <tp t="s">
        <v>#N/A N/A</v>
        <stp/>
        <stp>BDP|10659754949026335474</stp>
        <tr r="H2063" s="2"/>
      </tp>
      <tp t="s">
        <v>#N/A N/A</v>
        <stp/>
        <stp>BDP|13189731802072797796</stp>
        <tr r="I4842" s="2"/>
      </tp>
      <tp t="s">
        <v>#N/A N/A</v>
        <stp/>
        <stp>BDP|17197908688194619317</stp>
        <tr r="C4776" s="2"/>
      </tp>
      <tp t="s">
        <v>#N/A N/A</v>
        <stp/>
        <stp>BDP|18371722098423111466</stp>
        <tr r="A2605" s="2"/>
      </tp>
      <tp t="s">
        <v>#N/A N/A</v>
        <stp/>
        <stp>BDP|10032043823333177081</stp>
        <tr r="G4880" s="2"/>
      </tp>
      <tp t="s">
        <v>#N/A N/A</v>
        <stp/>
        <stp>BDP|13017243141676238292</stp>
        <tr r="D3889" s="2"/>
      </tp>
      <tp t="s">
        <v>#N/A N/A</v>
        <stp/>
        <stp>BDP|17720379758351553138</stp>
        <tr r="H4545" s="2"/>
      </tp>
      <tp t="s">
        <v>#N/A N/A</v>
        <stp/>
        <stp>BDP|10881037715616587654</stp>
        <tr r="B318" s="2"/>
      </tp>
      <tp t="s">
        <v>#N/A N/A</v>
        <stp/>
        <stp>BDP|10274119669292709439</stp>
        <tr r="D1038" s="2"/>
      </tp>
      <tp t="s">
        <v>#N/A N/A</v>
        <stp/>
        <stp>BDP|14945132956068500972</stp>
        <tr r="C749" s="2"/>
      </tp>
      <tp t="s">
        <v>#N/A N/A</v>
        <stp/>
        <stp>BDP|12894111415195649649</stp>
        <tr r="F2673" s="2"/>
      </tp>
      <tp t="s">
        <v>#N/A N/A</v>
        <stp/>
        <stp>BDP|14004367587577816977</stp>
        <tr r="I2097" s="2"/>
      </tp>
      <tp t="s">
        <v>#N/A N/A</v>
        <stp/>
        <stp>BDP|15743482327625752711</stp>
        <tr r="D1829" s="2"/>
      </tp>
      <tp t="s">
        <v>#N/A N/A</v>
        <stp/>
        <stp>BDP|17893879770531117800</stp>
        <tr r="D4066" s="2"/>
      </tp>
      <tp t="s">
        <v>#N/A N/A</v>
        <stp/>
        <stp>BDP|10604484805883396661</stp>
        <tr r="D228" s="2"/>
      </tp>
      <tp t="s">
        <v>#N/A N/A</v>
        <stp/>
        <stp>BDP|18083363438758972160</stp>
        <tr r="C3983" s="2"/>
      </tp>
      <tp t="s">
        <v>#N/A N/A</v>
        <stp/>
        <stp>BDP|13984231661242874427</stp>
        <tr r="I2415" s="2"/>
      </tp>
      <tp t="s">
        <v>#N/A N/A</v>
        <stp/>
        <stp>BDP|13342132224854248570</stp>
        <tr r="A505" s="2"/>
      </tp>
      <tp t="s">
        <v>#N/A N/A</v>
        <stp/>
        <stp>BDP|13240644770335501629</stp>
        <tr r="A175" s="2"/>
      </tp>
      <tp t="s">
        <v>#N/A N/A</v>
        <stp/>
        <stp>BDP|12597135319242903174</stp>
        <tr r="B1646" s="2"/>
      </tp>
      <tp t="s">
        <v>#N/A N/A</v>
        <stp/>
        <stp>BDP|11284049984560569868</stp>
        <tr r="H1982" s="2"/>
      </tp>
      <tp t="s">
        <v>#N/A N/A</v>
        <stp/>
        <stp>BDP|14044019338750980618</stp>
        <tr r="A939" s="2"/>
      </tp>
      <tp t="s">
        <v>#N/A N/A</v>
        <stp/>
        <stp>BDP|15303074970166740528</stp>
        <tr r="A3480" s="2"/>
      </tp>
      <tp t="s">
        <v>#N/A N/A</v>
        <stp/>
        <stp>BDP|10539452401641492447</stp>
        <tr r="C2656" s="2"/>
      </tp>
      <tp t="s">
        <v>#N/A N/A</v>
        <stp/>
        <stp>BDP|13577601494825834884</stp>
        <tr r="H2185" s="2"/>
      </tp>
      <tp t="s">
        <v>#N/A N/A</v>
        <stp/>
        <stp>BDP|13551048136773557236</stp>
        <tr r="I4233" s="2"/>
      </tp>
      <tp t="s">
        <v>#N/A N/A</v>
        <stp/>
        <stp>BDP|11987752230470570480</stp>
        <tr r="I3151" s="2"/>
      </tp>
      <tp t="s">
        <v>#N/A N/A</v>
        <stp/>
        <stp>BDP|14232632014050309279</stp>
        <tr r="H1760" s="2"/>
      </tp>
      <tp t="s">
        <v>#N/A N/A</v>
        <stp/>
        <stp>BDP|16208735121982509044</stp>
        <tr r="C838" s="2"/>
      </tp>
      <tp t="s">
        <v>#N/A N/A</v>
        <stp/>
        <stp>BDP|15464610317277484474</stp>
        <tr r="C869" s="2"/>
      </tp>
      <tp t="s">
        <v>#N/A N/A</v>
        <stp/>
        <stp>BDP|17799566691409979384</stp>
        <tr r="B1188" s="2"/>
      </tp>
      <tp t="s">
        <v>#N/A N/A</v>
        <stp/>
        <stp>BDP|12673043831716099622</stp>
        <tr r="A1571" s="2"/>
      </tp>
      <tp t="s">
        <v>#N/A N/A</v>
        <stp/>
        <stp>BDP|15042618498599922214</stp>
        <tr r="C2052" s="2"/>
      </tp>
      <tp t="s">
        <v>#N/A N/A</v>
        <stp/>
        <stp>BDP|13412073592272569959</stp>
        <tr r="I1932" s="2"/>
      </tp>
      <tp t="s">
        <v>#N/A N/A</v>
        <stp/>
        <stp>BDP|11727574083249239408</stp>
        <tr r="A857" s="2"/>
      </tp>
      <tp t="s">
        <v>#N/A N/A</v>
        <stp/>
        <stp>BDP|15634709347205153212</stp>
        <tr r="A528" s="2"/>
      </tp>
      <tp t="s">
        <v>#N/A N/A</v>
        <stp/>
        <stp>BDP|10238675140083610028</stp>
        <tr r="F3503" s="2"/>
      </tp>
      <tp t="s">
        <v>#N/A N/A</v>
        <stp/>
        <stp>BDP|15703104537116236039</stp>
        <tr r="I4036" s="2"/>
      </tp>
      <tp t="s">
        <v>#N/A N/A</v>
        <stp/>
        <stp>BDP|11547607223751292552</stp>
        <tr r="A2682" s="2"/>
      </tp>
      <tp t="s">
        <v>#N/A N/A</v>
        <stp/>
        <stp>BDP|13399763734551724773</stp>
        <tr r="C3911" s="2"/>
      </tp>
      <tp t="s">
        <v>#N/A N/A</v>
        <stp/>
        <stp>BDP|15581707956110487668</stp>
        <tr r="H3980" s="2"/>
      </tp>
      <tp t="s">
        <v>#N/A N/A</v>
        <stp/>
        <stp>BDP|14386621281299057210</stp>
        <tr r="F2264" s="2"/>
      </tp>
      <tp t="s">
        <v>#N/A N/A</v>
        <stp/>
        <stp>BDP|14885692245520442715</stp>
        <tr r="I2508" s="2"/>
      </tp>
      <tp t="s">
        <v>#N/A N/A</v>
        <stp/>
        <stp>BDP|13991355827540910334</stp>
        <tr r="F1794" s="2"/>
      </tp>
      <tp t="s">
        <v>#N/A N/A</v>
        <stp/>
        <stp>BDP|14288779718362557194</stp>
        <tr r="I1014" s="2"/>
      </tp>
      <tp t="s">
        <v>#N/A N/A</v>
        <stp/>
        <stp>BDP|13637434835171670472</stp>
        <tr r="F1915" s="2"/>
      </tp>
      <tp t="s">
        <v>#N/A N/A</v>
        <stp/>
        <stp>BDP|10958692351566257424</stp>
        <tr r="D3102" s="2"/>
      </tp>
      <tp t="s">
        <v>#N/A N/A</v>
        <stp/>
        <stp>BDP|10662310135167535667</stp>
        <tr r="D1617" s="2"/>
      </tp>
      <tp t="s">
        <v>#N/A N/A</v>
        <stp/>
        <stp>BDP|10378475993318512433</stp>
        <tr r="D3184" s="2"/>
      </tp>
      <tp t="s">
        <v>#N/A N/A</v>
        <stp/>
        <stp>BDP|12964093832763657355</stp>
        <tr r="H3977" s="2"/>
      </tp>
      <tp t="s">
        <v>#N/A N/A</v>
        <stp/>
        <stp>BDP|18195180726888955276</stp>
        <tr r="H4083" s="2"/>
      </tp>
      <tp t="s">
        <v>#N/A N/A</v>
        <stp/>
        <stp>BDP|15669610431370762101</stp>
        <tr r="C918" s="2"/>
      </tp>
      <tp t="s">
        <v>#N/A N/A</v>
        <stp/>
        <stp>BDP|15433144156405458534</stp>
        <tr r="B2220" s="2"/>
      </tp>
      <tp t="s">
        <v>#N/A N/A</v>
        <stp/>
        <stp>BDP|10376720624101665522</stp>
        <tr r="G42" s="2"/>
      </tp>
      <tp t="s">
        <v>#N/A N/A</v>
        <stp/>
        <stp>BDP|16754677667751726615</stp>
        <tr r="F1293" s="2"/>
      </tp>
      <tp t="s">
        <v>#N/A N/A</v>
        <stp/>
        <stp>BDP|14071611483099653252</stp>
        <tr r="F1338" s="2"/>
      </tp>
      <tp t="s">
        <v>#N/A N/A</v>
        <stp/>
        <stp>BDP|13212721249670109197</stp>
        <tr r="G4298" s="2"/>
      </tp>
      <tp t="s">
        <v>#N/A N/A</v>
        <stp/>
        <stp>BDP|11001530166601479200</stp>
        <tr r="G3521" s="2"/>
      </tp>
      <tp t="s">
        <v>#N/A N/A</v>
        <stp/>
        <stp>BDP|14081191902891829522</stp>
        <tr r="D1355" s="2"/>
      </tp>
      <tp t="s">
        <v>#N/A N/A</v>
        <stp/>
        <stp>BDP|18428464487672770736</stp>
        <tr r="B4369" s="2"/>
      </tp>
      <tp t="s">
        <v>#N/A N/A</v>
        <stp/>
        <stp>BDP|16760340742649327933</stp>
        <tr r="D4465" s="2"/>
      </tp>
      <tp t="s">
        <v>#N/A N/A</v>
        <stp/>
        <stp>BDP|15777575362344236313</stp>
        <tr r="H4154" s="2"/>
      </tp>
      <tp t="s">
        <v>#N/A N/A</v>
        <stp/>
        <stp>BDP|11184474200940502424</stp>
        <tr r="D4019" s="2"/>
      </tp>
      <tp t="s">
        <v>#N/A N/A</v>
        <stp/>
        <stp>BDP|15963001669605526742</stp>
        <tr r="D4276" s="2"/>
      </tp>
      <tp t="s">
        <v>#N/A N/A</v>
        <stp/>
        <stp>BDP|12067225532052640077</stp>
        <tr r="I1403" s="2"/>
      </tp>
      <tp t="s">
        <v>#N/A N/A</v>
        <stp/>
        <stp>BDP|10579452704063759620</stp>
        <tr r="B4147" s="2"/>
      </tp>
      <tp t="s">
        <v>#N/A N/A</v>
        <stp/>
        <stp>BDP|17449731402172339377</stp>
        <tr r="I975" s="2"/>
      </tp>
      <tp t="s">
        <v>#N/A N/A</v>
        <stp/>
        <stp>BDP|13285153127711528049</stp>
        <tr r="H3702" s="2"/>
      </tp>
      <tp t="s">
        <v>#N/A N/A</v>
        <stp/>
        <stp>BDP|16779785116842952318</stp>
        <tr r="H2221" s="2"/>
      </tp>
      <tp t="s">
        <v>#N/A N/A</v>
        <stp/>
        <stp>BDP|14940961848189308153</stp>
        <tr r="I1796" s="2"/>
      </tp>
      <tp t="s">
        <v>#N/A N/A</v>
        <stp/>
        <stp>BDP|18306879076274785244</stp>
        <tr r="F3788" s="2"/>
      </tp>
      <tp t="s">
        <v>#N/A N/A</v>
        <stp/>
        <stp>BDP|11985331237132868248</stp>
        <tr r="F4064" s="2"/>
      </tp>
      <tp t="s">
        <v>#N/A N/A</v>
        <stp/>
        <stp>BDP|13769221061455067353</stp>
        <tr r="I4480" s="2"/>
      </tp>
      <tp t="s">
        <v>#N/A N/A</v>
        <stp/>
        <stp>BDP|15198371276512930288</stp>
        <tr r="A863" s="2"/>
      </tp>
      <tp t="s">
        <v>#N/A N/A</v>
        <stp/>
        <stp>BDP|17003812180123521557</stp>
        <tr r="H418" s="2"/>
      </tp>
      <tp t="s">
        <v>#N/A N/A</v>
        <stp/>
        <stp>BDP|12372851687203534051</stp>
        <tr r="G2082" s="2"/>
      </tp>
      <tp t="s">
        <v>#N/A N/A</v>
        <stp/>
        <stp>BDP|17482702359154988056</stp>
        <tr r="F3446" s="2"/>
      </tp>
      <tp t="s">
        <v>#N/A N/A</v>
        <stp/>
        <stp>BDP|13006023129611319191</stp>
        <tr r="H2073" s="2"/>
      </tp>
      <tp t="s">
        <v>#N/A N/A</v>
        <stp/>
        <stp>BDP|10700706747587846592</stp>
        <tr r="C3781" s="2"/>
      </tp>
      <tp t="s">
        <v>#N/A N/A</v>
        <stp/>
        <stp>BDP|12826665247975929419</stp>
        <tr r="D1271" s="2"/>
      </tp>
      <tp t="s">
        <v>#N/A N/A</v>
        <stp/>
        <stp>BDP|17027333134972294444</stp>
        <tr r="F4501" s="2"/>
      </tp>
      <tp t="s">
        <v>#N/A N/A</v>
        <stp/>
        <stp>BDP|11500636631176625300</stp>
        <tr r="C419" s="2"/>
      </tp>
      <tp t="s">
        <v>#N/A N/A</v>
        <stp/>
        <stp>BDP|10615171663926190025</stp>
        <tr r="H61" s="2"/>
      </tp>
      <tp t="s">
        <v>#N/A N/A</v>
        <stp/>
        <stp>BDP|12076025047376632127</stp>
        <tr r="C263" s="2"/>
      </tp>
      <tp t="s">
        <v>#N/A N/A</v>
        <stp/>
        <stp>BDP|17227055300554453222</stp>
        <tr r="H790" s="2"/>
      </tp>
      <tp t="s">
        <v>#N/A N/A</v>
        <stp/>
        <stp>BDP|17558235743695274564</stp>
        <tr r="G2033" s="2"/>
      </tp>
      <tp t="s">
        <v>#N/A N/A</v>
        <stp/>
        <stp>BDP|12827412169798812992</stp>
        <tr r="G604" s="2"/>
      </tp>
      <tp t="s">
        <v>#N/A N/A</v>
        <stp/>
        <stp>BDP|12889737234260983771</stp>
        <tr r="D4924" s="2"/>
      </tp>
      <tp t="s">
        <v>#N/A N/A</v>
        <stp/>
        <stp>BDP|13357680751498217994</stp>
        <tr r="I1147" s="2"/>
      </tp>
      <tp t="s">
        <v>#N/A N/A</v>
        <stp/>
        <stp>BDP|12996122408954454663</stp>
        <tr r="A3613" s="2"/>
      </tp>
      <tp t="s">
        <v>#N/A N/A</v>
        <stp/>
        <stp>BDP|17168630472522917599</stp>
        <tr r="B1427" s="2"/>
      </tp>
      <tp t="s">
        <v>#N/A N/A</v>
        <stp/>
        <stp>BDP|11896769909922316543</stp>
        <tr r="I4294" s="2"/>
      </tp>
      <tp t="s">
        <v>#N/A N/A</v>
        <stp/>
        <stp>BDP|10384921491371701071</stp>
        <tr r="G4619" s="2"/>
      </tp>
      <tp t="s">
        <v>#N/A N/A</v>
        <stp/>
        <stp>BDP|17127088760105926502</stp>
        <tr r="G2516" s="2"/>
      </tp>
      <tp t="s">
        <v>#N/A N/A</v>
        <stp/>
        <stp>BDP|18153453973358598226</stp>
        <tr r="H4274" s="2"/>
      </tp>
      <tp t="s">
        <v>#N/A N/A</v>
        <stp/>
        <stp>BDP|13494074955276469123</stp>
        <tr r="F88" s="2"/>
      </tp>
      <tp t="s">
        <v>#N/A N/A</v>
        <stp/>
        <stp>BDP|12901886494834174643</stp>
        <tr r="C404" s="2"/>
      </tp>
      <tp t="s">
        <v>#N/A N/A</v>
        <stp/>
        <stp>BDP|17251730314363086354</stp>
        <tr r="F4080" s="2"/>
      </tp>
      <tp t="s">
        <v>#N/A N/A</v>
        <stp/>
        <stp>BDP|12690137318443812052</stp>
        <tr r="G965" s="2"/>
      </tp>
      <tp t="s">
        <v>#N/A N/A</v>
        <stp/>
        <stp>BDP|18260049466208658760</stp>
        <tr r="H4814" s="2"/>
      </tp>
      <tp t="s">
        <v>#N/A N/A</v>
        <stp/>
        <stp>BDP|13161247837962574177</stp>
        <tr r="F4294" s="2"/>
      </tp>
      <tp t="s">
        <v>#N/A N/A</v>
        <stp/>
        <stp>BDP|11077069837425869694</stp>
        <tr r="H569" s="2"/>
      </tp>
      <tp t="s">
        <v>#N/A N/A</v>
        <stp/>
        <stp>BDP|11015656257111681246</stp>
        <tr r="G4861" s="2"/>
      </tp>
      <tp t="s">
        <v>#N/A N/A</v>
        <stp/>
        <stp>BDP|11104468644211003132</stp>
        <tr r="B681" s="2"/>
      </tp>
      <tp t="s">
        <v>#N/A N/A</v>
        <stp/>
        <stp>BDP|14492816027407652846</stp>
        <tr r="G4439" s="2"/>
      </tp>
      <tp t="s">
        <v>#N/A N/A</v>
        <stp/>
        <stp>BDP|11418685758651596214</stp>
        <tr r="I2053" s="2"/>
      </tp>
      <tp t="s">
        <v>#N/A N/A</v>
        <stp/>
        <stp>BDP|11428536120362600518</stp>
        <tr r="C3894" s="2"/>
      </tp>
      <tp t="s">
        <v>#N/A N/A</v>
        <stp/>
        <stp>BDP|16298097410574975223</stp>
        <tr r="A4212" s="2"/>
      </tp>
      <tp t="s">
        <v>#N/A N/A</v>
        <stp/>
        <stp>BDP|15992470270617745094</stp>
        <tr r="H4040" s="2"/>
      </tp>
      <tp t="s">
        <v>#N/A N/A</v>
        <stp/>
        <stp>BDP|11436832443274687824</stp>
        <tr r="H4366" s="2"/>
      </tp>
      <tp t="s">
        <v>#N/A N/A</v>
        <stp/>
        <stp>BDP|15771849897695562011</stp>
        <tr r="D3836" s="2"/>
      </tp>
      <tp t="s">
        <v>#N/A N/A</v>
        <stp/>
        <stp>BDP|10640163811489149809</stp>
        <tr r="G4186" s="2"/>
      </tp>
      <tp t="s">
        <v>#N/A N/A</v>
        <stp/>
        <stp>BDP|15580460011626412761</stp>
        <tr r="G4100" s="2"/>
      </tp>
      <tp t="s">
        <v>#N/A N/A</v>
        <stp/>
        <stp>BDP|17354101229495946039</stp>
        <tr r="G3013" s="2"/>
      </tp>
      <tp t="s">
        <v>#N/A N/A</v>
        <stp/>
        <stp>BDP|10783696647213090098</stp>
        <tr r="A2854" s="2"/>
      </tp>
      <tp t="s">
        <v>#N/A N/A</v>
        <stp/>
        <stp>BDP|12036426260939374816</stp>
        <tr r="G4984" s="2"/>
      </tp>
      <tp t="s">
        <v>#N/A N/A</v>
        <stp/>
        <stp>BDP|13036150169577422289</stp>
        <tr r="F1109" s="2"/>
      </tp>
      <tp t="s">
        <v>#N/A N/A</v>
        <stp/>
        <stp>BDP|14927488012621489178</stp>
        <tr r="I4651" s="2"/>
      </tp>
      <tp t="s">
        <v>#N/A N/A</v>
        <stp/>
        <stp>BDP|11689328252960522637</stp>
        <tr r="C3215" s="2"/>
      </tp>
      <tp t="s">
        <v>#N/A N/A</v>
        <stp/>
        <stp>BDP|11699640023650722461</stp>
        <tr r="C2295" s="2"/>
      </tp>
      <tp t="s">
        <v>#N/A N/A</v>
        <stp/>
        <stp>BDP|14094486298401738974</stp>
        <tr r="G1461" s="2"/>
      </tp>
      <tp t="s">
        <v>#N/A N/A</v>
        <stp/>
        <stp>BDP|16436227711034108068</stp>
        <tr r="A2338" s="2"/>
      </tp>
      <tp t="s">
        <v>#N/A N/A</v>
        <stp/>
        <stp>BDP|10498147031256778567</stp>
        <tr r="F4369" s="2"/>
      </tp>
      <tp t="s">
        <v>#N/A N/A</v>
        <stp/>
        <stp>BDP|17182812009868862618</stp>
        <tr r="C4640" s="2"/>
      </tp>
      <tp t="s">
        <v>#N/A N/A</v>
        <stp/>
        <stp>BDP|11433609275689994886</stp>
        <tr r="C2100" s="2"/>
      </tp>
      <tp t="s">
        <v>#N/A N/A</v>
        <stp/>
        <stp>BDP|15835111469154098709</stp>
        <tr r="G4522" s="2"/>
      </tp>
      <tp t="s">
        <v>#N/A N/A</v>
        <stp/>
        <stp>BDP|15025142362682477122</stp>
        <tr r="H677" s="2"/>
      </tp>
      <tp t="s">
        <v>#N/A N/A</v>
        <stp/>
        <stp>BDP|13755783729696740117</stp>
        <tr r="I1197" s="2"/>
      </tp>
      <tp t="s">
        <v>#N/A N/A</v>
        <stp/>
        <stp>BDP|12451305902099472924</stp>
        <tr r="I2475" s="2"/>
      </tp>
      <tp t="s">
        <v>#N/A N/A</v>
        <stp/>
        <stp>BDP|16347487389758512376</stp>
        <tr r="D463" s="2"/>
      </tp>
      <tp t="s">
        <v>#N/A N/A</v>
        <stp/>
        <stp>BDP|12224836996764241655</stp>
        <tr r="F4312" s="2"/>
      </tp>
      <tp t="s">
        <v>#N/A N/A</v>
        <stp/>
        <stp>BDP|15144542691421185958</stp>
        <tr r="D3780" s="2"/>
      </tp>
      <tp t="s">
        <v>#N/A N/A</v>
        <stp/>
        <stp>BDP|15732901115729054522</stp>
        <tr r="F1545" s="2"/>
      </tp>
      <tp t="s">
        <v>#N/A N/A</v>
        <stp/>
        <stp>BDP|11707350634745254540</stp>
        <tr r="D432" s="2"/>
      </tp>
      <tp t="s">
        <v>#N/A N/A</v>
        <stp/>
        <stp>BDP|17935336785745657895</stp>
        <tr r="H4415" s="2"/>
      </tp>
      <tp t="s">
        <v>#N/A N/A</v>
        <stp/>
        <stp>BDP|16187109961563728374</stp>
        <tr r="H2451" s="2"/>
      </tp>
      <tp t="s">
        <v>#N/A N/A</v>
        <stp/>
        <stp>BDP|11613419243789372979</stp>
        <tr r="F2813" s="2"/>
      </tp>
      <tp t="s">
        <v>#N/A N/A</v>
        <stp/>
        <stp>BDP|15435276572060964182</stp>
        <tr r="B250" s="2"/>
      </tp>
      <tp t="s">
        <v>#N/A N/A</v>
        <stp/>
        <stp>BDP|10921024481309844021</stp>
        <tr r="A1761" s="2"/>
      </tp>
      <tp t="s">
        <v>#N/A N/A</v>
        <stp/>
        <stp>BDP|16320042950194282659</stp>
        <tr r="D4277" s="2"/>
      </tp>
      <tp t="s">
        <v>#N/A N/A</v>
        <stp/>
        <stp>BDP|10419349751092199506</stp>
        <tr r="C702" s="2"/>
      </tp>
      <tp t="s">
        <v>#N/A N/A</v>
        <stp/>
        <stp>BDP|13826736063486830504</stp>
        <tr r="D707" s="2"/>
      </tp>
      <tp t="s">
        <v>#N/A N/A</v>
        <stp/>
        <stp>BDP|17632644657195298078</stp>
        <tr r="F1920" s="2"/>
      </tp>
      <tp t="s">
        <v>#N/A N/A</v>
        <stp/>
        <stp>BDP|17822819168920957880</stp>
        <tr r="H124" s="2"/>
      </tp>
      <tp t="s">
        <v>#N/A N/A</v>
        <stp/>
        <stp>BDP|13423162465375633017</stp>
        <tr r="A427" s="2"/>
      </tp>
      <tp t="s">
        <v>#N/A N/A</v>
        <stp/>
        <stp>BDP|14022790902317867531</stp>
        <tr r="F847" s="2"/>
      </tp>
      <tp t="s">
        <v>#N/A N/A</v>
        <stp/>
        <stp>BDP|18298879054164863091</stp>
        <tr r="C4164" s="2"/>
      </tp>
      <tp t="s">
        <v>#N/A N/A</v>
        <stp/>
        <stp>BDP|18210313691597040425</stp>
        <tr r="A3031" s="2"/>
      </tp>
      <tp t="s">
        <v>#N/A N/A</v>
        <stp/>
        <stp>BDP|18024244162635105876</stp>
        <tr r="C357" s="2"/>
      </tp>
      <tp t="s">
        <v>#N/A N/A</v>
        <stp/>
        <stp>BDP|15765559064640073768</stp>
        <tr r="A728" s="2"/>
      </tp>
      <tp t="s">
        <v>#N/A N/A</v>
        <stp/>
        <stp>BDP|10557431845165733443</stp>
        <tr r="C4487" s="2"/>
      </tp>
      <tp t="s">
        <v>#N/A N/A</v>
        <stp/>
        <stp>BDP|11489558159685064585</stp>
        <tr r="G4614" s="2"/>
      </tp>
      <tp t="s">
        <v>#N/A N/A</v>
        <stp/>
        <stp>BDP|13345224517068027967</stp>
        <tr r="G2074" s="2"/>
      </tp>
      <tp t="s">
        <v>#N/A N/A</v>
        <stp/>
        <stp>BDP|18254980689598528067</stp>
        <tr r="D4937" s="2"/>
      </tp>
      <tp t="s">
        <v>#N/A N/A</v>
        <stp/>
        <stp>BDP|12127276140690516537</stp>
        <tr r="I2861" s="2"/>
      </tp>
      <tp t="s">
        <v>#N/A N/A</v>
        <stp/>
        <stp>BDP|15110752445992394527</stp>
        <tr r="G2085" s="2"/>
      </tp>
      <tp t="s">
        <v>#N/A N/A</v>
        <stp/>
        <stp>BDP|17149655902699354969</stp>
        <tr r="C3948" s="2"/>
      </tp>
      <tp t="s">
        <v>#N/A N/A</v>
        <stp/>
        <stp>BDP|13849359114568232880</stp>
        <tr r="B463" s="2"/>
      </tp>
      <tp t="s">
        <v>#N/A N/A</v>
        <stp/>
        <stp>BDP|14569056654819501923</stp>
        <tr r="B1213" s="2"/>
      </tp>
      <tp t="s">
        <v>#N/A N/A</v>
        <stp/>
        <stp>BDP|12573149508907398595</stp>
        <tr r="H1950" s="2"/>
      </tp>
      <tp t="s">
        <v>#N/A N/A</v>
        <stp/>
        <stp>BDP|10947613109603582472</stp>
        <tr r="G3918" s="2"/>
      </tp>
      <tp t="s">
        <v>#N/A N/A</v>
        <stp/>
        <stp>BDP|11637890827202338889</stp>
        <tr r="A954" s="2"/>
      </tp>
      <tp t="s">
        <v>#N/A N/A</v>
        <stp/>
        <stp>BDP|13057278928392810044</stp>
        <tr r="F1197" s="2"/>
      </tp>
      <tp t="s">
        <v>#N/A N/A</v>
        <stp/>
        <stp>BDP|15894194172696842485</stp>
        <tr r="D2237" s="2"/>
      </tp>
      <tp t="s">
        <v>#N/A N/A</v>
        <stp/>
        <stp>BDP|15386269793536578909</stp>
        <tr r="D3721" s="2"/>
      </tp>
      <tp t="s">
        <v>#N/A N/A</v>
        <stp/>
        <stp>BDP|13010621034953149444</stp>
        <tr r="A1377" s="2"/>
      </tp>
      <tp t="s">
        <v>#N/A N/A</v>
        <stp/>
        <stp>BDP|13647174429016399780</stp>
        <tr r="H75" s="2"/>
      </tp>
      <tp t="s">
        <v>#N/A N/A</v>
        <stp/>
        <stp>BDP|16152428648656105192</stp>
        <tr r="F4464" s="2"/>
      </tp>
      <tp t="s">
        <v>#N/A N/A</v>
        <stp/>
        <stp>BDP|11806489730062731543</stp>
        <tr r="G4732" s="2"/>
      </tp>
      <tp t="s">
        <v>#N/A N/A</v>
        <stp/>
        <stp>BDP|14363851714719314528</stp>
        <tr r="F4290" s="2"/>
      </tp>
      <tp t="s">
        <v>#N/A N/A</v>
        <stp/>
        <stp>BDP|18193402810978230409</stp>
        <tr r="I347" s="2"/>
      </tp>
      <tp t="s">
        <v>#N/A N/A</v>
        <stp/>
        <stp>BDP|12873582566937604734</stp>
        <tr r="I1863" s="2"/>
      </tp>
      <tp t="s">
        <v>#N/A N/A</v>
        <stp/>
        <stp>BDP|18380389696305686682</stp>
        <tr r="A4983" s="2"/>
      </tp>
      <tp t="s">
        <v>#N/A N/A</v>
        <stp/>
        <stp>BDP|12885546653283807043</stp>
        <tr r="D586" s="2"/>
      </tp>
      <tp t="s">
        <v>#N/A N/A</v>
        <stp/>
        <stp>BDP|14962478808169330863</stp>
        <tr r="G1961" s="2"/>
      </tp>
      <tp t="s">
        <v>#N/A N/A</v>
        <stp/>
        <stp>BDP|17163136526211346449</stp>
        <tr r="F3631" s="2"/>
      </tp>
      <tp t="s">
        <v>#N/A N/A</v>
        <stp/>
        <stp>BDP|11078181338601488377</stp>
        <tr r="C3723" s="2"/>
      </tp>
      <tp t="s">
        <v>#N/A N/A</v>
        <stp/>
        <stp>BDP|12085423312584702240</stp>
        <tr r="G4322" s="2"/>
      </tp>
      <tp t="s">
        <v>#N/A N/A</v>
        <stp/>
        <stp>BDP|11288525557307682728</stp>
        <tr r="G4655" s="2"/>
      </tp>
      <tp t="s">
        <v>#N/A N/A</v>
        <stp/>
        <stp>BDP|12849239811829196982</stp>
        <tr r="G2676" s="2"/>
      </tp>
      <tp t="s">
        <v>#N/A N/A</v>
        <stp/>
        <stp>BDP|10793542610051111414</stp>
        <tr r="I922" s="2"/>
      </tp>
      <tp t="s">
        <v>#N/A N/A</v>
        <stp/>
        <stp>BDP|13757649760010100212</stp>
        <tr r="D3585" s="2"/>
      </tp>
      <tp t="s">
        <v>#N/A N/A</v>
        <stp/>
        <stp>BDP|13135787187648940548</stp>
        <tr r="H724" s="2"/>
      </tp>
      <tp t="s">
        <v>#N/A N/A</v>
        <stp/>
        <stp>BDP|13888420653777899428</stp>
        <tr r="D1043" s="2"/>
      </tp>
      <tp t="s">
        <v>#N/A N/A</v>
        <stp/>
        <stp>BDP|17258845817967625845</stp>
        <tr r="A290" s="2"/>
      </tp>
      <tp t="s">
        <v>#N/A N/A</v>
        <stp/>
        <stp>BDP|12466120170127007259</stp>
        <tr r="B4710" s="2"/>
      </tp>
      <tp t="s">
        <v>#N/A N/A</v>
        <stp/>
        <stp>BDP|14845159868173613100</stp>
        <tr r="A3635" s="2"/>
      </tp>
      <tp t="s">
        <v>#N/A N/A</v>
        <stp/>
        <stp>BDP|15056176156278759859</stp>
        <tr r="C3117" s="2"/>
      </tp>
      <tp t="s">
        <v>#N/A N/A</v>
        <stp/>
        <stp>BDP|14699467112753448350</stp>
        <tr r="G3784" s="2"/>
      </tp>
      <tp t="s">
        <v>#N/A N/A</v>
        <stp/>
        <stp>BDP|15320415497171435828</stp>
        <tr r="F4663" s="2"/>
      </tp>
      <tp t="s">
        <v>#N/A N/A</v>
        <stp/>
        <stp>BDP|16710272438831871731</stp>
        <tr r="A3288" s="2"/>
      </tp>
      <tp t="s">
        <v>#N/A N/A</v>
        <stp/>
        <stp>BDP|12381577926215508140</stp>
        <tr r="G3843" s="2"/>
      </tp>
      <tp t="s">
        <v>#N/A N/A</v>
        <stp/>
        <stp>BDP|17292187333123301792</stp>
        <tr r="I4074" s="2"/>
      </tp>
      <tp t="s">
        <v>#N/A N/A</v>
        <stp/>
        <stp>BDP|12498375764156277066</stp>
        <tr r="A3224" s="2"/>
      </tp>
      <tp t="s">
        <v>#N/A N/A</v>
        <stp/>
        <stp>BDP|17101522926859041862</stp>
        <tr r="D4866" s="2"/>
      </tp>
      <tp t="s">
        <v>#N/A N/A</v>
        <stp/>
        <stp>BDP|18361508066592501837</stp>
        <tr r="D2188" s="2"/>
      </tp>
      <tp t="s">
        <v>#N/A N/A</v>
        <stp/>
        <stp>BDP|12252423357890750237</stp>
        <tr r="D2946" s="2"/>
      </tp>
      <tp t="s">
        <v>#N/A N/A</v>
        <stp/>
        <stp>BDP|12937449712396921057</stp>
        <tr r="B3852" s="2"/>
      </tp>
      <tp t="s">
        <v>#N/A N/A</v>
        <stp/>
        <stp>BDP|17475862782944391209</stp>
        <tr r="A4107" s="2"/>
      </tp>
      <tp t="s">
        <v>#N/A N/A</v>
        <stp/>
        <stp>BDP|17699726498680829878</stp>
        <tr r="B3894" s="2"/>
      </tp>
      <tp t="s">
        <v>#N/A N/A</v>
        <stp/>
        <stp>BDP|17194666178034598395</stp>
        <tr r="A3486" s="2"/>
      </tp>
      <tp t="s">
        <v>#N/A N/A</v>
        <stp/>
        <stp>BDP|17295148304210452755</stp>
        <tr r="C2527" s="2"/>
      </tp>
      <tp t="s">
        <v>#N/A N/A</v>
        <stp/>
        <stp>BDP|11746656821424662062</stp>
        <tr r="F998" s="2"/>
      </tp>
      <tp t="s">
        <v>#N/A N/A</v>
        <stp/>
        <stp>BDP|11776997432382623893</stp>
        <tr r="H1154" s="2"/>
      </tp>
      <tp t="s">
        <v>#N/A N/A</v>
        <stp/>
        <stp>BDP|13616942195574548610</stp>
        <tr r="I3368" s="2"/>
      </tp>
      <tp t="s">
        <v>#N/A N/A</v>
        <stp/>
        <stp>BDP|16247159932514697103</stp>
        <tr r="I4926" s="2"/>
      </tp>
      <tp t="s">
        <v>#N/A N/A</v>
        <stp/>
        <stp>BDP|15140048362004179659</stp>
        <tr r="C2162" s="2"/>
      </tp>
      <tp t="s">
        <v>#N/A N/A</v>
        <stp/>
        <stp>BDP|13542732972492477037</stp>
        <tr r="I439" s="2"/>
      </tp>
      <tp t="s">
        <v>#N/A N/A</v>
        <stp/>
        <stp>BDP|15274880497550867566</stp>
        <tr r="H3455" s="2"/>
      </tp>
      <tp t="s">
        <v>#N/A N/A</v>
        <stp/>
        <stp>BDP|11402031523204042676</stp>
        <tr r="D2863" s="2"/>
      </tp>
      <tp t="s">
        <v>#N/A N/A</v>
        <stp/>
        <stp>BDP|12922855641669616681</stp>
        <tr r="G250" s="2"/>
      </tp>
      <tp t="s">
        <v>#N/A N/A</v>
        <stp/>
        <stp>BDP|13174209063562484452</stp>
        <tr r="I2123" s="2"/>
      </tp>
      <tp t="s">
        <v>#N/A N/A</v>
        <stp/>
        <stp>BDP|13665596018264143257</stp>
        <tr r="D3813" s="2"/>
      </tp>
      <tp t="s">
        <v>#N/A N/A</v>
        <stp/>
        <stp>BDP|12576973921948354038</stp>
        <tr r="D1375" s="2"/>
      </tp>
      <tp t="s">
        <v>#N/A N/A</v>
        <stp/>
        <stp>BDP|12833531504495530395</stp>
        <tr r="I1440" s="2"/>
      </tp>
      <tp t="s">
        <v>#N/A N/A</v>
        <stp/>
        <stp>BDP|13869045704464277690</stp>
        <tr r="H3058" s="2"/>
      </tp>
      <tp t="s">
        <v>#N/A N/A</v>
        <stp/>
        <stp>BDP|13503981288774323754</stp>
        <tr r="A3952" s="2"/>
      </tp>
      <tp t="s">
        <v>#N/A N/A</v>
        <stp/>
        <stp>BDP|10746891054255904907</stp>
        <tr r="H2882" s="2"/>
      </tp>
      <tp t="s">
        <v>#N/A N/A</v>
        <stp/>
        <stp>BDP|18415561492332215712</stp>
        <tr r="H4151" s="2"/>
      </tp>
      <tp t="s">
        <v>#N/A N/A</v>
        <stp/>
        <stp>BDP|16520863285216540107</stp>
        <tr r="A2472" s="2"/>
      </tp>
      <tp t="s">
        <v>#N/A N/A</v>
        <stp/>
        <stp>BDP|13370864853628368763</stp>
        <tr r="A692" s="2"/>
      </tp>
      <tp t="s">
        <v>#N/A N/A</v>
        <stp/>
        <stp>BDP|10044328821830377035</stp>
        <tr r="I1643" s="2"/>
      </tp>
      <tp t="s">
        <v>#N/A N/A</v>
        <stp/>
        <stp>BDP|17707486518936089541</stp>
        <tr r="D4617" s="2"/>
      </tp>
      <tp t="s">
        <v>#N/A N/A</v>
        <stp/>
        <stp>BDP|12836432559414968685</stp>
        <tr r="I3880" s="2"/>
      </tp>
      <tp t="s">
        <v>#N/A N/A</v>
        <stp/>
        <stp>BDP|15371239810253436479</stp>
        <tr r="A360" s="2"/>
      </tp>
      <tp t="s">
        <v>#N/A N/A</v>
        <stp/>
        <stp>BDP|13481665115211104459</stp>
        <tr r="G1430" s="2"/>
      </tp>
      <tp t="s">
        <v>#N/A N/A</v>
        <stp/>
        <stp>BDP|16622744723584739656</stp>
        <tr r="C322" s="2"/>
      </tp>
      <tp t="s">
        <v>#N/A N/A</v>
        <stp/>
        <stp>BDP|14675710347724715247</stp>
        <tr r="C3333" s="2"/>
      </tp>
      <tp t="s">
        <v>#N/A N/A</v>
        <stp/>
        <stp>BDP|15793093148761037158</stp>
        <tr r="G3400" s="2"/>
      </tp>
      <tp t="s">
        <v>#N/A N/A</v>
        <stp/>
        <stp>BDP|12173518105874317250</stp>
        <tr r="F395" s="2"/>
      </tp>
      <tp t="s">
        <v>#N/A N/A</v>
        <stp/>
        <stp>BDP|14557075908557895219</stp>
        <tr r="G4654" s="2"/>
      </tp>
      <tp t="s">
        <v>#N/A N/A</v>
        <stp/>
        <stp>BDP|15951350810654702286</stp>
        <tr r="D2691" s="2"/>
      </tp>
      <tp t="s">
        <v>#N/A N/A</v>
        <stp/>
        <stp>BDP|10699464487878082548</stp>
        <tr r="B787" s="2"/>
      </tp>
      <tp t="s">
        <v>#N/A N/A</v>
        <stp/>
        <stp>BDP|18378696444858852359</stp>
        <tr r="C1511" s="2"/>
      </tp>
      <tp t="s">
        <v>#N/A N/A</v>
        <stp/>
        <stp>BDP|13554492078306081779</stp>
        <tr r="A446" s="2"/>
      </tp>
      <tp t="s">
        <v>#N/A N/A</v>
        <stp/>
        <stp>BDP|16451668852412381605</stp>
        <tr r="B2975" s="2"/>
      </tp>
      <tp t="s">
        <v>#N/A N/A</v>
        <stp/>
        <stp>BDP|13643714625915543249</stp>
        <tr r="H932" s="2"/>
      </tp>
      <tp t="s">
        <v>#N/A N/A</v>
        <stp/>
        <stp>BDP|12104657107333727672</stp>
        <tr r="C579" s="2"/>
      </tp>
      <tp t="s">
        <v>#N/A N/A</v>
        <stp/>
        <stp>BDP|10790679540673430071</stp>
        <tr r="G4695" s="2"/>
      </tp>
      <tp t="s">
        <v>#N/A N/A</v>
        <stp/>
        <stp>BDP|15578156725243391441</stp>
        <tr r="G1068" s="2"/>
      </tp>
      <tp t="s">
        <v>#N/A N/A</v>
        <stp/>
        <stp>BDP|13013620537913226451</stp>
        <tr r="B29" s="2"/>
      </tp>
      <tp t="s">
        <v>#N/A N/A</v>
        <stp/>
        <stp>BDP|17964961618169149748</stp>
        <tr r="B2480" s="2"/>
      </tp>
      <tp t="s">
        <v>#N/A N/A</v>
        <stp/>
        <stp>BDP|10678450280925604874</stp>
        <tr r="A4513" s="2"/>
      </tp>
      <tp t="s">
        <v>#N/A N/A</v>
        <stp/>
        <stp>BDP|10298461835175441377</stp>
        <tr r="D533" s="2"/>
      </tp>
      <tp t="s">
        <v>#N/A N/A</v>
        <stp/>
        <stp>BDP|16738639304034614542</stp>
        <tr r="I371" s="2"/>
      </tp>
      <tp t="s">
        <v>#N/A N/A</v>
        <stp/>
        <stp>BDP|11265524641383012239</stp>
        <tr r="B3708" s="2"/>
      </tp>
      <tp t="s">
        <v>#N/A N/A</v>
        <stp/>
        <stp>BDP|14330519280101029900</stp>
        <tr r="C2664" s="2"/>
      </tp>
      <tp t="s">
        <v>#N/A N/A</v>
        <stp/>
        <stp>BDP|16677453968425906009</stp>
        <tr r="B1560" s="2"/>
      </tp>
      <tp t="s">
        <v>#N/A N/A</v>
        <stp/>
        <stp>BDP|18223885742004990137</stp>
        <tr r="G4698" s="2"/>
      </tp>
      <tp t="s">
        <v>#N/A N/A</v>
        <stp/>
        <stp>BDP|12278106148892967416</stp>
        <tr r="H1813" s="2"/>
      </tp>
      <tp t="s">
        <v>#N/A N/A</v>
        <stp/>
        <stp>BDP|11488542769390317381</stp>
        <tr r="G2321" s="2"/>
      </tp>
      <tp t="s">
        <v>#N/A N/A</v>
        <stp/>
        <stp>BDP|14474443414986539637</stp>
        <tr r="H994" s="2"/>
      </tp>
      <tp t="s">
        <v>#N/A N/A</v>
        <stp/>
        <stp>BDP|12572926493880634302</stp>
        <tr r="D1856" s="2"/>
      </tp>
      <tp t="s">
        <v>#N/A N/A</v>
        <stp/>
        <stp>BDP|13564484379668756919</stp>
        <tr r="H3008" s="2"/>
      </tp>
      <tp t="s">
        <v>#N/A N/A</v>
        <stp/>
        <stp>BDP|11706416472256257549</stp>
        <tr r="F3795" s="2"/>
      </tp>
      <tp t="s">
        <v>#N/A N/A</v>
        <stp/>
        <stp>BDP|11510078044271045547</stp>
        <tr r="D1456" s="2"/>
      </tp>
      <tp t="s">
        <v>#N/A N/A</v>
        <stp/>
        <stp>BDP|17438840103957151900</stp>
        <tr r="I4313" s="2"/>
      </tp>
      <tp t="s">
        <v>#N/A N/A</v>
        <stp/>
        <stp>BDP|11344919585526419716</stp>
        <tr r="D705" s="2"/>
      </tp>
      <tp t="s">
        <v>#N/A N/A</v>
        <stp/>
        <stp>BDP|11918514344398988971</stp>
        <tr r="A1394" s="2"/>
      </tp>
      <tp t="s">
        <v>#N/A N/A</v>
        <stp/>
        <stp>BDP|10937412601333856638</stp>
        <tr r="D2242" s="2"/>
      </tp>
      <tp t="s">
        <v>#N/A N/A</v>
        <stp/>
        <stp>BDP|12793331002909462908</stp>
        <tr r="G1630" s="2"/>
      </tp>
      <tp t="s">
        <v>#N/A N/A</v>
        <stp/>
        <stp>BDP|13921243683970853842</stp>
        <tr r="A1573" s="2"/>
      </tp>
      <tp t="s">
        <v>#N/A N/A</v>
        <stp/>
        <stp>BDP|16264101473408492975</stp>
        <tr r="D773" s="2"/>
      </tp>
      <tp t="s">
        <v>#N/A N/A</v>
        <stp/>
        <stp>BDP|16200491913404935638</stp>
        <tr r="D4960" s="2"/>
      </tp>
      <tp t="s">
        <v>#N/A N/A</v>
        <stp/>
        <stp>BDP|14266590220060113289</stp>
        <tr r="H4783" s="2"/>
      </tp>
      <tp t="s">
        <v>#N/A N/A</v>
        <stp/>
        <stp>BDP|15435169638014111295</stp>
        <tr r="C3004" s="2"/>
      </tp>
      <tp t="s">
        <v>#N/A N/A</v>
        <stp/>
        <stp>BDP|15408831264238085216</stp>
        <tr r="B2638" s="2"/>
      </tp>
      <tp t="s">
        <v>#N/A N/A</v>
        <stp/>
        <stp>BDP|17699386126321365697</stp>
        <tr r="F3276" s="2"/>
      </tp>
      <tp t="s">
        <v>#N/A N/A</v>
        <stp/>
        <stp>BDP|12789414247523228016</stp>
        <tr r="D3746" s="2"/>
      </tp>
      <tp t="s">
        <v>#N/A N/A</v>
        <stp/>
        <stp>BDP|17399920676550499818</stp>
        <tr r="B229" s="2"/>
      </tp>
      <tp t="s">
        <v>#N/A N/A</v>
        <stp/>
        <stp>BDP|13108698450749367895</stp>
        <tr r="A4133" s="2"/>
      </tp>
      <tp t="s">
        <v>#N/A N/A</v>
        <stp/>
        <stp>BDP|16718668292810654878</stp>
        <tr r="F209" s="2"/>
      </tp>
      <tp t="s">
        <v>#N/A N/A</v>
        <stp/>
        <stp>BDP|15103174819796874258</stp>
        <tr r="C3504" s="2"/>
      </tp>
      <tp t="s">
        <v>#N/A N/A</v>
        <stp/>
        <stp>BDP|15602995637447235981</stp>
        <tr r="G507" s="2"/>
      </tp>
      <tp t="s">
        <v>#N/A N/A</v>
        <stp/>
        <stp>BDP|17713345555140527014</stp>
        <tr r="G1987" s="2"/>
      </tp>
      <tp t="s">
        <v>#N/A N/A</v>
        <stp/>
        <stp>BDP|14330867793214022047</stp>
        <tr r="B492" s="2"/>
      </tp>
      <tp t="s">
        <v>#N/A N/A</v>
        <stp/>
        <stp>BDP|15040711624443575225</stp>
        <tr r="D257" s="2"/>
      </tp>
      <tp t="s">
        <v>#N/A N/A</v>
        <stp/>
        <stp>BDP|15222657334951483057</stp>
        <tr r="F3256" s="2"/>
      </tp>
      <tp t="s">
        <v>#N/A N/A</v>
        <stp/>
        <stp>BDP|14763721464544163027</stp>
        <tr r="H4761" s="2"/>
      </tp>
      <tp t="s">
        <v>#N/A N/A</v>
        <stp/>
        <stp>BDP|12451040782338046301</stp>
        <tr r="I3550" s="2"/>
      </tp>
      <tp t="s">
        <v>#N/A N/A</v>
        <stp/>
        <stp>BDP|13028773425152350537</stp>
        <tr r="C4926" s="2"/>
      </tp>
      <tp t="s">
        <v>#N/A N/A</v>
        <stp/>
        <stp>BDP|17999617143470906408</stp>
        <tr r="B4263" s="2"/>
      </tp>
      <tp t="s">
        <v>#N/A N/A</v>
        <stp/>
        <stp>BDP|17881452013920808341</stp>
        <tr r="D436" s="2"/>
      </tp>
      <tp t="s">
        <v>#N/A N/A</v>
        <stp/>
        <stp>BDP|17613031261402350253</stp>
        <tr r="C2400" s="2"/>
      </tp>
      <tp t="s">
        <v>#N/A N/A</v>
        <stp/>
        <stp>BDP|12338663346683804297</stp>
        <tr r="H1743" s="2"/>
      </tp>
      <tp t="s">
        <v>#N/A N/A</v>
        <stp/>
        <stp>BDP|16351233672054613666</stp>
        <tr r="A966" s="2"/>
      </tp>
      <tp t="s">
        <v>#N/A N/A</v>
        <stp/>
        <stp>BDP|11861631838886161308</stp>
        <tr r="G4488" s="2"/>
      </tp>
      <tp t="s">
        <v>#N/A N/A</v>
        <stp/>
        <stp>BDP|14042657211077367554</stp>
        <tr r="H3488" s="2"/>
      </tp>
      <tp t="s">
        <v>#N/A N/A</v>
        <stp/>
        <stp>BDP|12965579017227884034</stp>
        <tr r="B4747" s="2"/>
      </tp>
      <tp t="s">
        <v>#N/A N/A</v>
        <stp/>
        <stp>BDP|17979365143737847661</stp>
        <tr r="A3835" s="2"/>
      </tp>
      <tp t="s">
        <v>#N/A N/A</v>
        <stp/>
        <stp>BDP|15178573517108002835</stp>
        <tr r="H557" s="2"/>
      </tp>
      <tp t="s">
        <v>#N/A N/A</v>
        <stp/>
        <stp>BDP|12258353411730284169</stp>
        <tr r="A3046" s="2"/>
      </tp>
      <tp t="s">
        <v>#N/A N/A</v>
        <stp/>
        <stp>BDP|14512436903089559822</stp>
        <tr r="D2831" s="2"/>
      </tp>
      <tp t="s">
        <v>#N/A N/A</v>
        <stp/>
        <stp>BDP|17399151656995273706</stp>
        <tr r="F2552" s="2"/>
      </tp>
      <tp t="s">
        <v>#N/A N/A</v>
        <stp/>
        <stp>BDP|12267231433700414241</stp>
        <tr r="G4006" s="2"/>
      </tp>
      <tp t="s">
        <v>#N/A N/A</v>
        <stp/>
        <stp>BDP|16481695893291570998</stp>
        <tr r="B4344" s="2"/>
      </tp>
      <tp t="s">
        <v>#N/A N/A</v>
        <stp/>
        <stp>BDP|14180787606954830655</stp>
        <tr r="D1134" s="2"/>
      </tp>
      <tp t="s">
        <v>#N/A N/A</v>
        <stp/>
        <stp>BDP|18373828540770392501</stp>
        <tr r="G3088" s="2"/>
      </tp>
      <tp t="s">
        <v>#N/A N/A</v>
        <stp/>
        <stp>BDP|14275078961971435222</stp>
        <tr r="B3723" s="2"/>
      </tp>
      <tp t="s">
        <v>#N/A N/A</v>
        <stp/>
        <stp>BDP|15278750613577507535</stp>
        <tr r="F1644" s="2"/>
      </tp>
      <tp t="s">
        <v>#N/A N/A</v>
        <stp/>
        <stp>BDP|10558872386356005763</stp>
        <tr r="C1626" s="2"/>
      </tp>
      <tp t="s">
        <v>#N/A N/A</v>
        <stp/>
        <stp>BDP|16799713150552598711</stp>
        <tr r="H2479" s="2"/>
      </tp>
      <tp t="s">
        <v>#N/A N/A</v>
        <stp/>
        <stp>BDP|17255847585350461650</stp>
        <tr r="F4780" s="2"/>
      </tp>
      <tp t="s">
        <v>#N/A N/A</v>
        <stp/>
        <stp>BDP|10532709148885716785</stp>
        <tr r="G3937" s="2"/>
      </tp>
      <tp t="s">
        <v>#N/A N/A</v>
        <stp/>
        <stp>BDP|17749684650844477199</stp>
        <tr r="G1957" s="2"/>
      </tp>
      <tp t="s">
        <v>#N/A N/A</v>
        <stp/>
        <stp>BDP|11386083460436988001</stp>
        <tr r="H933" s="2"/>
      </tp>
      <tp t="s">
        <v>#N/A N/A</v>
        <stp/>
        <stp>BDP|10848683762803298220</stp>
        <tr r="D3043" s="2"/>
      </tp>
      <tp t="s">
        <v>#N/A N/A</v>
        <stp/>
        <stp>BDP|17281063216502485540</stp>
        <tr r="D659" s="2"/>
      </tp>
      <tp t="s">
        <v>#N/A N/A</v>
        <stp/>
        <stp>BDP|18180176222478595235</stp>
        <tr r="H728" s="2"/>
      </tp>
      <tp t="s">
        <v>#N/A N/A</v>
        <stp/>
        <stp>BDP|18212933633401777277</stp>
        <tr r="D3408" s="2"/>
      </tp>
      <tp t="s">
        <v>#N/A N/A</v>
        <stp/>
        <stp>BDP|16280708331752940186</stp>
        <tr r="C4441" s="2"/>
      </tp>
      <tp t="s">
        <v>#N/A N/A</v>
        <stp/>
        <stp>BDP|18240824526441100251</stp>
        <tr r="B4921" s="2"/>
      </tp>
      <tp t="s">
        <v>#N/A N/A</v>
        <stp/>
        <stp>BDP|18293820823690591343</stp>
        <tr r="A1729" s="2"/>
      </tp>
      <tp t="s">
        <v>#N/A N/A</v>
        <stp/>
        <stp>BDP|18420810047201009404</stp>
        <tr r="D708" s="2"/>
      </tp>
      <tp t="s">
        <v>#N/A N/A</v>
        <stp/>
        <stp>BDP|16095790924327666598</stp>
        <tr r="C922" s="2"/>
      </tp>
      <tp t="s">
        <v>#N/A N/A</v>
        <stp/>
        <stp>BDP|11994649565535229583</stp>
        <tr r="G2976" s="2"/>
      </tp>
      <tp t="s">
        <v>#N/A N/A</v>
        <stp/>
        <stp>BDP|15609080127144307285</stp>
        <tr r="I3010" s="2"/>
      </tp>
      <tp t="s">
        <v>#N/A N/A</v>
        <stp/>
        <stp>BDP|13507230285740705863</stp>
        <tr r="A3570" s="2"/>
      </tp>
      <tp t="s">
        <v>#N/A N/A</v>
        <stp/>
        <stp>BDP|11387611759251083297</stp>
        <tr r="B3993" s="2"/>
      </tp>
      <tp t="s">
        <v>#N/A N/A</v>
        <stp/>
        <stp>BDP|15390271841222896088</stp>
        <tr r="G2377" s="2"/>
      </tp>
      <tp t="s">
        <v>#N/A N/A</v>
        <stp/>
        <stp>BDP|17178251369923826106</stp>
        <tr r="F839" s="2"/>
      </tp>
      <tp t="s">
        <v>#N/A N/A</v>
        <stp/>
        <stp>BDP|17239540506287731429</stp>
        <tr r="A237" s="2"/>
      </tp>
      <tp t="s">
        <v>#N/A N/A</v>
        <stp/>
        <stp>BDP|17490001854687663433</stp>
        <tr r="I1400" s="2"/>
      </tp>
      <tp t="s">
        <v>#N/A N/A</v>
        <stp/>
        <stp>BDP|11477401086364493837</stp>
        <tr r="H4604" s="2"/>
      </tp>
      <tp t="s">
        <v>#N/A N/A</v>
        <stp/>
        <stp>BDP|18186319562494075878</stp>
        <tr r="D3071" s="2"/>
      </tp>
      <tp t="s">
        <v>#N/A N/A</v>
        <stp/>
        <stp>BDP|16641861495174984296</stp>
        <tr r="H4853" s="2"/>
      </tp>
      <tp t="s">
        <v>#N/A N/A</v>
        <stp/>
        <stp>BDP|17066963745258192374</stp>
        <tr r="B1044" s="2"/>
      </tp>
      <tp t="s">
        <v>#N/A N/A</v>
        <stp/>
        <stp>BDP|17147193351030851248</stp>
        <tr r="D545" s="2"/>
      </tp>
      <tp t="s">
        <v>#N/A N/A</v>
        <stp/>
        <stp>BDP|11950775128014381102</stp>
        <tr r="A898" s="2"/>
      </tp>
      <tp t="s">
        <v>#N/A N/A</v>
        <stp/>
        <stp>BDP|14806228484846886932</stp>
        <tr r="C4867" s="2"/>
      </tp>
      <tp t="s">
        <v>#N/A N/A</v>
        <stp/>
        <stp>BDP|14253548206207772722</stp>
        <tr r="B3544" s="2"/>
      </tp>
      <tp t="s">
        <v>#N/A N/A</v>
        <stp/>
        <stp>BDP|13544626471625655658</stp>
        <tr r="A3495" s="2"/>
      </tp>
      <tp t="s">
        <v>#N/A N/A</v>
        <stp/>
        <stp>BDP|17053098738757407203</stp>
        <tr r="F186" s="2"/>
      </tp>
      <tp t="s">
        <v>#N/A N/A</v>
        <stp/>
        <stp>BDP|17867486407273092122</stp>
        <tr r="A1645" s="2"/>
      </tp>
      <tp t="s">
        <v>#N/A N/A</v>
        <stp/>
        <stp>BDP|17669219060547231501</stp>
        <tr r="G4446" s="2"/>
      </tp>
      <tp t="s">
        <v>#N/A N/A</v>
        <stp/>
        <stp>BDP|15734092864926841474</stp>
        <tr r="F506" s="2"/>
      </tp>
      <tp t="s">
        <v>#N/A N/A</v>
        <stp/>
        <stp>BDP|16690045524412140724</stp>
        <tr r="D192" s="2"/>
      </tp>
      <tp t="s">
        <v>#N/A N/A</v>
        <stp/>
        <stp>BDP|17316877143459633349</stp>
        <tr r="B2296" s="2"/>
      </tp>
      <tp t="s">
        <v>#N/A N/A</v>
        <stp/>
        <stp>BDP|15487084970472811116</stp>
        <tr r="B1299" s="2"/>
      </tp>
      <tp t="s">
        <v>#N/A N/A</v>
        <stp/>
        <stp>BDP|13895207611001848045</stp>
        <tr r="G2573" s="2"/>
      </tp>
      <tp t="s">
        <v>#N/A N/A</v>
        <stp/>
        <stp>BDP|17889425238316631712</stp>
        <tr r="I1899" s="2"/>
      </tp>
      <tp t="s">
        <v>#N/A N/A</v>
        <stp/>
        <stp>BDP|14235508681500766817</stp>
        <tr r="C981" s="2"/>
      </tp>
      <tp t="s">
        <v>#N/A N/A</v>
        <stp/>
        <stp>BDP|14452974993643109648</stp>
        <tr r="A1233" s="2"/>
      </tp>
      <tp t="s">
        <v>#N/A N/A</v>
        <stp/>
        <stp>BDP|15743657640726091072</stp>
        <tr r="C96" s="2"/>
      </tp>
      <tp t="s">
        <v>#N/A N/A</v>
        <stp/>
        <stp>BDP|12856384114881607077</stp>
        <tr r="B131" s="2"/>
      </tp>
      <tp t="s">
        <v>#N/A N/A</v>
        <stp/>
        <stp>BDP|16177319044522771262</stp>
        <tr r="I4316" s="2"/>
      </tp>
      <tp t="s">
        <v>#N/A N/A</v>
        <stp/>
        <stp>BDP|11552236444141543728</stp>
        <tr r="I693" s="2"/>
      </tp>
      <tp t="s">
        <v>#N/A N/A</v>
        <stp/>
        <stp>BDP|11922536265873346096</stp>
        <tr r="C4195" s="2"/>
      </tp>
      <tp t="s">
        <v>#N/A N/A</v>
        <stp/>
        <stp>BDP|16386044406796116157</stp>
        <tr r="I4722" s="2"/>
      </tp>
      <tp t="s">
        <v>#N/A N/A</v>
        <stp/>
        <stp>BDP|10228302232837145641</stp>
        <tr r="C1770" s="2"/>
      </tp>
      <tp t="s">
        <v>#N/A N/A</v>
        <stp/>
        <stp>BDP|11711847385664558468</stp>
        <tr r="H1871" s="2"/>
      </tp>
      <tp t="s">
        <v>#N/A N/A</v>
        <stp/>
        <stp>BDP|14803779522489134993</stp>
        <tr r="G3984" s="2"/>
      </tp>
      <tp t="s">
        <v>#N/A N/A</v>
        <stp/>
        <stp>BDP|17118416727976332610</stp>
        <tr r="C1821" s="2"/>
      </tp>
      <tp t="s">
        <v>#N/A N/A</v>
        <stp/>
        <stp>BDP|16946081603503284455</stp>
        <tr r="I2432" s="2"/>
      </tp>
      <tp t="s">
        <v>#N/A N/A</v>
        <stp/>
        <stp>BDP|18433105434539273279</stp>
        <tr r="D467" s="2"/>
      </tp>
      <tp t="s">
        <v>#N/A N/A</v>
        <stp/>
        <stp>BDP|16773147065511514169</stp>
        <tr r="C2570" s="2"/>
      </tp>
      <tp t="s">
        <v>#N/A N/A</v>
        <stp/>
        <stp>BDP|14336229579199518987</stp>
        <tr r="A1477" s="2"/>
      </tp>
      <tp t="s">
        <v>#N/A N/A</v>
        <stp/>
        <stp>BDP|13070389867466832125</stp>
        <tr r="C1572" s="2"/>
      </tp>
      <tp t="s">
        <v>#N/A N/A</v>
        <stp/>
        <stp>BDP|15994405166133859524</stp>
        <tr r="B2144" s="2"/>
      </tp>
      <tp t="s">
        <v>#N/A N/A</v>
        <stp/>
        <stp>BDP|18316105790382597332</stp>
        <tr r="A4638" s="2"/>
      </tp>
      <tp t="s">
        <v>#N/A N/A</v>
        <stp/>
        <stp>BDP|11458901724803046854</stp>
        <tr r="F2212" s="2"/>
      </tp>
      <tp t="s">
        <v>#N/A N/A</v>
        <stp/>
        <stp>BDP|17194374427511549610</stp>
        <tr r="C4177" s="2"/>
      </tp>
      <tp t="s">
        <v>#N/A N/A</v>
        <stp/>
        <stp>BDP|14586421756844582015</stp>
        <tr r="H1103" s="2"/>
      </tp>
      <tp t="s">
        <v>#N/A N/A</v>
        <stp/>
        <stp>BDP|12009878840216766950</stp>
        <tr r="F3183" s="2"/>
      </tp>
      <tp t="s">
        <v>#N/A N/A</v>
        <stp/>
        <stp>BDP|15143662759642352589</stp>
        <tr r="F4748" s="2"/>
      </tp>
      <tp t="s">
        <v>#N/A N/A</v>
        <stp/>
        <stp>BDP|18266230825849478055</stp>
        <tr r="G2743" s="2"/>
      </tp>
      <tp t="s">
        <v>#N/A N/A</v>
        <stp/>
        <stp>BDP|18263540213189570453</stp>
        <tr r="C3019" s="2"/>
      </tp>
      <tp t="s">
        <v>#N/A N/A</v>
        <stp/>
        <stp>BDP|12023047108137909407</stp>
        <tr r="I4945" s="2"/>
      </tp>
      <tp t="s">
        <v>#N/A N/A</v>
        <stp/>
        <stp>BDP|17128450130341056017</stp>
        <tr r="C4499" s="2"/>
      </tp>
      <tp t="s">
        <v>#N/A N/A</v>
        <stp/>
        <stp>BDP|10457655204786578153</stp>
        <tr r="H4389" s="2"/>
      </tp>
      <tp t="s">
        <v>#N/A N/A</v>
        <stp/>
        <stp>BDP|14476234401884709348</stp>
        <tr r="G2050" s="2"/>
      </tp>
      <tp t="s">
        <v>#N/A N/A</v>
        <stp/>
        <stp>BDP|14905194350034536504</stp>
        <tr r="I1744" s="2"/>
      </tp>
      <tp t="s">
        <v>#N/A N/A</v>
        <stp/>
        <stp>BDP|17239184708262504527</stp>
        <tr r="H4122" s="2"/>
      </tp>
      <tp t="s">
        <v>#N/A N/A</v>
        <stp/>
        <stp>BDP|17170313868142812156</stp>
        <tr r="D3344" s="2"/>
      </tp>
      <tp t="s">
        <v>#N/A N/A</v>
        <stp/>
        <stp>BDP|17782573433514593435</stp>
        <tr r="A2107" s="2"/>
      </tp>
      <tp t="s">
        <v>#N/A N/A</v>
        <stp/>
        <stp>BDP|12593265604377045629</stp>
        <tr r="I1755" s="2"/>
      </tp>
      <tp t="s">
        <v>#N/A N/A</v>
        <stp/>
        <stp>BDP|16343042852242169010</stp>
        <tr r="D2966" s="2"/>
      </tp>
      <tp t="s">
        <v>#N/A N/A</v>
        <stp/>
        <stp>BDP|12012015875885282136</stp>
        <tr r="B4820" s="2"/>
      </tp>
      <tp t="s">
        <v>#N/A N/A</v>
        <stp/>
        <stp>BDP|14408074656813050308</stp>
        <tr r="A2662" s="2"/>
      </tp>
      <tp t="s">
        <v>#N/A N/A</v>
        <stp/>
        <stp>BDP|11460717929760035594</stp>
        <tr r="C1477" s="2"/>
      </tp>
      <tp t="s">
        <v>#N/A N/A</v>
        <stp/>
        <stp>BDP|11865267732546162783</stp>
        <tr r="D326" s="2"/>
      </tp>
      <tp t="s">
        <v>#N/A N/A</v>
        <stp/>
        <stp>BDP|15120130837093507553</stp>
        <tr r="H203" s="2"/>
      </tp>
      <tp t="s">
        <v>#N/A N/A</v>
        <stp/>
        <stp>BDP|15692459946085031102</stp>
        <tr r="D36" s="2"/>
      </tp>
      <tp t="s">
        <v>#N/A N/A</v>
        <stp/>
        <stp>BDP|12850146992142941926</stp>
        <tr r="D918" s="2"/>
      </tp>
      <tp t="s">
        <v>#N/A N/A</v>
        <stp/>
        <stp>BDP|13322881686785100794</stp>
        <tr r="H1976" s="2"/>
      </tp>
      <tp t="s">
        <v>#N/A N/A</v>
        <stp/>
        <stp>BDP|18289939022433676102</stp>
        <tr r="B2057" s="2"/>
      </tp>
      <tp t="s">
        <v>#N/A N/A</v>
        <stp/>
        <stp>BDP|13416130026694127555</stp>
        <tr r="C587" s="2"/>
      </tp>
      <tp t="s">
        <v>#N/A N/A</v>
        <stp/>
        <stp>BDP|15539235953081900296</stp>
        <tr r="I2663" s="2"/>
      </tp>
      <tp t="s">
        <v>#N/A N/A</v>
        <stp/>
        <stp>BDP|11030244230529955887</stp>
        <tr r="G2365" s="2"/>
      </tp>
      <tp t="s">
        <v>#N/A N/A</v>
        <stp/>
        <stp>BDP|11753770097079226707</stp>
        <tr r="I916" s="2"/>
      </tp>
      <tp t="s">
        <v>#N/A N/A</v>
        <stp/>
        <stp>BDP|10942185029363468193</stp>
        <tr r="D1650" s="2"/>
      </tp>
      <tp t="s">
        <v>#N/A N/A</v>
        <stp/>
        <stp>BDP|12663875869625417893</stp>
        <tr r="B4830" s="2"/>
      </tp>
      <tp t="s">
        <v>#N/A N/A</v>
        <stp/>
        <stp>BDP|16842698565973449456</stp>
        <tr r="B4211" s="2"/>
      </tp>
      <tp t="s">
        <v>#N/A N/A</v>
        <stp/>
        <stp>BDP|12560568541820422233</stp>
        <tr r="B524" s="2"/>
      </tp>
      <tp t="s">
        <v>#N/A N/A</v>
        <stp/>
        <stp>BDP|12291777252949190839</stp>
        <tr r="D4709" s="2"/>
      </tp>
      <tp t="s">
        <v>#N/A N/A</v>
        <stp/>
        <stp>BDP|15426317780439475641</stp>
        <tr r="A4584" s="2"/>
      </tp>
      <tp t="s">
        <v>#N/A N/A</v>
        <stp/>
        <stp>BDP|13924987782062254147</stp>
        <tr r="G2428" s="2"/>
      </tp>
      <tp t="s">
        <v>#N/A N/A</v>
        <stp/>
        <stp>BDP|16606155620753445721</stp>
        <tr r="C4589" s="2"/>
      </tp>
      <tp t="s">
        <v>#N/A N/A</v>
        <stp/>
        <stp>BDP|11514451052259303845</stp>
        <tr r="G2835" s="2"/>
      </tp>
      <tp t="s">
        <v>#N/A N/A</v>
        <stp/>
        <stp>BDP|11981316347393387493</stp>
        <tr r="F3281" s="2"/>
      </tp>
      <tp t="s">
        <v>#N/A N/A</v>
        <stp/>
        <stp>BDP|15691616334514786514</stp>
        <tr r="I4563" s="2"/>
      </tp>
      <tp t="s">
        <v>#N/A N/A</v>
        <stp/>
        <stp>BDP|10639471763824088774</stp>
        <tr r="A948" s="2"/>
      </tp>
      <tp t="s">
        <v>#N/A N/A</v>
        <stp/>
        <stp>BDP|15704189450754301498</stp>
        <tr r="D215" s="2"/>
      </tp>
      <tp t="s">
        <v>#N/A N/A</v>
        <stp/>
        <stp>BDP|18332763685777614130</stp>
        <tr r="D1137" s="2"/>
      </tp>
      <tp t="s">
        <v>#N/A N/A</v>
        <stp/>
        <stp>BDP|14058555945273550701</stp>
        <tr r="D681" s="2"/>
      </tp>
      <tp t="s">
        <v>#N/A N/A</v>
        <stp/>
        <stp>BDP|10634426919282154694</stp>
        <tr r="D1717" s="2"/>
      </tp>
      <tp t="s">
        <v>#N/A N/A</v>
        <stp/>
        <stp>BDP|10520028621832229115</stp>
        <tr r="G2084" s="2"/>
      </tp>
      <tp t="s">
        <v>#N/A N/A</v>
        <stp/>
        <stp>BDP|17824544024891891052</stp>
        <tr r="A3305" s="2"/>
      </tp>
      <tp t="s">
        <v>#N/A N/A</v>
        <stp/>
        <stp>BDP|14695517535801315242</stp>
        <tr r="D3723" s="2"/>
      </tp>
      <tp t="s">
        <v>#N/A N/A</v>
        <stp/>
        <stp>BDP|13079356972145119335</stp>
        <tr r="A837" s="2"/>
      </tp>
      <tp t="s">
        <v>#N/A N/A</v>
        <stp/>
        <stp>BDP|11105731875125641540</stp>
        <tr r="F1000" s="2"/>
      </tp>
      <tp t="s">
        <v>#N/A N/A</v>
        <stp/>
        <stp>BDP|10404744829287470385</stp>
        <tr r="A3860" s="2"/>
      </tp>
      <tp t="s">
        <v>#N/A N/A</v>
        <stp/>
        <stp>BDP|10462788208253511549</stp>
        <tr r="B3223" s="2"/>
      </tp>
      <tp t="s">
        <v>#N/A N/A</v>
        <stp/>
        <stp>BDP|13799785989929153424</stp>
        <tr r="H4845" s="2"/>
      </tp>
      <tp t="s">
        <v>#N/A N/A</v>
        <stp/>
        <stp>BDP|17426740433434131671</stp>
        <tr r="H702" s="2"/>
      </tp>
      <tp t="s">
        <v>#N/A N/A</v>
        <stp/>
        <stp>BDP|11205603887838693679</stp>
        <tr r="G2581" s="2"/>
      </tp>
      <tp t="s">
        <v>#N/A N/A</v>
        <stp/>
        <stp>BDP|17436503005190120348</stp>
        <tr r="H1925" s="2"/>
      </tp>
      <tp t="s">
        <v>#N/A N/A</v>
        <stp/>
        <stp>BDP|10955082880608784122</stp>
        <tr r="B2110" s="2"/>
      </tp>
      <tp t="s">
        <v>#N/A N/A</v>
        <stp/>
        <stp>BDP|15758197835835909361</stp>
        <tr r="F2472" s="2"/>
      </tp>
      <tp t="s">
        <v>#N/A N/A</v>
        <stp/>
        <stp>BDP|16605028240222062107</stp>
        <tr r="B3826" s="2"/>
      </tp>
      <tp t="s">
        <v>#N/A N/A</v>
        <stp/>
        <stp>BDP|11470248435365904487</stp>
        <tr r="I304" s="2"/>
      </tp>
      <tp t="s">
        <v>#N/A N/A</v>
        <stp/>
        <stp>BDP|13923510155395023799</stp>
        <tr r="A3292" s="2"/>
      </tp>
      <tp t="s">
        <v>#N/A N/A</v>
        <stp/>
        <stp>BDP|11418576653777282762</stp>
        <tr r="F4210" s="2"/>
      </tp>
      <tp t="s">
        <v>#N/A N/A</v>
        <stp/>
        <stp>BDP|12591546419846545199</stp>
        <tr r="H4508" s="2"/>
      </tp>
      <tp t="s">
        <v>#N/A N/A</v>
        <stp/>
        <stp>BDP|10368883863616592990</stp>
        <tr r="I1661" s="2"/>
      </tp>
      <tp t="s">
        <v>#N/A N/A</v>
        <stp/>
        <stp>BDP|14166568345264350053</stp>
        <tr r="G1927" s="2"/>
      </tp>
      <tp t="s">
        <v>#N/A N/A</v>
        <stp/>
        <stp>BDP|12114204145447533258</stp>
        <tr r="F3106" s="2"/>
      </tp>
      <tp t="s">
        <v>#N/A N/A</v>
        <stp/>
        <stp>BDP|12346652163970572342</stp>
        <tr r="H403" s="2"/>
      </tp>
      <tp t="s">
        <v>#N/A N/A</v>
        <stp/>
        <stp>BDP|13760335100805183419</stp>
        <tr r="A9" s="2"/>
      </tp>
      <tp t="s">
        <v>#N/A N/A</v>
        <stp/>
        <stp>BDP|16672284059081626158</stp>
        <tr r="B4546" s="2"/>
      </tp>
      <tp t="s">
        <v>#N/A N/A</v>
        <stp/>
        <stp>BDP|12639009535802732208</stp>
        <tr r="H4311" s="2"/>
      </tp>
      <tp t="s">
        <v>#N/A N/A</v>
        <stp/>
        <stp>BDP|11820106528077149459</stp>
        <tr r="C851" s="2"/>
      </tp>
      <tp t="s">
        <v>#N/A N/A</v>
        <stp/>
        <stp>BDP|11493140481951607839</stp>
        <tr r="D1597" s="2"/>
      </tp>
      <tp t="s">
        <v>#N/A N/A</v>
        <stp/>
        <stp>BDP|17157560377611721538</stp>
        <tr r="C3549" s="2"/>
      </tp>
      <tp t="s">
        <v>#N/A N/A</v>
        <stp/>
        <stp>BDP|11537410042680359019</stp>
        <tr r="C4705" s="2"/>
      </tp>
      <tp t="s">
        <v>#N/A N/A</v>
        <stp/>
        <stp>BDP|15740997486753598695</stp>
        <tr r="C2567" s="2"/>
      </tp>
      <tp t="s">
        <v>#N/A N/A</v>
        <stp/>
        <stp>BDP|15330504151335288144</stp>
        <tr r="D3432" s="2"/>
      </tp>
      <tp t="s">
        <v>#N/A N/A</v>
        <stp/>
        <stp>BDP|16063499609167553413</stp>
        <tr r="H1560" s="2"/>
      </tp>
      <tp t="s">
        <v>#N/A N/A</v>
        <stp/>
        <stp>BDP|16996630450656847264</stp>
        <tr r="C2730" s="2"/>
      </tp>
      <tp t="s">
        <v>#N/A N/A</v>
        <stp/>
        <stp>BDP|12901057138710563059</stp>
        <tr r="D158" s="2"/>
      </tp>
      <tp t="s">
        <v>#N/A N/A</v>
        <stp/>
        <stp>BDP|11416807495836278777</stp>
        <tr r="D2648" s="2"/>
      </tp>
      <tp t="s">
        <v>#N/A N/A</v>
        <stp/>
        <stp>BDP|17992241949642845284</stp>
        <tr r="F2551" s="2"/>
      </tp>
      <tp t="s">
        <v>#N/A N/A</v>
        <stp/>
        <stp>BDP|14923740839736499742</stp>
        <tr r="D193" s="2"/>
      </tp>
      <tp t="s">
        <v>#N/A N/A</v>
        <stp/>
        <stp>BDP|10212110703870070040</stp>
        <tr r="B3479" s="2"/>
      </tp>
      <tp t="s">
        <v>#N/A N/A</v>
        <stp/>
        <stp>BDP|13298674440812497251</stp>
        <tr r="I2155" s="2"/>
      </tp>
      <tp t="s">
        <v>#N/A N/A</v>
        <stp/>
        <stp>BDP|12862886018763921958</stp>
        <tr r="G1744" s="2"/>
      </tp>
      <tp t="s">
        <v>#N/A N/A</v>
        <stp/>
        <stp>BDP|14259586846165096186</stp>
        <tr r="A1053" s="2"/>
      </tp>
      <tp t="s">
        <v>#N/A N/A</v>
        <stp/>
        <stp>BDP|15426568464724303310</stp>
        <tr r="D3141" s="2"/>
      </tp>
      <tp t="s">
        <v>#N/A N/A</v>
        <stp/>
        <stp>BDP|13199964056958081650</stp>
        <tr r="B608" s="2"/>
      </tp>
      <tp t="s">
        <v>#N/A N/A</v>
        <stp/>
        <stp>BDP|13881493795929290627</stp>
        <tr r="B323" s="2"/>
      </tp>
      <tp t="s">
        <v>#N/A N/A</v>
        <stp/>
        <stp>BDP|14894070544265600497</stp>
        <tr r="A1760" s="2"/>
      </tp>
      <tp t="s">
        <v>#N/A N/A</v>
        <stp/>
        <stp>BDP|10604584960741392399</stp>
        <tr r="D3579" s="2"/>
      </tp>
      <tp t="s">
        <v>#N/A N/A</v>
        <stp/>
        <stp>BDP|14204580891511847872</stp>
        <tr r="B2686" s="2"/>
      </tp>
      <tp t="s">
        <v>#N/A N/A</v>
        <stp/>
        <stp>BDP|12368658276965739737</stp>
        <tr r="D3404" s="2"/>
      </tp>
      <tp t="s">
        <v>#N/A N/A</v>
        <stp/>
        <stp>BDP|10060644066246435720</stp>
        <tr r="G27" s="2"/>
      </tp>
      <tp t="s">
        <v>#N/A N/A</v>
        <stp/>
        <stp>BDP|12744584083137034981</stp>
        <tr r="H3308" s="2"/>
      </tp>
      <tp t="s">
        <v>#N/A N/A</v>
        <stp/>
        <stp>BDP|12535148632833019270</stp>
        <tr r="G625" s="2"/>
      </tp>
      <tp t="s">
        <v>#N/A N/A</v>
        <stp/>
        <stp>BDP|13118400322320220452</stp>
        <tr r="C1465" s="2"/>
      </tp>
      <tp t="s">
        <v>#N/A N/A</v>
        <stp/>
        <stp>BDP|12057781527982870438</stp>
        <tr r="D67" s="2"/>
      </tp>
      <tp t="s">
        <v>#N/A N/A</v>
        <stp/>
        <stp>BDP|11837657360245147580</stp>
        <tr r="D2460" s="2"/>
      </tp>
      <tp t="s">
        <v>#N/A N/A</v>
        <stp/>
        <stp>BDP|14886210538832371665</stp>
        <tr r="I4705" s="2"/>
      </tp>
      <tp t="s">
        <v>#N/A N/A</v>
        <stp/>
        <stp>BDP|15070312037034252002</stp>
        <tr r="A2989" s="2"/>
      </tp>
      <tp t="s">
        <v>#N/A N/A</v>
        <stp/>
        <stp>BDP|14827260772860814009</stp>
        <tr r="G1161" s="2"/>
      </tp>
      <tp t="s">
        <v>#N/A N/A</v>
        <stp/>
        <stp>BDP|15088799305950193390</stp>
        <tr r="H746" s="2"/>
      </tp>
      <tp t="s">
        <v>#N/A N/A</v>
        <stp/>
        <stp>BDP|11347211915046032537</stp>
        <tr r="D395" s="2"/>
      </tp>
      <tp t="s">
        <v>#N/A N/A</v>
        <stp/>
        <stp>BDP|12792250968923752494</stp>
        <tr r="D746" s="2"/>
      </tp>
      <tp t="s">
        <v>#N/A N/A</v>
        <stp/>
        <stp>BDP|15105456287740138863</stp>
        <tr r="A1950" s="2"/>
      </tp>
      <tp t="s">
        <v>#N/A N/A</v>
        <stp/>
        <stp>BDP|17512725360496163127</stp>
        <tr r="I242" s="2"/>
      </tp>
      <tp t="s">
        <v>#N/A N/A</v>
        <stp/>
        <stp>BDP|16827656261967099085</stp>
        <tr r="D3863" s="2"/>
      </tp>
      <tp t="s">
        <v>#N/A N/A</v>
        <stp/>
        <stp>BDP|10520301530203171207</stp>
        <tr r="D220" s="2"/>
      </tp>
      <tp t="s">
        <v>#N/A N/A</v>
        <stp/>
        <stp>BDP|12637151454363241414</stp>
        <tr r="C2328" s="2"/>
      </tp>
      <tp t="s">
        <v>#N/A N/A</v>
        <stp/>
        <stp>BDP|10622433967834189770</stp>
        <tr r="B2264" s="2"/>
      </tp>
      <tp t="s">
        <v>#N/A N/A</v>
        <stp/>
        <stp>BDP|14941027913620506495</stp>
        <tr r="I3530" s="2"/>
      </tp>
      <tp t="s">
        <v>#N/A N/A</v>
        <stp/>
        <stp>BDP|13291092746306199081</stp>
        <tr r="I3836" s="2"/>
      </tp>
      <tp t="s">
        <v>#N/A N/A</v>
        <stp/>
        <stp>BDP|16613886679630599868</stp>
        <tr r="G3234" s="2"/>
      </tp>
      <tp t="s">
        <v>#N/A N/A</v>
        <stp/>
        <stp>BDP|11486759722217159266</stp>
        <tr r="H1191" s="2"/>
      </tp>
      <tp t="s">
        <v>#N/A N/A</v>
        <stp/>
        <stp>BDP|14379638837197680756</stp>
        <tr r="A415" s="2"/>
      </tp>
      <tp t="s">
        <v>#N/A N/A</v>
        <stp/>
        <stp>BDP|14721794948355106335</stp>
        <tr r="G4475" s="2"/>
      </tp>
      <tp t="s">
        <v>#N/A N/A</v>
        <stp/>
        <stp>BDP|15521291811124851317</stp>
        <tr r="I2880" s="2"/>
      </tp>
      <tp t="s">
        <v>#N/A N/A</v>
        <stp/>
        <stp>BDP|17285134705503707479</stp>
        <tr r="G2915" s="2"/>
      </tp>
      <tp t="s">
        <v>#N/A N/A</v>
        <stp/>
        <stp>BDP|11120757109976881114</stp>
        <tr r="G3632" s="2"/>
      </tp>
      <tp t="s">
        <v>#N/A N/A</v>
        <stp/>
        <stp>BDP|11397228676330773545</stp>
        <tr r="I383" s="2"/>
      </tp>
      <tp t="s">
        <v>#N/A N/A</v>
        <stp/>
        <stp>BDP|11342377807394703700</stp>
        <tr r="F3593" s="2"/>
      </tp>
      <tp t="s">
        <v>#N/A N/A</v>
        <stp/>
        <stp>BDP|17040720351404320042</stp>
        <tr r="I1242" s="2"/>
      </tp>
      <tp t="s">
        <v>#N/A N/A</v>
        <stp/>
        <stp>BDP|12755354653743115647</stp>
        <tr r="H3853" s="2"/>
      </tp>
      <tp t="s">
        <v>#N/A N/A</v>
        <stp/>
        <stp>BDP|18338551497677243277</stp>
        <tr r="D3936" s="2"/>
      </tp>
      <tp t="s">
        <v>#N/A N/A</v>
        <stp/>
        <stp>BDP|13104245766894591223</stp>
        <tr r="D4538" s="2"/>
      </tp>
      <tp t="s">
        <v>#N/A N/A</v>
        <stp/>
        <stp>BDP|17776555336671035100</stp>
        <tr r="H4616" s="2"/>
      </tp>
      <tp t="s">
        <v>#N/A N/A</v>
        <stp/>
        <stp>BDP|11803013751463513691</stp>
        <tr r="B153" s="2"/>
      </tp>
      <tp t="s">
        <v>#N/A N/A</v>
        <stp/>
        <stp>BDP|14105021372615047754</stp>
        <tr r="D1494" s="2"/>
      </tp>
      <tp t="s">
        <v>#N/A N/A</v>
        <stp/>
        <stp>BDP|16304656437260313263</stp>
        <tr r="I453" s="2"/>
      </tp>
      <tp t="s">
        <v>#N/A N/A</v>
        <stp/>
        <stp>BDP|10660639543907794459</stp>
        <tr r="G2110" s="2"/>
      </tp>
      <tp t="s">
        <v>#N/A N/A</v>
        <stp/>
        <stp>BDP|13359026420649509903</stp>
        <tr r="D1381" s="2"/>
      </tp>
      <tp t="s">
        <v>#N/A N/A</v>
        <stp/>
        <stp>BDP|14016660517534343666</stp>
        <tr r="B4139" s="2"/>
      </tp>
      <tp t="s">
        <v>#N/A N/A</v>
        <stp/>
        <stp>BDP|10478376349045861362</stp>
        <tr r="F4293" s="2"/>
      </tp>
      <tp t="s">
        <v>#N/A N/A</v>
        <stp/>
        <stp>BDP|17122451986578016262</stp>
        <tr r="D2425" s="2"/>
      </tp>
      <tp t="s">
        <v>#N/A N/A</v>
        <stp/>
        <stp>BDP|17650046361418604812</stp>
        <tr r="C961" s="2"/>
      </tp>
      <tp t="s">
        <v>#N/A N/A</v>
        <stp/>
        <stp>BDP|17324153873613560345</stp>
        <tr r="D1557" s="2"/>
      </tp>
      <tp t="s">
        <v>#N/A N/A</v>
        <stp/>
        <stp>BDP|13347418794028499761</stp>
        <tr r="A1037" s="2"/>
      </tp>
      <tp t="s">
        <v>#N/A N/A</v>
        <stp/>
        <stp>BDP|17752400979391909432</stp>
        <tr r="C667" s="2"/>
      </tp>
      <tp t="s">
        <v>#N/A N/A</v>
        <stp/>
        <stp>BDP|12665616469391832224</stp>
        <tr r="B2370" s="2"/>
      </tp>
      <tp t="s">
        <v>#N/A N/A</v>
        <stp/>
        <stp>BDP|13085082526472926238</stp>
        <tr r="C208" s="2"/>
      </tp>
      <tp t="s">
        <v>#N/A N/A</v>
        <stp/>
        <stp>BDP|15452131220037182028</stp>
        <tr r="D3759" s="2"/>
      </tp>
      <tp t="s">
        <v>#N/A N/A</v>
        <stp/>
        <stp>BDP|17500701003584179537</stp>
        <tr r="B3861" s="2"/>
      </tp>
      <tp t="s">
        <v>#N/A N/A</v>
        <stp/>
        <stp>BDP|16764105325650550434</stp>
        <tr r="I4011" s="2"/>
      </tp>
      <tp t="s">
        <v>#N/A N/A</v>
        <stp/>
        <stp>BDP|15069774321334325528</stp>
        <tr r="C2640" s="2"/>
      </tp>
      <tp t="s">
        <v>#N/A N/A</v>
        <stp/>
        <stp>BDP|14896395917666226133</stp>
        <tr r="G364" s="2"/>
      </tp>
      <tp t="s">
        <v>#N/A N/A</v>
        <stp/>
        <stp>BDP|12029708397655641863</stp>
        <tr r="A1638" s="2"/>
      </tp>
      <tp t="s">
        <v>#N/A N/A</v>
        <stp/>
        <stp>BDP|17678050775268071919</stp>
        <tr r="H4064" s="2"/>
      </tp>
      <tp t="s">
        <v>#N/A N/A</v>
        <stp/>
        <stp>BDP|13053712766144341739</stp>
        <tr r="H4337" s="2"/>
      </tp>
      <tp t="s">
        <v>#N/A N/A</v>
        <stp/>
        <stp>BDP|17821774521396971508</stp>
        <tr r="I1507" s="2"/>
      </tp>
      <tp t="s">
        <v>#N/A N/A</v>
        <stp/>
        <stp>BDP|13021319962772305576</stp>
        <tr r="D4419" s="2"/>
      </tp>
      <tp t="s">
        <v>#N/A N/A</v>
        <stp/>
        <stp>BDP|16012756817487498610</stp>
        <tr r="D1561" s="2"/>
      </tp>
      <tp t="s">
        <v>#N/A N/A</v>
        <stp/>
        <stp>BDP|16511445413584288673</stp>
        <tr r="G3474" s="2"/>
      </tp>
      <tp t="s">
        <v>#N/A N/A</v>
        <stp/>
        <stp>BDP|13711160708825830660</stp>
        <tr r="G2689" s="2"/>
      </tp>
      <tp t="s">
        <v>#N/A N/A</v>
        <stp/>
        <stp>BDP|15073115430713372558</stp>
        <tr r="B2006" s="2"/>
      </tp>
      <tp t="s">
        <v>#N/A N/A</v>
        <stp/>
        <stp>BDP|12282494456345855720</stp>
        <tr r="H4073" s="2"/>
      </tp>
      <tp t="s">
        <v>#N/A N/A</v>
        <stp/>
        <stp>BDP|16223246686605214859</stp>
        <tr r="D3926" s="2"/>
      </tp>
      <tp t="s">
        <v>#N/A N/A</v>
        <stp/>
        <stp>BDP|13724458805671878781</stp>
        <tr r="I4432" s="2"/>
      </tp>
      <tp t="s">
        <v>#N/A N/A</v>
        <stp/>
        <stp>BDP|11236577767282487117</stp>
        <tr r="F2740" s="2"/>
      </tp>
      <tp t="s">
        <v>#N/A N/A</v>
        <stp/>
        <stp>BDP|13839379362583215487</stp>
        <tr r="A3357" s="2"/>
      </tp>
      <tp t="s">
        <v>#N/A N/A</v>
        <stp/>
        <stp>BDP|14041072107072091776</stp>
        <tr r="G1325" s="2"/>
      </tp>
      <tp t="s">
        <v>#N/A N/A</v>
        <stp/>
        <stp>BDP|15129582269185087271</stp>
        <tr r="A1372" s="2"/>
      </tp>
      <tp t="s">
        <v>#N/A N/A</v>
        <stp/>
        <stp>BDP|12165502644807464562</stp>
        <tr r="A2261" s="2"/>
      </tp>
      <tp t="s">
        <v>#N/A N/A</v>
        <stp/>
        <stp>BDP|11290076703773211331</stp>
        <tr r="F1595" s="2"/>
      </tp>
      <tp t="s">
        <v>#N/A N/A</v>
        <stp/>
        <stp>BDP|13277368103345972493</stp>
        <tr r="H774" s="2"/>
      </tp>
      <tp t="s">
        <v>#N/A N/A</v>
        <stp/>
        <stp>BDP|12070664467755282644</stp>
        <tr r="H416" s="2"/>
      </tp>
      <tp t="s">
        <v>#N/A N/A</v>
        <stp/>
        <stp>BDP|10144204435711073138</stp>
        <tr r="F2177" s="2"/>
      </tp>
      <tp t="s">
        <v>#N/A N/A</v>
        <stp/>
        <stp>BDP|17249487696439817239</stp>
        <tr r="I1838" s="2"/>
      </tp>
      <tp t="s">
        <v>#N/A N/A</v>
        <stp/>
        <stp>BDP|14355055476650391240</stp>
        <tr r="F4351" s="2"/>
      </tp>
      <tp t="s">
        <v>#N/A N/A</v>
        <stp/>
        <stp>BDP|18273865633432492040</stp>
        <tr r="C1700" s="2"/>
      </tp>
      <tp t="s">
        <v>#N/A N/A</v>
        <stp/>
        <stp>BDP|14598154433850193752</stp>
        <tr r="G1055" s="2"/>
      </tp>
      <tp t="s">
        <v>#N/A N/A</v>
        <stp/>
        <stp>BDP|14063324501702686423</stp>
        <tr r="I84" s="2"/>
      </tp>
      <tp t="s">
        <v>#N/A N/A</v>
        <stp/>
        <stp>BDP|16425823979810008884</stp>
        <tr r="A4383" s="2"/>
      </tp>
      <tp t="s">
        <v>#N/A N/A</v>
        <stp/>
        <stp>BDP|13771616630423503448</stp>
        <tr r="H968" s="2"/>
      </tp>
      <tp t="s">
        <v>#N/A N/A</v>
        <stp/>
        <stp>BDP|12367198526163964324</stp>
        <tr r="D1531" s="2"/>
      </tp>
      <tp t="s">
        <v>#N/A N/A</v>
        <stp/>
        <stp>BDP|10985375174550403595</stp>
        <tr r="B3176" s="2"/>
      </tp>
      <tp t="s">
        <v>#N/A N/A</v>
        <stp/>
        <stp>BDP|13065474036564096162</stp>
        <tr r="H2334" s="2"/>
      </tp>
      <tp t="s">
        <v>#N/A N/A</v>
        <stp/>
        <stp>BDP|11911331362087847277</stp>
        <tr r="I14" s="2"/>
      </tp>
      <tp t="s">
        <v>#N/A N/A</v>
        <stp/>
        <stp>BDP|15723879398654883176</stp>
        <tr r="C2549" s="2"/>
      </tp>
      <tp t="s">
        <v>#N/A N/A</v>
        <stp/>
        <stp>BDP|17944870212349813635</stp>
        <tr r="I3157" s="2"/>
      </tp>
      <tp t="s">
        <v>#N/A N/A</v>
        <stp/>
        <stp>BDP|14136197040512628291</stp>
        <tr r="D3479" s="2"/>
      </tp>
      <tp t="s">
        <v>#N/A N/A</v>
        <stp/>
        <stp>BDP|11428755206524020302</stp>
        <tr r="C589" s="2"/>
      </tp>
      <tp t="s">
        <v>#N/A N/A</v>
        <stp/>
        <stp>BDP|10993581918252704798</stp>
        <tr r="I301" s="2"/>
      </tp>
      <tp t="s">
        <v>#N/A N/A</v>
        <stp/>
        <stp>BDP|11644861741649000561</stp>
        <tr r="H2752" s="2"/>
      </tp>
      <tp t="s">
        <v>#N/A N/A</v>
        <stp/>
        <stp>BDP|11219903286203656254</stp>
        <tr r="F2725" s="2"/>
      </tp>
      <tp t="s">
        <v>#N/A N/A</v>
        <stp/>
        <stp>BDP|14243835786061169416</stp>
        <tr r="B68" s="2"/>
      </tp>
      <tp t="s">
        <v>#N/A N/A</v>
        <stp/>
        <stp>BDP|18245284279634000847</stp>
        <tr r="D455" s="2"/>
      </tp>
      <tp t="s">
        <v>#N/A N/A</v>
        <stp/>
        <stp>BDP|16386299778916200479</stp>
        <tr r="H144" s="2"/>
      </tp>
      <tp t="s">
        <v>#N/A N/A</v>
        <stp/>
        <stp>BDP|12026523406156224013</stp>
        <tr r="A825" s="2"/>
      </tp>
      <tp t="s">
        <v>#N/A N/A</v>
        <stp/>
        <stp>BDP|12120006236381169110</stp>
        <tr r="A2768" s="2"/>
      </tp>
      <tp t="s">
        <v>#N/A N/A</v>
        <stp/>
        <stp>BDP|17399234401374269049</stp>
        <tr r="I4579" s="2"/>
      </tp>
      <tp t="s">
        <v>#N/A N/A</v>
        <stp/>
        <stp>BDP|16685967085395493365</stp>
        <tr r="C4727" s="2"/>
      </tp>
      <tp t="s">
        <v>#N/A N/A</v>
        <stp/>
        <stp>BDP|11239427272462637133</stp>
        <tr r="D2432" s="2"/>
      </tp>
      <tp t="s">
        <v>#N/A N/A</v>
        <stp/>
        <stp>BDP|14788829155710269850</stp>
        <tr r="I4886" s="2"/>
      </tp>
      <tp t="s">
        <v>#N/A N/A</v>
        <stp/>
        <stp>BDP|15530014920604119220</stp>
        <tr r="B2679" s="2"/>
      </tp>
      <tp t="s">
        <v>#N/A N/A</v>
        <stp/>
        <stp>BDP|15518205283069013712</stp>
        <tr r="H1010" s="2"/>
      </tp>
      <tp t="s">
        <v>#N/A N/A</v>
        <stp/>
        <stp>BDP|16736543202696647405</stp>
        <tr r="C2297" s="2"/>
      </tp>
      <tp t="s">
        <v>#N/A N/A</v>
        <stp/>
        <stp>BDP|16743513725511262163</stp>
        <tr r="C252" s="2"/>
      </tp>
      <tp t="s">
        <v>#N/A N/A</v>
        <stp/>
        <stp>BDP|12599611191318749458</stp>
        <tr r="A4707" s="2"/>
      </tp>
      <tp t="s">
        <v>#N/A N/A</v>
        <stp/>
        <stp>BDP|12773463322753206664</stp>
        <tr r="C1077" s="2"/>
      </tp>
      <tp t="s">
        <v>#N/A N/A</v>
        <stp/>
        <stp>BDP|16652260927103519452</stp>
        <tr r="D434" s="2"/>
      </tp>
      <tp t="s">
        <v>#N/A N/A</v>
        <stp/>
        <stp>BDP|13005012422428626822</stp>
        <tr r="F2218" s="2"/>
      </tp>
      <tp t="s">
        <v>#N/A N/A</v>
        <stp/>
        <stp>BDP|16210011210024741232</stp>
        <tr r="H2562" s="2"/>
      </tp>
      <tp t="s">
        <v>#N/A N/A</v>
        <stp/>
        <stp>BDP|18387831913972378271</stp>
        <tr r="B197" s="2"/>
      </tp>
      <tp t="s">
        <v>#N/A N/A</v>
        <stp/>
        <stp>BDP|17216119542001093267</stp>
        <tr r="F491" s="2"/>
      </tp>
      <tp t="s">
        <v>#N/A N/A</v>
        <stp/>
        <stp>BDP|17723341663125077673</stp>
        <tr r="F3920" s="2"/>
      </tp>
      <tp t="s">
        <v>#N/A N/A</v>
        <stp/>
        <stp>BDP|10260996938253350872</stp>
        <tr r="A167" s="2"/>
      </tp>
      <tp t="s">
        <v>#N/A N/A</v>
        <stp/>
        <stp>BDP|16248061603482168512</stp>
        <tr r="F4903" s="2"/>
      </tp>
      <tp t="s">
        <v>#N/A N/A</v>
        <stp/>
        <stp>BDP|17124494541036837060</stp>
        <tr r="H3946" s="2"/>
      </tp>
      <tp t="s">
        <v>#N/A N/A</v>
        <stp/>
        <stp>BDP|17302243248004914417</stp>
        <tr r="F4242" s="2"/>
      </tp>
      <tp t="s">
        <v>#N/A N/A</v>
        <stp/>
        <stp>BDP|13220923346046564942</stp>
        <tr r="C1607" s="2"/>
      </tp>
      <tp t="s">
        <v>#N/A N/A</v>
        <stp/>
        <stp>BDP|13854130959322036451</stp>
        <tr r="F90" s="2"/>
      </tp>
      <tp t="s">
        <v>#N/A N/A</v>
        <stp/>
        <stp>BDP|15340332917540255622</stp>
        <tr r="G209" s="2"/>
      </tp>
      <tp t="s">
        <v>#N/A N/A</v>
        <stp/>
        <stp>BDP|13259394682578673198</stp>
        <tr r="C1871" s="2"/>
      </tp>
      <tp t="s">
        <v>#N/A N/A</v>
        <stp/>
        <stp>BDP|13636477305870128635</stp>
        <tr r="B4823" s="2"/>
      </tp>
      <tp t="s">
        <v>#N/A N/A</v>
        <stp/>
        <stp>BDP|11478941967358263738</stp>
        <tr r="B2194" s="2"/>
      </tp>
      <tp t="s">
        <v>#N/A N/A</v>
        <stp/>
        <stp>BDP|15054553135134145678</stp>
        <tr r="D320" s="2"/>
      </tp>
      <tp t="s">
        <v>#N/A N/A</v>
        <stp/>
        <stp>BDP|11986069009350981091</stp>
        <tr r="A784" s="2"/>
      </tp>
      <tp t="s">
        <v>#N/A N/A</v>
        <stp/>
        <stp>BDP|17289153275069471906</stp>
        <tr r="I594" s="2"/>
      </tp>
      <tp t="s">
        <v>#N/A N/A</v>
        <stp/>
        <stp>BDP|14039257223911245423</stp>
        <tr r="F905" s="2"/>
      </tp>
      <tp t="s">
        <v>#N/A N/A</v>
        <stp/>
        <stp>BDP|14607675383682112958</stp>
        <tr r="B859" s="2"/>
      </tp>
      <tp t="s">
        <v>#N/A N/A</v>
        <stp/>
        <stp>BDP|16809697941200191576</stp>
        <tr r="H4469" s="2"/>
      </tp>
      <tp t="s">
        <v>#N/A N/A</v>
        <stp/>
        <stp>BDP|18406216821199468068</stp>
        <tr r="F3044" s="2"/>
      </tp>
      <tp t="s">
        <v>#N/A N/A</v>
        <stp/>
        <stp>BDP|10847662839944663070</stp>
        <tr r="C4384" s="2"/>
      </tp>
      <tp t="s">
        <v>#N/A N/A</v>
        <stp/>
        <stp>BDP|12153561730963952681</stp>
        <tr r="I3863" s="2"/>
      </tp>
      <tp t="s">
        <v>#N/A N/A</v>
        <stp/>
        <stp>BDP|17552219626871793734</stp>
        <tr r="F3814" s="2"/>
      </tp>
      <tp t="s">
        <v>#N/A N/A</v>
        <stp/>
        <stp>BDP|15480916015784216840</stp>
        <tr r="F3596" s="2"/>
      </tp>
      <tp t="s">
        <v>#N/A N/A</v>
        <stp/>
        <stp>BDP|17645534210487496575</stp>
        <tr r="C4989" s="2"/>
      </tp>
      <tp t="s">
        <v>#N/A N/A</v>
        <stp/>
        <stp>BDP|17678726456003217768</stp>
        <tr r="F3408" s="2"/>
      </tp>
      <tp t="s">
        <v>#N/A N/A</v>
        <stp/>
        <stp>BDP|17546025003753671549</stp>
        <tr r="G1383" s="2"/>
      </tp>
      <tp t="s">
        <v>#N/A N/A</v>
        <stp/>
        <stp>BDP|14561753933458661938</stp>
        <tr r="G1690" s="2"/>
      </tp>
      <tp t="s">
        <v>#N/A N/A</v>
        <stp/>
        <stp>BDP|12143988740667629997</stp>
        <tr r="B3493" s="2"/>
      </tp>
      <tp t="s">
        <v>#N/A N/A</v>
        <stp/>
        <stp>BDP|12667591988876613871</stp>
        <tr r="H3222" s="2"/>
      </tp>
      <tp t="s">
        <v>#N/A N/A</v>
        <stp/>
        <stp>BDP|12289060501487463475</stp>
        <tr r="H4712" s="2"/>
      </tp>
      <tp t="s">
        <v>#N/A N/A</v>
        <stp/>
        <stp>BDP|13913251473604197380</stp>
        <tr r="C1864" s="2"/>
      </tp>
      <tp t="s">
        <v>#N/A N/A</v>
        <stp/>
        <stp>BDP|16223389451536827753</stp>
        <tr r="C564" s="2"/>
      </tp>
      <tp t="s">
        <v>#N/A N/A</v>
        <stp/>
        <stp>BDP|16765988954188839352</stp>
        <tr r="A547" s="2"/>
      </tp>
      <tp t="s">
        <v>#N/A N/A</v>
        <stp/>
        <stp>BDP|15483543953152560602</stp>
        <tr r="A2479" s="2"/>
      </tp>
      <tp t="s">
        <v>#N/A N/A</v>
        <stp/>
        <stp>BDP|16543869495553810587</stp>
        <tr r="F4394" s="2"/>
      </tp>
      <tp t="s">
        <v>#N/A N/A</v>
        <stp/>
        <stp>BDP|12798019407851104265</stp>
        <tr r="I2221" s="2"/>
      </tp>
      <tp t="s">
        <v>#N/A N/A</v>
        <stp/>
        <stp>BDP|14409682731523391383</stp>
        <tr r="B1525" s="2"/>
      </tp>
      <tp t="s">
        <v>#N/A N/A</v>
        <stp/>
        <stp>BDP|11186702820116340342</stp>
        <tr r="I4701" s="2"/>
      </tp>
      <tp t="s">
        <v>#N/A N/A</v>
        <stp/>
        <stp>BDP|12766616095404299870</stp>
        <tr r="H1309" s="2"/>
      </tp>
      <tp t="s">
        <v>#N/A N/A</v>
        <stp/>
        <stp>BDP|15237092363726899462</stp>
        <tr r="H2465" s="2"/>
      </tp>
      <tp t="s">
        <v>#N/A N/A</v>
        <stp/>
        <stp>BDP|17063838642213410930</stp>
        <tr r="I1819" s="2"/>
      </tp>
      <tp t="s">
        <v>#N/A N/A</v>
        <stp/>
        <stp>BDP|10770693039110686470</stp>
        <tr r="I4671" s="2"/>
      </tp>
      <tp t="s">
        <v>#N/A N/A</v>
        <stp/>
        <stp>BDP|16847038130517430397</stp>
        <tr r="A3628" s="2"/>
      </tp>
      <tp t="s">
        <v>#N/A N/A</v>
        <stp/>
        <stp>BDP|12804596519333794491</stp>
        <tr r="I784" s="2"/>
      </tp>
      <tp t="s">
        <v>#N/A N/A</v>
        <stp/>
        <stp>BDP|16959018620087646284</stp>
        <tr r="D508" s="2"/>
      </tp>
      <tp t="s">
        <v>#N/A N/A</v>
        <stp/>
        <stp>BDP|18311060170528200619</stp>
        <tr r="C262" s="2"/>
      </tp>
      <tp t="s">
        <v>#N/A N/A</v>
        <stp/>
        <stp>BDP|14553069967251713253</stp>
        <tr r="G123" s="2"/>
      </tp>
      <tp t="s">
        <v>#N/A N/A</v>
        <stp/>
        <stp>BDP|13295260752042663763</stp>
        <tr r="F1893" s="2"/>
      </tp>
      <tp t="s">
        <v>#N/A N/A</v>
        <stp/>
        <stp>BDP|14632488401001110086</stp>
        <tr r="G4506" s="2"/>
      </tp>
      <tp t="s">
        <v>#N/A N/A</v>
        <stp/>
        <stp>BDP|16615458480512656935</stp>
        <tr r="F562" s="2"/>
      </tp>
      <tp t="s">
        <v>#N/A N/A</v>
        <stp/>
        <stp>BDP|17075058931130479565</stp>
        <tr r="H2826" s="2"/>
      </tp>
      <tp t="s">
        <v>#N/A N/A</v>
        <stp/>
        <stp>BDP|12576690759380489070</stp>
        <tr r="H4682" s="2"/>
      </tp>
      <tp t="s">
        <v>#N/A N/A</v>
        <stp/>
        <stp>BDP|13370656216093334651</stp>
        <tr r="G325" s="2"/>
      </tp>
      <tp t="s">
        <v>#N/A N/A</v>
        <stp/>
        <stp>BDP|14488412722623983087</stp>
        <tr r="H4690" s="2"/>
      </tp>
      <tp t="s">
        <v>#N/A N/A</v>
        <stp/>
        <stp>BDP|11841126328743111057</stp>
        <tr r="A2219" s="2"/>
      </tp>
      <tp t="s">
        <v>#N/A N/A</v>
        <stp/>
        <stp>BDP|12630255407633364215</stp>
        <tr r="F2279" s="2"/>
      </tp>
      <tp t="s">
        <v>#N/A N/A</v>
        <stp/>
        <stp>BDP|17569020172222015337</stp>
        <tr r="C3115" s="2"/>
      </tp>
      <tp t="s">
        <v>#N/A N/A</v>
        <stp/>
        <stp>BDP|14909593118607836664</stp>
        <tr r="B1963" s="2"/>
      </tp>
      <tp t="s">
        <v>#N/A N/A</v>
        <stp/>
        <stp>BDP|16594328224210289679</stp>
        <tr r="D2456" s="2"/>
      </tp>
      <tp t="s">
        <v>#N/A N/A</v>
        <stp/>
        <stp>BDP|16899209339792009475</stp>
        <tr r="G4343" s="2"/>
      </tp>
      <tp t="s">
        <v>#N/A N/A</v>
        <stp/>
        <stp>BDP|17461748242207794237</stp>
        <tr r="A1940" s="2"/>
      </tp>
      <tp t="s">
        <v>#N/A N/A</v>
        <stp/>
        <stp>BDP|15047755442551530645</stp>
        <tr r="G4657" s="2"/>
      </tp>
      <tp t="s">
        <v>#N/A N/A</v>
        <stp/>
        <stp>BDP|17002341476647444501</stp>
        <tr r="A2210" s="2"/>
      </tp>
      <tp t="s">
        <v>#N/A N/A</v>
        <stp/>
        <stp>BDP|12319777016331329475</stp>
        <tr r="G2772" s="2"/>
      </tp>
      <tp t="s">
        <v>#N/A N/A</v>
        <stp/>
        <stp>BDP|10683704813333064438</stp>
        <tr r="C3588" s="2"/>
      </tp>
      <tp t="s">
        <v>#N/A N/A</v>
        <stp/>
        <stp>BDP|10664834669488211786</stp>
        <tr r="G4130" s="2"/>
      </tp>
      <tp t="s">
        <v>#N/A N/A</v>
        <stp/>
        <stp>BDP|16866737006247229790</stp>
        <tr r="D4094" s="2"/>
      </tp>
      <tp t="s">
        <v>#N/A N/A</v>
        <stp/>
        <stp>BDP|15484238644070235272</stp>
        <tr r="B3946" s="2"/>
      </tp>
      <tp t="s">
        <v>#N/A N/A</v>
        <stp/>
        <stp>BDP|12467158438088997967</stp>
        <tr r="C4239" s="2"/>
      </tp>
      <tp t="s">
        <v>#N/A N/A</v>
        <stp/>
        <stp>BDP|12379477414634217247</stp>
        <tr r="C275" s="2"/>
      </tp>
      <tp t="s">
        <v>#N/A N/A</v>
        <stp/>
        <stp>BDP|16639451020330783129</stp>
        <tr r="G4975" s="2"/>
      </tp>
      <tp t="s">
        <v>#N/A N/A</v>
        <stp/>
        <stp>BDP|12627683359254869495</stp>
        <tr r="I3866" s="2"/>
      </tp>
      <tp t="s">
        <v>#N/A N/A</v>
        <stp/>
        <stp>BDP|16142740366165443311</stp>
        <tr r="F2890" s="2"/>
      </tp>
      <tp t="s">
        <v>#N/A N/A</v>
        <stp/>
        <stp>BDP|12170410866093612266</stp>
        <tr r="I4862" s="2"/>
      </tp>
      <tp t="s">
        <v>#N/A N/A</v>
        <stp/>
        <stp>BDP|10177636274447253720</stp>
        <tr r="F4156" s="2"/>
      </tp>
      <tp t="s">
        <v>#N/A N/A</v>
        <stp/>
        <stp>BDP|14805400650080967471</stp>
        <tr r="G2916" s="2"/>
      </tp>
      <tp t="s">
        <v>#N/A N/A</v>
        <stp/>
        <stp>BDP|11938702309650690709</stp>
        <tr r="D3058" s="2"/>
      </tp>
      <tp t="s">
        <v>#N/A N/A</v>
        <stp/>
        <stp>BDP|11464139367815371257</stp>
        <tr r="A344" s="2"/>
      </tp>
      <tp t="s">
        <v>#N/A N/A</v>
        <stp/>
        <stp>BDP|11134334636953317318</stp>
        <tr r="A2540" s="2"/>
      </tp>
      <tp t="s">
        <v>#N/A N/A</v>
        <stp/>
        <stp>BDP|11788429862846267438</stp>
        <tr r="A1860" s="2"/>
      </tp>
      <tp t="s">
        <v>#N/A N/A</v>
        <stp/>
        <stp>BDP|13448013672383354626</stp>
        <tr r="I550" s="2"/>
      </tp>
      <tp t="s">
        <v>#N/A N/A</v>
        <stp/>
        <stp>BDP|17814376946480758180</stp>
        <tr r="G4152" s="2"/>
      </tp>
      <tp t="s">
        <v>#N/A N/A</v>
        <stp/>
        <stp>BDP|11576074532837091464</stp>
        <tr r="H4392" s="2"/>
      </tp>
      <tp t="s">
        <v>#N/A N/A</v>
        <stp/>
        <stp>BDP|14943394033563077654</stp>
        <tr r="F2981" s="2"/>
      </tp>
      <tp t="s">
        <v>#N/A N/A</v>
        <stp/>
        <stp>BDP|14082614792589791325</stp>
        <tr r="D2270" s="2"/>
      </tp>
      <tp t="s">
        <v>#N/A N/A</v>
        <stp/>
        <stp>BDP|10520407883175511850</stp>
        <tr r="D4694" s="2"/>
      </tp>
      <tp t="s">
        <v>#N/A N/A</v>
        <stp/>
        <stp>BDP|18066338056189497673</stp>
        <tr r="C2008" s="2"/>
      </tp>
      <tp t="s">
        <v>#N/A N/A</v>
        <stp/>
        <stp>BDP|11529988584459781883</stp>
        <tr r="A614" s="2"/>
      </tp>
      <tp t="s">
        <v>#N/A N/A</v>
        <stp/>
        <stp>BDP|17209123543750033352</stp>
        <tr r="C3904" s="2"/>
      </tp>
      <tp t="s">
        <v>#N/A N/A</v>
        <stp/>
        <stp>BDP|16224672571122147430</stp>
        <tr r="A2202" s="2"/>
      </tp>
      <tp t="s">
        <v>#N/A N/A</v>
        <stp/>
        <stp>BDP|15238346043267639451</stp>
        <tr r="H4221" s="2"/>
      </tp>
      <tp t="s">
        <v>#N/A N/A</v>
        <stp/>
        <stp>BDP|12800563169356552640</stp>
        <tr r="A677" s="2"/>
      </tp>
      <tp t="s">
        <v>#N/A N/A</v>
        <stp/>
        <stp>BDP|12405080970113872722</stp>
        <tr r="G2406" s="2"/>
      </tp>
      <tp t="s">
        <v>#N/A N/A</v>
        <stp/>
        <stp>BDP|13696428815170226756</stp>
        <tr r="C1696" s="2"/>
      </tp>
      <tp t="s">
        <v>#N/A N/A</v>
        <stp/>
        <stp>BDP|13317721008504919160</stp>
        <tr r="D4378" s="2"/>
      </tp>
      <tp t="s">
        <v>#N/A N/A</v>
        <stp/>
        <stp>BDP|13224321048047618286</stp>
        <tr r="H1467" s="2"/>
      </tp>
      <tp t="s">
        <v>#N/A N/A</v>
        <stp/>
        <stp>BDP|13474218067943248566</stp>
        <tr r="D393" s="2"/>
      </tp>
      <tp t="s">
        <v>#N/A N/A</v>
        <stp/>
        <stp>BDP|14837085472514618626</stp>
        <tr r="I2208" s="2"/>
      </tp>
      <tp t="s">
        <v>#N/A N/A</v>
        <stp/>
        <stp>BDP|11103226367522507677</stp>
        <tr r="B252" s="2"/>
      </tp>
      <tp t="s">
        <v>#N/A N/A</v>
        <stp/>
        <stp>BDP|17606914192702124425</stp>
        <tr r="I2879" s="2"/>
      </tp>
      <tp t="s">
        <v>#N/A N/A</v>
        <stp/>
        <stp>BDP|13886018412123442091</stp>
        <tr r="G2011" s="2"/>
      </tp>
      <tp t="s">
        <v>#N/A N/A</v>
        <stp/>
        <stp>BDP|16823477451311934711</stp>
        <tr r="C4347" s="2"/>
      </tp>
      <tp t="s">
        <v>#N/A N/A</v>
        <stp/>
        <stp>BDP|10922379892758635434</stp>
        <tr r="G1906" s="2"/>
      </tp>
      <tp t="s">
        <v>#N/A N/A</v>
        <stp/>
        <stp>BDP|11869911881887304125</stp>
        <tr r="F4270" s="2"/>
      </tp>
      <tp t="s">
        <v>#N/A N/A</v>
        <stp/>
        <stp>BDP|11732701958101604409</stp>
        <tr r="F1719" s="2"/>
      </tp>
      <tp t="s">
        <v>#N/A N/A</v>
        <stp/>
        <stp>BDP|18049794304858061144</stp>
        <tr r="H2252" s="2"/>
      </tp>
      <tp t="s">
        <v>#N/A N/A</v>
        <stp/>
        <stp>BDP|16173094773597584074</stp>
        <tr r="G1909" s="2"/>
      </tp>
      <tp t="s">
        <v>#N/A N/A</v>
        <stp/>
        <stp>BDP|18257720909689502059</stp>
        <tr r="G802" s="2"/>
      </tp>
      <tp t="s">
        <v>#N/A N/A</v>
        <stp/>
        <stp>BDP|14572209260624801242</stp>
        <tr r="H4198" s="2"/>
      </tp>
      <tp t="s">
        <v>#N/A N/A</v>
        <stp/>
        <stp>BDP|11472850898593011509</stp>
        <tr r="I142" s="2"/>
      </tp>
      <tp t="s">
        <v>#N/A N/A</v>
        <stp/>
        <stp>BDP|17673191502910305075</stp>
        <tr r="D399" s="2"/>
      </tp>
      <tp t="s">
        <v>#N/A N/A</v>
        <stp/>
        <stp>BDP|16307583231246514069</stp>
        <tr r="D2540" s="2"/>
      </tp>
      <tp t="s">
        <v>#N/A N/A</v>
        <stp/>
        <stp>BDP|17086781163704677440</stp>
        <tr r="C4097" s="2"/>
      </tp>
      <tp t="s">
        <v>#N/A N/A</v>
        <stp/>
        <stp>BDP|16981046160765151354</stp>
        <tr r="G749" s="2"/>
      </tp>
      <tp t="s">
        <v>#N/A N/A</v>
        <stp/>
        <stp>BDP|15629996711839200253</stp>
        <tr r="D3945" s="2"/>
      </tp>
      <tp t="s">
        <v>#N/A N/A</v>
        <stp/>
        <stp>BDP|12412399763151369040</stp>
        <tr r="G1900" s="2"/>
      </tp>
      <tp t="s">
        <v>#N/A N/A</v>
        <stp/>
        <stp>BDP|15702929074205845800</stp>
        <tr r="G4244" s="2"/>
      </tp>
      <tp t="s">
        <v>#N/A N/A</v>
        <stp/>
        <stp>BDP|13704194922284483211</stp>
        <tr r="G1458" s="2"/>
      </tp>
      <tp t="s">
        <v>#N/A N/A</v>
        <stp/>
        <stp>BDP|11016527027268991852</stp>
        <tr r="H3578" s="2"/>
      </tp>
      <tp t="s">
        <v>#N/A N/A</v>
        <stp/>
        <stp>BDP|17724070182299277099</stp>
        <tr r="I3052" s="2"/>
      </tp>
      <tp t="s">
        <v>#N/A N/A</v>
        <stp/>
        <stp>BDP|14495608509465609128</stp>
        <tr r="I2397" s="2"/>
      </tp>
      <tp t="s">
        <v>#N/A N/A</v>
        <stp/>
        <stp>BDP|18237919679563028330</stp>
        <tr r="I4383" s="2"/>
      </tp>
      <tp t="s">
        <v>#N/A N/A</v>
        <stp/>
        <stp>BDP|16945720373462084215</stp>
        <tr r="H635" s="2"/>
      </tp>
      <tp t="s">
        <v>#N/A N/A</v>
        <stp/>
        <stp>BDP|10675994006929900697</stp>
        <tr r="A2628" s="2"/>
      </tp>
      <tp t="s">
        <v>#N/A N/A</v>
        <stp/>
        <stp>BDP|10028689676023223455</stp>
        <tr r="F1661" s="2"/>
      </tp>
      <tp t="s">
        <v>#N/A N/A</v>
        <stp/>
        <stp>BDP|10812962088684615398</stp>
        <tr r="F471" s="2"/>
      </tp>
      <tp t="s">
        <v>#N/A N/A</v>
        <stp/>
        <stp>BDP|16696617937526052392</stp>
        <tr r="C4638" s="2"/>
      </tp>
      <tp t="s">
        <v>#N/A N/A</v>
        <stp/>
        <stp>BDP|10889143611722286468</stp>
        <tr r="H2035" s="2"/>
      </tp>
      <tp t="s">
        <v>#N/A N/A</v>
        <stp/>
        <stp>BDP|16683784478066684698</stp>
        <tr r="G2626" s="2"/>
      </tp>
      <tp t="s">
        <v>#N/A N/A</v>
        <stp/>
        <stp>BDP|11615276141895181484</stp>
        <tr r="C599" s="2"/>
      </tp>
      <tp t="s">
        <v>#N/A N/A</v>
        <stp/>
        <stp>BDP|17080095873101674758</stp>
        <tr r="D1541" s="2"/>
      </tp>
      <tp t="s">
        <v>#N/A N/A</v>
        <stp/>
        <stp>BDP|10654443959250473760</stp>
        <tr r="H4588" s="2"/>
      </tp>
      <tp t="s">
        <v>#N/A N/A</v>
        <stp/>
        <stp>BDP|12059742851193473582</stp>
        <tr r="G1568" s="2"/>
      </tp>
      <tp t="s">
        <v>#N/A N/A</v>
        <stp/>
        <stp>BDP|17287504718682383701</stp>
        <tr r="I4061" s="2"/>
      </tp>
      <tp t="s">
        <v>#N/A N/A</v>
        <stp/>
        <stp>BDP|11613380238426757183</stp>
        <tr r="B4931" s="2"/>
      </tp>
      <tp t="s">
        <v>#N/A N/A</v>
        <stp/>
        <stp>BDP|12366933398936280237</stp>
        <tr r="C1802" s="2"/>
      </tp>
      <tp t="s">
        <v>#N/A N/A</v>
        <stp/>
        <stp>BDP|16285817380842914235</stp>
        <tr r="I3209" s="2"/>
      </tp>
      <tp t="s">
        <v>#N/A N/A</v>
        <stp/>
        <stp>BDP|10941264245561536165</stp>
        <tr r="C3795" s="2"/>
      </tp>
      <tp t="s">
        <v>#N/A N/A</v>
        <stp/>
        <stp>BDP|13354941463773425992</stp>
        <tr r="F2996" s="2"/>
      </tp>
      <tp t="s">
        <v>#N/A N/A</v>
        <stp/>
        <stp>BDP|11826731605583404334</stp>
        <tr r="C2307" s="2"/>
      </tp>
      <tp t="s">
        <v>#N/A N/A</v>
        <stp/>
        <stp>BDP|10240106895497608984</stp>
        <tr r="B111" s="2"/>
      </tp>
      <tp t="s">
        <v>#N/A N/A</v>
        <stp/>
        <stp>BDP|11232053337924992002</stp>
        <tr r="F3588" s="2"/>
      </tp>
      <tp t="s">
        <v>#N/A N/A</v>
        <stp/>
        <stp>BDP|11386179239236344375</stp>
        <tr r="B1107" s="2"/>
      </tp>
      <tp t="s">
        <v>#N/A N/A</v>
        <stp/>
        <stp>BDP|13018461918646476633</stp>
        <tr r="F3458" s="2"/>
      </tp>
      <tp t="s">
        <v>#N/A N/A</v>
        <stp/>
        <stp>BDP|14255695810267665245</stp>
        <tr r="D151" s="2"/>
      </tp>
      <tp t="s">
        <v>#N/A N/A</v>
        <stp/>
        <stp>BDP|14933203982490326817</stp>
        <tr r="B3506" s="2"/>
      </tp>
      <tp t="s">
        <v>#N/A N/A</v>
        <stp/>
        <stp>BDP|11867205516835025178</stp>
        <tr r="F1958" s="2"/>
      </tp>
      <tp t="s">
        <v>#N/A N/A</v>
        <stp/>
        <stp>BDP|14835523037023591718</stp>
        <tr r="D414" s="2"/>
      </tp>
      <tp t="s">
        <v>#N/A N/A</v>
        <stp/>
        <stp>BDP|11246950193267814057</stp>
        <tr r="H3053" s="2"/>
      </tp>
      <tp t="s">
        <v>#N/A N/A</v>
        <stp/>
        <stp>BDP|13926187667227624595</stp>
        <tr r="H2838" s="2"/>
      </tp>
      <tp t="s">
        <v>#N/A N/A</v>
        <stp/>
        <stp>BDP|10902948880887483008</stp>
        <tr r="F3555" s="2"/>
      </tp>
      <tp t="s">
        <v>#N/A N/A</v>
        <stp/>
        <stp>BDP|13038795032305220400</stp>
        <tr r="B3002" s="2"/>
      </tp>
      <tp t="s">
        <v>#N/A N/A</v>
        <stp/>
        <stp>BDP|16459290712780273342</stp>
        <tr r="H4036" s="2"/>
      </tp>
      <tp t="s">
        <v>#N/A N/A</v>
        <stp/>
        <stp>BDP|16376408746859490989</stp>
        <tr r="C4818" s="2"/>
      </tp>
      <tp t="s">
        <v>#N/A N/A</v>
        <stp/>
        <stp>BDP|16316675178200757124</stp>
        <tr r="H4150" s="2"/>
      </tp>
      <tp t="s">
        <v>#N/A N/A</v>
        <stp/>
        <stp>BDP|17503780931535749026</stp>
        <tr r="B3790" s="2"/>
      </tp>
      <tp t="s">
        <v>#N/A N/A</v>
        <stp/>
        <stp>BDP|17624171831405171686</stp>
        <tr r="A1241" s="2"/>
      </tp>
      <tp t="s">
        <v>#N/A N/A</v>
        <stp/>
        <stp>BDP|10254302476776909446</stp>
        <tr r="F103" s="2"/>
      </tp>
      <tp t="s">
        <v>#N/A N/A</v>
        <stp/>
        <stp>BDP|13872740990569104244</stp>
        <tr r="D1579" s="2"/>
      </tp>
      <tp t="s">
        <v>#N/A N/A</v>
        <stp/>
        <stp>BDP|13921135829710855620</stp>
        <tr r="H173" s="2"/>
      </tp>
      <tp t="s">
        <v>#N/A N/A</v>
        <stp/>
        <stp>BDP|11179056235222046682</stp>
        <tr r="F4306" s="2"/>
      </tp>
      <tp t="s">
        <v>#N/A N/A</v>
        <stp/>
        <stp>BDP|10456409966965891139</stp>
        <tr r="F1826" s="2"/>
      </tp>
      <tp t="s">
        <v>#N/A N/A</v>
        <stp/>
        <stp>BDP|16942186878601652764</stp>
        <tr r="H3363" s="2"/>
      </tp>
      <tp t="s">
        <v>#N/A N/A</v>
        <stp/>
        <stp>BDP|10117164956784962611</stp>
        <tr r="B2718" s="2"/>
      </tp>
      <tp t="s">
        <v>#N/A N/A</v>
        <stp/>
        <stp>BDP|11826337103273637771</stp>
        <tr r="F1933" s="2"/>
      </tp>
      <tp t="s">
        <v>#N/A N/A</v>
        <stp/>
        <stp>BDP|16410396015223305120</stp>
        <tr r="F1223" s="2"/>
      </tp>
      <tp t="s">
        <v>#N/A N/A</v>
        <stp/>
        <stp>BDP|18392890465998239846</stp>
        <tr r="B3986" s="2"/>
      </tp>
      <tp t="s">
        <v>#N/A N/A</v>
        <stp/>
        <stp>BDP|11089317149884350427</stp>
        <tr r="H1480" s="2"/>
      </tp>
      <tp t="s">
        <v>#N/A N/A</v>
        <stp/>
        <stp>BDP|15554230038433637117</stp>
        <tr r="B1324" s="2"/>
      </tp>
      <tp t="s">
        <v>#N/A N/A</v>
        <stp/>
        <stp>BDP|12359307635467726380</stp>
        <tr r="F1302" s="2"/>
      </tp>
      <tp t="s">
        <v>#N/A N/A</v>
        <stp/>
        <stp>BDP|15064379660887814162</stp>
        <tr r="B2915" s="2"/>
      </tp>
      <tp t="s">
        <v>#N/A N/A</v>
        <stp/>
        <stp>BDP|10612581759683975575</stp>
        <tr r="C4291" s="2"/>
      </tp>
      <tp t="s">
        <v>#N/A N/A</v>
        <stp/>
        <stp>BDP|15920617920947596041</stp>
        <tr r="I4483" s="2"/>
      </tp>
      <tp t="s">
        <v>#N/A N/A</v>
        <stp/>
        <stp>BDP|11257318138063517478</stp>
        <tr r="I29" s="2"/>
      </tp>
      <tp t="s">
        <v>#N/A N/A</v>
        <stp/>
        <stp>BDP|12431161550872868227</stp>
        <tr r="B4519" s="2"/>
      </tp>
      <tp t="s">
        <v>#N/A N/A</v>
        <stp/>
        <stp>BDP|14131657107703995721</stp>
        <tr r="H1042" s="2"/>
      </tp>
      <tp t="s">
        <v>#N/A N/A</v>
        <stp/>
        <stp>BDP|17168592032546088122</stp>
        <tr r="B2589" s="2"/>
      </tp>
      <tp t="s">
        <v>#N/A N/A</v>
        <stp/>
        <stp>BDP|11166726709819567975</stp>
        <tr r="H2665" s="2"/>
      </tp>
      <tp t="s">
        <v>#N/A N/A</v>
        <stp/>
        <stp>BDP|17420301623140902069</stp>
        <tr r="C3778" s="2"/>
      </tp>
      <tp t="s">
        <v>#N/A N/A</v>
        <stp/>
        <stp>BDP|12582491223573264151</stp>
        <tr r="F4224" s="2"/>
      </tp>
      <tp t="s">
        <v>#N/A N/A</v>
        <stp/>
        <stp>BDP|11393480535648120876</stp>
        <tr r="B3828" s="2"/>
      </tp>
      <tp t="s">
        <v>#N/A N/A</v>
        <stp/>
        <stp>BDP|10710748306610819154</stp>
        <tr r="G4229" s="2"/>
      </tp>
      <tp t="s">
        <v>#N/A N/A</v>
        <stp/>
        <stp>BDP|10366718354531661587</stp>
        <tr r="F725" s="2"/>
      </tp>
      <tp t="s">
        <v>#N/A N/A</v>
        <stp/>
        <stp>BDP|17587163204648869872</stp>
        <tr r="G3333" s="2"/>
      </tp>
      <tp t="s">
        <v>#N/A N/A</v>
        <stp/>
        <stp>BDP|12395490494931508839</stp>
        <tr r="B2142" s="2"/>
      </tp>
      <tp t="s">
        <v>#N/A N/A</v>
        <stp/>
        <stp>BDP|13796980397712602767</stp>
        <tr r="D2223" s="2"/>
      </tp>
      <tp t="s">
        <v>#N/A N/A</v>
        <stp/>
        <stp>BDP|12386526417430960075</stp>
        <tr r="C106" s="2"/>
      </tp>
      <tp t="s">
        <v>#N/A N/A</v>
        <stp/>
        <stp>BDP|11362599259754255394</stp>
        <tr r="B170" s="2"/>
      </tp>
      <tp t="s">
        <v>#N/A N/A</v>
        <stp/>
        <stp>BDP|17772521647516928639</stp>
        <tr r="I2044" s="2"/>
      </tp>
      <tp t="s">
        <v>#N/A N/A</v>
        <stp/>
        <stp>BDP|10044823182057176198</stp>
        <tr r="A4956" s="2"/>
      </tp>
      <tp t="s">
        <v>#N/A N/A</v>
        <stp/>
        <stp>BDP|13907136809914348083</stp>
        <tr r="F3500" s="2"/>
      </tp>
      <tp t="s">
        <v>#N/A N/A</v>
        <stp/>
        <stp>BDP|16987776850080348254</stp>
        <tr r="A1628" s="2"/>
      </tp>
      <tp t="s">
        <v>#N/A N/A</v>
        <stp/>
        <stp>BDP|12476508258203133750</stp>
        <tr r="C2502" s="2"/>
      </tp>
      <tp t="s">
        <v>#N/A N/A</v>
        <stp/>
        <stp>BDP|11947230411955079137</stp>
        <tr r="D2510" s="2"/>
      </tp>
      <tp t="s">
        <v>#N/A N/A</v>
        <stp/>
        <stp>BDP|14979961297257517558</stp>
        <tr r="C1956" s="2"/>
      </tp>
      <tp t="s">
        <v>#N/A N/A</v>
        <stp/>
        <stp>BDP|15438698416302037636</stp>
        <tr r="B1169" s="2"/>
      </tp>
      <tp t="s">
        <v>#N/A N/A</v>
        <stp/>
        <stp>BDP|11906242729127466088</stp>
        <tr r="A2491" s="2"/>
      </tp>
      <tp t="s">
        <v>#N/A N/A</v>
        <stp/>
        <stp>BDP|16846143566425565278</stp>
        <tr r="G3698" s="2"/>
      </tp>
      <tp t="s">
        <v>#N/A N/A</v>
        <stp/>
        <stp>BDP|16386950677737873915</stp>
        <tr r="H4330" s="2"/>
      </tp>
      <tp t="s">
        <v>#N/A N/A</v>
        <stp/>
        <stp>BDP|17404938087662921211</stp>
        <tr r="G2038" s="2"/>
      </tp>
      <tp t="s">
        <v>#N/A N/A</v>
        <stp/>
        <stp>BDP|12762669977421751492</stp>
        <tr r="H1644" s="2"/>
      </tp>
      <tp t="s">
        <v>#N/A N/A</v>
        <stp/>
        <stp>BDP|12887473261481268745</stp>
        <tr r="B3423" s="2"/>
      </tp>
      <tp t="s">
        <v>#N/A N/A</v>
        <stp/>
        <stp>BDP|13999947785092943696</stp>
        <tr r="G3451" s="2"/>
      </tp>
      <tp t="s">
        <v>#N/A N/A</v>
        <stp/>
        <stp>BDP|15785331890348928154</stp>
        <tr r="F4679" s="2"/>
      </tp>
      <tp t="s">
        <v>#N/A N/A</v>
        <stp/>
        <stp>BDP|10396824439309241426</stp>
        <tr r="H3631" s="2"/>
      </tp>
      <tp t="s">
        <v>#N/A N/A</v>
        <stp/>
        <stp>BDP|13695269467784734587</stp>
        <tr r="G1475" s="2"/>
      </tp>
      <tp t="s">
        <v>#N/A N/A</v>
        <stp/>
        <stp>BDP|12652490302133622335</stp>
        <tr r="I4151" s="2"/>
      </tp>
      <tp t="s">
        <v>#N/A N/A</v>
        <stp/>
        <stp>BDP|15570443879379552950</stp>
        <tr r="B2661" s="2"/>
      </tp>
      <tp t="s">
        <v>#N/A N/A</v>
        <stp/>
        <stp>BDP|12618569879577388127</stp>
        <tr r="A912" s="2"/>
      </tp>
      <tp t="s">
        <v>#N/A N/A</v>
        <stp/>
        <stp>BDP|16841460741767129763</stp>
        <tr r="G3775" s="2"/>
      </tp>
      <tp t="s">
        <v>#N/A N/A</v>
        <stp/>
        <stp>BDP|11222284526654529310</stp>
        <tr r="H201" s="2"/>
      </tp>
      <tp t="s">
        <v>#N/A N/A</v>
        <stp/>
        <stp>BDP|10136665162257877151</stp>
        <tr r="I2582" s="2"/>
      </tp>
      <tp t="s">
        <v>#N/A N/A</v>
        <stp/>
        <stp>BDP|17158321845034706296</stp>
        <tr r="D3654" s="2"/>
      </tp>
      <tp t="s">
        <v>#N/A N/A</v>
        <stp/>
        <stp>BDP|11069199365792794233</stp>
        <tr r="D4139" s="2"/>
      </tp>
      <tp t="s">
        <v>#N/A N/A</v>
        <stp/>
        <stp>BDP|11719180874284118520</stp>
        <tr r="A3015" s="2"/>
      </tp>
      <tp t="s">
        <v>#N/A N/A</v>
        <stp/>
        <stp>BDP|17485474547849864840</stp>
        <tr r="H2754" s="2"/>
      </tp>
      <tp t="s">
        <v>#N/A N/A</v>
        <stp/>
        <stp>BDP|10199394745077145648</stp>
        <tr r="A3088" s="2"/>
      </tp>
      <tp t="s">
        <v>#N/A N/A</v>
        <stp/>
        <stp>BDP|17350684916265640336</stp>
        <tr r="A3654" s="2"/>
      </tp>
      <tp t="s">
        <v>#N/A N/A</v>
        <stp/>
        <stp>BDP|10529768722725092695</stp>
        <tr r="F3043" s="2"/>
      </tp>
      <tp t="s">
        <v>#N/A N/A</v>
        <stp/>
        <stp>BDP|16789773679116520649</stp>
        <tr r="G961" s="2"/>
      </tp>
      <tp t="s">
        <v>#N/A N/A</v>
        <stp/>
        <stp>BDP|16180401862907860537</stp>
        <tr r="F2883" s="2"/>
      </tp>
      <tp t="s">
        <v>#N/A N/A</v>
        <stp/>
        <stp>BDP|17372846598143798308</stp>
        <tr r="H1601" s="2"/>
      </tp>
      <tp t="s">
        <v>#N/A N/A</v>
        <stp/>
        <stp>BDP|10877580195038910247</stp>
        <tr r="I3499" s="2"/>
      </tp>
      <tp t="s">
        <v>#N/A N/A</v>
        <stp/>
        <stp>BDP|11237581454551510637</stp>
        <tr r="C2863" s="2"/>
      </tp>
      <tp t="s">
        <v>#N/A N/A</v>
        <stp/>
        <stp>BDP|14003254269795439301</stp>
        <tr r="H2204" s="2"/>
      </tp>
      <tp t="s">
        <v>#N/A N/A</v>
        <stp/>
        <stp>BDP|14779774838351944795</stp>
        <tr r="F1471" s="2"/>
      </tp>
      <tp t="s">
        <v>#N/A N/A</v>
        <stp/>
        <stp>BDP|13655783696443525851</stp>
        <tr r="H3569" s="2"/>
      </tp>
      <tp t="s">
        <v>#N/A N/A</v>
        <stp/>
        <stp>BDP|16263840286501849107</stp>
        <tr r="I2854" s="2"/>
      </tp>
      <tp t="s">
        <v>#N/A N/A</v>
        <stp/>
        <stp>BDP|13768294438824935079</stp>
        <tr r="I192" s="2"/>
      </tp>
      <tp t="s">
        <v>#N/A N/A</v>
        <stp/>
        <stp>BDP|16836650534071863495</stp>
        <tr r="G1400" s="2"/>
      </tp>
      <tp t="s">
        <v>#N/A N/A</v>
        <stp/>
        <stp>BDP|10877229531014382306</stp>
        <tr r="B448" s="2"/>
      </tp>
      <tp t="s">
        <v>#N/A N/A</v>
        <stp/>
        <stp>BDP|16889409731592367522</stp>
        <tr r="D232" s="2"/>
      </tp>
      <tp t="s">
        <v>#N/A N/A</v>
        <stp/>
        <stp>BDP|11920342967482153031</stp>
        <tr r="H1681" s="2"/>
      </tp>
      <tp t="s">
        <v>#N/A N/A</v>
        <stp/>
        <stp>BDP|11782498621587612613</stp>
        <tr r="A697" s="2"/>
      </tp>
      <tp t="s">
        <v>#N/A N/A</v>
        <stp/>
        <stp>BDP|12569433357376094398</stp>
        <tr r="C3446" s="2"/>
      </tp>
      <tp t="s">
        <v>#N/A N/A</v>
        <stp/>
        <stp>BDP|18152993657681005377</stp>
        <tr r="D4217" s="2"/>
      </tp>
      <tp t="s">
        <v>#N/A N/A</v>
        <stp/>
        <stp>BDP|15144568735714288185</stp>
        <tr r="I146" s="2"/>
      </tp>
      <tp t="s">
        <v>#N/A N/A</v>
        <stp/>
        <stp>BDP|11145793328015196798</stp>
        <tr r="D3769" s="2"/>
      </tp>
      <tp t="s">
        <v>#N/A N/A</v>
        <stp/>
        <stp>BDP|10545327913155875140</stp>
        <tr r="C700" s="2"/>
      </tp>
      <tp t="s">
        <v>#N/A N/A</v>
        <stp/>
        <stp>BDP|18114106882420966720</stp>
        <tr r="H1369" s="2"/>
      </tp>
      <tp t="s">
        <v>#N/A N/A</v>
        <stp/>
        <stp>BDP|13198798834432648324</stp>
        <tr r="A4194" s="2"/>
      </tp>
      <tp t="s">
        <v>#N/A N/A</v>
        <stp/>
        <stp>BDP|13645940434349612683</stp>
        <tr r="H496" s="2"/>
      </tp>
      <tp t="s">
        <v>#N/A N/A</v>
        <stp/>
        <stp>BDP|18108621835188949371</stp>
        <tr r="F550" s="2"/>
      </tp>
      <tp t="s">
        <v>#N/A N/A</v>
        <stp/>
        <stp>BDP|12560165212731153584</stp>
        <tr r="G4143" s="2"/>
      </tp>
      <tp t="s">
        <v>#N/A N/A</v>
        <stp/>
        <stp>BDP|10867413621161229122</stp>
        <tr r="D4430" s="2"/>
      </tp>
      <tp t="s">
        <v>#N/A N/A</v>
        <stp/>
        <stp>BDP|15362523629123133713</stp>
        <tr r="G2357" s="2"/>
      </tp>
      <tp t="s">
        <v>#N/A N/A</v>
        <stp/>
        <stp>BDP|18383856021771653598</stp>
        <tr r="F4856" s="2"/>
      </tp>
      <tp t="s">
        <v>#N/A N/A</v>
        <stp/>
        <stp>BDP|13734021628201613635</stp>
        <tr r="A4718" s="2"/>
      </tp>
      <tp t="s">
        <v>#N/A N/A</v>
        <stp/>
        <stp>BDP|12045861735249936620</stp>
        <tr r="G2667" s="2"/>
      </tp>
      <tp t="s">
        <v>#N/A N/A</v>
        <stp/>
        <stp>BDP|11482805822619769499</stp>
        <tr r="G4255" s="2"/>
      </tp>
      <tp t="s">
        <v>#N/A N/A</v>
        <stp/>
        <stp>BDP|13768508288609475104</stp>
        <tr r="B3762" s="2"/>
      </tp>
      <tp t="s">
        <v>#N/A N/A</v>
        <stp/>
        <stp>BDP|14022432771457178688</stp>
        <tr r="D3617" s="2"/>
      </tp>
      <tp t="s">
        <v>#N/A N/A</v>
        <stp/>
        <stp>BDP|15538311965806386099</stp>
        <tr r="D3546" s="2"/>
      </tp>
      <tp t="s">
        <v>#N/A N/A</v>
        <stp/>
        <stp>BDP|17915151212836652736</stp>
        <tr r="G4018" s="2"/>
      </tp>
      <tp t="s">
        <v>#N/A N/A</v>
        <stp/>
        <stp>BDP|15241618668270410344</stp>
        <tr r="D2842" s="2"/>
      </tp>
      <tp t="s">
        <v>#N/A N/A</v>
        <stp/>
        <stp>BDP|12350187441120115109</stp>
        <tr r="B2090" s="2"/>
      </tp>
      <tp t="s">
        <v>#N/A N/A</v>
        <stp/>
        <stp>BDP|13498201173276581698</stp>
        <tr r="D1328" s="2"/>
      </tp>
      <tp t="s">
        <v>#N/A N/A</v>
        <stp/>
        <stp>BDP|16761687460361606128</stp>
        <tr r="B2127" s="2"/>
      </tp>
      <tp t="s">
        <v>#N/A N/A</v>
        <stp/>
        <stp>BDP|14250906489455641669</stp>
        <tr r="C867" s="2"/>
      </tp>
      <tp t="s">
        <v>#N/A N/A</v>
        <stp/>
        <stp>BDP|11417353287424583887</stp>
        <tr r="F25" s="2"/>
      </tp>
      <tp t="s">
        <v>#N/A N/A</v>
        <stp/>
        <stp>BDP|16591938807809387099</stp>
        <tr r="A4768" s="2"/>
      </tp>
      <tp t="s">
        <v>#N/A N/A</v>
        <stp/>
        <stp>BDP|12414630659887233072</stp>
        <tr r="F1944" s="2"/>
      </tp>
      <tp t="s">
        <v>#N/A N/A</v>
        <stp/>
        <stp>BDP|15206569388049744705</stp>
        <tr r="G3658" s="2"/>
      </tp>
      <tp t="s">
        <v>#N/A N/A</v>
        <stp/>
        <stp>BDP|14634799722157262045</stp>
        <tr r="H2129" s="2"/>
      </tp>
      <tp t="s">
        <v>#N/A N/A</v>
        <stp/>
        <stp>BDP|12084865584736034291</stp>
        <tr r="D3454" s="2"/>
      </tp>
      <tp t="s">
        <v>#N/A N/A</v>
        <stp/>
        <stp>BDP|17196227812287920536</stp>
        <tr r="G4192" s="2"/>
      </tp>
      <tp t="s">
        <v>#N/A N/A</v>
        <stp/>
        <stp>BDP|15253170471542611799</stp>
        <tr r="D90" s="2"/>
      </tp>
      <tp t="s">
        <v>#N/A N/A</v>
        <stp/>
        <stp>BDP|17935835391077583756</stp>
        <tr r="H3577" s="2"/>
      </tp>
      <tp t="s">
        <v>#N/A N/A</v>
        <stp/>
        <stp>BDP|10064789508724804537</stp>
        <tr r="D4865" s="2"/>
      </tp>
      <tp t="s">
        <v>#N/A N/A</v>
        <stp/>
        <stp>BDP|15666768419722437765</stp>
        <tr r="A903" s="2"/>
      </tp>
      <tp t="s">
        <v>#N/A N/A</v>
        <stp/>
        <stp>BDP|14571533541123990053</stp>
        <tr r="H1568" s="2"/>
      </tp>
      <tp t="s">
        <v>#N/A N/A</v>
        <stp/>
        <stp>BDP|11356558108736575402</stp>
        <tr r="H1828" s="2"/>
      </tp>
      <tp t="s">
        <v>#N/A N/A</v>
        <stp/>
        <stp>BDP|13997610934853369348</stp>
        <tr r="C3888" s="2"/>
      </tp>
      <tp t="s">
        <v>#N/A N/A</v>
        <stp/>
        <stp>BDP|17004353574186944338</stp>
        <tr r="C2684" s="2"/>
      </tp>
      <tp t="s">
        <v>#N/A N/A</v>
        <stp/>
        <stp>BDP|18307882772153158238</stp>
        <tr r="A4924" s="2"/>
      </tp>
      <tp t="s">
        <v>#N/A N/A</v>
        <stp/>
        <stp>BDP|11040760178595164249</stp>
        <tr r="C596" s="2"/>
      </tp>
      <tp t="s">
        <v>#N/A N/A</v>
        <stp/>
        <stp>BDP|11720412935494099483</stp>
        <tr r="H1998" s="2"/>
      </tp>
      <tp t="s">
        <v>#N/A N/A</v>
        <stp/>
        <stp>BDP|15533152345455823369</stp>
        <tr r="F2471" s="2"/>
      </tp>
      <tp t="s">
        <v>#N/A N/A</v>
        <stp/>
        <stp>BDP|14876741476827537540</stp>
        <tr r="H3786" s="2"/>
      </tp>
      <tp t="s">
        <v>#N/A N/A</v>
        <stp/>
        <stp>BDP|10212646051691483485</stp>
        <tr r="D1527" s="2"/>
      </tp>
      <tp t="s">
        <v>#N/A N/A</v>
        <stp/>
        <stp>BDP|16283456746108940837</stp>
        <tr r="I2260" s="2"/>
      </tp>
      <tp t="s">
        <v>#N/A N/A</v>
        <stp/>
        <stp>BDP|17131626149493163004</stp>
        <tr r="B1248" s="2"/>
      </tp>
      <tp t="s">
        <v>#N/A N/A</v>
        <stp/>
        <stp>BDP|16424548723434899305</stp>
        <tr r="D4682" s="2"/>
      </tp>
      <tp t="s">
        <v>#N/A N/A</v>
        <stp/>
        <stp>BDP|15884309907543662320</stp>
        <tr r="F1122" s="2"/>
      </tp>
      <tp t="s">
        <v>#N/A N/A</v>
        <stp/>
        <stp>BDP|10772583933674576427</stp>
        <tr r="I649" s="2"/>
      </tp>
      <tp t="s">
        <v>#N/A N/A</v>
        <stp/>
        <stp>BDP|11463257144129935871</stp>
        <tr r="B3339" s="2"/>
      </tp>
      <tp t="s">
        <v>#N/A N/A</v>
        <stp/>
        <stp>BDP|16460506738022031471</stp>
        <tr r="G1513" s="2"/>
      </tp>
      <tp t="s">
        <v>#N/A N/A</v>
        <stp/>
        <stp>BDP|15070071309935397664</stp>
        <tr r="C1417" s="2"/>
      </tp>
      <tp t="s">
        <v>#N/A N/A</v>
        <stp/>
        <stp>BDP|16915532406312131761</stp>
        <tr r="H1272" s="2"/>
      </tp>
      <tp t="s">
        <v>#N/A N/A</v>
        <stp/>
        <stp>BDP|17539539406581278599</stp>
        <tr r="G4155" s="2"/>
      </tp>
      <tp t="s">
        <v>#N/A N/A</v>
        <stp/>
        <stp>BDP|15578167409505677773</stp>
        <tr r="D3119" s="2"/>
      </tp>
      <tp t="s">
        <v>#N/A N/A</v>
        <stp/>
        <stp>BDP|15561033706542884139</stp>
        <tr r="G3404" s="2"/>
      </tp>
      <tp t="s">
        <v>#N/A N/A</v>
        <stp/>
        <stp>BDP|16441122798731443914</stp>
        <tr r="A1065" s="2"/>
      </tp>
      <tp t="s">
        <v>#N/A N/A</v>
        <stp/>
        <stp>BDP|10294911582995319291</stp>
        <tr r="A3742" s="2"/>
      </tp>
      <tp t="s">
        <v>#N/A N/A</v>
        <stp/>
        <stp>BDP|11838829846953146866</stp>
        <tr r="B2910" s="2"/>
      </tp>
      <tp t="s">
        <v>#N/A N/A</v>
        <stp/>
        <stp>BDP|10800294940114955430</stp>
        <tr r="H1260" s="2"/>
      </tp>
      <tp t="s">
        <v>#N/A N/A</v>
        <stp/>
        <stp>BDP|17877671206750276706</stp>
        <tr r="D4690" s="2"/>
      </tp>
      <tp t="s">
        <v>#N/A N/A</v>
        <stp/>
        <stp>BDP|15038635072913884120</stp>
        <tr r="H4021" s="2"/>
      </tp>
      <tp t="s">
        <v>#N/A N/A</v>
        <stp/>
        <stp>BDP|17711020294460868824</stp>
        <tr r="A1879" s="2"/>
      </tp>
      <tp t="s">
        <v>#N/A N/A</v>
        <stp/>
        <stp>BDP|13303062250784735491</stp>
        <tr r="C111" s="2"/>
      </tp>
      <tp t="s">
        <v>#N/A N/A</v>
        <stp/>
        <stp>BDP|17683343848206964088</stp>
        <tr r="A2371" s="2"/>
      </tp>
      <tp t="s">
        <v>#N/A N/A</v>
        <stp/>
        <stp>BDP|13864455431497110561</stp>
        <tr r="D1110" s="2"/>
      </tp>
      <tp t="s">
        <v>#N/A N/A</v>
        <stp/>
        <stp>BDP|16876893753245000891</stp>
        <tr r="C4107" s="2"/>
      </tp>
      <tp t="s">
        <v>#N/A N/A</v>
        <stp/>
        <stp>BDP|17911083178483459564</stp>
        <tr r="C1427" s="2"/>
      </tp>
      <tp t="s">
        <v>#N/A N/A</v>
        <stp/>
        <stp>BDP|14419541144265733687</stp>
        <tr r="C2273" s="2"/>
      </tp>
      <tp t="s">
        <v>#N/A N/A</v>
        <stp/>
        <stp>BDP|16151858721963805962</stp>
        <tr r="D550" s="2"/>
      </tp>
      <tp t="s">
        <v>#N/A N/A</v>
        <stp/>
        <stp>BDP|13549248568848019923</stp>
        <tr r="H3420" s="2"/>
      </tp>
      <tp t="s">
        <v>#N/A N/A</v>
        <stp/>
        <stp>BDP|14137517847196579597</stp>
        <tr r="A2529" s="2"/>
      </tp>
      <tp t="s">
        <v>#N/A N/A</v>
        <stp/>
        <stp>BDP|10959689406274483483</stp>
        <tr r="D527" s="2"/>
      </tp>
      <tp t="s">
        <v>#N/A N/A</v>
        <stp/>
        <stp>BDP|15935006535718057872</stp>
        <tr r="A1884" s="2"/>
      </tp>
      <tp t="s">
        <v>#N/A N/A</v>
        <stp/>
        <stp>BDP|14560693117345474044</stp>
        <tr r="C1491" s="2"/>
      </tp>
      <tp t="s">
        <v>#N/A N/A</v>
        <stp/>
        <stp>BDP|12846500425592234146</stp>
        <tr r="D3330" s="2"/>
      </tp>
      <tp t="s">
        <v>#N/A N/A</v>
        <stp/>
        <stp>BDP|13475099505345291010</stp>
        <tr r="B4442" s="2"/>
      </tp>
      <tp t="s">
        <v>#N/A N/A</v>
        <stp/>
        <stp>BDP|14554768131555944308</stp>
        <tr r="G182" s="2"/>
      </tp>
      <tp t="s">
        <v>#N/A N/A</v>
        <stp/>
        <stp>BDP|16916560366842251108</stp>
        <tr r="G3287" s="2"/>
      </tp>
      <tp t="s">
        <v>#N/A N/A</v>
        <stp/>
        <stp>BDP|13727573916285999451</stp>
        <tr r="H4429" s="2"/>
      </tp>
      <tp t="s">
        <v>#N/A N/A</v>
        <stp/>
        <stp>BDP|18013725872147291987</stp>
        <tr r="A2464" s="2"/>
      </tp>
      <tp t="s">
        <v>#N/A N/A</v>
        <stp/>
        <stp>BDP|10193083729060857424</stp>
        <tr r="A4299" s="2"/>
      </tp>
      <tp t="s">
        <v>#N/A N/A</v>
        <stp/>
        <stp>BDP|16539790068044689580</stp>
        <tr r="C1325" s="2"/>
      </tp>
      <tp t="s">
        <v>#N/A N/A</v>
        <stp/>
        <stp>BDP|11954833280633035408</stp>
        <tr r="A3854" s="2"/>
      </tp>
      <tp t="s">
        <v>#N/A N/A</v>
        <stp/>
        <stp>BDP|11184964752032733984</stp>
        <tr r="G4438" s="2"/>
      </tp>
      <tp t="s">
        <v>#N/A N/A</v>
        <stp/>
        <stp>BDP|13789667301253327095</stp>
        <tr r="C884" s="2"/>
      </tp>
      <tp t="s">
        <v>#N/A N/A</v>
        <stp/>
        <stp>BDP|13877340471460380141</stp>
        <tr r="D3468" s="2"/>
      </tp>
      <tp t="s">
        <v>#N/A N/A</v>
        <stp/>
        <stp>BDP|17812139044571732527</stp>
        <tr r="G100" s="2"/>
      </tp>
      <tp t="s">
        <v>#N/A N/A</v>
        <stp/>
        <stp>BDP|17866622013151682754</stp>
        <tr r="B14" s="2"/>
      </tp>
      <tp t="s">
        <v>#N/A N/A</v>
        <stp/>
        <stp>BDP|17200296393972418866</stp>
        <tr r="F3759" s="2"/>
      </tp>
      <tp t="s">
        <v>#N/A N/A</v>
        <stp/>
        <stp>BDP|12578178038477435140</stp>
        <tr r="I1477" s="2"/>
      </tp>
      <tp t="s">
        <v>#N/A N/A</v>
        <stp/>
        <stp>BDP|16572209188248003274</stp>
        <tr r="D648" s="2"/>
      </tp>
      <tp t="s">
        <v>#N/A N/A</v>
        <stp/>
        <stp>BDP|13923126467062157079</stp>
        <tr r="F1979" s="2"/>
      </tp>
      <tp t="s">
        <v>#N/A N/A</v>
        <stp/>
        <stp>BDP|16563076799600664978</stp>
        <tr r="C731" s="2"/>
      </tp>
      <tp t="s">
        <v>#N/A N/A</v>
        <stp/>
        <stp>BDP|12510078217946885370</stp>
        <tr r="F3210" s="2"/>
      </tp>
      <tp t="s">
        <v>#N/A N/A</v>
        <stp/>
        <stp>BDP|12887466628177525595</stp>
        <tr r="A1817" s="2"/>
      </tp>
      <tp t="s">
        <v>#N/A N/A</v>
        <stp/>
        <stp>BDP|12585608368846780208</stp>
        <tr r="C85" s="2"/>
      </tp>
      <tp t="s">
        <v>#N/A N/A</v>
        <stp/>
        <stp>BDP|17047710605672889465</stp>
        <tr r="F2527" s="2"/>
      </tp>
      <tp t="s">
        <v>#N/A N/A</v>
        <stp/>
        <stp>BDP|13182570869217673132</stp>
        <tr r="F1342" s="2"/>
      </tp>
      <tp t="s">
        <v>#N/A N/A</v>
        <stp/>
        <stp>BDP|15525786177565986696</stp>
        <tr r="D4659" s="2"/>
      </tp>
      <tp t="s">
        <v>#N/A N/A</v>
        <stp/>
        <stp>BDP|15905716357894788529</stp>
        <tr r="H3156" s="2"/>
      </tp>
      <tp t="s">
        <v>#N/A N/A</v>
        <stp/>
        <stp>BDP|10989113649867948428</stp>
        <tr r="B4501" s="2"/>
      </tp>
      <tp t="s">
        <v>#N/A N/A</v>
        <stp/>
        <stp>BDP|17045266325575090491</stp>
        <tr r="C3322" s="2"/>
      </tp>
      <tp t="s">
        <v>#N/A N/A</v>
        <stp/>
        <stp>BDP|10976852607108222639</stp>
        <tr r="D828" s="2"/>
      </tp>
      <tp t="s">
        <v>#N/A N/A</v>
        <stp/>
        <stp>BDP|14188841381372823066</stp>
        <tr r="B320" s="2"/>
      </tp>
      <tp t="s">
        <v>#N/A N/A</v>
        <stp/>
        <stp>BDP|17889142630953483025</stp>
        <tr r="D3077" s="2"/>
      </tp>
      <tp t="s">
        <v>#N/A N/A</v>
        <stp/>
        <stp>BDP|12529688534890153129</stp>
        <tr r="D1486" s="2"/>
      </tp>
      <tp t="s">
        <v>#N/A N/A</v>
        <stp/>
        <stp>BDP|15742885323848063161</stp>
        <tr r="C1569" s="2"/>
      </tp>
      <tp t="s">
        <v>#N/A N/A</v>
        <stp/>
        <stp>BDP|18354287504258662438</stp>
        <tr r="C1168" s="2"/>
      </tp>
      <tp t="s">
        <v>#N/A N/A</v>
        <stp/>
        <stp>BDP|16036588054569280948</stp>
        <tr r="B517" s="2"/>
      </tp>
      <tp t="s">
        <v>#N/A N/A</v>
        <stp/>
        <stp>BDP|18291263521526955864</stp>
        <tr r="C3241" s="2"/>
      </tp>
      <tp t="s">
        <v>#N/A N/A</v>
        <stp/>
        <stp>BDP|12829745111800273255</stp>
        <tr r="I4533" s="2"/>
      </tp>
      <tp t="s">
        <v>#N/A N/A</v>
        <stp/>
        <stp>BDP|11523613932825402784</stp>
        <tr r="G3055" s="2"/>
      </tp>
      <tp t="s">
        <v>#N/A N/A</v>
        <stp/>
        <stp>BDP|11682229976540005289</stp>
        <tr r="F996" s="2"/>
      </tp>
      <tp t="s">
        <v>#N/A N/A</v>
        <stp/>
        <stp>BDP|15030066716277237589</stp>
        <tr r="D2411" s="2"/>
      </tp>
      <tp t="s">
        <v>#N/A N/A</v>
        <stp/>
        <stp>BDP|17200997487639741918</stp>
        <tr r="F1227" s="2"/>
      </tp>
      <tp t="s">
        <v>#N/A N/A</v>
        <stp/>
        <stp>BDP|12036894300314106829</stp>
        <tr r="D4952" s="2"/>
      </tp>
      <tp t="s">
        <v>#N/A N/A</v>
        <stp/>
        <stp>BDP|15525953038898333116</stp>
        <tr r="D2639" s="2"/>
      </tp>
      <tp t="s">
        <v>#N/A N/A</v>
        <stp/>
        <stp>BDP|18374558814248923213</stp>
        <tr r="C3262" s="2"/>
      </tp>
      <tp t="s">
        <v>#N/A N/A</v>
        <stp/>
        <stp>BDP|17232026951046898230</stp>
        <tr r="C3343" s="2"/>
      </tp>
      <tp t="s">
        <v>#N/A N/A</v>
        <stp/>
        <stp>BDP|15622638451029862960</stp>
        <tr r="I185" s="2"/>
      </tp>
      <tp t="s">
        <v>#N/A N/A</v>
        <stp/>
        <stp>BDP|12952482638224086731</stp>
        <tr r="I1123" s="2"/>
      </tp>
      <tp t="s">
        <v>#N/A N/A</v>
        <stp/>
        <stp>BDP|12983316469894801535</stp>
        <tr r="A1532" s="2"/>
      </tp>
      <tp t="s">
        <v>#N/A N/A</v>
        <stp/>
        <stp>BDP|18243889134236748338</stp>
        <tr r="I2076" s="2"/>
      </tp>
      <tp t="s">
        <v>#N/A N/A</v>
        <stp/>
        <stp>BDP|10116770909031227070</stp>
        <tr r="C705" s="2"/>
      </tp>
      <tp t="s">
        <v>#N/A N/A</v>
        <stp/>
        <stp>BDP|10446075406607676193</stp>
        <tr r="A4079" s="2"/>
      </tp>
      <tp t="s">
        <v>#N/A N/A</v>
        <stp/>
        <stp>BDP|13164073798604445804</stp>
        <tr r="F298" s="2"/>
      </tp>
      <tp t="s">
        <v>#N/A N/A</v>
        <stp/>
        <stp>BDP|14904407253653165014</stp>
        <tr r="A2863" s="2"/>
      </tp>
      <tp t="s">
        <v>#N/A N/A</v>
        <stp/>
        <stp>BDP|11365000026202704787</stp>
        <tr r="C1425" s="2"/>
      </tp>
      <tp t="s">
        <v>#N/A N/A</v>
        <stp/>
        <stp>BDP|10295099431397988298</stp>
        <tr r="F4450" s="2"/>
      </tp>
      <tp t="s">
        <v>#N/A N/A</v>
        <stp/>
        <stp>BDP|16975407528654300284</stp>
        <tr r="I399" s="2"/>
      </tp>
      <tp t="s">
        <v>#N/A N/A</v>
        <stp/>
        <stp>BDP|11934465021279177851</stp>
        <tr r="D4505" s="2"/>
      </tp>
      <tp t="s">
        <v>#N/A N/A</v>
        <stp/>
        <stp>BDP|15991189507134426681</stp>
        <tr r="D84" s="2"/>
      </tp>
      <tp t="s">
        <v>#N/A N/A</v>
        <stp/>
        <stp>BDP|17178614845303712083</stp>
        <tr r="F856" s="2"/>
      </tp>
      <tp t="s">
        <v>#N/A N/A</v>
        <stp/>
        <stp>BDP|17456743925257708386</stp>
        <tr r="I4343" s="2"/>
      </tp>
      <tp t="s">
        <v>#N/A N/A</v>
        <stp/>
        <stp>BDP|14825746940314053563</stp>
        <tr r="B646" s="2"/>
      </tp>
      <tp t="s">
        <v>#N/A N/A</v>
        <stp/>
        <stp>BDP|11553492234725199538</stp>
        <tr r="H873" s="2"/>
      </tp>
      <tp t="s">
        <v>#N/A N/A</v>
        <stp/>
        <stp>BDP|11173628088868844192</stp>
        <tr r="H3894" s="2"/>
      </tp>
      <tp t="s">
        <v>#N/A N/A</v>
        <stp/>
        <stp>BDP|12740472000759817921</stp>
        <tr r="C3201" s="2"/>
      </tp>
      <tp t="s">
        <v>#N/A N/A</v>
        <stp/>
        <stp>BDP|18297805084917409985</stp>
        <tr r="I2501" s="2"/>
      </tp>
      <tp t="s">
        <v>#N/A N/A</v>
        <stp/>
        <stp>BDP|14403191031458578832</stp>
        <tr r="B606" s="2"/>
      </tp>
      <tp t="s">
        <v>#N/A N/A</v>
        <stp/>
        <stp>BDP|14194195601266596567</stp>
        <tr r="H4704" s="2"/>
      </tp>
      <tp t="s">
        <v>#N/A N/A</v>
        <stp/>
        <stp>BDP|16965134138462108091</stp>
        <tr r="F4223" s="2"/>
      </tp>
      <tp t="s">
        <v>#N/A N/A</v>
        <stp/>
        <stp>BDP|16573643346463452192</stp>
        <tr r="D2695" s="2"/>
      </tp>
      <tp t="s">
        <v>#N/A N/A</v>
        <stp/>
        <stp>BDP|18357483982672644052</stp>
        <tr r="G3706" s="2"/>
      </tp>
      <tp t="s">
        <v>#N/A N/A</v>
        <stp/>
        <stp>BDP|13389257669001607039</stp>
        <tr r="F1879" s="2"/>
      </tp>
      <tp t="s">
        <v>#N/A N/A</v>
        <stp/>
        <stp>BDP|11847444928752710390</stp>
        <tr r="A586" s="2"/>
      </tp>
      <tp t="s">
        <v>#N/A N/A</v>
        <stp/>
        <stp>BDP|12851985764712766997</stp>
        <tr r="D3996" s="2"/>
      </tp>
      <tp t="s">
        <v>#N/A N/A</v>
        <stp/>
        <stp>BDP|11895722367832236456</stp>
        <tr r="B1326" s="2"/>
      </tp>
      <tp t="s">
        <v>#N/A N/A</v>
        <stp/>
        <stp>BDP|12167336053105968722</stp>
        <tr r="I2973" s="2"/>
      </tp>
      <tp t="s">
        <v>#N/A N/A</v>
        <stp/>
        <stp>BDP|16656659691286991912</stp>
        <tr r="G3867" s="2"/>
      </tp>
      <tp t="s">
        <v>#N/A N/A</v>
        <stp/>
        <stp>BDP|10937481361604962037</stp>
        <tr r="I4387" s="2"/>
      </tp>
      <tp t="s">
        <v>#N/A N/A</v>
        <stp/>
        <stp>BDP|15738204102205749484</stp>
        <tr r="H1639" s="2"/>
      </tp>
      <tp t="s">
        <v>#N/A N/A</v>
        <stp/>
        <stp>BDP|17418137416344981529</stp>
        <tr r="G2055" s="2"/>
      </tp>
      <tp t="s">
        <v>#N/A N/A</v>
        <stp/>
        <stp>BDP|15159895905653251828</stp>
        <tr r="G3767" s="2"/>
      </tp>
      <tp t="s">
        <v>#N/A N/A</v>
        <stp/>
        <stp>BDP|18263034392944747394</stp>
        <tr r="A2351" s="2"/>
      </tp>
      <tp t="s">
        <v>#N/A N/A</v>
        <stp/>
        <stp>BDP|12499041693315837862</stp>
        <tr r="G3835" s="2"/>
      </tp>
      <tp t="s">
        <v>#N/A N/A</v>
        <stp/>
        <stp>BDP|13465637009094127729</stp>
        <tr r="B2877" s="2"/>
      </tp>
      <tp t="s">
        <v>#N/A N/A</v>
        <stp/>
        <stp>BDP|14965311267882344511</stp>
        <tr r="D2096" s="2"/>
      </tp>
      <tp t="s">
        <v>#N/A N/A</v>
        <stp/>
        <stp>BDP|16470245716452945128</stp>
        <tr r="D4669" s="2"/>
      </tp>
      <tp t="s">
        <v>#N/A N/A</v>
        <stp/>
        <stp>BDP|17944833376697339928</stp>
        <tr r="G371" s="2"/>
      </tp>
      <tp t="s">
        <v>#N/A N/A</v>
        <stp/>
        <stp>BDP|13887651401483229035</stp>
        <tr r="G3280" s="2"/>
      </tp>
      <tp t="s">
        <v>#N/A N/A</v>
        <stp/>
        <stp>BDP|16817406103266782217</stp>
        <tr r="A1045" s="2"/>
      </tp>
      <tp t="s">
        <v>#N/A N/A</v>
        <stp/>
        <stp>BDP|14208495957647580442</stp>
        <tr r="H4955" s="2"/>
      </tp>
      <tp t="s">
        <v>#N/A N/A</v>
        <stp/>
        <stp>BDP|11196202213473954763</stp>
        <tr r="I1569" s="2"/>
      </tp>
      <tp t="s">
        <v>#N/A N/A</v>
        <stp/>
        <stp>BDP|13440724737564987554</stp>
        <tr r="A953" s="2"/>
      </tp>
      <tp t="s">
        <v>#N/A N/A</v>
        <stp/>
        <stp>BDP|15510818354196428893</stp>
        <tr r="B2905" s="2"/>
      </tp>
      <tp t="s">
        <v>#N/A N/A</v>
        <stp/>
        <stp>BDP|12727444261922758482</stp>
        <tr r="C2035" s="2"/>
      </tp>
      <tp t="s">
        <v>#N/A N/A</v>
        <stp/>
        <stp>BDP|13253146135680743799</stp>
        <tr r="B3226" s="2"/>
      </tp>
      <tp t="s">
        <v>#N/A N/A</v>
        <stp/>
        <stp>BDP|14980420819596657190</stp>
        <tr r="B4160" s="2"/>
      </tp>
      <tp t="s">
        <v>#N/A N/A</v>
        <stp/>
        <stp>BDP|13331317119007553039</stp>
        <tr r="H3503" s="2"/>
      </tp>
      <tp t="s">
        <v>#N/A N/A</v>
        <stp/>
        <stp>BDP|15579132449941057726</stp>
        <tr r="H2055" s="2"/>
      </tp>
      <tp t="s">
        <v>#N/A N/A</v>
        <stp/>
        <stp>BDP|11205166727821662587</stp>
        <tr r="D3567" s="2"/>
      </tp>
      <tp t="s">
        <v>#N/A N/A</v>
        <stp/>
        <stp>BDP|10488196992098504670</stp>
        <tr r="D1687" s="2"/>
      </tp>
      <tp t="s">
        <v>#N/A N/A</v>
        <stp/>
        <stp>BDP|17437603745817449482</stp>
        <tr r="D1264" s="2"/>
      </tp>
      <tp t="s">
        <v>#N/A N/A</v>
        <stp/>
        <stp>BDP|12016118950135536595</stp>
        <tr r="C1198" s="2"/>
      </tp>
      <tp t="s">
        <v>#N/A N/A</v>
        <stp/>
        <stp>BDP|10729702238595625749</stp>
        <tr r="D3839" s="2"/>
      </tp>
      <tp t="s">
        <v>#N/A N/A</v>
        <stp/>
        <stp>BDP|14928772194094092877</stp>
        <tr r="B2034" s="2"/>
      </tp>
      <tp t="s">
        <v>#N/A N/A</v>
        <stp/>
        <stp>BDP|17271234678297540318</stp>
        <tr r="C2641" s="2"/>
      </tp>
      <tp t="s">
        <v>#N/A N/A</v>
        <stp/>
        <stp>BDP|17190467662550139395</stp>
        <tr r="I2637" s="2"/>
      </tp>
      <tp t="s">
        <v>#N/A N/A</v>
        <stp/>
        <stp>BDP|11091294365205553647</stp>
        <tr r="I2333" s="2"/>
      </tp>
      <tp t="s">
        <v>#N/A N/A</v>
        <stp/>
        <stp>BDP|12482852884001859502</stp>
        <tr r="B414" s="2"/>
      </tp>
      <tp t="s">
        <v>#N/A N/A</v>
        <stp/>
        <stp>BDP|15717779006723959726</stp>
        <tr r="H288" s="2"/>
      </tp>
      <tp t="s">
        <v>#N/A N/A</v>
        <stp/>
        <stp>BDP|15826739851776455735</stp>
        <tr r="F303" s="2"/>
      </tp>
      <tp t="s">
        <v>#N/A N/A</v>
        <stp/>
        <stp>BDP|11378278675343573197</stp>
        <tr r="A3901" s="2"/>
      </tp>
      <tp t="s">
        <v>#N/A N/A</v>
        <stp/>
        <stp>BDP|10550153376195232598</stp>
        <tr r="G666" s="2"/>
      </tp>
      <tp t="s">
        <v>#N/A N/A</v>
        <stp/>
        <stp>BDP|17401649573150714095</stp>
        <tr r="A171" s="2"/>
      </tp>
      <tp t="s">
        <v>#N/A N/A</v>
        <stp/>
        <stp>BDP|12498687626186031670</stp>
        <tr r="F1116" s="2"/>
      </tp>
      <tp t="s">
        <v>#N/A N/A</v>
        <stp/>
        <stp>BDP|17974828617759225136</stp>
        <tr r="D2730" s="2"/>
      </tp>
      <tp t="s">
        <v>#N/A N/A</v>
        <stp/>
        <stp>BDP|15100313045477870303</stp>
        <tr r="B3295" s="2"/>
      </tp>
      <tp t="s">
        <v>#N/A N/A</v>
        <stp/>
        <stp>BDP|12284987038166791884</stp>
        <tr r="C4009" s="2"/>
      </tp>
      <tp t="s">
        <v>#N/A N/A</v>
        <stp/>
        <stp>BDP|14545132236582411290</stp>
        <tr r="A144" s="2"/>
      </tp>
      <tp t="s">
        <v>#N/A N/A</v>
        <stp/>
        <stp>BDP|10386082843145082751</stp>
        <tr r="H3212" s="2"/>
      </tp>
      <tp t="s">
        <v>#N/A N/A</v>
        <stp/>
        <stp>BDP|18029110829705615836</stp>
        <tr r="G2841" s="2"/>
      </tp>
      <tp t="s">
        <v>#N/A N/A</v>
        <stp/>
        <stp>BDP|11664942497414907312</stp>
        <tr r="H3954" s="2"/>
      </tp>
      <tp t="s">
        <v>#N/A N/A</v>
        <stp/>
        <stp>BDP|15845265911185775555</stp>
        <tr r="G528" s="2"/>
      </tp>
      <tp t="s">
        <v>#N/A N/A</v>
        <stp/>
        <stp>BDP|18035057218937265829</stp>
        <tr r="I349" s="2"/>
      </tp>
      <tp t="s">
        <v>#N/A N/A</v>
        <stp/>
        <stp>BDP|11245341001673990738</stp>
        <tr r="B4123" s="2"/>
      </tp>
      <tp t="s">
        <v>#N/A N/A</v>
        <stp/>
        <stp>BDP|11316572659800192710</stp>
        <tr r="A4283" s="2"/>
      </tp>
      <tp t="s">
        <v>#N/A N/A</v>
        <stp/>
        <stp>BDP|16832204113784572736</stp>
        <tr r="D243" s="2"/>
      </tp>
      <tp t="s">
        <v>#N/A N/A</v>
        <stp/>
        <stp>BDP|10615110236132961657</stp>
        <tr r="F637" s="2"/>
      </tp>
      <tp t="s">
        <v>#N/A N/A</v>
        <stp/>
        <stp>BDP|16372913891373700397</stp>
        <tr r="D204" s="2"/>
      </tp>
      <tp t="s">
        <v>#N/A N/A</v>
        <stp/>
        <stp>BDP|14048498286916265803</stp>
        <tr r="I4774" s="2"/>
      </tp>
      <tp t="s">
        <v>#N/A N/A</v>
        <stp/>
        <stp>BDP|12375867990036064386</stp>
        <tr r="I4180" s="2"/>
      </tp>
      <tp t="s">
        <v>#N/A N/A</v>
        <stp/>
        <stp>BDP|15315385224181405362</stp>
        <tr r="A2592" s="2"/>
      </tp>
      <tp t="s">
        <v>#N/A N/A</v>
        <stp/>
        <stp>BDP|11775180342863415149</stp>
        <tr r="I3114" s="2"/>
      </tp>
      <tp t="s">
        <v>#N/A N/A</v>
        <stp/>
        <stp>BDP|11806278220717088021</stp>
        <tr r="C1130" s="2"/>
      </tp>
      <tp t="s">
        <v>#N/A N/A</v>
        <stp/>
        <stp>BDP|11320118644191940329</stp>
        <tr r="A3533" s="2"/>
      </tp>
      <tp t="s">
        <v>#N/A N/A</v>
        <stp/>
        <stp>BDP|13445008731670897605</stp>
        <tr r="G2453" s="2"/>
      </tp>
      <tp t="s">
        <v>#N/A N/A</v>
        <stp/>
        <stp>BDP|16629469008183088757</stp>
        <tr r="F4186" s="2"/>
      </tp>
      <tp t="s">
        <v>#N/A N/A</v>
        <stp/>
        <stp>BDP|10169811100517831954</stp>
        <tr r="A478" s="2"/>
      </tp>
      <tp t="s">
        <v>#N/A N/A</v>
        <stp/>
        <stp>BDP|10953922826009130411</stp>
        <tr r="B3359" s="2"/>
      </tp>
      <tp t="s">
        <v>#N/A N/A</v>
        <stp/>
        <stp>BDP|17970260705672106164</stp>
        <tr r="H2179" s="2"/>
      </tp>
      <tp t="s">
        <v>#N/A N/A</v>
        <stp/>
        <stp>BDP|12354453110919287892</stp>
        <tr r="G4469" s="2"/>
      </tp>
      <tp t="s">
        <v>#N/A N/A</v>
        <stp/>
        <stp>BDP|14263048484342880870</stp>
        <tr r="B4938" s="2"/>
      </tp>
      <tp t="s">
        <v>#N/A N/A</v>
        <stp/>
        <stp>BDP|12052453928655836787</stp>
        <tr r="C3476" s="2"/>
      </tp>
      <tp t="s">
        <v>#N/A N/A</v>
        <stp/>
        <stp>BDP|14400431965086759680</stp>
        <tr r="B2380" s="2"/>
      </tp>
      <tp t="s">
        <v>#N/A N/A</v>
        <stp/>
        <stp>BDP|13979972221198087628</stp>
        <tr r="A1960" s="2"/>
      </tp>
      <tp t="s">
        <v>#N/A N/A</v>
        <stp/>
        <stp>BDP|17615792145666232452</stp>
        <tr r="I1983" s="2"/>
      </tp>
      <tp t="s">
        <v>#N/A N/A</v>
        <stp/>
        <stp>BDP|14963306990488779028</stp>
        <tr r="H3128" s="2"/>
      </tp>
      <tp t="s">
        <v>#N/A N/A</v>
        <stp/>
        <stp>BDP|14315473429221497552</stp>
        <tr r="C2037" s="2"/>
      </tp>
      <tp t="s">
        <v>#N/A N/A</v>
        <stp/>
        <stp>BDP|10571754689121793820</stp>
        <tr r="A2510" s="2"/>
      </tp>
      <tp t="s">
        <v>#N/A N/A</v>
        <stp/>
        <stp>BDP|10093472880008388288</stp>
        <tr r="H3951" s="2"/>
      </tp>
      <tp t="s">
        <v>#N/A N/A</v>
        <stp/>
        <stp>BDP|14102541938314299030</stp>
        <tr r="H2444" s="2"/>
      </tp>
      <tp t="s">
        <v>#N/A N/A</v>
        <stp/>
        <stp>BDP|13761272092739690781</stp>
        <tr r="I1438" s="2"/>
      </tp>
      <tp t="s">
        <v>#N/A N/A</v>
        <stp/>
        <stp>BDP|16994202001711118357</stp>
        <tr r="A2073" s="2"/>
      </tp>
      <tp t="s">
        <v>#N/A N/A</v>
        <stp/>
        <stp>BDP|15190148638314318529</stp>
        <tr r="D766" s="2"/>
      </tp>
      <tp t="s">
        <v>#N/A N/A</v>
        <stp/>
        <stp>BDP|10081198234783285735</stp>
        <tr r="B3552" s="2"/>
      </tp>
      <tp t="s">
        <v>#N/A N/A</v>
        <stp/>
        <stp>BDP|17569435775730763288</stp>
        <tr r="H269" s="2"/>
      </tp>
      <tp t="s">
        <v>#N/A N/A</v>
        <stp/>
        <stp>BDP|18046501263954928964</stp>
        <tr r="A3457" s="2"/>
      </tp>
      <tp t="s">
        <v>#N/A N/A</v>
        <stp/>
        <stp>BDP|10496587007486454535</stp>
        <tr r="I4477" s="2"/>
      </tp>
      <tp t="s">
        <v>#N/A N/A</v>
        <stp/>
        <stp>BDP|11151720916163189286</stp>
        <tr r="C4557" s="2"/>
      </tp>
      <tp t="s">
        <v>#N/A N/A</v>
        <stp/>
        <stp>BDP|18030979460554916524</stp>
        <tr r="B406" s="2"/>
      </tp>
      <tp t="s">
        <v>#N/A N/A</v>
        <stp/>
        <stp>BDP|17794556247298959802</stp>
        <tr r="D98" s="2"/>
      </tp>
      <tp t="s">
        <v>#N/A N/A</v>
        <stp/>
        <stp>BDP|12099628557683979409</stp>
        <tr r="H2166" s="2"/>
      </tp>
      <tp t="s">
        <v>#N/A N/A</v>
        <stp/>
        <stp>BDP|17579204424745584485</stp>
        <tr r="D2646" s="2"/>
      </tp>
      <tp t="s">
        <v>#N/A N/A</v>
        <stp/>
        <stp>BDP|17366636609986486118</stp>
        <tr r="A2887" s="2"/>
      </tp>
      <tp t="s">
        <v>#N/A N/A</v>
        <stp/>
        <stp>BDP|15729203613317187793</stp>
        <tr r="D2826" s="2"/>
      </tp>
      <tp t="s">
        <v>#N/A N/A</v>
        <stp/>
        <stp>BDP|10722881824178137468</stp>
        <tr r="B2890" s="2"/>
      </tp>
      <tp t="s">
        <v>#N/A N/A</v>
        <stp/>
        <stp>BDP|15757728244316871650</stp>
        <tr r="G910" s="2"/>
      </tp>
      <tp t="s">
        <v>#N/A N/A</v>
        <stp/>
        <stp>BDP|10984696522144854663</stp>
        <tr r="C2953" s="2"/>
      </tp>
      <tp t="s">
        <v>#N/A N/A</v>
        <stp/>
        <stp>BDP|12770231772001874028</stp>
        <tr r="B1529" s="2"/>
      </tp>
      <tp t="s">
        <v>#N/A N/A</v>
        <stp/>
        <stp>BDP|15178669800006343383</stp>
        <tr r="H2237" s="2"/>
      </tp>
      <tp t="s">
        <v>#N/A N/A</v>
        <stp/>
        <stp>BDP|15177082601486707539</stp>
        <tr r="C4236" s="2"/>
      </tp>
      <tp t="s">
        <v>#N/A N/A</v>
        <stp/>
        <stp>BDP|16723456571784820779</stp>
        <tr r="A2649" s="2"/>
      </tp>
      <tp t="s">
        <v>#N/A N/A</v>
        <stp/>
        <stp>BDP|16217411609125417128</stp>
        <tr r="A198" s="2"/>
      </tp>
      <tp t="s">
        <v>#N/A N/A</v>
        <stp/>
        <stp>BDP|10941918265820256939</stp>
        <tr r="I3576" s="2"/>
      </tp>
      <tp t="s">
        <v>#N/A N/A</v>
        <stp/>
        <stp>BDP|13030134512511422498</stp>
        <tr r="A2747" s="2"/>
      </tp>
      <tp t="s">
        <v>#N/A N/A</v>
        <stp/>
        <stp>BDP|14660081517315084654</stp>
        <tr r="F4418" s="2"/>
      </tp>
      <tp t="s">
        <v>#N/A N/A</v>
        <stp/>
        <stp>BDP|15532393631757671478</stp>
        <tr r="C3238" s="2"/>
      </tp>
      <tp t="s">
        <v>#N/A N/A</v>
        <stp/>
        <stp>BDP|10525491842377276108</stp>
        <tr r="D2917" s="2"/>
      </tp>
      <tp t="s">
        <v>#N/A N/A</v>
        <stp/>
        <stp>BDP|17287566352124861526</stp>
        <tr r="D808" s="2"/>
      </tp>
      <tp t="s">
        <v>#N/A N/A</v>
        <stp/>
        <stp>BDP|14224199427008166912</stp>
        <tr r="H1168" s="2"/>
      </tp>
      <tp t="s">
        <v>#N/A N/A</v>
        <stp/>
        <stp>BDP|10617964379229597101</stp>
        <tr r="A1151" s="2"/>
      </tp>
      <tp t="s">
        <v>#N/A N/A</v>
        <stp/>
        <stp>BDP|14097938417918941213</stp>
        <tr r="A1444" s="2"/>
      </tp>
      <tp t="s">
        <v>#N/A N/A</v>
        <stp/>
        <stp>BDP|14196686210606138344</stp>
        <tr r="B368" s="2"/>
      </tp>
      <tp t="s">
        <v>#N/A N/A</v>
        <stp/>
        <stp>BDP|11121149959436185519</stp>
        <tr r="D2821" s="2"/>
      </tp>
      <tp t="s">
        <v>#N/A N/A</v>
        <stp/>
        <stp>BDP|12911524675814318212</stp>
        <tr r="C763" s="2"/>
      </tp>
      <tp t="s">
        <v>#N/A N/A</v>
        <stp/>
        <stp>BDP|11350859225338788589</stp>
        <tr r="H4571" s="2"/>
      </tp>
      <tp t="s">
        <v>#N/A N/A</v>
        <stp/>
        <stp>BDP|17957389810903524089</stp>
        <tr r="A1222" s="2"/>
      </tp>
      <tp t="s">
        <v>#N/A N/A</v>
        <stp/>
        <stp>BDP|10506750234406191493</stp>
        <tr r="H4268" s="2"/>
      </tp>
      <tp t="s">
        <v>#N/A N/A</v>
        <stp/>
        <stp>BDP|13886170265077135575</stp>
        <tr r="C3459" s="2"/>
      </tp>
      <tp t="s">
        <v>#N/A N/A</v>
        <stp/>
        <stp>BDP|10256881560981609903</stp>
        <tr r="B2078" s="2"/>
      </tp>
      <tp t="s">
        <v>#N/A N/A</v>
        <stp/>
        <stp>BDP|11530283403615790052</stp>
        <tr r="I5000" s="2"/>
      </tp>
      <tp t="s">
        <v>#N/A N/A</v>
        <stp/>
        <stp>BDP|11609388324622629401</stp>
        <tr r="F3970" s="2"/>
      </tp>
      <tp t="s">
        <v>#N/A N/A</v>
        <stp/>
        <stp>BDP|17018371418347194426</stp>
        <tr r="B3644" s="2"/>
      </tp>
      <tp t="s">
        <v>#N/A N/A</v>
        <stp/>
        <stp>BDP|15104678557491946144</stp>
        <tr r="C3564" s="2"/>
      </tp>
      <tp t="s">
        <v>#N/A N/A</v>
        <stp/>
        <stp>BDP|12039556512797361787</stp>
        <tr r="B2707" s="2"/>
      </tp>
      <tp t="s">
        <v>#N/A N/A</v>
        <stp/>
        <stp>BDP|12531699774263037648</stp>
        <tr r="C3992" s="2"/>
      </tp>
      <tp t="s">
        <v>#N/A N/A</v>
        <stp/>
        <stp>BDP|10592559769451744422</stp>
        <tr r="G3192" s="2"/>
      </tp>
      <tp t="s">
        <v>#N/A N/A</v>
        <stp/>
        <stp>BDP|13155766509166372417</stp>
        <tr r="A2266" s="2"/>
      </tp>
      <tp t="s">
        <v>#N/A N/A</v>
        <stp/>
        <stp>BDP|15865878297572314078</stp>
        <tr r="H908" s="2"/>
      </tp>
      <tp t="s">
        <v>#N/A N/A</v>
        <stp/>
        <stp>BDP|11241783414925750459</stp>
        <tr r="D4774" s="2"/>
      </tp>
      <tp t="s">
        <v>#N/A N/A</v>
        <stp/>
        <stp>BDP|13991853475818527202</stp>
        <tr r="D3030" s="2"/>
      </tp>
      <tp t="s">
        <v>#N/A N/A</v>
        <stp/>
        <stp>BDP|10267786903450713124</stp>
        <tr r="D4029" s="2"/>
      </tp>
      <tp t="s">
        <v>#N/A N/A</v>
        <stp/>
        <stp>BDP|14928014937624677556</stp>
        <tr r="H3779" s="2"/>
      </tp>
      <tp t="s">
        <v>#N/A N/A</v>
        <stp/>
        <stp>BDP|17220751669501357112</stp>
        <tr r="G3771" s="2"/>
      </tp>
      <tp t="s">
        <v>#N/A N/A</v>
        <stp/>
        <stp>BDP|10507596706134501736</stp>
        <tr r="B1766" s="2"/>
      </tp>
      <tp t="s">
        <v>#N/A N/A</v>
        <stp/>
        <stp>BDP|11056042630716915211</stp>
        <tr r="D1692" s="2"/>
      </tp>
      <tp t="s">
        <v>#N/A N/A</v>
        <stp/>
        <stp>BDP|10409105537020759480</stp>
        <tr r="A1911" s="2"/>
      </tp>
      <tp t="s">
        <v>#N/A N/A</v>
        <stp/>
        <stp>BDP|15975384786700973823</stp>
        <tr r="F795" s="2"/>
      </tp>
      <tp t="s">
        <v>#N/A N/A</v>
        <stp/>
        <stp>BDP|10114955890033062585</stp>
        <tr r="D634" s="2"/>
      </tp>
      <tp t="s">
        <v>#N/A N/A</v>
        <stp/>
        <stp>BDP|12943477833917852498</stp>
        <tr r="A3777" s="2"/>
      </tp>
      <tp t="s">
        <v>#N/A N/A</v>
        <stp/>
        <stp>BDP|15795626445424599595</stp>
        <tr r="B4888" s="2"/>
      </tp>
      <tp t="s">
        <v>#N/A N/A</v>
        <stp/>
        <stp>BDP|13722766026655367583</stp>
        <tr r="C318" s="2"/>
      </tp>
      <tp t="s">
        <v>#N/A N/A</v>
        <stp/>
        <stp>BDP|14998955770949368534</stp>
        <tr r="C3523" s="2"/>
      </tp>
      <tp t="s">
        <v>#N/A N/A</v>
        <stp/>
        <stp>BDP|12048086221652452417</stp>
        <tr r="H1593" s="2"/>
      </tp>
      <tp t="s">
        <v>#N/A N/A</v>
        <stp/>
        <stp>BDP|13488438049071273401</stp>
        <tr r="I1636" s="2"/>
      </tp>
      <tp t="s">
        <v>#N/A N/A</v>
        <stp/>
        <stp>BDP|15824425720045499028</stp>
        <tr r="A4999" s="2"/>
      </tp>
      <tp t="s">
        <v>#N/A N/A</v>
        <stp/>
        <stp>BDP|17065157101392074283</stp>
        <tr r="G1962" s="2"/>
      </tp>
      <tp t="s">
        <v>#N/A N/A</v>
        <stp/>
        <stp>BDP|13831323514151427665</stp>
        <tr r="A2368" s="2"/>
      </tp>
      <tp t="s">
        <v>#N/A N/A</v>
        <stp/>
        <stp>BDP|17558813686220933172</stp>
        <tr r="A71" s="2"/>
      </tp>
      <tp t="s">
        <v>#N/A N/A</v>
        <stp/>
        <stp>BDP|11248559427122990250</stp>
        <tr r="G4789" s="2"/>
      </tp>
      <tp t="s">
        <v>#N/A N/A</v>
        <stp/>
        <stp>BDP|14663912892147901500</stp>
        <tr r="G4607" s="2"/>
      </tp>
      <tp t="s">
        <v>#N/A N/A</v>
        <stp/>
        <stp>BDP|16035061971133211497</stp>
        <tr r="A469" s="2"/>
      </tp>
      <tp t="s">
        <v>#N/A N/A</v>
        <stp/>
        <stp>BDP|10545193244793476002</stp>
        <tr r="I1925" s="2"/>
      </tp>
      <tp t="s">
        <v>#N/A N/A</v>
        <stp/>
        <stp>BDP|10728092714431694608</stp>
        <tr r="C378" s="2"/>
      </tp>
      <tp t="s">
        <v>#N/A N/A</v>
        <stp/>
        <stp>BDP|12238207741866603499</stp>
        <tr r="B1019" s="2"/>
      </tp>
      <tp t="s">
        <v>#N/A N/A</v>
        <stp/>
        <stp>BDP|17235453477542561096</stp>
        <tr r="F2176" s="2"/>
      </tp>
      <tp t="s">
        <v>#N/A N/A</v>
        <stp/>
        <stp>BDP|12450483045535175141</stp>
        <tr r="C2530" s="2"/>
      </tp>
      <tp t="s">
        <v>#N/A N/A</v>
        <stp/>
        <stp>BDP|17860531762660150241</stp>
        <tr r="I4547" s="2"/>
      </tp>
      <tp t="s">
        <v>#N/A N/A</v>
        <stp/>
        <stp>BDP|13467867159851193965</stp>
        <tr r="G318" s="2"/>
      </tp>
      <tp t="s">
        <v>#N/A N/A</v>
        <stp/>
        <stp>BDP|17435250709771745235</stp>
        <tr r="H2880" s="2"/>
      </tp>
      <tp t="s">
        <v>#N/A N/A</v>
        <stp/>
        <stp>BDP|10138765498390268817</stp>
        <tr r="C2717" s="2"/>
      </tp>
      <tp t="s">
        <v>#N/A N/A</v>
        <stp/>
        <stp>BDP|12411312519722548454</stp>
        <tr r="G4372" s="2"/>
      </tp>
      <tp t="s">
        <v>#N/A N/A</v>
        <stp/>
        <stp>BDP|18388164773451244988</stp>
        <tr r="B1475" s="2"/>
      </tp>
      <tp t="s">
        <v>#N/A N/A</v>
        <stp/>
        <stp>BDP|16258648117106511189</stp>
        <tr r="A1624" s="2"/>
      </tp>
      <tp t="s">
        <v>#N/A N/A</v>
        <stp/>
        <stp>BDP|11703147518613017474</stp>
        <tr r="C963" s="2"/>
      </tp>
      <tp t="s">
        <v>#N/A N/A</v>
        <stp/>
        <stp>BDP|17411686345384288778</stp>
        <tr r="B3133" s="2"/>
      </tp>
      <tp t="s">
        <v>#N/A N/A</v>
        <stp/>
        <stp>BDP|10694656007314229495</stp>
        <tr r="F4817" s="2"/>
      </tp>
      <tp t="s">
        <v>#N/A N/A</v>
        <stp/>
        <stp>BDP|13754360529201258559</stp>
        <tr r="B890" s="2"/>
      </tp>
      <tp t="s">
        <v>#N/A N/A</v>
        <stp/>
        <stp>BDP|12215088512564451132</stp>
        <tr r="F504" s="2"/>
      </tp>
      <tp t="s">
        <v>#N/A N/A</v>
        <stp/>
        <stp>BDP|16466680462332397227</stp>
        <tr r="C3272" s="2"/>
      </tp>
      <tp t="s">
        <v>#N/A N/A</v>
        <stp/>
        <stp>BDP|15333375866755992342</stp>
        <tr r="F2777" s="2"/>
      </tp>
      <tp t="s">
        <v>#N/A N/A</v>
        <stp/>
        <stp>BDP|17848100227677192511</stp>
        <tr r="G1463" s="2"/>
      </tp>
      <tp t="s">
        <v>#N/A N/A</v>
        <stp/>
        <stp>BDP|10470315074975751794</stp>
        <tr r="B578" s="2"/>
      </tp>
      <tp t="s">
        <v>#N/A N/A</v>
        <stp/>
        <stp>BDP|11464889395001745711</stp>
        <tr r="H2015" s="2"/>
      </tp>
      <tp t="s">
        <v>#N/A N/A</v>
        <stp/>
        <stp>BDP|10380705827550906321</stp>
        <tr r="I3038" s="2"/>
      </tp>
      <tp t="s">
        <v>#N/A N/A</v>
        <stp/>
        <stp>BDP|12812886187100064489</stp>
        <tr r="H749" s="2"/>
      </tp>
      <tp t="s">
        <v>#N/A N/A</v>
        <stp/>
        <stp>BDP|17705690820090115508</stp>
        <tr r="A3093" s="2"/>
      </tp>
      <tp t="s">
        <v>#N/A N/A</v>
        <stp/>
        <stp>BDP|12115870169882223823</stp>
        <tr r="C2454" s="2"/>
      </tp>
      <tp t="s">
        <v>#N/A N/A</v>
        <stp/>
        <stp>BDP|16338007933036888574</stp>
        <tr r="H1457" s="2"/>
      </tp>
      <tp t="s">
        <v>#N/A N/A</v>
        <stp/>
        <stp>BDP|16357699332563018670</stp>
        <tr r="D94" s="2"/>
      </tp>
      <tp t="s">
        <v>#N/A N/A</v>
        <stp/>
        <stp>BDP|18400299894792166770</stp>
        <tr r="G184" s="2"/>
      </tp>
      <tp t="s">
        <v>#N/A N/A</v>
        <stp/>
        <stp>BDP|12799371146295119685</stp>
        <tr r="D3726" s="2"/>
      </tp>
      <tp t="s">
        <v>#N/A N/A</v>
        <stp/>
        <stp>BDP|14752280378793859409</stp>
        <tr r="C974" s="2"/>
      </tp>
      <tp t="s">
        <v>#N/A N/A</v>
        <stp/>
        <stp>BDP|12423779739794200471</stp>
        <tr r="H2168" s="2"/>
      </tp>
      <tp t="s">
        <v>#N/A N/A</v>
        <stp/>
        <stp>BDP|16333172516345978548</stp>
        <tr r="F4639" s="2"/>
      </tp>
      <tp t="s">
        <v>#N/A N/A</v>
        <stp/>
        <stp>BDP|11498145452390531381</stp>
        <tr r="I4646" s="2"/>
      </tp>
      <tp t="s">
        <v>#N/A N/A</v>
        <stp/>
        <stp>BDP|16383506103163934661</stp>
        <tr r="G3750" s="2"/>
      </tp>
      <tp t="s">
        <v>#N/A N/A</v>
        <stp/>
        <stp>BDP|16036035626707253589</stp>
        <tr r="A2143" s="2"/>
      </tp>
      <tp t="s">
        <v>#N/A N/A</v>
        <stp/>
        <stp>BDP|10723189272471759156</stp>
        <tr r="D1282" s="2"/>
      </tp>
      <tp t="s">
        <v>#N/A N/A</v>
        <stp/>
        <stp>BDP|17975670022114583162</stp>
        <tr r="F514" s="2"/>
      </tp>
      <tp t="s">
        <v>#N/A N/A</v>
        <stp/>
        <stp>BDP|15830659714622695609</stp>
        <tr r="D2186" s="2"/>
      </tp>
      <tp t="s">
        <v>#N/A N/A</v>
        <stp/>
        <stp>BDP|16361581063244009776</stp>
        <tr r="F848" s="2"/>
      </tp>
      <tp t="s">
        <v>#N/A N/A</v>
        <stp/>
        <stp>BDP|10791530957240996651</stp>
        <tr r="B2464" s="2"/>
      </tp>
      <tp t="s">
        <v>#N/A N/A</v>
        <stp/>
        <stp>BDP|10329560906076990558</stp>
        <tr r="H465" s="2"/>
      </tp>
      <tp t="s">
        <v>#N/A N/A</v>
        <stp/>
        <stp>BDP|15629382017755763413</stp>
        <tr r="B1675" s="2"/>
      </tp>
      <tp t="s">
        <v>#N/A N/A</v>
        <stp/>
        <stp>BDP|13386529878195063264</stp>
        <tr r="A3665" s="2"/>
      </tp>
      <tp t="s">
        <v>#N/A N/A</v>
        <stp/>
        <stp>BDP|10376610566632367485</stp>
        <tr r="F3451" s="2"/>
      </tp>
      <tp t="s">
        <v>#N/A N/A</v>
        <stp/>
        <stp>BDP|10984924177039691157</stp>
        <tr r="H2944" s="2"/>
      </tp>
      <tp t="s">
        <v>#N/A N/A</v>
        <stp/>
        <stp>BDP|15807294936517948517</stp>
        <tr r="F1510" s="2"/>
      </tp>
      <tp t="s">
        <v>#N/A N/A</v>
        <stp/>
        <stp>BDP|13208451939104457657</stp>
        <tr r="I217" s="2"/>
      </tp>
      <tp t="s">
        <v>#N/A N/A</v>
        <stp/>
        <stp>BDP|11732880030015662967</stp>
        <tr r="H4279" s="2"/>
      </tp>
      <tp t="s">
        <v>#N/A N/A</v>
        <stp/>
        <stp>BDP|15397790594889448457</stp>
        <tr r="H4014" s="2"/>
      </tp>
      <tp t="s">
        <v>#N/A N/A</v>
        <stp/>
        <stp>BDP|11613732578486216107</stp>
        <tr r="H4922" s="2"/>
      </tp>
      <tp t="s">
        <v>#N/A N/A</v>
        <stp/>
        <stp>BDP|12097682793363302879</stp>
        <tr r="G278" s="2"/>
      </tp>
      <tp t="s">
        <v>#N/A N/A</v>
        <stp/>
        <stp>BDP|12837946522228024714</stp>
        <tr r="I3988" s="2"/>
      </tp>
      <tp t="s">
        <v>#N/A N/A</v>
        <stp/>
        <stp>BDP|10475435285332917841</stp>
        <tr r="A4870" s="2"/>
      </tp>
      <tp t="s">
        <v>#N/A N/A</v>
        <stp/>
        <stp>BDP|17751193076541356647</stp>
        <tr r="I4439" s="2"/>
      </tp>
      <tp t="s">
        <v>#N/A N/A</v>
        <stp/>
        <stp>BDP|15417886652376849890</stp>
        <tr r="I1517" s="2"/>
      </tp>
      <tp t="s">
        <v>#N/A N/A</v>
        <stp/>
        <stp>BDP|17346389532386694707</stp>
        <tr r="C3317" s="2"/>
      </tp>
      <tp t="s">
        <v>#N/A N/A</v>
        <stp/>
        <stp>BDP|17795131959642177739</stp>
        <tr r="G3512" s="2"/>
      </tp>
      <tp t="s">
        <v>#N/A N/A</v>
        <stp/>
        <stp>BDP|16982635352296790506</stp>
        <tr r="G37" s="2"/>
      </tp>
      <tp t="s">
        <v>#N/A N/A</v>
        <stp/>
        <stp>BDP|11712110128193750765</stp>
        <tr r="D1474" s="2"/>
      </tp>
      <tp t="s">
        <v>#N/A N/A</v>
        <stp/>
        <stp>BDP|18356724492372471285</stp>
        <tr r="F855" s="2"/>
      </tp>
      <tp t="s">
        <v>#N/A N/A</v>
        <stp/>
        <stp>BDP|15330237718402001270</stp>
        <tr r="B4594" s="2"/>
      </tp>
      <tp t="s">
        <v>#N/A N/A</v>
        <stp/>
        <stp>BDP|15218936490722830164</stp>
        <tr r="F4011" s="2"/>
      </tp>
      <tp t="s">
        <v>#N/A N/A</v>
        <stp/>
        <stp>BDP|15862172397619425237</stp>
        <tr r="G3965" s="2"/>
      </tp>
      <tp t="s">
        <v>#N/A N/A</v>
        <stp/>
        <stp>BDP|12806113280498009560</stp>
        <tr r="G2653" s="2"/>
      </tp>
      <tp t="s">
        <v>#N/A N/A</v>
        <stp/>
        <stp>BDP|11263915175158914104</stp>
        <tr r="H2226" s="2"/>
      </tp>
      <tp t="s">
        <v>#N/A N/A</v>
        <stp/>
        <stp>BDP|12956059831441799656</stp>
        <tr r="H150" s="2"/>
      </tp>
      <tp t="s">
        <v>#N/A N/A</v>
        <stp/>
        <stp>BDP|14718295614618400914</stp>
        <tr r="H805" s="2"/>
      </tp>
      <tp t="s">
        <v>#N/A N/A</v>
        <stp/>
        <stp>BDP|16809780724746274396</stp>
        <tr r="A3314" s="2"/>
      </tp>
      <tp t="s">
        <v>#N/A N/A</v>
        <stp/>
        <stp>BDP|10052297905866346208</stp>
        <tr r="G4524" s="2"/>
      </tp>
      <tp t="s">
        <v>#N/A N/A</v>
        <stp/>
        <stp>BDP|11706851389966568118</stp>
        <tr r="F2790" s="2"/>
      </tp>
      <tp t="s">
        <v>#N/A N/A</v>
        <stp/>
        <stp>BDP|12676155996249201586</stp>
        <tr r="I3772" s="2"/>
      </tp>
      <tp t="s">
        <v>#N/A N/A</v>
        <stp/>
        <stp>BDP|12953000500362015661</stp>
        <tr r="I3098" s="2"/>
      </tp>
      <tp t="s">
        <v>#N/A N/A</v>
        <stp/>
        <stp>BDP|15891362574974326366</stp>
        <tr r="F2143" s="2"/>
      </tp>
      <tp t="s">
        <v>#N/A N/A</v>
        <stp/>
        <stp>BDP|17706311500151142382</stp>
        <tr r="B1336" s="2"/>
      </tp>
      <tp t="s">
        <v>#N/A N/A</v>
        <stp/>
        <stp>BDP|12443438348807447346</stp>
        <tr r="I18" s="2"/>
      </tp>
      <tp t="s">
        <v>#N/A N/A</v>
        <stp/>
        <stp>BDP|12903452214253003276</stp>
        <tr r="H110" s="2"/>
      </tp>
      <tp t="s">
        <v>#N/A N/A</v>
        <stp/>
        <stp>BDP|16363540207604946162</stp>
        <tr r="F215" s="2"/>
      </tp>
      <tp t="s">
        <v>#N/A N/A</v>
        <stp/>
        <stp>BDP|15570719815911758494</stp>
        <tr r="B1864" s="2"/>
      </tp>
      <tp t="s">
        <v>#N/A N/A</v>
        <stp/>
        <stp>BDP|11038992147672142806</stp>
        <tr r="A2927" s="2"/>
      </tp>
      <tp t="s">
        <v>#N/A N/A</v>
        <stp/>
        <stp>BDP|12745718560615989006</stp>
        <tr r="B60" s="2"/>
      </tp>
      <tp t="s">
        <v>#N/A N/A</v>
        <stp/>
        <stp>BDP|11374413108415260672</stp>
        <tr r="F3057" s="2"/>
      </tp>
      <tp t="s">
        <v>#N/A N/A</v>
        <stp/>
        <stp>BDP|14240318759806460216</stp>
        <tr r="I1854" s="2"/>
      </tp>
      <tp t="s">
        <v>#N/A N/A</v>
        <stp/>
        <stp>BDP|12775681809991018385</stp>
        <tr r="D2042" s="2"/>
      </tp>
      <tp t="s">
        <v>#N/A N/A</v>
        <stp/>
        <stp>BDP|14176940416379479398</stp>
        <tr r="C3813" s="2"/>
      </tp>
      <tp t="s">
        <v>#N/A N/A</v>
        <stp/>
        <stp>BDP|11388889539919815542</stp>
        <tr r="C3880" s="2"/>
      </tp>
      <tp t="s">
        <v>#N/A N/A</v>
        <stp/>
        <stp>BDP|15984290356496076280</stp>
        <tr r="H358" s="2"/>
      </tp>
      <tp t="s">
        <v>#N/A N/A</v>
        <stp/>
        <stp>BDP|15431393375922675505</stp>
        <tr r="B3126" s="2"/>
      </tp>
      <tp t="s">
        <v>#N/A N/A</v>
        <stp/>
        <stp>BDP|14497648235035820238</stp>
        <tr r="I3325" s="2"/>
      </tp>
      <tp t="s">
        <v>#N/A N/A</v>
        <stp/>
        <stp>BDP|16198545141836891727</stp>
        <tr r="C1587" s="2"/>
      </tp>
      <tp t="s">
        <v>#N/A N/A</v>
        <stp/>
        <stp>BDP|16599985746014065950</stp>
        <tr r="F1927" s="2"/>
      </tp>
      <tp t="s">
        <v>#N/A N/A</v>
        <stp/>
        <stp>BDP|17879107863136328069</stp>
        <tr r="D3888" s="2"/>
      </tp>
      <tp t="s">
        <v>#N/A N/A</v>
        <stp/>
        <stp>BDP|11093520556156265184</stp>
        <tr r="F4201" s="2"/>
      </tp>
      <tp t="s">
        <v>#N/A N/A</v>
        <stp/>
        <stp>BDP|11179392046088073808</stp>
        <tr r="B1611" s="2"/>
      </tp>
      <tp t="s">
        <v>#N/A N/A</v>
        <stp/>
        <stp>BDP|12683547591708825053</stp>
        <tr r="H4544" s="2"/>
      </tp>
      <tp t="s">
        <v>#N/A N/A</v>
        <stp/>
        <stp>BDP|12887571845821789431</stp>
        <tr r="H1425" s="2"/>
      </tp>
      <tp t="s">
        <v>#N/A N/A</v>
        <stp/>
        <stp>BDP|16851893147608080480</stp>
        <tr r="I549" s="2"/>
      </tp>
      <tp t="s">
        <v>#N/A N/A</v>
        <stp/>
        <stp>BDP|10953544812937125505</stp>
        <tr r="B4499" s="2"/>
      </tp>
      <tp t="s">
        <v>#N/A N/A</v>
        <stp/>
        <stp>BDP|16412943869168756709</stp>
        <tr r="G307" s="2"/>
      </tp>
      <tp t="s">
        <v>#N/A N/A</v>
        <stp/>
        <stp>BDP|12324789821407019641</stp>
        <tr r="D4725" s="2"/>
      </tp>
      <tp t="s">
        <v>#N/A N/A</v>
        <stp/>
        <stp>BDP|16647862137273926809</stp>
        <tr r="C4988" s="2"/>
      </tp>
      <tp t="s">
        <v>#N/A N/A</v>
        <stp/>
        <stp>BDP|12488628966376785294</stp>
        <tr r="I426" s="2"/>
      </tp>
      <tp t="s">
        <v>#N/A N/A</v>
        <stp/>
        <stp>BDP|10764809583197345194</stp>
        <tr r="C1850" s="2"/>
      </tp>
      <tp t="s">
        <v>#N/A N/A</v>
        <stp/>
        <stp>BDP|11455223902373334698</stp>
        <tr r="F1978" s="2"/>
      </tp>
      <tp t="s">
        <v>#N/A N/A</v>
        <stp/>
        <stp>BDP|13986752514446688508</stp>
        <tr r="A3630" s="2"/>
      </tp>
      <tp t="s">
        <v>#N/A N/A</v>
        <stp/>
        <stp>BDP|11339490314754137619</stp>
        <tr r="D3698" s="2"/>
      </tp>
      <tp t="s">
        <v>#N/A N/A</v>
        <stp/>
        <stp>BDP|14748821290450292395</stp>
        <tr r="C886" s="2"/>
      </tp>
      <tp t="s">
        <v>#N/A N/A</v>
        <stp/>
        <stp>BDP|10042386046380346138</stp>
        <tr r="H466" s="2"/>
      </tp>
      <tp t="s">
        <v>#N/A N/A</v>
        <stp/>
        <stp>BDP|13081020943000774182</stp>
        <tr r="F974" s="2"/>
      </tp>
      <tp t="s">
        <v>#N/A N/A</v>
        <stp/>
        <stp>BDP|13289462172015870300</stp>
        <tr r="F346" s="2"/>
      </tp>
      <tp t="s">
        <v>#N/A N/A</v>
        <stp/>
        <stp>BDP|10783081762588134822</stp>
        <tr r="A3038" s="2"/>
      </tp>
      <tp t="s">
        <v>#N/A N/A</v>
        <stp/>
        <stp>BDP|17703830508259268009</stp>
        <tr r="I2859" s="2"/>
      </tp>
      <tp t="s">
        <v>#N/A N/A</v>
        <stp/>
        <stp>BDP|11545280054876077676</stp>
        <tr r="I2492" s="2"/>
      </tp>
      <tp t="s">
        <v>#N/A N/A</v>
        <stp/>
        <stp>BDP|12752336656602400088</stp>
        <tr r="C2761" s="2"/>
      </tp>
      <tp t="s">
        <v>#N/A N/A</v>
        <stp/>
        <stp>BDP|12523193874801708314</stp>
        <tr r="D4257" s="2"/>
      </tp>
      <tp t="s">
        <v>#N/A N/A</v>
        <stp/>
        <stp>BDP|16989929105978155111</stp>
        <tr r="G217" s="2"/>
      </tp>
      <tp t="s">
        <v>#N/A N/A</v>
        <stp/>
        <stp>BDP|11773688409360992119</stp>
        <tr r="B1794" s="2"/>
      </tp>
      <tp t="s">
        <v>#N/A N/A</v>
        <stp/>
        <stp>BDP|13261735376232959707</stp>
        <tr r="G613" s="2"/>
      </tp>
      <tp t="s">
        <v>#N/A N/A</v>
        <stp/>
        <stp>BDP|12909075354688226962</stp>
        <tr r="F2718" s="2"/>
      </tp>
      <tp t="s">
        <v>#N/A N/A</v>
        <stp/>
        <stp>BDP|13927061379515041781</stp>
        <tr r="C2384" s="2"/>
      </tp>
      <tp t="s">
        <v>#N/A N/A</v>
        <stp/>
        <stp>BDP|17767993476229425626</stp>
        <tr r="G1628" s="2"/>
      </tp>
      <tp t="s">
        <v>#N/A N/A</v>
        <stp/>
        <stp>BDP|13782301876546691797</stp>
        <tr r="G2846" s="2"/>
      </tp>
      <tp t="s">
        <v>#N/A N/A</v>
        <stp/>
        <stp>BDP|15129592011375430232</stp>
        <tr r="D666" s="2"/>
      </tp>
      <tp t="s">
        <v>#N/A N/A</v>
        <stp/>
        <stp>BDP|15193781425217103138</stp>
        <tr r="H1080" s="2"/>
      </tp>
      <tp t="s">
        <v>#N/A N/A</v>
        <stp/>
        <stp>BDP|18323491725928683070</stp>
        <tr r="G4476" s="2"/>
      </tp>
      <tp t="s">
        <v>#N/A N/A</v>
        <stp/>
        <stp>BDP|17975131917026359701</stp>
        <tr r="B4274" s="2"/>
      </tp>
      <tp t="s">
        <v>#N/A N/A</v>
        <stp/>
        <stp>BDP|12742183473222345013</stp>
        <tr r="H1716" s="2"/>
      </tp>
      <tp t="s">
        <v>#N/A N/A</v>
        <stp/>
        <stp>BDP|17866149947187783327</stp>
        <tr r="C2918" s="2"/>
      </tp>
      <tp t="s">
        <v>#N/A N/A</v>
        <stp/>
        <stp>BDP|18131954354325734796</stp>
        <tr r="G387" s="2"/>
      </tp>
      <tp t="s">
        <v>#N/A N/A</v>
        <stp/>
        <stp>BDP|11178855580321979637</stp>
        <tr r="B3617" s="2"/>
      </tp>
      <tp t="s">
        <v>#N/A N/A</v>
        <stp/>
        <stp>BDP|13923615517836184406</stp>
        <tr r="D3568" s="2"/>
      </tp>
      <tp t="s">
        <v>#N/A N/A</v>
        <stp/>
        <stp>BDP|18070484460219585538</stp>
        <tr r="F3196" s="2"/>
      </tp>
      <tp t="s">
        <v>#N/A N/A</v>
        <stp/>
        <stp>BDP|14926358180840341917</stp>
        <tr r="H3916" s="2"/>
      </tp>
      <tp t="s">
        <v>#N/A N/A</v>
        <stp/>
        <stp>BDP|14341463529491212502</stp>
        <tr r="B3134" s="2"/>
      </tp>
      <tp t="s">
        <v>#N/A N/A</v>
        <stp/>
        <stp>BDP|13562420479383044501</stp>
        <tr r="B2120" s="2"/>
      </tp>
      <tp t="s">
        <v>#N/A N/A</v>
        <stp/>
        <stp>BDP|10962894700597618986</stp>
        <tr r="C3114" s="2"/>
      </tp>
      <tp t="s">
        <v>#N/A N/A</v>
        <stp/>
        <stp>BDP|10812010651253737010</stp>
        <tr r="F3332" s="2"/>
      </tp>
      <tp t="s">
        <v>#N/A N/A</v>
        <stp/>
        <stp>BDP|17097392736342897391</stp>
        <tr r="G1219" s="2"/>
      </tp>
      <tp t="s">
        <v>#N/A N/A</v>
        <stp/>
        <stp>BDP|12895375124936235376</stp>
        <tr r="G2181" s="2"/>
      </tp>
      <tp t="s">
        <v>#N/A N/A</v>
        <stp/>
        <stp>BDP|15203453458746141400</stp>
        <tr r="B2274" s="2"/>
      </tp>
      <tp t="s">
        <v>#N/A N/A</v>
        <stp/>
        <stp>BDP|10770092210495676261</stp>
        <tr r="B975" s="2"/>
      </tp>
      <tp t="s">
        <v>#N/A N/A</v>
        <stp/>
        <stp>BDP|12430211841123246180</stp>
        <tr r="G3369" s="2"/>
      </tp>
      <tp t="s">
        <v>#N/A N/A</v>
        <stp/>
        <stp>BDP|14692801998721617269</stp>
        <tr r="B1688" s="2"/>
      </tp>
      <tp t="s">
        <v>#N/A N/A</v>
        <stp/>
        <stp>BDP|13844375501083800586</stp>
        <tr r="I210" s="2"/>
      </tp>
      <tp t="s">
        <v>#N/A N/A</v>
        <stp/>
        <stp>BDP|15893490129483392653</stp>
        <tr r="D4456" s="2"/>
      </tp>
      <tp t="s">
        <v>#N/A N/A</v>
        <stp/>
        <stp>BDP|14641501380028107792</stp>
        <tr r="I4942" s="2"/>
      </tp>
      <tp t="s">
        <v>#N/A N/A</v>
        <stp/>
        <stp>BDP|16806837613171085869</stp>
        <tr r="I1650" s="2"/>
      </tp>
      <tp t="s">
        <v>#N/A N/A</v>
        <stp/>
        <stp>BDP|14035776885664406985</stp>
        <tr r="B3867" s="2"/>
      </tp>
      <tp t="s">
        <v>#N/A N/A</v>
        <stp/>
        <stp>BDP|15021442603832069598</stp>
        <tr r="A3740" s="2"/>
      </tp>
      <tp t="s">
        <v>#N/A N/A</v>
        <stp/>
        <stp>BDP|15156985565564228801</stp>
        <tr r="A1274" s="2"/>
      </tp>
      <tp t="s">
        <v>#N/A N/A</v>
        <stp/>
        <stp>BDP|12204773805307664480</stp>
        <tr r="I2575" s="2"/>
      </tp>
      <tp t="s">
        <v>#N/A N/A</v>
        <stp/>
        <stp>BDP|13610942930179874643</stp>
        <tr r="A4915" s="2"/>
      </tp>
      <tp t="s">
        <v>#N/A N/A</v>
        <stp/>
        <stp>BDP|13963941045778250043</stp>
        <tr r="C1836" s="2"/>
      </tp>
      <tp t="s">
        <v>#N/A N/A</v>
        <stp/>
        <stp>BDP|15875046621498778944</stp>
        <tr r="C1155" s="2"/>
      </tp>
      <tp t="s">
        <v>#N/A N/A</v>
        <stp/>
        <stp>BDP|11527200325986884166</stp>
        <tr r="F4207" s="2"/>
      </tp>
      <tp t="s">
        <v>#N/A N/A</v>
        <stp/>
        <stp>BDP|11027491720603066276</stp>
        <tr r="F2610" s="2"/>
      </tp>
      <tp t="s">
        <v>#N/A N/A</v>
        <stp/>
        <stp>BDP|14851070251666653163</stp>
        <tr r="B3667" s="2"/>
      </tp>
      <tp t="s">
        <v>#N/A N/A</v>
        <stp/>
        <stp>BDP|11295058064332924345</stp>
        <tr r="H1900" s="2"/>
      </tp>
      <tp t="s">
        <v>#N/A N/A</v>
        <stp/>
        <stp>BDP|13351914779393003856</stp>
        <tr r="I3470" s="2"/>
      </tp>
      <tp t="s">
        <v>#N/A N/A</v>
        <stp/>
        <stp>BDP|11240180236555638046</stp>
        <tr r="B3967" s="2"/>
      </tp>
      <tp t="s">
        <v>#N/A N/A</v>
        <stp/>
        <stp>BDP|13948717516020451342</stp>
        <tr r="A4081" s="2"/>
      </tp>
      <tp t="s">
        <v>#N/A N/A</v>
        <stp/>
        <stp>BDP|13184935747588852039</stp>
        <tr r="H3366" s="2"/>
      </tp>
      <tp t="s">
        <v>#N/A N/A</v>
        <stp/>
        <stp>BDP|16744907955934897847</stp>
        <tr r="H303" s="2"/>
      </tp>
      <tp t="s">
        <v>#N/A N/A</v>
        <stp/>
        <stp>BDP|17701714577246678795</stp>
        <tr r="I946" s="2"/>
      </tp>
      <tp t="s">
        <v>#N/A N/A</v>
        <stp/>
        <stp>BDP|15228389172743009468</stp>
        <tr r="F2150" s="2"/>
      </tp>
      <tp t="s">
        <v>#N/A N/A</v>
        <stp/>
        <stp>BDP|16380446376657809483</stp>
        <tr r="H4029" s="2"/>
      </tp>
      <tp t="s">
        <v>#N/A N/A</v>
        <stp/>
        <stp>BDP|13728238374472069213</stp>
        <tr r="H3642" s="2"/>
      </tp>
      <tp t="s">
        <v>#N/A N/A</v>
        <stp/>
        <stp>BDP|10631195444934872723</stp>
        <tr r="F3211" s="2"/>
      </tp>
      <tp t="s">
        <v>#N/A N/A</v>
        <stp/>
        <stp>BDP|10377048952304108757</stp>
        <tr r="H4374" s="2"/>
      </tp>
      <tp t="s">
        <v>#N/A N/A</v>
        <stp/>
        <stp>BDP|14368578857654423661</stp>
        <tr r="H1661" s="2"/>
      </tp>
      <tp t="s">
        <v>#N/A N/A</v>
        <stp/>
        <stp>BDP|18017731606258197150</stp>
        <tr r="I1316" s="2"/>
      </tp>
      <tp t="s">
        <v>#N/A N/A</v>
        <stp/>
        <stp>BDP|18341890869532722259</stp>
        <tr r="D3045" s="2"/>
      </tp>
      <tp t="s">
        <v>#N/A N/A</v>
        <stp/>
        <stp>BDP|16421168760302737540</stp>
        <tr r="B32" s="2"/>
      </tp>
      <tp t="s">
        <v>#N/A N/A</v>
        <stp/>
        <stp>BDP|16782469600873442747</stp>
        <tr r="H3593" s="2"/>
      </tp>
      <tp t="s">
        <v>#N/A N/A</v>
        <stp/>
        <stp>BDP|12913750556672951428</stp>
        <tr r="I1639" s="2"/>
      </tp>
      <tp t="s">
        <v>#N/A N/A</v>
        <stp/>
        <stp>BDP|17249075963816174167</stp>
        <tr r="C4466" s="2"/>
      </tp>
      <tp t="s">
        <v>#N/A N/A</v>
        <stp/>
        <stp>BDP|13132252625946077306</stp>
        <tr r="G1627" s="2"/>
      </tp>
      <tp t="s">
        <v>#N/A N/A</v>
        <stp/>
        <stp>BDP|13100050343427147679</stp>
        <tr r="C2571" s="2"/>
      </tp>
      <tp t="s">
        <v>#N/A N/A</v>
        <stp/>
        <stp>BDP|12730519669563823464</stp>
        <tr r="C3166" s="2"/>
      </tp>
      <tp t="s">
        <v>#N/A N/A</v>
        <stp/>
        <stp>BDP|11868405574437563389</stp>
        <tr r="H4593" s="2"/>
      </tp>
      <tp t="s">
        <v>#N/A N/A</v>
        <stp/>
        <stp>BDP|15650767202996656256</stp>
        <tr r="B1433" s="2"/>
      </tp>
      <tp t="s">
        <v>#N/A N/A</v>
        <stp/>
        <stp>BDP|17618569657222623300</stp>
        <tr r="D2439" s="2"/>
      </tp>
      <tp t="s">
        <v>#N/A N/A</v>
        <stp/>
        <stp>BDP|11453244070746562448</stp>
        <tr r="B2957" s="2"/>
      </tp>
      <tp t="s">
        <v>#N/A N/A</v>
        <stp/>
        <stp>BDP|13397305307712652436</stp>
        <tr r="B2560" s="2"/>
      </tp>
      <tp t="s">
        <v>#N/A N/A</v>
        <stp/>
        <stp>BDP|13984409271810896618</stp>
        <tr r="B86" s="2"/>
      </tp>
      <tp t="s">
        <v>#N/A N/A</v>
        <stp/>
        <stp>BDP|15516125929873609394</stp>
        <tr r="B4689" s="2"/>
      </tp>
      <tp t="s">
        <v>#N/A N/A</v>
        <stp/>
        <stp>BDP|11568283836707892123</stp>
        <tr r="G4871" s="2"/>
      </tp>
      <tp t="s">
        <v>#N/A N/A</v>
        <stp/>
        <stp>BDP|14160770732141086750</stp>
        <tr r="A1243" s="2"/>
      </tp>
      <tp t="s">
        <v>#N/A N/A</v>
        <stp/>
        <stp>BDP|15693395664133933531</stp>
        <tr r="F2985" s="2"/>
      </tp>
      <tp t="s">
        <v>#N/A N/A</v>
        <stp/>
        <stp>BDP|16972412153660240188</stp>
        <tr r="G376" s="2"/>
      </tp>
      <tp t="s">
        <v>#N/A N/A</v>
        <stp/>
        <stp>BDP|11152541254416385137</stp>
        <tr r="F2983" s="2"/>
      </tp>
      <tp t="s">
        <v>#N/A N/A</v>
        <stp/>
        <stp>BDP|15599724495338538562</stp>
        <tr r="A2495" s="2"/>
      </tp>
      <tp t="s">
        <v>#N/A N/A</v>
        <stp/>
        <stp>BDP|16052583713984894028</stp>
        <tr r="D3788" s="2"/>
      </tp>
      <tp t="s">
        <v>#N/A N/A</v>
        <stp/>
        <stp>BDP|15877988645606004847</stp>
        <tr r="G4111" s="2"/>
      </tp>
      <tp t="s">
        <v>#N/A N/A</v>
        <stp/>
        <stp>BDP|14915498021565717173</stp>
        <tr r="F2682" s="2"/>
      </tp>
      <tp t="s">
        <v>#N/A N/A</v>
        <stp/>
        <stp>BDP|11403009336313466772</stp>
        <tr r="B78" s="2"/>
      </tp>
      <tp t="s">
        <v>#N/A N/A</v>
        <stp/>
        <stp>BDP|12968569828950184370</stp>
        <tr r="H3620" s="2"/>
      </tp>
      <tp t="s">
        <v>#N/A N/A</v>
        <stp/>
        <stp>BDP|16587114124647152401</stp>
        <tr r="A3796" s="2"/>
      </tp>
      <tp t="s">
        <v>#N/A N/A</v>
        <stp/>
        <stp>BDP|17851403178961803392</stp>
        <tr r="I2773" s="2"/>
      </tp>
      <tp t="s">
        <v>#N/A N/A</v>
        <stp/>
        <stp>BDP|10391332195019065540</stp>
        <tr r="D2296" s="2"/>
      </tp>
      <tp t="s">
        <v>#N/A N/A</v>
        <stp/>
        <stp>BDP|11625460242241151628</stp>
        <tr r="F3117" s="2"/>
      </tp>
      <tp t="s">
        <v>#N/A N/A</v>
        <stp/>
        <stp>BDP|13081554271093048455</stp>
        <tr r="F111" s="2"/>
      </tp>
      <tp t="s">
        <v>#N/A N/A</v>
        <stp/>
        <stp>BDP|12407235660085516538</stp>
        <tr r="G102" s="2"/>
      </tp>
      <tp t="s">
        <v>#N/A N/A</v>
        <stp/>
        <stp>BDP|15509817971284611828</stp>
        <tr r="C4838" s="2"/>
      </tp>
      <tp t="s">
        <v>#N/A N/A</v>
        <stp/>
        <stp>BDP|17751701011052700508</stp>
        <tr r="C4897" s="2"/>
      </tp>
      <tp t="s">
        <v>#N/A N/A</v>
        <stp/>
        <stp>BDP|13796682247816162189</stp>
        <tr r="H2164" s="2"/>
      </tp>
      <tp t="s">
        <v>#N/A N/A</v>
        <stp/>
        <stp>BDP|11238138921065426155</stp>
        <tr r="I285" s="2"/>
      </tp>
      <tp t="s">
        <v>#N/A N/A</v>
        <stp/>
        <stp>BDP|13602534331205030659</stp>
        <tr r="I1460" s="2"/>
      </tp>
      <tp t="s">
        <v>#N/A N/A</v>
        <stp/>
        <stp>BDP|14671540185698249749</stp>
        <tr r="H2144" s="2"/>
      </tp>
      <tp t="s">
        <v>#N/A N/A</v>
        <stp/>
        <stp>BDP|12374747662591142452</stp>
        <tr r="F63" s="2"/>
      </tp>
      <tp t="s">
        <v>#N/A N/A</v>
        <stp/>
        <stp>BDP|14711346247000738527</stp>
        <tr r="I3424" s="2"/>
      </tp>
      <tp t="s">
        <v>#N/A N/A</v>
        <stp/>
        <stp>BDP|14788241992971853886</stp>
        <tr r="A3236" s="2"/>
      </tp>
      <tp t="s">
        <v>#N/A N/A</v>
        <stp/>
        <stp>BDP|13160780801985846718</stp>
        <tr r="D2669" s="2"/>
      </tp>
      <tp t="s">
        <v>#N/A N/A</v>
        <stp/>
        <stp>BDP|12373217541665661743</stp>
        <tr r="G4031" s="2"/>
      </tp>
      <tp t="s">
        <v>#N/A N/A</v>
        <stp/>
        <stp>BDP|12230434917135648411</stp>
        <tr r="F1675" s="2"/>
      </tp>
      <tp t="s">
        <v>#N/A N/A</v>
        <stp/>
        <stp>BDP|12688055832460484742</stp>
        <tr r="A4911" s="2"/>
      </tp>
      <tp t="s">
        <v>#N/A N/A</v>
        <stp/>
        <stp>BDP|12107428052593186617</stp>
        <tr r="F4291" s="2"/>
      </tp>
      <tp t="s">
        <v>#N/A N/A</v>
        <stp/>
        <stp>BDP|17279127430054232731</stp>
        <tr r="B390" s="2"/>
      </tp>
      <tp t="s">
        <v>#N/A N/A</v>
        <stp/>
        <stp>BDP|14336709423911166607</stp>
        <tr r="C4088" s="2"/>
      </tp>
      <tp t="s">
        <v>#N/A N/A</v>
        <stp/>
        <stp>BDP|16108554067392155130</stp>
        <tr r="D1087" s="2"/>
      </tp>
      <tp t="s">
        <v>#N/A N/A</v>
        <stp/>
        <stp>BDP|18337835683608525670</stp>
        <tr r="A4969" s="2"/>
      </tp>
      <tp t="s">
        <v>#N/A N/A</v>
        <stp/>
        <stp>BDP|17078647842701736206</stp>
        <tr r="I2331" s="2"/>
      </tp>
      <tp t="s">
        <v>#N/A N/A</v>
        <stp/>
        <stp>BDP|11970545715976991500</stp>
        <tr r="B261" s="2"/>
      </tp>
      <tp t="s">
        <v>#N/A N/A</v>
        <stp/>
        <stp>BDP|11559441052757332111</stp>
        <tr r="C3961" s="2"/>
      </tp>
      <tp t="s">
        <v>#N/A N/A</v>
        <stp/>
        <stp>BDP|17462260466641729423</stp>
        <tr r="C4372" s="2"/>
      </tp>
      <tp t="s">
        <v>#N/A N/A</v>
        <stp/>
        <stp>BDP|10490106809822850543</stp>
        <tr r="I151" s="2"/>
      </tp>
      <tp t="s">
        <v>#N/A N/A</v>
        <stp/>
        <stp>BDP|10791754603006993795</stp>
        <tr r="D376" s="2"/>
      </tp>
      <tp t="s">
        <v>#N/A N/A</v>
        <stp/>
        <stp>BDP|12362345732576706237</stp>
        <tr r="C481" s="2"/>
      </tp>
      <tp t="s">
        <v>#N/A N/A</v>
        <stp/>
        <stp>BDP|18142007619678177783</stp>
        <tr r="G1691" s="2"/>
      </tp>
      <tp t="s">
        <v>#N/A N/A</v>
        <stp/>
        <stp>BDP|10337277672541653215</stp>
        <tr r="B1939" s="2"/>
      </tp>
      <tp t="s">
        <v>#N/A N/A</v>
        <stp/>
        <stp>BDP|11411266242322607375</stp>
        <tr r="G857" s="2"/>
      </tp>
      <tp t="s">
        <v>#N/A N/A</v>
        <stp/>
        <stp>BDP|17370904327748737226</stp>
        <tr r="B126" s="2"/>
      </tp>
      <tp t="s">
        <v>#N/A N/A</v>
        <stp/>
        <stp>BDP|14762558210940778640</stp>
        <tr r="H1421" s="2"/>
      </tp>
      <tp t="s">
        <v>#N/A N/A</v>
        <stp/>
        <stp>BDP|11297350227497552148</stp>
        <tr r="C2109" s="2"/>
      </tp>
      <tp t="s">
        <v>#N/A N/A</v>
        <stp/>
        <stp>BDP|11618485775282922634</stp>
        <tr r="H4024" s="2"/>
      </tp>
      <tp t="s">
        <v>#N/A N/A</v>
        <stp/>
        <stp>BDP|15661373934794416703</stp>
        <tr r="C1399" s="2"/>
      </tp>
      <tp t="s">
        <v>#N/A N/A</v>
        <stp/>
        <stp>BDP|10308405380059038326</stp>
        <tr r="D1188" s="2"/>
      </tp>
      <tp t="s">
        <v>#N/A N/A</v>
        <stp/>
        <stp>BDP|17376091298319374102</stp>
        <tr r="I3662" s="2"/>
      </tp>
      <tp t="s">
        <v>#N/A N/A</v>
        <stp/>
        <stp>BDP|15607418986328851789</stp>
        <tr r="B1726" s="2"/>
      </tp>
      <tp t="s">
        <v>#N/A N/A</v>
        <stp/>
        <stp>BDP|14215316462150848785</stp>
        <tr r="C891" s="2"/>
      </tp>
      <tp t="s">
        <v>#N/A N/A</v>
        <stp/>
        <stp>BDP|12642467053446409360</stp>
        <tr r="C2610" s="2"/>
      </tp>
      <tp t="s">
        <v>#N/A N/A</v>
        <stp/>
        <stp>BDP|10438019765593818399</stp>
        <tr r="H3037" s="2"/>
      </tp>
      <tp t="s">
        <v>#N/A N/A</v>
        <stp/>
        <stp>BDP|13564005763546563527</stp>
        <tr r="D256" s="2"/>
      </tp>
      <tp t="s">
        <v>#N/A N/A</v>
        <stp/>
        <stp>BDP|10685205817976247326</stp>
        <tr r="F4889" s="2"/>
      </tp>
      <tp t="s">
        <v>#N/A N/A</v>
        <stp/>
        <stp>BDP|17213507855735255442</stp>
        <tr r="H1276" s="2"/>
      </tp>
      <tp t="s">
        <v>#N/A N/A</v>
        <stp/>
        <stp>BDP|12729500362662310573</stp>
        <tr r="B2306" s="2"/>
      </tp>
      <tp t="s">
        <v>#N/A N/A</v>
        <stp/>
        <stp>BDP|10770413454755574262</stp>
        <tr r="C699" s="2"/>
      </tp>
      <tp t="s">
        <v>#N/A N/A</v>
        <stp/>
        <stp>BDP|12474995430559483789</stp>
        <tr r="B4649" s="2"/>
      </tp>
      <tp t="s">
        <v>#N/A N/A</v>
        <stp/>
        <stp>BDP|11421353010656304331</stp>
        <tr r="G4877" s="2"/>
      </tp>
      <tp t="s">
        <v>#N/A N/A</v>
        <stp/>
        <stp>BDP|14603687659245432420</stp>
        <tr r="F3926" s="2"/>
      </tp>
      <tp t="s">
        <v>#N/A N/A</v>
        <stp/>
        <stp>BDP|13864768818846635510</stp>
        <tr r="G2606" s="2"/>
      </tp>
      <tp t="s">
        <v>#N/A N/A</v>
        <stp/>
        <stp>BDP|14602540948736307582</stp>
        <tr r="G945" s="2"/>
      </tp>
      <tp t="s">
        <v>#N/A N/A</v>
        <stp/>
        <stp>BDP|11247992144263808961</stp>
        <tr r="C3571" s="2"/>
      </tp>
      <tp t="s">
        <v>#N/A N/A</v>
        <stp/>
        <stp>BDP|14477047550102979583</stp>
        <tr r="C4204" s="2"/>
      </tp>
      <tp t="s">
        <v>#N/A N/A</v>
        <stp/>
        <stp>BDP|11602677425620573303</stp>
        <tr r="C4233" s="2"/>
      </tp>
      <tp t="s">
        <v>#N/A N/A</v>
        <stp/>
        <stp>BDP|12370138475047436509</stp>
        <tr r="H2605" s="2"/>
      </tp>
      <tp t="s">
        <v>#N/A N/A</v>
        <stp/>
        <stp>BDP|14108383678582255426</stp>
        <tr r="B482" s="2"/>
      </tp>
      <tp t="s">
        <v>#N/A N/A</v>
        <stp/>
        <stp>BDP|10199016001517164118</stp>
        <tr r="I93" s="2"/>
      </tp>
      <tp t="s">
        <v>#N/A N/A</v>
        <stp/>
        <stp>BDP|17410167806562627235</stp>
        <tr r="A4690" s="2"/>
      </tp>
      <tp t="s">
        <v>#N/A N/A</v>
        <stp/>
        <stp>BDP|14404004216272404172</stp>
        <tr r="D1025" s="2"/>
      </tp>
      <tp t="s">
        <v>#N/A N/A</v>
        <stp/>
        <stp>BDP|17684060540933365623</stp>
        <tr r="C1529" s="2"/>
      </tp>
      <tp t="s">
        <v>#N/A N/A</v>
        <stp/>
        <stp>BDP|10158399705443923641</stp>
        <tr r="B725" s="2"/>
      </tp>
      <tp t="s">
        <v>#N/A N/A</v>
        <stp/>
        <stp>BDP|11372588449233713557</stp>
        <tr r="I901" s="2"/>
      </tp>
      <tp t="s">
        <v>#N/A N/A</v>
        <stp/>
        <stp>BDP|14741574637862221651</stp>
        <tr r="D783" s="2"/>
      </tp>
      <tp t="s">
        <v>#N/A N/A</v>
        <stp/>
        <stp>BDP|15854997204399485313</stp>
        <tr r="I588" s="2"/>
      </tp>
      <tp t="s">
        <v>#N/A N/A</v>
        <stp/>
        <stp>BDP|16395811483432667270</stp>
        <tr r="G3650" s="2"/>
      </tp>
      <tp t="s">
        <v>#N/A N/A</v>
        <stp/>
        <stp>BDP|13102382240327136588</stp>
        <tr r="C1456" s="2"/>
      </tp>
      <tp t="s">
        <v>#N/A N/A</v>
        <stp/>
        <stp>BDP|16624739765537024606</stp>
        <tr r="B1625" s="2"/>
      </tp>
      <tp t="s">
        <v>#N/A N/A</v>
        <stp/>
        <stp>BDP|17345469450378350861</stp>
        <tr r="B1855" s="2"/>
      </tp>
      <tp t="s">
        <v>#N/A N/A</v>
        <stp/>
        <stp>BDP|15778453465856426737</stp>
        <tr r="D3453" s="2"/>
      </tp>
      <tp t="s">
        <v>#N/A N/A</v>
        <stp/>
        <stp>BDP|15896777846668087899</stp>
        <tr r="C4485" s="2"/>
      </tp>
      <tp t="s">
        <v>#N/A N/A</v>
        <stp/>
        <stp>BDP|13798071030712157413</stp>
        <tr r="C1380" s="2"/>
      </tp>
      <tp t="s">
        <v>#N/A N/A</v>
        <stp/>
        <stp>BDP|13496343241180245236</stp>
        <tr r="C4967" s="2"/>
      </tp>
      <tp t="s">
        <v>#N/A N/A</v>
        <stp/>
        <stp>BDP|12342117229594861339</stp>
        <tr r="I3563" s="2"/>
      </tp>
      <tp t="s">
        <v>#N/A N/A</v>
        <stp/>
        <stp>BDP|12252374505133501459</stp>
        <tr r="F4542" s="2"/>
      </tp>
      <tp t="s">
        <v>#N/A N/A</v>
        <stp/>
        <stp>BDP|18225986137831563583</stp>
        <tr r="B3988" s="2"/>
      </tp>
      <tp t="s">
        <v>#N/A N/A</v>
        <stp/>
        <stp>BDP|12774318807755395229</stp>
        <tr r="H2028" s="2"/>
      </tp>
      <tp t="s">
        <v>#N/A N/A</v>
        <stp/>
        <stp>BDP|16606469043234143427</stp>
        <tr r="F4523" s="2"/>
      </tp>
      <tp t="s">
        <v>#N/A N/A</v>
        <stp/>
        <stp>BDP|16266468283668063476</stp>
        <tr r="C841" s="2"/>
      </tp>
      <tp t="s">
        <v>#N/A N/A</v>
        <stp/>
        <stp>BDP|16980746001394579392</stp>
        <tr r="G1907" s="2"/>
      </tp>
      <tp t="s">
        <v>#N/A N/A</v>
        <stp/>
        <stp>BDP|16592395682083776894</stp>
        <tr r="H2095" s="2"/>
      </tp>
      <tp t="s">
        <v>#N/A N/A</v>
        <stp/>
        <stp>BDP|15178214794991013944</stp>
        <tr r="A4538" s="2"/>
      </tp>
      <tp t="s">
        <v>#N/A N/A</v>
        <stp/>
        <stp>BDP|17497140759160057592</stp>
        <tr r="C3456" s="2"/>
      </tp>
      <tp t="s">
        <v>#N/A N/A</v>
        <stp/>
        <stp>BDP|12789772702870344318</stp>
        <tr r="G2905" s="2"/>
      </tp>
      <tp t="s">
        <v>#N/A N/A</v>
        <stp/>
        <stp>BDP|10472911829635580896</stp>
        <tr r="G3313" s="2"/>
      </tp>
      <tp t="s">
        <v>#N/A N/A</v>
        <stp/>
        <stp>BDP|15007842008063548898</stp>
        <tr r="G2912" s="2"/>
      </tp>
      <tp t="s">
        <v>#N/A N/A</v>
        <stp/>
        <stp>BDP|14802238558491716443</stp>
        <tr r="H2516" s="2"/>
      </tp>
      <tp t="s">
        <v>#N/A N/A</v>
        <stp/>
        <stp>BDP|16534867237532570918</stp>
        <tr r="H888" s="2"/>
      </tp>
      <tp t="s">
        <v>#N/A N/A</v>
        <stp/>
        <stp>BDP|12731775238935834502</stp>
        <tr r="I3887" s="2"/>
      </tp>
      <tp t="s">
        <v>#N/A N/A</v>
        <stp/>
        <stp>BDP|11719306260231494331</stp>
        <tr r="G2317" s="2"/>
      </tp>
      <tp t="s">
        <v>#N/A N/A</v>
        <stp/>
        <stp>BDP|15019511669971836107</stp>
        <tr r="H2670" s="2"/>
      </tp>
      <tp t="s">
        <v>#N/A N/A</v>
        <stp/>
        <stp>BDP|11049410581022605969</stp>
        <tr r="H3255" s="2"/>
      </tp>
      <tp t="s">
        <v>#N/A N/A</v>
        <stp/>
        <stp>BDP|10787392498235674902</stp>
        <tr r="H2843" s="2"/>
      </tp>
      <tp t="s">
        <v>#N/A N/A</v>
        <stp/>
        <stp>BDP|14413710020836468113</stp>
        <tr r="A2138" s="2"/>
      </tp>
      <tp t="s">
        <v>#N/A N/A</v>
        <stp/>
        <stp>BDP|12750410900867344755</stp>
        <tr r="D4177" s="2"/>
      </tp>
      <tp t="s">
        <v>#N/A N/A</v>
        <stp/>
        <stp>BDP|17458622600233487421</stp>
        <tr r="G3599" s="2"/>
      </tp>
      <tp t="s">
        <v>#N/A N/A</v>
        <stp/>
        <stp>BDP|10680047603275987389</stp>
        <tr r="B209" s="2"/>
      </tp>
      <tp t="s">
        <v>#N/A N/A</v>
        <stp/>
        <stp>BDP|16433007504026485640</stp>
        <tr r="A1546" s="2"/>
      </tp>
      <tp t="s">
        <v>#N/A N/A</v>
        <stp/>
        <stp>BDP|12180421299078315194</stp>
        <tr r="D1628" s="2"/>
      </tp>
      <tp t="s">
        <v>#N/A N/A</v>
        <stp/>
        <stp>BDP|11395209259331989138</stp>
        <tr r="I1060" s="2"/>
      </tp>
      <tp t="s">
        <v>#N/A N/A</v>
        <stp/>
        <stp>BDP|12898496531842136117</stp>
        <tr r="H39" s="2"/>
      </tp>
      <tp t="s">
        <v>#N/A N/A</v>
        <stp/>
        <stp>BDP|11850124218550409767</stp>
        <tr r="D112" s="2"/>
      </tp>
      <tp t="s">
        <v>#N/A N/A</v>
        <stp/>
        <stp>BDP|15772051890508484268</stp>
        <tr r="F1862" s="2"/>
      </tp>
      <tp t="s">
        <v>#N/A N/A</v>
        <stp/>
        <stp>BDP|12550107056599141920</stp>
        <tr r="C1892" s="2"/>
      </tp>
      <tp t="s">
        <v>#N/A N/A</v>
        <stp/>
        <stp>BDP|11945506978636314326</stp>
        <tr r="A1590" s="2"/>
      </tp>
      <tp t="s">
        <v>#N/A N/A</v>
        <stp/>
        <stp>BDP|12131757230509047946</stp>
        <tr r="H3611" s="2"/>
      </tp>
      <tp t="s">
        <v>#N/A N/A</v>
        <stp/>
        <stp>BDP|11960239222541097680</stp>
        <tr r="F2123" s="2"/>
      </tp>
      <tp t="s">
        <v>#N/A N/A</v>
        <stp/>
        <stp>BDP|11101496630141970113</stp>
        <tr r="I2546" s="2"/>
      </tp>
      <tp t="s">
        <v>#N/A N/A</v>
        <stp/>
        <stp>BDP|13691231471413689326</stp>
        <tr r="F4752" s="2"/>
      </tp>
      <tp t="s">
        <v>#N/A N/A</v>
        <stp/>
        <stp>BDP|15517561065533769311</stp>
        <tr r="B3497" s="2"/>
      </tp>
      <tp t="s">
        <v>#N/A N/A</v>
        <stp/>
        <stp>BDP|17079052659621881549</stp>
        <tr r="D4332" s="2"/>
      </tp>
      <tp t="s">
        <v>#N/A N/A</v>
        <stp/>
        <stp>BDP|11566463162491721461</stp>
        <tr r="G4722" s="2"/>
      </tp>
      <tp t="s">
        <v>#N/A N/A</v>
        <stp/>
        <stp>BDP|16138974537763670975</stp>
        <tr r="G826" s="2"/>
      </tp>
      <tp t="s">
        <v>#N/A N/A</v>
        <stp/>
        <stp>BDP|12769242930621388408</stp>
        <tr r="H4776" s="2"/>
      </tp>
      <tp t="s">
        <v>#N/A N/A</v>
        <stp/>
        <stp>BDP|12265425510836096700</stp>
        <tr r="B1441" s="2"/>
      </tp>
      <tp t="s">
        <v>#N/A N/A</v>
        <stp/>
        <stp>BDP|16476213862181662511</stp>
        <tr r="C3709" s="2"/>
      </tp>
      <tp t="s">
        <v>#N/A N/A</v>
        <stp/>
        <stp>BDP|17378391062904071089</stp>
        <tr r="B3886" s="2"/>
      </tp>
      <tp t="s">
        <v>#N/A N/A</v>
        <stp/>
        <stp>BDP|13465665367414213177</stp>
        <tr r="B2744" s="2"/>
      </tp>
      <tp t="s">
        <v>#N/A N/A</v>
        <stp/>
        <stp>BDP|17661991189774173476</stp>
        <tr r="C2473" s="2"/>
      </tp>
      <tp t="s">
        <v>#N/A N/A</v>
        <stp/>
        <stp>BDP|13090966457461183802</stp>
        <tr r="G2149" s="2"/>
      </tp>
      <tp t="s">
        <v>#N/A N/A</v>
        <stp/>
        <stp>BDP|15967895506022420920</stp>
        <tr r="F1178" s="2"/>
      </tp>
      <tp t="s">
        <v>#N/A N/A</v>
        <stp/>
        <stp>BDP|10246047167534867491</stp>
        <tr r="G2669" s="2"/>
      </tp>
      <tp t="s">
        <v>#N/A N/A</v>
        <stp/>
        <stp>BDP|12473041455249061853</stp>
        <tr r="I2968" s="2"/>
      </tp>
      <tp t="s">
        <v>#N/A N/A</v>
        <stp/>
        <stp>BDP|14994689370401728266</stp>
        <tr r="B288" s="2"/>
      </tp>
      <tp t="s">
        <v>#N/A N/A</v>
        <stp/>
        <stp>BDP|12425973091373254707</stp>
        <tr r="I4764" s="2"/>
      </tp>
      <tp t="s">
        <v>#N/A N/A</v>
        <stp/>
        <stp>BDP|13082939390634230114</stp>
        <tr r="B2842" s="2"/>
      </tp>
      <tp t="s">
        <v>#N/A N/A</v>
        <stp/>
        <stp>BDP|13819010238796010017</stp>
        <tr r="H195" s="2"/>
      </tp>
      <tp t="s">
        <v>#N/A N/A</v>
        <stp/>
        <stp>BDP|17114427724615480238</stp>
        <tr r="H654" s="2"/>
      </tp>
      <tp t="s">
        <v>#N/A N/A</v>
        <stp/>
        <stp>BDP|17015417849129962816</stp>
        <tr r="H3147" s="2"/>
      </tp>
      <tp t="s">
        <v>#N/A N/A</v>
        <stp/>
        <stp>BDP|16933733857363441190</stp>
        <tr r="A554" s="2"/>
      </tp>
      <tp t="s">
        <v>#N/A N/A</v>
        <stp/>
        <stp>BDP|12529756777097128361</stp>
        <tr r="H531" s="2"/>
      </tp>
      <tp t="s">
        <v>#N/A N/A</v>
        <stp/>
        <stp>BDP|17360512901973124728</stp>
        <tr r="H1658" s="2"/>
      </tp>
      <tp t="s">
        <v>#N/A N/A</v>
        <stp/>
        <stp>BDP|13746234114904670269</stp>
        <tr r="I3339" s="2"/>
      </tp>
      <tp t="s">
        <v>#N/A N/A</v>
        <stp/>
        <stp>BDP|17447412060203051056</stp>
        <tr r="B4152" s="2"/>
      </tp>
      <tp t="s">
        <v>#N/A N/A</v>
        <stp/>
        <stp>BDP|10202274505670740471</stp>
        <tr r="B579" s="2"/>
      </tp>
      <tp t="s">
        <v>#N/A N/A</v>
        <stp/>
        <stp>BDP|17386976411760586906</stp>
        <tr r="G3396" s="2"/>
      </tp>
      <tp t="s">
        <v>#N/A N/A</v>
        <stp/>
        <stp>BDP|13726751105206469431</stp>
        <tr r="G4351" s="2"/>
      </tp>
      <tp t="s">
        <v>#N/A N/A</v>
        <stp/>
        <stp>BDP|14766728935473741578</stp>
        <tr r="B1804" s="2"/>
      </tp>
      <tp t="s">
        <v>#N/A N/A</v>
        <stp/>
        <stp>BDP|12859614156257645091</stp>
        <tr r="G833" s="2"/>
      </tp>
      <tp t="s">
        <v>#N/A N/A</v>
        <stp/>
        <stp>BDP|14713350642537913293</stp>
        <tr r="F4035" s="2"/>
      </tp>
      <tp t="s">
        <v>#N/A N/A</v>
        <stp/>
        <stp>BDP|10117117633770354402</stp>
        <tr r="C632" s="2"/>
      </tp>
      <tp t="s">
        <v>#N/A N/A</v>
        <stp/>
        <stp>BDP|14160945421598570114</stp>
        <tr r="D1221" s="2"/>
      </tp>
      <tp t="s">
        <v>#N/A N/A</v>
        <stp/>
        <stp>BDP|15642470802516462172</stp>
        <tr r="D2637" s="2"/>
      </tp>
      <tp t="s">
        <v>#N/A N/A</v>
        <stp/>
        <stp>BDP|10656510021843689200</stp>
        <tr r="D2055" s="2"/>
      </tp>
      <tp t="s">
        <v>#N/A N/A</v>
        <stp/>
        <stp>BDP|16453067690668659144</stp>
        <tr r="H4684" s="2"/>
      </tp>
      <tp t="s">
        <v>#N/A N/A</v>
        <stp/>
        <stp>BDP|12321792277366822254</stp>
        <tr r="D3609" s="2"/>
      </tp>
      <tp t="s">
        <v>#N/A N/A</v>
        <stp/>
        <stp>BDP|10882773261066660188</stp>
        <tr r="H2289" s="2"/>
      </tp>
      <tp t="s">
        <v>#N/A N/A</v>
        <stp/>
        <stp>BDP|18164761520508503327</stp>
        <tr r="H4116" s="2"/>
      </tp>
      <tp t="s">
        <v>#N/A N/A</v>
        <stp/>
        <stp>BDP|17111262017490155216</stp>
        <tr r="B2297" s="2"/>
      </tp>
      <tp t="s">
        <v>#N/A N/A</v>
        <stp/>
        <stp>BDP|10560985729899321442</stp>
        <tr r="I3830" s="2"/>
      </tp>
      <tp t="s">
        <v>#N/A N/A</v>
        <stp/>
        <stp>BDP|14299071769436913266</stp>
        <tr r="I1419" s="2"/>
      </tp>
      <tp t="s">
        <v>#N/A N/A</v>
        <stp/>
        <stp>BDP|10153663829766985442</stp>
        <tr r="B4629" s="2"/>
      </tp>
      <tp t="s">
        <v>#N/A N/A</v>
        <stp/>
        <stp>BDP|11251950063821566920</stp>
        <tr r="I4455" s="2"/>
      </tp>
      <tp t="s">
        <v>#N/A N/A</v>
        <stp/>
        <stp>BDP|10283244051267002645</stp>
        <tr r="A2099" s="2"/>
      </tp>
      <tp t="s">
        <v>#N/A N/A</v>
        <stp/>
        <stp>BDP|15652754266205696701</stp>
        <tr r="I3531" s="2"/>
      </tp>
      <tp t="s">
        <v>#N/A N/A</v>
        <stp/>
        <stp>BDP|16394020518327800621</stp>
        <tr r="F3486" s="2"/>
      </tp>
      <tp t="s">
        <v>#N/A N/A</v>
        <stp/>
        <stp>BDP|14252385499609784175</stp>
        <tr r="F4036" s="2"/>
      </tp>
      <tp t="s">
        <v>#N/A N/A</v>
        <stp/>
        <stp>BDP|12630019103953399740</stp>
        <tr r="B2900" s="2"/>
      </tp>
      <tp t="s">
        <v>#N/A N/A</v>
        <stp/>
        <stp>BDP|17629635397856377822</stp>
        <tr r="I524" s="2"/>
      </tp>
      <tp t="s">
        <v>#N/A N/A</v>
        <stp/>
        <stp>BDP|15215178723441717126</stp>
        <tr r="I667" s="2"/>
      </tp>
      <tp t="s">
        <v>#N/A N/A</v>
        <stp/>
        <stp>BDP|18174919116576272076</stp>
        <tr r="I1733" s="2"/>
      </tp>
      <tp t="s">
        <v>#N/A N/A</v>
        <stp/>
        <stp>BDP|13244274675983005330</stp>
        <tr r="H560" s="2"/>
      </tp>
      <tp t="s">
        <v>#N/A N/A</v>
        <stp/>
        <stp>BDP|15898780394214155967</stp>
        <tr r="B2797" s="2"/>
      </tp>
      <tp t="s">
        <v>#N/A N/A</v>
        <stp/>
        <stp>BDP|15588790047662176290</stp>
        <tr r="A2380" s="2"/>
      </tp>
      <tp t="s">
        <v>#N/A N/A</v>
        <stp/>
        <stp>BDP|10360087633480885534</stp>
        <tr r="C1784" s="2"/>
      </tp>
      <tp t="s">
        <v>#N/A N/A</v>
        <stp/>
        <stp>BDP|11480467957101073760</stp>
        <tr r="D1797" s="2"/>
      </tp>
      <tp t="s">
        <v>#N/A N/A</v>
        <stp/>
        <stp>BDP|14996013389162015823</stp>
        <tr r="G2208" s="2"/>
      </tp>
      <tp t="s">
        <v>#N/A N/A</v>
        <stp/>
        <stp>BDP|16236471103901670534</stp>
        <tr r="F1779" s="2"/>
      </tp>
      <tp t="s">
        <v>#N/A N/A</v>
        <stp/>
        <stp>BDP|17680590139686565107</stp>
        <tr r="H1588" s="2"/>
      </tp>
      <tp t="s">
        <v>#N/A N/A</v>
        <stp/>
        <stp>BDP|13796792561490544494</stp>
        <tr r="F114" s="2"/>
      </tp>
      <tp t="s">
        <v>#N/A N/A</v>
        <stp/>
        <stp>BDP|14549719435171750756</stp>
        <tr r="G847" s="2"/>
      </tp>
      <tp t="s">
        <v>#N/A N/A</v>
        <stp/>
        <stp>BDP|10169044221185294155</stp>
        <tr r="D152" s="2"/>
      </tp>
      <tp t="s">
        <v>#N/A N/A</v>
        <stp/>
        <stp>BDP|15773553357654752718</stp>
        <tr r="H3898" s="2"/>
      </tp>
      <tp t="s">
        <v>#N/A N/A</v>
        <stp/>
        <stp>BDP|13421754403767182506</stp>
        <tr r="A3646" s="2"/>
      </tp>
      <tp t="s">
        <v>#N/A N/A</v>
        <stp/>
        <stp>BDP|15653542631831057405</stp>
        <tr r="H4913" s="2"/>
      </tp>
      <tp t="s">
        <v>#N/A N/A</v>
        <stp/>
        <stp>BDP|18413519374014701857</stp>
        <tr r="A3846" s="2"/>
      </tp>
      <tp t="s">
        <v>#N/A N/A</v>
        <stp/>
        <stp>BDP|18251098873638328186</stp>
        <tr r="H1195" s="2"/>
      </tp>
      <tp t="s">
        <v>#N/A N/A</v>
        <stp/>
        <stp>BDP|14030384407399488882</stp>
        <tr r="A1783" s="2"/>
      </tp>
      <tp t="s">
        <v>#N/A N/A</v>
        <stp/>
        <stp>BDP|17948768574698873903</stp>
        <tr r="G3933" s="2"/>
      </tp>
      <tp t="s">
        <v>#N/A N/A</v>
        <stp/>
        <stp>BDP|10761795069733694423</stp>
        <tr r="C4247" s="2"/>
      </tp>
      <tp t="s">
        <v>#N/A N/A</v>
        <stp/>
        <stp>BDP|12766375680897469873</stp>
        <tr r="A2973" s="2"/>
      </tp>
      <tp t="s">
        <v>#N/A N/A</v>
        <stp/>
        <stp>BDP|17518503043588702829</stp>
        <tr r="C501" s="2"/>
      </tp>
      <tp t="s">
        <v>#N/A N/A</v>
        <stp/>
        <stp>BDP|18018321851721100919</stp>
        <tr r="C1222" s="2"/>
      </tp>
      <tp t="s">
        <v>#N/A N/A</v>
        <stp/>
        <stp>BDP|11268482430169916909</stp>
        <tr r="D1386" s="2"/>
      </tp>
      <tp t="s">
        <v>#N/A N/A</v>
        <stp/>
        <stp>BDP|16253181969935163216</stp>
        <tr r="C4703" s="2"/>
      </tp>
      <tp t="s">
        <v>#N/A N/A</v>
        <stp/>
        <stp>BDP|13790934661842117879</stp>
        <tr r="A2240" s="2"/>
      </tp>
      <tp t="s">
        <v>#N/A N/A</v>
        <stp/>
        <stp>BDP|17946802189720542168</stp>
        <tr r="H613" s="2"/>
      </tp>
      <tp t="s">
        <v>#N/A N/A</v>
        <stp/>
        <stp>BDP|15960368224223856104</stp>
        <tr r="D4605" s="2"/>
      </tp>
      <tp t="s">
        <v>#N/A N/A</v>
        <stp/>
        <stp>BDP|12392984288595318034</stp>
        <tr r="C3849" s="2"/>
      </tp>
      <tp t="s">
        <v>#N/A N/A</v>
        <stp/>
        <stp>BDP|16698908272089790705</stp>
        <tr r="B1788" s="2"/>
      </tp>
      <tp t="s">
        <v>#N/A N/A</v>
        <stp/>
        <stp>BDP|14652463959641890225</stp>
        <tr r="G411" s="2"/>
      </tp>
      <tp t="s">
        <v>#N/A N/A</v>
        <stp/>
        <stp>BDP|15178046926806238726</stp>
        <tr r="C4080" s="2"/>
      </tp>
      <tp t="s">
        <v>#N/A N/A</v>
        <stp/>
        <stp>BDP|11412249681974758958</stp>
        <tr r="A4390" s="2"/>
      </tp>
      <tp t="s">
        <v>#N/A N/A</v>
        <stp/>
        <stp>BDP|14248609966221147367</stp>
        <tr r="G3636" s="2"/>
      </tp>
      <tp t="s">
        <v>#N/A N/A</v>
        <stp/>
        <stp>BDP|15089053984473425861</stp>
        <tr r="C177" s="2"/>
      </tp>
      <tp t="s">
        <v>#N/A N/A</v>
        <stp/>
        <stp>BDP|10828266793665867867</stp>
        <tr r="H513" s="2"/>
      </tp>
      <tp t="s">
        <v>#N/A N/A</v>
        <stp/>
        <stp>BDP|17990498125384407321</stp>
        <tr r="B1221" s="2"/>
      </tp>
      <tp t="s">
        <v>#N/A N/A</v>
        <stp/>
        <stp>BDP|15080529921696778273</stp>
        <tr r="A3836" s="2"/>
      </tp>
      <tp t="s">
        <v>#N/A N/A</v>
        <stp/>
        <stp>BDP|11157840971848761008</stp>
        <tr r="C1831" s="2"/>
      </tp>
      <tp t="s">
        <v>#N/A N/A</v>
        <stp/>
        <stp>BDP|17209654030455576114</stp>
        <tr r="G3242" s="2"/>
      </tp>
      <tp t="s">
        <v>#N/A N/A</v>
        <stp/>
        <stp>BDP|15762959084047699534</stp>
        <tr r="C2528" s="2"/>
      </tp>
      <tp t="s">
        <v>#N/A N/A</v>
        <stp/>
        <stp>BDP|15494425806915673250</stp>
        <tr r="I2442" s="2"/>
      </tp>
      <tp t="s">
        <v>#N/A N/A</v>
        <stp/>
        <stp>BDP|16126302523316855794</stp>
        <tr r="I1558" s="2"/>
      </tp>
      <tp t="s">
        <v>#N/A N/A</v>
        <stp/>
        <stp>BDP|10727648674945374276</stp>
        <tr r="G1774" s="2"/>
      </tp>
      <tp t="s">
        <v>#N/A N/A</v>
        <stp/>
        <stp>BDP|17773647623654141120</stp>
        <tr r="I587" s="2"/>
      </tp>
      <tp t="s">
        <v>#N/A N/A</v>
        <stp/>
        <stp>BDP|17546045123251900281</stp>
        <tr r="I3438" s="2"/>
      </tp>
      <tp t="s">
        <v>#N/A N/A</v>
        <stp/>
        <stp>BDP|10358620861261139725</stp>
        <tr r="D3271" s="2"/>
      </tp>
      <tp t="s">
        <v>#N/A N/A</v>
        <stp/>
        <stp>BDP|17351416913315116130</stp>
        <tr r="A2879" s="2"/>
      </tp>
      <tp t="s">
        <v>#N/A N/A</v>
        <stp/>
        <stp>BDP|14338746657978742849</stp>
        <tr r="G238" s="2"/>
      </tp>
      <tp t="s">
        <v>#N/A N/A</v>
        <stp/>
        <stp>BDP|15435965781802186017</stp>
        <tr r="C807" s="2"/>
      </tp>
      <tp t="s">
        <v>#N/A N/A</v>
        <stp/>
        <stp>BDP|13272659247335085234</stp>
        <tr r="A902" s="2"/>
      </tp>
      <tp t="s">
        <v>#N/A N/A</v>
        <stp/>
        <stp>BDP|17970649972329458989</stp>
        <tr r="I953" s="2"/>
      </tp>
      <tp t="s">
        <v>#N/A N/A</v>
        <stp/>
        <stp>BDP|17457808333798423208</stp>
        <tr r="H664" s="2"/>
      </tp>
      <tp t="s">
        <v>#N/A N/A</v>
        <stp/>
        <stp>BDP|14888059361153856775</stp>
        <tr r="G839" s="2"/>
      </tp>
      <tp t="s">
        <v>#N/A N/A</v>
        <stp/>
        <stp>BDP|13743514874065307220</stp>
        <tr r="H1238" s="2"/>
      </tp>
      <tp t="s">
        <v>#N/A N/A</v>
        <stp/>
        <stp>BDP|10061038408861012787</stp>
        <tr r="H1433" s="2"/>
      </tp>
      <tp t="s">
        <v>#N/A N/A</v>
        <stp/>
        <stp>BDP|17205572357634947580</stp>
        <tr r="G4021" s="2"/>
      </tp>
      <tp t="s">
        <v>#N/A N/A</v>
        <stp/>
        <stp>BDP|16119902207141202875</stp>
        <tr r="F1300" s="2"/>
      </tp>
      <tp t="s">
        <v>#N/A N/A</v>
        <stp/>
        <stp>BDP|12299912785857032257</stp>
        <tr r="B3629" s="2"/>
      </tp>
      <tp t="s">
        <v>#N/A N/A</v>
        <stp/>
        <stp>BDP|13479048216975475116</stp>
        <tr r="A3760" s="2"/>
      </tp>
      <tp t="s">
        <v>#N/A N/A</v>
        <stp/>
        <stp>BDP|10610536074855600148</stp>
        <tr r="B4149" s="2"/>
      </tp>
      <tp t="s">
        <v>#N/A N/A</v>
        <stp/>
        <stp>BDP|17918590712116339324</stp>
        <tr r="F2526" s="2"/>
      </tp>
      <tp t="s">
        <v>#N/A N/A</v>
        <stp/>
        <stp>BDP|17987552747303877309</stp>
        <tr r="A2737" s="2"/>
      </tp>
      <tp t="s">
        <v>#N/A N/A</v>
        <stp/>
        <stp>BDP|13222911415308770520</stp>
        <tr r="D4926" s="2"/>
      </tp>
      <tp t="s">
        <v>#N/A N/A</v>
        <stp/>
        <stp>BDP|11107964925485264931</stp>
        <tr r="F1556" s="2"/>
      </tp>
      <tp t="s">
        <v>#N/A N/A</v>
        <stp/>
        <stp>BDP|13936189337923175443</stp>
        <tr r="F2022" s="2"/>
      </tp>
      <tp t="s">
        <v>#N/A N/A</v>
        <stp/>
        <stp>BDP|17288454146048781952</stp>
        <tr r="H4086" s="2"/>
      </tp>
      <tp t="s">
        <v>#N/A N/A</v>
        <stp/>
        <stp>BDP|14524784039623253553</stp>
        <tr r="I2510" s="2"/>
      </tp>
      <tp t="s">
        <v>#N/A N/A</v>
        <stp/>
        <stp>BDP|11616953649478187288</stp>
        <tr r="D517" s="2"/>
      </tp>
      <tp t="s">
        <v>#N/A N/A</v>
        <stp/>
        <stp>BDP|17229142414769428853</stp>
        <tr r="H2617" s="2"/>
      </tp>
      <tp t="s">
        <v>#N/A N/A</v>
        <stp/>
        <stp>BDP|14132749640323489224</stp>
        <tr r="B2084" s="2"/>
      </tp>
      <tp t="s">
        <v>#N/A N/A</v>
        <stp/>
        <stp>BDP|10488296746403076388</stp>
        <tr r="A932" s="2"/>
      </tp>
      <tp t="s">
        <v>#N/A N/A</v>
        <stp/>
        <stp>BDP|15154700646677140752</stp>
        <tr r="F4771" s="2"/>
      </tp>
      <tp t="s">
        <v>#N/A N/A</v>
        <stp/>
        <stp>BDP|13932152565413862126</stp>
        <tr r="A442" s="2"/>
      </tp>
      <tp t="s">
        <v>#N/A N/A</v>
        <stp/>
        <stp>BDP|13585126446409170938</stp>
        <tr r="G4760" s="2"/>
      </tp>
      <tp t="s">
        <v>#N/A N/A</v>
        <stp/>
        <stp>BDP|18001027342398224212</stp>
        <tr r="F713" s="2"/>
      </tp>
      <tp t="s">
        <v>#N/A N/A</v>
        <stp/>
        <stp>BDP|13029032766456170577</stp>
        <tr r="G1669" s="2"/>
      </tp>
      <tp t="s">
        <v>#N/A N/A</v>
        <stp/>
        <stp>BDP|10959718551942342694</stp>
        <tr r="H2097" s="2"/>
      </tp>
      <tp t="s">
        <v>#N/A N/A</v>
        <stp/>
        <stp>BDP|11912630000390901106</stp>
        <tr r="D3364" s="2"/>
      </tp>
      <tp t="s">
        <v>#N/A N/A</v>
        <stp/>
        <stp>BDP|16296742312730703608</stp>
        <tr r="H1538" s="2"/>
      </tp>
      <tp t="s">
        <v>#N/A N/A</v>
        <stp/>
        <stp>BDP|14925383337347015557</stp>
        <tr r="B2491" s="2"/>
      </tp>
      <tp t="s">
        <v>#N/A N/A</v>
        <stp/>
        <stp>BDP|11446091050610609298</stp>
        <tr r="C2895" s="2"/>
      </tp>
      <tp t="s">
        <v>#N/A N/A</v>
        <stp/>
        <stp>BDP|17208088469515634275</stp>
        <tr r="F4934" s="2"/>
      </tp>
      <tp t="s">
        <v>#N/A N/A</v>
        <stp/>
        <stp>BDP|17589503493449452401</stp>
        <tr r="C701" s="2"/>
      </tp>
      <tp t="s">
        <v>#N/A N/A</v>
        <stp/>
        <stp>BDP|11333797708497199712</stp>
        <tr r="I4350" s="2"/>
      </tp>
      <tp t="s">
        <v>#N/A N/A</v>
        <stp/>
        <stp>BDP|13250696578942807691</stp>
        <tr r="I57" s="2"/>
      </tp>
      <tp t="s">
        <v>#N/A N/A</v>
        <stp/>
        <stp>BDP|14245796309981248424</stp>
        <tr r="C2196" s="2"/>
      </tp>
      <tp t="s">
        <v>#N/A N/A</v>
        <stp/>
        <stp>BDP|18291102221645936885</stp>
        <tr r="G4157" s="2"/>
      </tp>
      <tp t="s">
        <v>#N/A N/A</v>
        <stp/>
        <stp>BDP|12705356261827977682</stp>
        <tr r="C3534" s="2"/>
      </tp>
      <tp t="s">
        <v>#N/A N/A</v>
        <stp/>
        <stp>BDP|13133077333144196267</stp>
        <tr r="I1837" s="2"/>
      </tp>
      <tp t="s">
        <v>#N/A N/A</v>
        <stp/>
        <stp>BDP|13605353433662499766</stp>
        <tr r="I951" s="2"/>
      </tp>
      <tp t="s">
        <v>#N/A N/A</v>
        <stp/>
        <stp>BDP|13366433879922334485</stp>
        <tr r="A4473" s="2"/>
      </tp>
      <tp t="s">
        <v>#N/A N/A</v>
        <stp/>
        <stp>BDP|11440694766894114383</stp>
        <tr r="C3652" s="2"/>
      </tp>
      <tp t="s">
        <v>#N/A N/A</v>
        <stp/>
        <stp>BDP|12200358065096559757</stp>
        <tr r="G1904" s="2"/>
      </tp>
      <tp t="s">
        <v>#N/A N/A</v>
        <stp/>
        <stp>BDP|18087816445522382059</stp>
        <tr r="F2678" s="2"/>
      </tp>
      <tp t="s">
        <v>#N/A N/A</v>
        <stp/>
        <stp>BDP|14001360033702798007</stp>
        <tr r="D3444" s="2"/>
      </tp>
      <tp t="s">
        <v>#N/A N/A</v>
        <stp/>
        <stp>BDP|17237203000984026702</stp>
        <tr r="G103" s="2"/>
      </tp>
      <tp t="s">
        <v>#N/A N/A</v>
        <stp/>
        <stp>BDP|10238061715043793442</stp>
        <tr r="G2759" s="2"/>
      </tp>
      <tp t="s">
        <v>#N/A N/A</v>
        <stp/>
        <stp>BDP|16785026303515252567</stp>
        <tr r="G678" s="2"/>
      </tp>
      <tp t="s">
        <v>#N/A N/A</v>
        <stp/>
        <stp>BDP|17605591770756897556</stp>
        <tr r="A3721" s="2"/>
      </tp>
      <tp t="s">
        <v>#N/A N/A</v>
        <stp/>
        <stp>BDP|12245344731817480319</stp>
        <tr r="I2803" s="2"/>
      </tp>
      <tp t="s">
        <v>#N/A N/A</v>
        <stp/>
        <stp>BDP|10170324165143337078</stp>
        <tr r="B2036" s="2"/>
      </tp>
      <tp t="s">
        <v>#N/A N/A</v>
        <stp/>
        <stp>BDP|11633342876672591136</stp>
        <tr r="A1846" s="2"/>
      </tp>
      <tp t="s">
        <v>#N/A N/A</v>
        <stp/>
        <stp>BDP|12046803377882391969</stp>
        <tr r="G2745" s="2"/>
      </tp>
      <tp t="s">
        <v>#N/A N/A</v>
        <stp/>
        <stp>BDP|11051295872940974201</stp>
        <tr r="I4993" s="2"/>
      </tp>
      <tp t="s">
        <v>#N/A N/A</v>
        <stp/>
        <stp>BDP|15550603059888931872</stp>
        <tr r="G3376" s="2"/>
      </tp>
      <tp t="s">
        <v>#N/A N/A</v>
        <stp/>
        <stp>BDP|12786967116184784829</stp>
        <tr r="F3420" s="2"/>
      </tp>
      <tp t="s">
        <v>#N/A N/A</v>
        <stp/>
        <stp>BDP|14281731763690405340</stp>
        <tr r="I2430" s="2"/>
      </tp>
      <tp t="s">
        <v>#N/A N/A</v>
        <stp/>
        <stp>BDP|16922454179025680611</stp>
        <tr r="I2327" s="2"/>
      </tp>
      <tp t="s">
        <v>#N/A N/A</v>
        <stp/>
        <stp>BDP|14317255323803106163</stp>
        <tr r="D728" s="2"/>
      </tp>
      <tp t="s">
        <v>#N/A N/A</v>
        <stp/>
        <stp>BDP|12878603079101634458</stp>
        <tr r="H3961" s="2"/>
      </tp>
      <tp t="s">
        <v>#N/A N/A</v>
        <stp/>
        <stp>BDP|17282682859217457553</stp>
        <tr r="B2117" s="2"/>
      </tp>
      <tp t="s">
        <v>#N/A N/A</v>
        <stp/>
        <stp>BDP|12024753133892733234</stp>
        <tr r="I3383" s="2"/>
      </tp>
      <tp t="s">
        <v>#N/A N/A</v>
        <stp/>
        <stp>BDP|17603732561287765718</stp>
        <tr r="F2374" s="2"/>
      </tp>
      <tp t="s">
        <v>#N/A N/A</v>
        <stp/>
        <stp>BDP|15706186309987629523</stp>
        <tr r="H762" s="2"/>
      </tp>
      <tp t="s">
        <v>#N/A N/A</v>
        <stp/>
        <stp>BDP|10574090108362181471</stp>
        <tr r="H3680" s="2"/>
      </tp>
      <tp t="s">
        <v>#N/A N/A</v>
        <stp/>
        <stp>BDP|17097395776867594280</stp>
        <tr r="I298" s="2"/>
      </tp>
      <tp t="s">
        <v>#N/A N/A</v>
        <stp/>
        <stp>BDP|16867762025204828118</stp>
        <tr r="D3904" s="2"/>
      </tp>
      <tp t="s">
        <v>#N/A N/A</v>
        <stp/>
        <stp>BDP|16005258156257659073</stp>
        <tr r="A974" s="2"/>
      </tp>
      <tp t="s">
        <v>#N/A N/A</v>
        <stp/>
        <stp>BDP|10446252187454087846</stp>
        <tr r="I233" s="2"/>
      </tp>
      <tp t="s">
        <v>#N/A N/A</v>
        <stp/>
        <stp>BDP|16199467617626108334</stp>
        <tr r="D4803" s="2"/>
      </tp>
      <tp t="s">
        <v>#N/A N/A</v>
        <stp/>
        <stp>BDP|10716620691759081062</stp>
        <tr r="G4505" s="2"/>
      </tp>
      <tp t="s">
        <v>#N/A N/A</v>
        <stp/>
        <stp>BDP|12676760820095420469</stp>
        <tr r="H3526" s="2"/>
      </tp>
      <tp t="s">
        <v>#N/A N/A</v>
        <stp/>
        <stp>BDP|11056457429461732099</stp>
        <tr r="H3592" s="2"/>
      </tp>
      <tp t="s">
        <v>#N/A N/A</v>
        <stp/>
        <stp>BDP|12348527460070295719</stp>
        <tr r="A884" s="2"/>
      </tp>
      <tp t="s">
        <v>#N/A N/A</v>
        <stp/>
        <stp>BDP|11009641223260127342</stp>
        <tr r="A254" s="2"/>
      </tp>
      <tp t="s">
        <v>#N/A N/A</v>
        <stp/>
        <stp>BDP|13453132840349115946</stp>
        <tr r="F1694" s="2"/>
      </tp>
      <tp t="s">
        <v>#N/A N/A</v>
        <stp/>
        <stp>BDP|17088144843435586103</stp>
        <tr r="I1994" s="2"/>
      </tp>
      <tp t="s">
        <v>#N/A N/A</v>
        <stp/>
        <stp>BDP|14535584669606163774</stp>
        <tr r="I816" s="2"/>
      </tp>
      <tp t="s">
        <v>#N/A N/A</v>
        <stp/>
        <stp>BDP|17190126516543483231</stp>
        <tr r="I2817" s="2"/>
      </tp>
      <tp t="s">
        <v>#N/A N/A</v>
        <stp/>
        <stp>BDP|11463516631412128374</stp>
        <tr r="C784" s="2"/>
      </tp>
      <tp t="s">
        <v>#N/A N/A</v>
        <stp/>
        <stp>BDP|13261073811341532537</stp>
        <tr r="G1465" s="2"/>
      </tp>
      <tp t="s">
        <v>#N/A N/A</v>
        <stp/>
        <stp>BDP|12819224544655881749</stp>
        <tr r="B862" s="2"/>
      </tp>
      <tp t="s">
        <v>#N/A N/A</v>
        <stp/>
        <stp>BDP|15967882932079901186</stp>
        <tr r="G4413" s="2"/>
      </tp>
      <tp t="s">
        <v>#N/A N/A</v>
        <stp/>
        <stp>BDP|18232631798073848234</stp>
        <tr r="G3314" s="2"/>
      </tp>
      <tp t="s">
        <v>#N/A N/A</v>
        <stp/>
        <stp>BDP|11477140628605845127</stp>
        <tr r="F16" s="2"/>
      </tp>
      <tp t="s">
        <v>#N/A N/A</v>
        <stp/>
        <stp>BDP|10213140395798619675</stp>
        <tr r="I4688" s="2"/>
      </tp>
      <tp t="s">
        <v>#N/A N/A</v>
        <stp/>
        <stp>BDP|14455626435681477653</stp>
        <tr r="B4302" s="2"/>
      </tp>
      <tp t="s">
        <v>#N/A N/A</v>
        <stp/>
        <stp>BDP|12097100533895443354</stp>
        <tr r="C2452" s="2"/>
      </tp>
      <tp t="s">
        <v>#N/A N/A</v>
        <stp/>
        <stp>BDP|16805076208565356567</stp>
        <tr r="D2007" s="2"/>
      </tp>
      <tp t="s">
        <v>#N/A N/A</v>
        <stp/>
        <stp>BDP|16446421033576138163</stp>
        <tr r="B2889" s="2"/>
      </tp>
      <tp t="s">
        <v>#N/A N/A</v>
        <stp/>
        <stp>BDP|14930013353821089690</stp>
        <tr r="D1990" s="2"/>
      </tp>
      <tp t="s">
        <v>#N/A N/A</v>
        <stp/>
        <stp>BDP|10480136933405132179</stp>
        <tr r="C3974" s="2"/>
      </tp>
      <tp t="s">
        <v>#N/A N/A</v>
        <stp/>
        <stp>BDP|14099672974727087414</stp>
        <tr r="F1842" s="2"/>
      </tp>
      <tp t="s">
        <v>#N/A N/A</v>
        <stp/>
        <stp>BDP|14150213422706017400</stp>
        <tr r="D2064" s="2"/>
      </tp>
      <tp t="s">
        <v>#N/A N/A</v>
        <stp/>
        <stp>BDP|13968482104269200851</stp>
        <tr r="F3379" s="2"/>
      </tp>
      <tp t="s">
        <v>#N/A N/A</v>
        <stp/>
        <stp>BDP|12108297559393735040</stp>
        <tr r="D2911" s="2"/>
      </tp>
      <tp t="s">
        <v>#N/A N/A</v>
        <stp/>
        <stp>BDP|11648443269121955405</stp>
        <tr r="G3471" s="2"/>
      </tp>
      <tp t="s">
        <v>#N/A N/A</v>
        <stp/>
        <stp>BDP|14687350059986156292</stp>
        <tr r="F3699" s="2"/>
      </tp>
      <tp t="s">
        <v>#N/A N/A</v>
        <stp/>
        <stp>BDP|14187211117829621835</stp>
        <tr r="G866" s="2"/>
      </tp>
      <tp t="s">
        <v>#N/A N/A</v>
        <stp/>
        <stp>BDP|10064619103929853985</stp>
        <tr r="H4863" s="2"/>
      </tp>
      <tp t="s">
        <v>#N/A N/A</v>
        <stp/>
        <stp>BDP|12292729615504077674</stp>
        <tr r="F724" s="2"/>
      </tp>
      <tp t="s">
        <v>#N/A N/A</v>
        <stp/>
        <stp>BDP|10463062821143033713</stp>
        <tr r="C3348" s="2"/>
      </tp>
      <tp t="s">
        <v>#N/A N/A</v>
        <stp/>
        <stp>BDP|16760654524897492306</stp>
        <tr r="B1635" s="2"/>
      </tp>
      <tp t="s">
        <v>#N/A N/A</v>
        <stp/>
        <stp>BDP|10436877565701306976</stp>
        <tr r="B4133" s="2"/>
      </tp>
      <tp t="s">
        <v>#N/A N/A</v>
        <stp/>
        <stp>BDP|17695078553422003600</stp>
        <tr r="A3452" s="2"/>
      </tp>
      <tp t="s">
        <v>#N/A N/A</v>
        <stp/>
        <stp>BDP|10273562897039358325</stp>
        <tr r="B1101" s="2"/>
      </tp>
      <tp t="s">
        <v>#N/A N/A</v>
        <stp/>
        <stp>BDP|16671618147076085422</stp>
        <tr r="A3731" s="2"/>
      </tp>
      <tp t="s">
        <v>#N/A N/A</v>
        <stp/>
        <stp>BDP|14845103533149979905</stp>
        <tr r="F2164" s="2"/>
      </tp>
      <tp t="s">
        <v>#N/A N/A</v>
        <stp/>
        <stp>BDP|18431266088797041382</stp>
        <tr r="H4362" s="2"/>
      </tp>
      <tp t="s">
        <v>#N/A N/A</v>
        <stp/>
        <stp>BDP|10364575256653639562</stp>
        <tr r="C704" s="2"/>
      </tp>
      <tp t="s">
        <v>#N/A N/A</v>
        <stp/>
        <stp>BDP|17227108734131365279</stp>
        <tr r="A3251" s="2"/>
      </tp>
      <tp t="s">
        <v>#N/A N/A</v>
        <stp/>
        <stp>BDP|10062336634023475513</stp>
        <tr r="A3955" s="2"/>
      </tp>
      <tp t="s">
        <v>#N/A N/A</v>
        <stp/>
        <stp>BDP|15791569022173193773</stp>
        <tr r="D4400" s="2"/>
      </tp>
      <tp t="s">
        <v>#N/A N/A</v>
        <stp/>
        <stp>BDP|18291595402658455384</stp>
        <tr r="B2671" s="2"/>
      </tp>
      <tp t="s">
        <v>#N/A N/A</v>
        <stp/>
        <stp>BDP|10700127472512501279</stp>
        <tr r="D3556" s="2"/>
      </tp>
      <tp t="s">
        <v>#N/A N/A</v>
        <stp/>
        <stp>BDP|16100215452956235154</stp>
        <tr r="B3125" s="2"/>
      </tp>
      <tp t="s">
        <v>#N/A N/A</v>
        <stp/>
        <stp>BDP|15931523397877163885</stp>
        <tr r="C4834" s="2"/>
      </tp>
      <tp t="s">
        <v>#N/A N/A</v>
        <stp/>
        <stp>BDP|15962494052307132569</stp>
        <tr r="B4326" s="2"/>
      </tp>
      <tp t="s">
        <v>#N/A N/A</v>
        <stp/>
        <stp>BDP|16894108511691587195</stp>
        <tr r="I4640" s="2"/>
      </tp>
      <tp t="s">
        <v>#N/A N/A</v>
        <stp/>
        <stp>BDP|13904595373397781017</stp>
        <tr r="I4891" s="2"/>
      </tp>
      <tp t="s">
        <v>#N/A N/A</v>
        <stp/>
        <stp>BDP|17575019536231437336</stp>
        <tr r="F2182" s="2"/>
      </tp>
      <tp t="s">
        <v>#N/A N/A</v>
        <stp/>
        <stp>BDP|15327207677373361529</stp>
        <tr r="B567" s="2"/>
      </tp>
      <tp t="s">
        <v>#N/A N/A</v>
        <stp/>
        <stp>BDP|14689562474596535645</stp>
        <tr r="H4039" s="2"/>
      </tp>
      <tp t="s">
        <v>#N/A N/A</v>
        <stp/>
        <stp>BDP|16783559340697099677</stp>
        <tr r="A4504" s="2"/>
      </tp>
      <tp t="s">
        <v>#N/A N/A</v>
        <stp/>
        <stp>BDP|15430500604830236671</stp>
        <tr r="B4663" s="2"/>
      </tp>
      <tp t="s">
        <v>#N/A N/A</v>
        <stp/>
        <stp>BDP|11234203372344191643</stp>
        <tr r="A4824" s="2"/>
      </tp>
      <tp t="s">
        <v>#N/A N/A</v>
        <stp/>
        <stp>BDP|16193915496989642959</stp>
        <tr r="H3483" s="2"/>
      </tp>
      <tp t="s">
        <v>#N/A N/A</v>
        <stp/>
        <stp>BDP|15481407967704441524</stp>
        <tr r="B1841" s="2"/>
      </tp>
      <tp t="s">
        <v>#N/A N/A</v>
        <stp/>
        <stp>BDP|16758129571263112507</stp>
        <tr r="C2539" s="2"/>
      </tp>
      <tp t="s">
        <v>#N/A N/A</v>
        <stp/>
        <stp>BDP|17929488440109268865</stp>
        <tr r="D2438" s="2"/>
      </tp>
      <tp t="s">
        <v>#N/A N/A</v>
        <stp/>
        <stp>BDP|17713460013852182669</stp>
        <tr r="H4623" s="2"/>
      </tp>
      <tp t="s">
        <v>#N/A N/A</v>
        <stp/>
        <stp>BDP|12034535876062398437</stp>
        <tr r="G3802" s="2"/>
      </tp>
      <tp t="s">
        <v>#N/A N/A</v>
        <stp/>
        <stp>BDP|13126627500470686301</stp>
        <tr r="C3902" s="2"/>
      </tp>
      <tp t="s">
        <v>#N/A N/A</v>
        <stp/>
        <stp>BDP|13056773700494240609</stp>
        <tr r="A1937" s="2"/>
      </tp>
      <tp t="s">
        <v>#N/A N/A</v>
        <stp/>
        <stp>BDP|10874010731587940249</stp>
        <tr r="F2040" s="2"/>
      </tp>
      <tp t="s">
        <v>#N/A N/A</v>
        <stp/>
        <stp>BDP|15513368917783066217</stp>
        <tr r="H4636" s="2"/>
      </tp>
      <tp t="s">
        <v>#N/A N/A</v>
        <stp/>
        <stp>BDP|11576969740928315259</stp>
        <tr r="A4967" s="2"/>
      </tp>
      <tp t="s">
        <v>#N/A N/A</v>
        <stp/>
        <stp>BDP|15126675356952356264</stp>
        <tr r="B1477" s="2"/>
      </tp>
      <tp t="s">
        <v>#N/A N/A</v>
        <stp/>
        <stp>BDP|18108652660976262833</stp>
        <tr r="A3318" s="2"/>
      </tp>
      <tp t="s">
        <v>#N/A N/A</v>
        <stp/>
        <stp>BDP|17584608970712489241</stp>
        <tr r="C4321" s="2"/>
      </tp>
      <tp t="s">
        <v>#N/A N/A</v>
        <stp/>
        <stp>BDP|13170805935438488650</stp>
        <tr r="F3522" s="2"/>
      </tp>
      <tp t="s">
        <v>#N/A N/A</v>
        <stp/>
        <stp>BDP|12384349675794182463</stp>
        <tr r="B1663" s="2"/>
      </tp>
      <tp t="s">
        <v>#N/A N/A</v>
        <stp/>
        <stp>BDP|11283752068171265780</stp>
        <tr r="B3145" s="2"/>
      </tp>
      <tp t="s">
        <v>#N/A N/A</v>
        <stp/>
        <stp>BDP|12739568461254149340</stp>
        <tr r="I1010" s="2"/>
      </tp>
      <tp t="s">
        <v>#N/A N/A</v>
        <stp/>
        <stp>BDP|13356254321903024627</stp>
        <tr r="F3746" s="2"/>
      </tp>
      <tp t="s">
        <v>#N/A N/A</v>
        <stp/>
        <stp>BDP|11348936995812854583</stp>
        <tr r="G4909" s="2"/>
      </tp>
      <tp t="s">
        <v>#N/A N/A</v>
        <stp/>
        <stp>BDP|11046432907201619279</stp>
        <tr r="B3635" s="2"/>
      </tp>
      <tp t="s">
        <v>#N/A N/A</v>
        <stp/>
        <stp>BDP|16836091638692988150</stp>
        <tr r="B3968" s="2"/>
      </tp>
      <tp t="s">
        <v>#N/A N/A</v>
        <stp/>
        <stp>BDP|13623940237839522654</stp>
        <tr r="H4203" s="2"/>
      </tp>
      <tp t="s">
        <v>#N/A N/A</v>
        <stp/>
        <stp>BDP|14914916646199956620</stp>
        <tr r="C715" s="2"/>
      </tp>
      <tp t="s">
        <v>#N/A N/A</v>
        <stp/>
        <stp>BDP|12188271011600797755</stp>
        <tr r="G640" s="2"/>
      </tp>
      <tp t="s">
        <v>#N/A N/A</v>
        <stp/>
        <stp>BDP|17121744040713052107</stp>
        <tr r="F4495" s="2"/>
      </tp>
      <tp t="s">
        <v>#N/A N/A</v>
        <stp/>
        <stp>BDP|16034450840915010509</stp>
        <tr r="H4747" s="2"/>
      </tp>
      <tp t="s">
        <v>#N/A N/A</v>
        <stp/>
        <stp>BDP|15857870099647389509</stp>
        <tr r="A441" s="2"/>
      </tp>
      <tp t="s">
        <v>#N/A N/A</v>
        <stp/>
        <stp>BDP|14126046222380039026</stp>
        <tr r="C3971" s="2"/>
      </tp>
      <tp t="s">
        <v>#N/A N/A</v>
        <stp/>
        <stp>BDP|17299342008842229093</stp>
        <tr r="H4762" s="2"/>
      </tp>
      <tp t="s">
        <v>#N/A N/A</v>
        <stp/>
        <stp>BDP|14713041534624704554</stp>
        <tr r="B3720" s="2"/>
      </tp>
      <tp t="s">
        <v>#N/A N/A</v>
        <stp/>
        <stp>BDP|17319517950781755005</stp>
        <tr r="A3759" s="2"/>
      </tp>
      <tp t="s">
        <v>#N/A N/A</v>
        <stp/>
        <stp>BDP|14707302746160019543</stp>
        <tr r="D1198" s="2"/>
      </tp>
      <tp t="s">
        <v>#N/A N/A</v>
        <stp/>
        <stp>BDP|17292377874937507216</stp>
        <tr r="G2456" s="2"/>
      </tp>
      <tp t="s">
        <v>#N/A N/A</v>
        <stp/>
        <stp>BDP|11010256186759720413</stp>
        <tr r="B3582" s="2"/>
      </tp>
      <tp t="s">
        <v>#N/A N/A</v>
        <stp/>
        <stp>BDP|17295206026901151002</stp>
        <tr r="D4063" s="2"/>
      </tp>
      <tp t="s">
        <v>#N/A N/A</v>
        <stp/>
        <stp>BDP|10414626838790202391</stp>
        <tr r="H41" s="2"/>
      </tp>
      <tp t="s">
        <v>#N/A N/A</v>
        <stp/>
        <stp>BDP|13533492523063806020</stp>
        <tr r="F153" s="2"/>
      </tp>
      <tp t="s">
        <v>#N/A N/A</v>
        <stp/>
        <stp>BDP|17159271200483660057</stp>
        <tr r="F1688" s="2"/>
      </tp>
      <tp t="s">
        <v>#N/A N/A</v>
        <stp/>
        <stp>BDP|18200700752859291570</stp>
        <tr r="I1405" s="2"/>
      </tp>
      <tp t="s">
        <v>#N/A N/A</v>
        <stp/>
        <stp>BDP|17417840014540451850</stp>
        <tr r="D3459" s="2"/>
      </tp>
      <tp t="s">
        <v>#N/A N/A</v>
        <stp/>
        <stp>BDP|11834085013601569736</stp>
        <tr r="B3709" s="2"/>
      </tp>
      <tp t="s">
        <v>#N/A N/A</v>
        <stp/>
        <stp>BDP|14635620020591130705</stp>
        <tr r="H3489" s="2"/>
      </tp>
      <tp t="s">
        <v>#N/A N/A</v>
        <stp/>
        <stp>BDP|15520564861324343441</stp>
        <tr r="D2545" s="2"/>
      </tp>
      <tp t="s">
        <v>#N/A N/A</v>
        <stp/>
        <stp>BDP|12455478924996121436</stp>
        <tr r="C2335" s="2"/>
      </tp>
      <tp t="s">
        <v>#N/A N/A</v>
        <stp/>
        <stp>BDP|13153653337705404521</stp>
        <tr r="A4439" s="2"/>
      </tp>
      <tp t="s">
        <v>#N/A N/A</v>
        <stp/>
        <stp>BDP|13755747200075139776</stp>
        <tr r="D1742" s="2"/>
      </tp>
      <tp t="s">
        <v>#N/A N/A</v>
        <stp/>
        <stp>BDP|17901193896269176021</stp>
        <tr r="G2869" s="2"/>
      </tp>
      <tp t="s">
        <v>#N/A N/A</v>
        <stp/>
        <stp>BDP|16973262974290787598</stp>
        <tr r="B286" s="2"/>
      </tp>
      <tp t="s">
        <v>#N/A N/A</v>
        <stp/>
        <stp>BDP|15914929689064183667</stp>
        <tr r="D4014" s="2"/>
      </tp>
      <tp t="s">
        <v>#N/A N/A</v>
        <stp/>
        <stp>BDP|12367126152635393558</stp>
        <tr r="I2357" s="2"/>
      </tp>
      <tp t="s">
        <v>#N/A N/A</v>
        <stp/>
        <stp>BDP|17954764678668522972</stp>
        <tr r="I157" s="2"/>
      </tp>
      <tp t="s">
        <v>#N/A N/A</v>
        <stp/>
        <stp>BDP|18077990743744702787</stp>
        <tr r="B3623" s="2"/>
      </tp>
      <tp t="s">
        <v>#N/A N/A</v>
        <stp/>
        <stp>BDP|13337339649676884443</stp>
        <tr r="H800" s="2"/>
      </tp>
      <tp t="s">
        <v>#N/A N/A</v>
        <stp/>
        <stp>BDP|16151129102812139351</stp>
        <tr r="A4328" s="2"/>
      </tp>
      <tp t="s">
        <v>#N/A N/A</v>
        <stp/>
        <stp>BDP|15049108953867143076</stp>
        <tr r="F2091" s="2"/>
      </tp>
      <tp t="s">
        <v>#N/A N/A</v>
        <stp/>
        <stp>BDP|10257034935490130500</stp>
        <tr r="C3071" s="2"/>
      </tp>
      <tp t="s">
        <v>#N/A N/A</v>
        <stp/>
        <stp>BDP|15608674461720528307</stp>
        <tr r="G4912" s="2"/>
      </tp>
      <tp t="s">
        <v>#N/A N/A</v>
        <stp/>
        <stp>BDP|15979889162065298841</stp>
        <tr r="H2910" s="2"/>
      </tp>
      <tp t="s">
        <v>#N/A N/A</v>
        <stp/>
        <stp>BDP|11365880760041777897</stp>
        <tr r="B1671" s="2"/>
      </tp>
      <tp t="s">
        <v>#N/A N/A</v>
        <stp/>
        <stp>BDP|11761300386454319876</stp>
        <tr r="D2158" s="2"/>
      </tp>
      <tp t="s">
        <v>#N/A N/A</v>
        <stp/>
        <stp>BDP|17634917072867097800</stp>
        <tr r="I997" s="2"/>
      </tp>
      <tp t="s">
        <v>#N/A N/A</v>
        <stp/>
        <stp>BDP|17745691348904703749</stp>
        <tr r="C2870" s="2"/>
      </tp>
      <tp t="s">
        <v>#N/A N/A</v>
        <stp/>
        <stp>BDP|13941830409655426825</stp>
        <tr r="F710" s="2"/>
      </tp>
      <tp t="s">
        <v>#N/A N/A</v>
        <stp/>
        <stp>BDP|11543391559553133216</stp>
        <tr r="G2175" s="2"/>
      </tp>
      <tp t="s">
        <v>#N/A N/A</v>
        <stp/>
        <stp>BDP|13705773714634072717</stp>
        <tr r="D1359" s="2"/>
      </tp>
      <tp t="s">
        <v>#N/A N/A</v>
        <stp/>
        <stp>BDP|17293452442877633665</stp>
        <tr r="B4059" s="2"/>
      </tp>
      <tp t="s">
        <v>#N/A N/A</v>
        <stp/>
        <stp>BDP|16631453516326754373</stp>
        <tr r="H2141" s="2"/>
      </tp>
      <tp t="s">
        <v>#N/A N/A</v>
        <stp/>
        <stp>BDP|16791917592402976288</stp>
        <tr r="D1571" s="2"/>
      </tp>
      <tp t="s">
        <v>#N/A N/A</v>
        <stp/>
        <stp>BDP|11063627929445724693</stp>
        <tr r="D4898" s="2"/>
      </tp>
      <tp t="s">
        <v>#N/A N/A</v>
        <stp/>
        <stp>BDP|11635054017087677174</stp>
        <tr r="H1025" s="2"/>
      </tp>
      <tp t="s">
        <v>#N/A N/A</v>
        <stp/>
        <stp>BDP|17088434107864585148</stp>
        <tr r="I4250" s="2"/>
      </tp>
      <tp t="s">
        <v>#N/A N/A</v>
        <stp/>
        <stp>BDP|12909183229384422396</stp>
        <tr r="D1951" s="2"/>
      </tp>
      <tp t="s">
        <v>#N/A N/A</v>
        <stp/>
        <stp>BDP|13246544747145115154</stp>
        <tr r="B820" s="2"/>
      </tp>
      <tp t="s">
        <v>#N/A N/A</v>
        <stp/>
        <stp>BDP|17100447657830729016</stp>
        <tr r="H2634" s="2"/>
      </tp>
      <tp t="s">
        <v>#N/A N/A</v>
        <stp/>
        <stp>BDP|13372421379074859248</stp>
        <tr r="C4528" s="2"/>
      </tp>
      <tp t="s">
        <v>#N/A N/A</v>
        <stp/>
        <stp>BDP|13581465740211268452</stp>
        <tr r="C3172" s="2"/>
      </tp>
      <tp t="s">
        <v>#N/A N/A</v>
        <stp/>
        <stp>BDP|17578065870934251255</stp>
        <tr r="F1073" s="2"/>
      </tp>
      <tp t="s">
        <v>#N/A N/A</v>
        <stp/>
        <stp>BDP|13364731357492483571</stp>
        <tr r="D1514" s="2"/>
      </tp>
      <tp t="s">
        <v>#N/A N/A</v>
        <stp/>
        <stp>BDP|10578624252427444259</stp>
        <tr r="B1594" s="2"/>
      </tp>
      <tp t="s">
        <v>#N/A N/A</v>
        <stp/>
        <stp>BDP|10315079728824039089</stp>
        <tr r="H1403" s="2"/>
      </tp>
      <tp t="s">
        <v>#N/A N/A</v>
        <stp/>
        <stp>BDP|18393876223557674357</stp>
        <tr r="D41" s="2"/>
      </tp>
      <tp t="s">
        <v>#N/A N/A</v>
        <stp/>
        <stp>BDP|10182058362098384811</stp>
        <tr r="C4879" s="2"/>
      </tp>
      <tp t="s">
        <v>#N/A N/A</v>
        <stp/>
        <stp>BDP|13704066363390451329</stp>
        <tr r="B1934" s="2"/>
      </tp>
      <tp t="s">
        <v>#N/A N/A</v>
        <stp/>
        <stp>BDP|13704172585808748467</stp>
        <tr r="I1296" s="2"/>
      </tp>
      <tp t="s">
        <v>#N/A N/A</v>
        <stp/>
        <stp>BDP|10306868905288040647</stp>
        <tr r="F2866" s="2"/>
      </tp>
      <tp t="s">
        <v>#N/A N/A</v>
        <stp/>
        <stp>BDP|11100329327505434346</stp>
        <tr r="A489" s="2"/>
      </tp>
      <tp t="s">
        <v>#N/A N/A</v>
        <stp/>
        <stp>BDP|14492584041725112682</stp>
        <tr r="B679" s="2"/>
      </tp>
      <tp t="s">
        <v>#N/A N/A</v>
        <stp/>
        <stp>BDP|12028452332853397009</stp>
        <tr r="I4149" s="2"/>
      </tp>
      <tp t="s">
        <v>#N/A N/A</v>
        <stp/>
        <stp>BDP|18200240095496651319</stp>
        <tr r="G3600" s="2"/>
      </tp>
      <tp t="s">
        <v>#N/A N/A</v>
        <stp/>
        <stp>BDP|11068012705911544651</stp>
        <tr r="G876" s="2"/>
      </tp>
      <tp t="s">
        <v>#N/A N/A</v>
        <stp/>
        <stp>BDP|13478646300145789630</stp>
        <tr r="C4475" s="2"/>
      </tp>
      <tp t="s">
        <v>#N/A N/A</v>
        <stp/>
        <stp>BDP|16106024666647432159</stp>
        <tr r="D3655" s="2"/>
      </tp>
      <tp t="s">
        <v>#N/A N/A</v>
        <stp/>
        <stp>BDP|13785061716296468275</stp>
        <tr r="B3311" s="2"/>
      </tp>
      <tp t="s">
        <v>#N/A N/A</v>
        <stp/>
        <stp>BDP|11418436433681906199</stp>
        <tr r="F3004" s="2"/>
      </tp>
      <tp t="s">
        <v>#N/A N/A</v>
        <stp/>
        <stp>BDP|18150319116399516571</stp>
        <tr r="H2412" s="2"/>
      </tp>
      <tp t="s">
        <v>#N/A N/A</v>
        <stp/>
        <stp>BDP|18288665070607551851</stp>
        <tr r="B3777" s="2"/>
      </tp>
      <tp t="s">
        <v>#N/A N/A</v>
        <stp/>
        <stp>BDP|11744479545215478257</stp>
        <tr r="G3430" s="2"/>
      </tp>
      <tp t="s">
        <v>#N/A N/A</v>
        <stp/>
        <stp>BDP|10069060373903141204</stp>
        <tr r="I4561" s="2"/>
      </tp>
      <tp t="s">
        <v>#N/A N/A</v>
        <stp/>
        <stp>BDP|17928694704962933593</stp>
        <tr r="B4366" s="2"/>
      </tp>
      <tp t="s">
        <v>#N/A N/A</v>
        <stp/>
        <stp>BDP|15464543022152126679</stp>
        <tr r="G608" s="2"/>
      </tp>
      <tp t="s">
        <v>#N/A N/A</v>
        <stp/>
        <stp>BDP|10733509002763623070</stp>
        <tr r="C3229" s="2"/>
      </tp>
      <tp t="s">
        <v>#N/A N/A</v>
        <stp/>
        <stp>BDP|17708078775131912786</stp>
        <tr r="A3604" s="2"/>
      </tp>
      <tp t="s">
        <v>#N/A N/A</v>
        <stp/>
        <stp>BDP|10990365004831628498</stp>
        <tr r="C360" s="2"/>
      </tp>
      <tp t="s">
        <v>#N/A N/A</v>
        <stp/>
        <stp>BDP|13210261751826043412</stp>
        <tr r="F1288" s="2"/>
      </tp>
      <tp t="s">
        <v>#N/A N/A</v>
        <stp/>
        <stp>BDP|16008238516376909585</stp>
        <tr r="A4109" s="2"/>
      </tp>
      <tp t="s">
        <v>#N/A N/A</v>
        <stp/>
        <stp>BDP|12987420301305666583</stp>
        <tr r="A440" s="2"/>
      </tp>
      <tp t="s">
        <v>#N/A N/A</v>
        <stp/>
        <stp>BDP|16449258655164677367</stp>
        <tr r="G2897" s="2"/>
      </tp>
      <tp t="s">
        <v>#N/A N/A</v>
        <stp/>
        <stp>BDP|16243746686559529618</stp>
        <tr r="C2966" s="2"/>
      </tp>
      <tp t="s">
        <v>#N/A N/A</v>
        <stp/>
        <stp>BDP|12658590202227022698</stp>
        <tr r="G3145" s="2"/>
      </tp>
      <tp t="s">
        <v>#N/A N/A</v>
        <stp/>
        <stp>BDP|15752089675145995179</stp>
        <tr r="C222" s="2"/>
      </tp>
      <tp t="s">
        <v>#N/A N/A</v>
        <stp/>
        <stp>BDP|16404048554605224021</stp>
        <tr r="I3453" s="2"/>
      </tp>
      <tp t="s">
        <v>#N/A N/A</v>
        <stp/>
        <stp>BDP|16193005702374223450</stp>
        <tr r="A4872" s="2"/>
      </tp>
      <tp t="s">
        <v>#N/A N/A</v>
        <stp/>
        <stp>BDP|18180813661859097956</stp>
        <tr r="I3847" s="2"/>
      </tp>
      <tp t="s">
        <v>#N/A N/A</v>
        <stp/>
        <stp>BDP|18303723321019573218</stp>
        <tr r="G3543" s="2"/>
      </tp>
      <tp t="s">
        <v>#N/A N/A</v>
        <stp/>
        <stp>BDP|13995428808950283153</stp>
        <tr r="H4676" s="2"/>
      </tp>
      <tp t="s">
        <v>#N/A N/A</v>
        <stp/>
        <stp>BDP|17100836772089644721</stp>
        <tr r="F151" s="2"/>
      </tp>
      <tp t="s">
        <v>#N/A N/A</v>
        <stp/>
        <stp>BDP|11270143067243151340</stp>
        <tr r="B4579" s="2"/>
      </tp>
      <tp t="s">
        <v>#N/A N/A</v>
        <stp/>
        <stp>BDP|14251736401023532613</stp>
        <tr r="B3915" s="2"/>
      </tp>
      <tp t="s">
        <v>#N/A N/A</v>
        <stp/>
        <stp>BDP|10410394828484324321</stp>
        <tr r="H1500" s="2"/>
      </tp>
      <tp t="s">
        <v>#N/A N/A</v>
        <stp/>
        <stp>BDP|18235230459750433985</stp>
        <tr r="F2735" s="2"/>
      </tp>
      <tp t="s">
        <v>#N/A N/A</v>
        <stp/>
        <stp>BDP|16552837422533953990</stp>
        <tr r="G2970" s="2"/>
      </tp>
      <tp t="s">
        <v>#N/A N/A</v>
        <stp/>
        <stp>BDP|16255543352082701277</stp>
        <tr r="G2555" s="2"/>
      </tp>
      <tp t="s">
        <v>#N/A N/A</v>
        <stp/>
        <stp>BDP|16438646621041765522</stp>
        <tr r="G436" s="2"/>
      </tp>
      <tp t="s">
        <v>#N/A N/A</v>
        <stp/>
        <stp>BDP|15752166873077763214</stp>
        <tr r="C1306" s="2"/>
      </tp>
      <tp t="s">
        <v>#N/A N/A</v>
        <stp/>
        <stp>BDP|16921033443783415796</stp>
        <tr r="F3576" s="2"/>
      </tp>
      <tp t="s">
        <v>#N/A N/A</v>
        <stp/>
        <stp>BDP|12464318006590537729</stp>
        <tr r="A3173" s="2"/>
      </tp>
      <tp t="s">
        <v>#N/A N/A</v>
        <stp/>
        <stp>BDP|10145352175293249171</stp>
        <tr r="B3112" s="2"/>
      </tp>
      <tp t="s">
        <v>#N/A N/A</v>
        <stp/>
        <stp>BDP|12781869357651676841</stp>
        <tr r="A2474" s="2"/>
      </tp>
      <tp t="s">
        <v>#N/A N/A</v>
        <stp/>
        <stp>BDP|11764578553883649413</stp>
        <tr r="G2447" s="2"/>
      </tp>
      <tp t="s">
        <v>#N/A N/A</v>
        <stp/>
        <stp>BDP|14981527636837044392</stp>
        <tr r="H467" s="2"/>
      </tp>
      <tp t="s">
        <v>#N/A N/A</v>
        <stp/>
        <stp>BDP|11308737950903783637</stp>
        <tr r="D2426" s="2"/>
      </tp>
      <tp t="s">
        <v>#N/A N/A</v>
        <stp/>
        <stp>BDP|10831352929343161414</stp>
        <tr r="C2519" s="2"/>
      </tp>
      <tp t="s">
        <v>#N/A N/A</v>
        <stp/>
        <stp>BDP|12935179001997217292</stp>
        <tr r="I2766" s="2"/>
      </tp>
      <tp t="s">
        <v>#N/A N/A</v>
        <stp/>
        <stp>BDP|14589930207598547309</stp>
        <tr r="I1701" s="2"/>
      </tp>
      <tp t="s">
        <v>#N/A N/A</v>
        <stp/>
        <stp>BDP|16109369076212184644</stp>
        <tr r="B2659" s="2"/>
      </tp>
      <tp t="s">
        <v>#N/A N/A</v>
        <stp/>
        <stp>BDP|16630741827764232131</stp>
        <tr r="G2842" s="2"/>
      </tp>
      <tp t="s">
        <v>#N/A N/A</v>
        <stp/>
        <stp>BDP|12007194354384083498</stp>
        <tr r="A634" s="2"/>
      </tp>
      <tp t="s">
        <v>#N/A N/A</v>
        <stp/>
        <stp>BDP|10242610924937396503</stp>
        <tr r="B1078" s="2"/>
      </tp>
      <tp t="s">
        <v>#N/A N/A</v>
        <stp/>
        <stp>BDP|10705264231193337471</stp>
        <tr r="C3551" s="2"/>
      </tp>
      <tp t="s">
        <v>#N/A N/A</v>
        <stp/>
        <stp>BDP|13428274860005589429</stp>
        <tr r="F4630" s="2"/>
      </tp>
      <tp t="s">
        <v>#N/A N/A</v>
        <stp/>
        <stp>BDP|11237204108086935373</stp>
        <tr r="G3056" s="2"/>
      </tp>
      <tp t="s">
        <v>#N/A N/A</v>
        <stp/>
        <stp>BDP|15298354581901308913</stp>
        <tr r="B2909" s="2"/>
      </tp>
      <tp t="s">
        <v>#N/A N/A</v>
        <stp/>
        <stp>BDP|10048253406290743406</stp>
        <tr r="A1919" s="2"/>
      </tp>
      <tp t="s">
        <v>#N/A N/A</v>
        <stp/>
        <stp>BDP|12377977581081867490</stp>
        <tr r="G4527" s="2"/>
      </tp>
      <tp t="s">
        <v>#N/A N/A</v>
        <stp/>
        <stp>BDP|12783353803330483716</stp>
        <tr r="F4904" s="2"/>
      </tp>
      <tp t="s">
        <v>#N/A N/A</v>
        <stp/>
        <stp>BDP|18431026681784365202</stp>
        <tr r="D2546" s="2"/>
      </tp>
      <tp t="s">
        <v>#N/A N/A</v>
        <stp/>
        <stp>BDP|12405272966942149209</stp>
        <tr r="G1266" s="2"/>
      </tp>
      <tp t="s">
        <v>#N/A N/A</v>
        <stp/>
        <stp>BDP|10060694751722505793</stp>
        <tr r="D3451" s="2"/>
      </tp>
      <tp t="s">
        <v>#N/A N/A</v>
        <stp/>
        <stp>BDP|14448047324924659469</stp>
        <tr r="I345" s="2"/>
      </tp>
      <tp t="s">
        <v>#N/A N/A</v>
        <stp/>
        <stp>BDP|16831068500846260683</stp>
        <tr r="F4388" s="2"/>
      </tp>
      <tp t="s">
        <v>#N/A N/A</v>
        <stp/>
        <stp>BDP|10463352970806787421</stp>
        <tr r="D3513" s="2"/>
      </tp>
      <tp t="s">
        <v>#N/A N/A</v>
        <stp/>
        <stp>BDP|16252518642980263177</stp>
        <tr r="G4651" s="2"/>
      </tp>
      <tp t="s">
        <v>#N/A N/A</v>
        <stp/>
        <stp>BDP|12209854393836901399</stp>
        <tr r="I1853" s="2"/>
      </tp>
      <tp t="s">
        <v>#N/A N/A</v>
        <stp/>
        <stp>BDP|16712949766999307624</stp>
        <tr r="B3745" s="2"/>
      </tp>
      <tp t="s">
        <v>#N/A N/A</v>
        <stp/>
        <stp>BDP|16369027045482024602</stp>
        <tr r="A4106" s="2"/>
      </tp>
      <tp t="s">
        <v>#N/A N/A</v>
        <stp/>
        <stp>BDP|10032173526496589309</stp>
        <tr r="G4632" s="2"/>
      </tp>
      <tp t="s">
        <v>#N/A N/A</v>
        <stp/>
        <stp>BDP|15721774722847335158</stp>
        <tr r="F3557" s="2"/>
      </tp>
      <tp t="s">
        <v>#N/A N/A</v>
        <stp/>
        <stp>BDP|16139748863784099520</stp>
        <tr r="A2439" s="2"/>
      </tp>
      <tp t="s">
        <v>#N/A N/A</v>
        <stp/>
        <stp>BDP|10092126822613058649</stp>
        <tr r="F4766" s="2"/>
      </tp>
      <tp t="s">
        <v>#N/A N/A</v>
        <stp/>
        <stp>BDP|17042172406362553205</stp>
        <tr r="B3220" s="2"/>
      </tp>
      <tp t="s">
        <v>#N/A N/A</v>
        <stp/>
        <stp>BDP|10126200637260144731</stp>
        <tr r="D1850" s="2"/>
      </tp>
      <tp t="s">
        <v>#N/A N/A</v>
        <stp/>
        <stp>BDP|16779304471755154135</stp>
        <tr r="C4826" s="2"/>
      </tp>
      <tp t="s">
        <v>#N/A N/A</v>
        <stp/>
        <stp>BDP|12223452886410390869</stp>
        <tr r="F3478" s="2"/>
      </tp>
      <tp t="s">
        <v>#N/A N/A</v>
        <stp/>
        <stp>BDP|14230950444798277757</stp>
        <tr r="F446" s="2"/>
      </tp>
      <tp t="s">
        <v>#N/A N/A</v>
        <stp/>
        <stp>BDP|16670813105629737115</stp>
        <tr r="B2738" s="2"/>
      </tp>
      <tp t="s">
        <v>#N/A N/A</v>
        <stp/>
        <stp>BDP|13586153304811175510</stp>
        <tr r="F4308" s="2"/>
      </tp>
      <tp t="s">
        <v>#N/A N/A</v>
        <stp/>
        <stp>BDP|11951117152464706792</stp>
        <tr r="A3382" s="2"/>
      </tp>
      <tp t="s">
        <v>#N/A N/A</v>
        <stp/>
        <stp>BDP|13360126301443327772</stp>
        <tr r="C236" s="2"/>
      </tp>
      <tp t="s">
        <v>#N/A N/A</v>
        <stp/>
        <stp>BDP|15058462737480764421</stp>
        <tr r="I2739" s="2"/>
      </tp>
      <tp t="s">
        <v>#N/A N/A</v>
        <stp/>
        <stp>BDP|18150031247769317326</stp>
        <tr r="F4990" s="2"/>
      </tp>
      <tp t="s">
        <v>#N/A N/A</v>
        <stp/>
        <stp>BDP|13327524897989008014</stp>
        <tr r="I3214" s="2"/>
      </tp>
      <tp t="s">
        <v>#N/A N/A</v>
        <stp/>
        <stp>BDP|15589276186601657856</stp>
        <tr r="D2212" s="2"/>
      </tp>
      <tp t="s">
        <v>#N/A N/A</v>
        <stp/>
        <stp>BDP|15347641654631295161</stp>
        <tr r="H1940" s="2"/>
      </tp>
      <tp t="s">
        <v>#N/A N/A</v>
        <stp/>
        <stp>BDP|14044626132263191462</stp>
        <tr r="G2349" s="2"/>
      </tp>
      <tp t="s">
        <v>#N/A N/A</v>
        <stp/>
        <stp>BDP|16449388881749253284</stp>
        <tr r="I546" s="2"/>
      </tp>
      <tp t="s">
        <v>#N/A N/A</v>
        <stp/>
        <stp>BDP|10594847727185239936</stp>
        <tr r="F4927" s="2"/>
      </tp>
      <tp t="s">
        <v>#N/A N/A</v>
        <stp/>
        <stp>BDP|15645471851236071479</stp>
        <tr r="A213" s="2"/>
      </tp>
      <tp t="s">
        <v>#N/A N/A</v>
        <stp/>
        <stp>BDP|10935694211404329558</stp>
        <tr r="D1367" s="2"/>
      </tp>
      <tp t="s">
        <v>#N/A N/A</v>
        <stp/>
        <stp>BDP|16283721352606728424</stp>
        <tr r="H4034" s="2"/>
      </tp>
      <tp t="s">
        <v>#N/A N/A</v>
        <stp/>
        <stp>BDP|14190363436450515236</stp>
        <tr r="C1810" s="2"/>
      </tp>
      <tp t="s">
        <v>#N/A N/A</v>
        <stp/>
        <stp>BDP|17025859598700946031</stp>
        <tr r="I4880" s="2"/>
      </tp>
      <tp t="s">
        <v>#N/A N/A</v>
        <stp/>
        <stp>BDP|14205252623243117128</stp>
        <tr r="B1668" s="2"/>
      </tp>
      <tp t="s">
        <v>#N/A N/A</v>
        <stp/>
        <stp>BDP|16460034312872764355</stp>
        <tr r="A1601" s="2"/>
      </tp>
      <tp t="s">
        <v>#N/A N/A</v>
        <stp/>
        <stp>BDP|17219148955033150655</stp>
        <tr r="I2938" s="2"/>
      </tp>
      <tp t="s">
        <v>#N/A N/A</v>
        <stp/>
        <stp>BDP|17592751877757117616</stp>
        <tr r="D3993" s="2"/>
      </tp>
      <tp t="s">
        <v>#N/A N/A</v>
        <stp/>
        <stp>BDP|15465755903002387663</stp>
        <tr r="H2601" s="2"/>
      </tp>
      <tp t="s">
        <v>#N/A N/A</v>
        <stp/>
        <stp>BDP|17852038328424707731</stp>
        <tr r="H3538" s="2"/>
      </tp>
      <tp t="s">
        <v>#N/A N/A</v>
        <stp/>
        <stp>BDP|15205846493242792055</stp>
        <tr r="G4437" s="2"/>
      </tp>
      <tp t="s">
        <v>#N/A N/A</v>
        <stp/>
        <stp>BDP|13381753043966295003</stp>
        <tr r="F1689" s="2"/>
      </tp>
      <tp t="s">
        <v>#N/A N/A</v>
        <stp/>
        <stp>BDP|13937800792851927551</stp>
        <tr r="G3791" s="2"/>
      </tp>
      <tp t="s">
        <v>#N/A N/A</v>
        <stp/>
        <stp>BDP|11466642857883608763</stp>
        <tr r="F4792" s="2"/>
      </tp>
      <tp t="s">
        <v>#N/A N/A</v>
        <stp/>
        <stp>BDP|15701135032480781167</stp>
        <tr r="B2265" s="2"/>
      </tp>
      <tp t="s">
        <v>#N/A N/A</v>
        <stp/>
        <stp>BDP|10228269378880959328</stp>
        <tr r="H4672" s="2"/>
      </tp>
      <tp t="s">
        <v>#N/A N/A</v>
        <stp/>
        <stp>BDP|14099156666120149554</stp>
        <tr r="A1144" s="2"/>
      </tp>
      <tp t="s">
        <v>#N/A N/A</v>
        <stp/>
        <stp>BDP|17455128222800033238</stp>
        <tr r="C2861" s="2"/>
      </tp>
      <tp t="s">
        <v>#N/A N/A</v>
        <stp/>
        <stp>BDP|15860791447933801390</stp>
        <tr r="A4841" s="2"/>
      </tp>
      <tp t="s">
        <v>#N/A N/A</v>
        <stp/>
        <stp>BDP|11681857242692628905</stp>
        <tr r="C3501" s="2"/>
      </tp>
      <tp t="s">
        <v>#N/A N/A</v>
        <stp/>
        <stp>BDP|12315629724505410562</stp>
        <tr r="I998" s="2"/>
      </tp>
      <tp t="s">
        <v>#N/A N/A</v>
        <stp/>
        <stp>BDP|17282919113829363041</stp>
        <tr r="A1367" s="2"/>
      </tp>
      <tp t="s">
        <v>#N/A N/A</v>
        <stp/>
        <stp>BDP|16766460013830059556</stp>
        <tr r="A1854" s="2"/>
      </tp>
      <tp t="s">
        <v>#N/A N/A</v>
        <stp/>
        <stp>BDP|16220141417393657308</stp>
        <tr r="F4745" s="2"/>
      </tp>
      <tp t="s">
        <v>#N/A N/A</v>
        <stp/>
        <stp>BDP|12198458216665799423</stp>
        <tr r="D4314" s="2"/>
      </tp>
      <tp t="s">
        <v>#N/A N/A</v>
        <stp/>
        <stp>BDP|15841052243970073795</stp>
        <tr r="H3795" s="2"/>
      </tp>
      <tp t="s">
        <v>#N/A N/A</v>
        <stp/>
        <stp>BDP|17588881206050978953</stp>
        <tr r="A410" s="2"/>
      </tp>
      <tp t="s">
        <v>#N/A N/A</v>
        <stp/>
        <stp>BDP|15113538265380938094</stp>
        <tr r="F4372" s="2"/>
      </tp>
      <tp t="s">
        <v>#N/A N/A</v>
        <stp/>
        <stp>BDP|10769448804502101016</stp>
        <tr r="D1546" s="2"/>
      </tp>
      <tp t="s">
        <v>#N/A N/A</v>
        <stp/>
        <stp>BDP|15585055597749744373</stp>
        <tr r="A108" s="2"/>
      </tp>
      <tp t="s">
        <v>#N/A N/A</v>
        <stp/>
        <stp>BDP|17504968590943148259</stp>
        <tr r="D4476" s="2"/>
      </tp>
      <tp t="s">
        <v>#N/A N/A</v>
        <stp/>
        <stp>BDP|17697597608487304336</stp>
        <tr r="F4302" s="2"/>
      </tp>
      <tp t="s">
        <v>#N/A N/A</v>
        <stp/>
        <stp>BDP|10581341550478339852</stp>
        <tr r="B4228" s="2"/>
      </tp>
      <tp t="s">
        <v>#N/A N/A</v>
        <stp/>
        <stp>BDP|13185675339517043780</stp>
        <tr r="A2908" s="2"/>
      </tp>
      <tp t="s">
        <v>#N/A N/A</v>
        <stp/>
        <stp>BDP|10795310457730352057</stp>
        <tr r="C52" s="2"/>
      </tp>
      <tp t="s">
        <v>#N/A N/A</v>
        <stp/>
        <stp>BDP|13911596573000597712</stp>
        <tr r="H570" s="2"/>
      </tp>
      <tp t="s">
        <v>#N/A N/A</v>
        <stp/>
        <stp>BDP|16491663724706694278</stp>
        <tr r="I99" s="2"/>
      </tp>
      <tp t="s">
        <v>#N/A N/A</v>
        <stp/>
        <stp>BDP|14131626417883060638</stp>
        <tr r="B4308" s="2"/>
      </tp>
      <tp t="s">
        <v>#N/A N/A</v>
        <stp/>
        <stp>BDP|10461536730261835182</stp>
        <tr r="D1392" s="2"/>
      </tp>
      <tp t="s">
        <v>#N/A N/A</v>
        <stp/>
        <stp>BDP|12286593506196207788</stp>
        <tr r="A1725" s="2"/>
      </tp>
      <tp t="s">
        <v>#N/A N/A</v>
        <stp/>
        <stp>BDP|17541057896740760860</stp>
        <tr r="F4144" s="2"/>
      </tp>
      <tp t="s">
        <v>#N/A N/A</v>
        <stp/>
        <stp>BDP|11364183948375234767</stp>
        <tr r="A1920" s="2"/>
      </tp>
      <tp t="s">
        <v>#N/A N/A</v>
        <stp/>
        <stp>BDP|16376556020095951286</stp>
        <tr r="F2859" s="2"/>
      </tp>
      <tp t="s">
        <v>#N/A N/A</v>
        <stp/>
        <stp>BDP|12450032278106149590</stp>
        <tr r="I412" s="2"/>
      </tp>
      <tp t="s">
        <v>#N/A N/A</v>
        <stp/>
        <stp>BDP|15767538202096198005</stp>
        <tr r="I4154" s="2"/>
      </tp>
      <tp t="s">
        <v>#N/A N/A</v>
        <stp/>
        <stp>BDP|11831412145632355580</stp>
        <tr r="B1273" s="2"/>
      </tp>
      <tp t="s">
        <v>#N/A N/A</v>
        <stp/>
        <stp>BDP|11190093233536978259</stp>
        <tr r="I3948" s="2"/>
      </tp>
      <tp t="s">
        <v>#N/A N/A</v>
        <stp/>
        <stp>BDP|13556700426683723330</stp>
        <tr r="H4610" s="2"/>
      </tp>
      <tp t="s">
        <v>#N/A N/A</v>
        <stp/>
        <stp>BDP|11639153186448047621</stp>
        <tr r="F3528" s="2"/>
      </tp>
      <tp t="s">
        <v>#N/A N/A</v>
        <stp/>
        <stp>BDP|13539863994062722673</stp>
        <tr r="G3995" s="2"/>
      </tp>
      <tp t="s">
        <v>#N/A N/A</v>
        <stp/>
        <stp>BDP|15877627776525922726</stp>
        <tr r="C2165" s="2"/>
      </tp>
      <tp t="s">
        <v>#N/A N/A</v>
        <stp/>
        <stp>BDP|15374204717283688358</stp>
        <tr r="D2539" s="2"/>
      </tp>
      <tp t="s">
        <v>#N/A N/A</v>
        <stp/>
        <stp>BDP|15355075541591564673</stp>
        <tr r="A79" s="2"/>
      </tp>
      <tp t="s">
        <v>#N/A N/A</v>
        <stp/>
        <stp>BDP|11241517974925726078</stp>
        <tr r="C1684" s="2"/>
      </tp>
      <tp t="s">
        <v>#N/A N/A</v>
        <stp/>
        <stp>BDP|12078144390755751941</stp>
        <tr r="H3936" s="2"/>
      </tp>
      <tp t="s">
        <v>#N/A N/A</v>
        <stp/>
        <stp>BDP|11837288866274506749</stp>
        <tr r="A10" s="2"/>
      </tp>
      <tp t="s">
        <v>#N/A N/A</v>
        <stp/>
        <stp>BDP|13918066909712109700</stp>
        <tr r="B3104" s="2"/>
      </tp>
      <tp t="s">
        <v>#N/A N/A</v>
        <stp/>
        <stp>BDP|16880235827230260099</stp>
        <tr r="I1451" s="2"/>
      </tp>
      <tp t="s">
        <v>#N/A N/A</v>
        <stp/>
        <stp>BDP|13702347930084173150</stp>
        <tr r="I560" s="2"/>
      </tp>
      <tp t="s">
        <v>#N/A N/A</v>
        <stp/>
        <stp>BDP|10133757769111827627</stp>
        <tr r="B2559" s="2"/>
      </tp>
      <tp t="s">
        <v>#N/A N/A</v>
        <stp/>
        <stp>BDP|16948732314217816112</stp>
        <tr r="I4375" s="2"/>
      </tp>
      <tp t="s">
        <v>#N/A N/A</v>
        <stp/>
        <stp>BDP|12330347367596435735</stp>
        <tr r="D1366" s="2"/>
      </tp>
      <tp t="s">
        <v>#N/A N/A</v>
        <stp/>
        <stp>BDP|12657068449452882266</stp>
        <tr r="I3715" s="2"/>
      </tp>
      <tp t="s">
        <v>#N/A N/A</v>
        <stp/>
        <stp>BDP|10714351750334207474</stp>
        <tr r="B3386" s="2"/>
      </tp>
      <tp t="s">
        <v>#N/A N/A</v>
        <stp/>
        <stp>BDP|17104637662066113761</stp>
        <tr r="I2654" s="2"/>
      </tp>
      <tp t="s">
        <v>#N/A N/A</v>
        <stp/>
        <stp>BDP|13711768180963220945</stp>
        <tr r="B2132" s="2"/>
      </tp>
      <tp t="s">
        <v>#N/A N/A</v>
        <stp/>
        <stp>BDP|14523211413425588459</stp>
        <tr r="G621" s="2"/>
      </tp>
      <tp t="s">
        <v>#N/A N/A</v>
        <stp/>
        <stp>BDP|16257366142183607474</stp>
        <tr r="G2903" s="2"/>
      </tp>
      <tp t="s">
        <v>#N/A N/A</v>
        <stp/>
        <stp>BDP|18334203743081600916</stp>
        <tr r="H4675" s="2"/>
      </tp>
      <tp t="s">
        <v>#N/A N/A</v>
        <stp/>
        <stp>BDP|14987213164876300085</stp>
        <tr r="H2208" s="2"/>
      </tp>
      <tp t="s">
        <v>#N/A N/A</v>
        <stp/>
        <stp>BDP|17670233610626214405</stp>
        <tr r="F493" s="2"/>
      </tp>
      <tp t="s">
        <v>#N/A N/A</v>
        <stp/>
        <stp>BDP|13137280208983590436</stp>
        <tr r="B1718" s="2"/>
      </tp>
      <tp t="s">
        <v>#N/A N/A</v>
        <stp/>
        <stp>BDP|13970637500616468595</stp>
        <tr r="A2322" s="2"/>
      </tp>
      <tp t="s">
        <v>#N/A N/A</v>
        <stp/>
        <stp>BDP|13420020751774929492</stp>
        <tr r="A1013" s="2"/>
      </tp>
      <tp t="s">
        <v>#N/A N/A</v>
        <stp/>
        <stp>BDP|10248190252951784390</stp>
        <tr r="F4171" s="2"/>
      </tp>
      <tp t="s">
        <v>#N/A N/A</v>
        <stp/>
        <stp>BDP|11781565420094718419</stp>
        <tr r="H2357" s="2"/>
      </tp>
      <tp t="s">
        <v>#N/A N/A</v>
        <stp/>
        <stp>BDP|12182170755253164359</stp>
        <tr r="A455" s="2"/>
      </tp>
      <tp t="s">
        <v>#N/A N/A</v>
        <stp/>
        <stp>BDP|12581555163860060746</stp>
        <tr r="B419" s="2"/>
      </tp>
      <tp t="s">
        <v>#N/A N/A</v>
        <stp/>
        <stp>BDP|15348271820573011034</stp>
        <tr r="G4221" s="2"/>
      </tp>
      <tp t="s">
        <v>#N/A N/A</v>
        <stp/>
        <stp>BDP|10618670115618549966</stp>
        <tr r="F3982" s="2"/>
      </tp>
      <tp t="s">
        <v>#N/A N/A</v>
        <stp/>
        <stp>BDP|15243006323625721413</stp>
        <tr r="I4813" s="2"/>
      </tp>
      <tp t="s">
        <v>#N/A N/A</v>
        <stp/>
        <stp>BDP|10361828391925222250</stp>
        <tr r="A2352" s="2"/>
      </tp>
      <tp t="s">
        <v>#N/A N/A</v>
        <stp/>
        <stp>BDP|10443235073275031634</stp>
        <tr r="G2741" s="2"/>
      </tp>
      <tp t="s">
        <v>#N/A N/A</v>
        <stp/>
        <stp>BDP|17718930032773609872</stp>
        <tr r="C3139" s="2"/>
      </tp>
      <tp t="s">
        <v>#N/A N/A</v>
        <stp/>
        <stp>BDP|13436308005973440522</stp>
        <tr r="H1955" s="2"/>
      </tp>
      <tp t="s">
        <v>#N/A N/A</v>
        <stp/>
        <stp>BDP|12488602359070215790</stp>
        <tr r="F3499" s="2"/>
      </tp>
      <tp t="s">
        <v>#N/A N/A</v>
        <stp/>
        <stp>BDP|12303835932878127754</stp>
        <tr r="B797" s="2"/>
      </tp>
      <tp t="s">
        <v>#N/A N/A</v>
        <stp/>
        <stp>BDP|13451059665540220300</stp>
        <tr r="A4856" s="2"/>
      </tp>
      <tp t="s">
        <v>#N/A N/A</v>
        <stp/>
        <stp>BDP|14187665120982175409</stp>
        <tr r="I4690" s="2"/>
      </tp>
      <tp t="s">
        <v>#N/A N/A</v>
        <stp/>
        <stp>BDP|12731599571433160582</stp>
        <tr r="B2364" s="2"/>
      </tp>
      <tp t="s">
        <v>#N/A N/A</v>
        <stp/>
        <stp>BDP|17352972234598280343</stp>
        <tr r="G2169" s="2"/>
      </tp>
      <tp t="s">
        <v>#N/A N/A</v>
        <stp/>
        <stp>BDP|11675199725637864347</stp>
        <tr r="I821" s="2"/>
      </tp>
      <tp t="s">
        <v>#N/A N/A</v>
        <stp/>
        <stp>BDP|16951686414070697753</stp>
        <tr r="D2459" s="2"/>
      </tp>
      <tp t="s">
        <v>#N/A N/A</v>
        <stp/>
        <stp>BDP|14127457664032144278</stp>
        <tr r="I1876" s="2"/>
      </tp>
      <tp t="s">
        <v>#N/A N/A</v>
        <stp/>
        <stp>BDP|10204017188616515889</stp>
        <tr r="D4298" s="2"/>
      </tp>
      <tp t="s">
        <v>#N/A N/A</v>
        <stp/>
        <stp>BDP|12554346318001734789</stp>
        <tr r="B1445" s="2"/>
      </tp>
      <tp t="s">
        <v>#N/A N/A</v>
        <stp/>
        <stp>BDP|18304875030200198536</stp>
        <tr r="C900" s="2"/>
      </tp>
      <tp t="s">
        <v>#N/A N/A</v>
        <stp/>
        <stp>BDP|10282583734695853500</stp>
        <tr r="G4785" s="2"/>
      </tp>
      <tp t="s">
        <v>#N/A N/A</v>
        <stp/>
        <stp>BDP|11948691642025192054</stp>
        <tr r="H2734" s="2"/>
      </tp>
      <tp t="s">
        <v>#N/A N/A</v>
        <stp/>
        <stp>BDP|15836569500075145396</stp>
        <tr r="H1386" s="2"/>
      </tp>
      <tp t="s">
        <v>#N/A N/A</v>
        <stp/>
        <stp>BDP|12866299466676569640</stp>
        <tr r="F2324" s="2"/>
      </tp>
      <tp t="s">
        <v>#N/A N/A</v>
        <stp/>
        <stp>BDP|13667951976802640954</stp>
        <tr r="H4042" s="2"/>
      </tp>
      <tp t="s">
        <v>#N/A N/A</v>
        <stp/>
        <stp>BDP|14269519499446850841</stp>
        <tr r="A4329" s="2"/>
      </tp>
      <tp t="s">
        <v>#N/A N/A</v>
        <stp/>
        <stp>BDP|17268961282219321938</stp>
        <tr r="D1092" s="2"/>
      </tp>
      <tp t="s">
        <v>#N/A N/A</v>
        <stp/>
        <stp>BDP|14661380238713886186</stp>
        <tr r="F4598" s="2"/>
      </tp>
      <tp t="s">
        <v>#N/A N/A</v>
        <stp/>
        <stp>BDP|17452271311887678524</stp>
        <tr r="A173" s="2"/>
      </tp>
      <tp t="s">
        <v>#N/A N/A</v>
        <stp/>
        <stp>BDP|13492731174765496019</stp>
        <tr r="A2469" s="2"/>
      </tp>
      <tp t="s">
        <v>#N/A N/A</v>
        <stp/>
        <stp>BDP|13534568748443955745</stp>
        <tr r="H2932" s="2"/>
      </tp>
      <tp t="s">
        <v>#N/A N/A</v>
        <stp/>
        <stp>BDP|14358891795924006793</stp>
        <tr r="G2814" s="2"/>
      </tp>
      <tp t="s">
        <v>#N/A N/A</v>
        <stp/>
        <stp>BDP|12711756061622174748</stp>
        <tr r="B350" s="2"/>
      </tp>
      <tp t="s">
        <v>#N/A N/A</v>
        <stp/>
        <stp>BDP|10015307614306182233</stp>
        <tr r="C4835" s="2"/>
      </tp>
      <tp t="s">
        <v>#N/A N/A</v>
        <stp/>
        <stp>BDP|11829395029091812768</stp>
        <tr r="G3679" s="2"/>
      </tp>
      <tp t="s">
        <v>#N/A N/A</v>
        <stp/>
        <stp>BDP|14789623659215341490</stp>
        <tr r="I4505" s="2"/>
      </tp>
      <tp t="s">
        <v>#N/A N/A</v>
        <stp/>
        <stp>BDP|12603643162535299142</stp>
        <tr r="G1275" s="2"/>
      </tp>
      <tp t="s">
        <v>#N/A N/A</v>
        <stp/>
        <stp>BDP|15083653006343614634</stp>
        <tr r="C24" s="2"/>
      </tp>
      <tp t="s">
        <v>#N/A N/A</v>
        <stp/>
        <stp>BDP|12888015285554322896</stp>
        <tr r="G1422" s="2"/>
      </tp>
      <tp t="s">
        <v>#N/A N/A</v>
        <stp/>
        <stp>BDP|11312645476406558029</stp>
        <tr r="D2300" s="2"/>
      </tp>
      <tp t="s">
        <v>#N/A N/A</v>
        <stp/>
        <stp>BDP|16910668979179835887</stp>
        <tr r="C1604" s="2"/>
      </tp>
      <tp t="s">
        <v>#N/A N/A</v>
        <stp/>
        <stp>BDP|10032703293900541801</stp>
        <tr r="D3069" s="2"/>
      </tp>
      <tp t="s">
        <v>#N/A N/A</v>
        <stp/>
        <stp>BDP|10370077055954146761</stp>
        <tr r="C916" s="2"/>
      </tp>
      <tp t="s">
        <v>#N/A N/A</v>
        <stp/>
        <stp>BDP|12383776372250826482</stp>
        <tr r="H2056" s="2"/>
      </tp>
      <tp t="s">
        <v>#N/A N/A</v>
        <stp/>
        <stp>BDP|15938477203593291494</stp>
        <tr r="D3181" s="2"/>
      </tp>
      <tp t="s">
        <v>#N/A N/A</v>
        <stp/>
        <stp>BDP|14302875878628376597</stp>
        <tr r="A1349" s="2"/>
      </tp>
      <tp t="s">
        <v>#N/A N/A</v>
        <stp/>
        <stp>BDP|13375667352441858792</stp>
        <tr r="B1298" s="2"/>
      </tp>
      <tp t="s">
        <v>#N/A N/A</v>
        <stp/>
        <stp>BDP|15454796526896592081</stp>
        <tr r="H2680" s="2"/>
      </tp>
      <tp t="s">
        <v>#N/A N/A</v>
        <stp/>
        <stp>BDP|15119270116334687408</stp>
        <tr r="G290" s="2"/>
      </tp>
      <tp t="s">
        <v>#N/A N/A</v>
        <stp/>
        <stp>BDP|10778486121739010985</stp>
        <tr r="A4472" s="2"/>
      </tp>
      <tp t="s">
        <v>#N/A N/A</v>
        <stp/>
        <stp>BDP|16495439026124112262</stp>
        <tr r="D811" s="2"/>
      </tp>
      <tp t="s">
        <v>#N/A N/A</v>
        <stp/>
        <stp>BDP|10001047135641308440</stp>
        <tr r="I2891" s="2"/>
      </tp>
      <tp t="s">
        <v>#N/A N/A</v>
        <stp/>
        <stp>BDP|13237497169214638324</stp>
        <tr r="I2177" s="2"/>
      </tp>
      <tp t="s">
        <v>#N/A N/A</v>
        <stp/>
        <stp>BDP|13729565550462565724</stp>
        <tr r="C5" s="2"/>
      </tp>
      <tp t="s">
        <v>#N/A N/A</v>
        <stp/>
        <stp>BDP|14954249798688694152</stp>
        <tr r="C4946" s="2"/>
      </tp>
      <tp t="s">
        <v>#N/A N/A</v>
        <stp/>
        <stp>BDP|12495778513187291548</stp>
        <tr r="H730" s="2"/>
      </tp>
      <tp t="s">
        <v>#N/A N/A</v>
        <stp/>
        <stp>BDP|14608266432515436601</stp>
        <tr r="I4632" s="2"/>
      </tp>
      <tp t="s">
        <v>#N/A N/A</v>
        <stp/>
        <stp>BDP|10724806462598253015</stp>
        <tr r="B452" s="2"/>
      </tp>
      <tp t="s">
        <v>#N/A N/A</v>
        <stp/>
        <stp>BDP|10823658514043794282</stp>
        <tr r="I2682" s="2"/>
      </tp>
      <tp t="s">
        <v>#N/A N/A</v>
        <stp/>
        <stp>BDP|11166444711033433160</stp>
        <tr r="F2704" s="2"/>
      </tp>
      <tp t="s">
        <v>#N/A N/A</v>
        <stp/>
        <stp>BDP|17943935239152755924</stp>
        <tr r="F2905" s="2"/>
      </tp>
      <tp t="s">
        <v>#N/A N/A</v>
        <stp/>
        <stp>BDP|14226332639650707297</stp>
        <tr r="D18" s="2"/>
      </tp>
      <tp t="s">
        <v>#N/A N/A</v>
        <stp/>
        <stp>BDP|16750577203782346761</stp>
        <tr r="D619" s="2"/>
      </tp>
      <tp t="s">
        <v>#N/A N/A</v>
        <stp/>
        <stp>BDP|12062762936009224946</stp>
        <tr r="H3590" s="2"/>
      </tp>
      <tp t="s">
        <v>#N/A N/A</v>
        <stp/>
        <stp>BDP|13449083821717279097</stp>
        <tr r="B3912" s="2"/>
      </tp>
      <tp t="s">
        <v>#N/A N/A</v>
        <stp/>
        <stp>BDP|13625474941012704716</stp>
        <tr r="G3139" s="2"/>
      </tp>
      <tp t="s">
        <v>#N/A N/A</v>
        <stp/>
        <stp>BDP|11613764872937782034</stp>
        <tr r="F3510" s="2"/>
      </tp>
      <tp t="s">
        <v>#N/A N/A</v>
        <stp/>
        <stp>BDP|14331106738178875853</stp>
        <tr r="H376" s="2"/>
      </tp>
      <tp t="s">
        <v>#N/A N/A</v>
        <stp/>
        <stp>BDP|12952718680763683882</stp>
        <tr r="H4862" s="2"/>
      </tp>
      <tp t="s">
        <v>#N/A N/A</v>
        <stp/>
        <stp>BDP|12127055992059638464</stp>
        <tr r="A4740" s="2"/>
      </tp>
      <tp t="s">
        <v>#N/A N/A</v>
        <stp/>
        <stp>BDP|12222262012306700173</stp>
        <tr r="F1156" s="2"/>
      </tp>
      <tp t="s">
        <v>#N/A N/A</v>
        <stp/>
        <stp>BDP|10222305945777065611</stp>
        <tr r="H2593" s="2"/>
      </tp>
      <tp t="s">
        <v>#N/A N/A</v>
        <stp/>
        <stp>BDP|16996368262750958524</stp>
        <tr r="G4098" s="2"/>
      </tp>
      <tp t="s">
        <v>#N/A N/A</v>
        <stp/>
        <stp>BDP|10278415569510918451</stp>
        <tr r="B2457" s="2"/>
      </tp>
      <tp t="s">
        <v>#N/A N/A</v>
        <stp/>
        <stp>BDP|11270612654057762364</stp>
        <tr r="H532" s="2"/>
      </tp>
      <tp t="s">
        <v>#N/A N/A</v>
        <stp/>
        <stp>BDP|16581706775667173778</stp>
        <tr r="G33" s="2"/>
      </tp>
      <tp t="s">
        <v>#N/A N/A</v>
        <stp/>
        <stp>BDP|12508477227025693758</stp>
        <tr r="F1651" s="2"/>
      </tp>
      <tp t="s">
        <v>#N/A N/A</v>
        <stp/>
        <stp>BDP|11261334552065477413</stp>
        <tr r="I128" s="2"/>
      </tp>
      <tp t="s">
        <v>#N/A N/A</v>
        <stp/>
        <stp>BDP|14035220380629545117</stp>
        <tr r="A2324" s="2"/>
      </tp>
      <tp t="s">
        <v>#N/A N/A</v>
        <stp/>
        <stp>BDP|12287865592640785575</stp>
        <tr r="G4865" s="2"/>
      </tp>
      <tp t="s">
        <v>#N/A N/A</v>
        <stp/>
        <stp>BDP|13678629764445786017</stp>
        <tr r="F4943" s="2"/>
      </tp>
      <tp t="s">
        <v>#N/A N/A</v>
        <stp/>
        <stp>BDP|10358646565186029045</stp>
        <tr r="C2433" s="2"/>
      </tp>
      <tp t="s">
        <v>#N/A N/A</v>
        <stp/>
        <stp>BDP|14945262740992037699</stp>
        <tr r="F4987" s="2"/>
      </tp>
      <tp t="s">
        <v>#N/A N/A</v>
        <stp/>
        <stp>BDP|15362670502173318633</stp>
        <tr r="I260" s="2"/>
      </tp>
      <tp t="s">
        <v>#N/A N/A</v>
        <stp/>
        <stp>BDP|15088189623144971442</stp>
        <tr r="I4172" s="2"/>
      </tp>
      <tp t="s">
        <v>#N/A N/A</v>
        <stp/>
        <stp>BDP|11372841398554823214</stp>
        <tr r="A1842" s="2"/>
      </tp>
      <tp t="s">
        <v>#N/A N/A</v>
        <stp/>
        <stp>BDP|16757852188935983553</stp>
        <tr r="C3606" s="2"/>
      </tp>
      <tp t="s">
        <v>#N/A N/A</v>
        <stp/>
        <stp>BDP|17102361789248937215</stp>
        <tr r="A782" s="2"/>
      </tp>
      <tp t="s">
        <v>#N/A N/A</v>
        <stp/>
        <stp>BDP|13647142570724153751</stp>
        <tr r="B612" s="2"/>
      </tp>
      <tp t="s">
        <v>#N/A N/A</v>
        <stp/>
        <stp>BDP|15482534545992043045</stp>
        <tr r="C4997" s="2"/>
      </tp>
      <tp t="s">
        <v>#N/A N/A</v>
        <stp/>
        <stp>BDP|17003909882745292563</stp>
        <tr r="D3185" s="2"/>
      </tp>
      <tp t="s">
        <v>#N/A N/A</v>
        <stp/>
        <stp>BDP|16509518875283477139</stp>
        <tr r="C3963" s="2"/>
      </tp>
      <tp t="s">
        <v>#N/A N/A</v>
        <stp/>
        <stp>BDP|12078622564036247225</stp>
        <tr r="G267" s="2"/>
      </tp>
      <tp t="s">
        <v>#N/A N/A</v>
        <stp/>
        <stp>BDP|15169428767905434460</stp>
        <tr r="C162" s="2"/>
      </tp>
      <tp t="s">
        <v>#N/A N/A</v>
        <stp/>
        <stp>BDP|16732117555387248377</stp>
        <tr r="F956" s="2"/>
      </tp>
      <tp t="s">
        <v>#N/A N/A</v>
        <stp/>
        <stp>BDP|10080420308281082239</stp>
        <tr r="I54" s="2"/>
      </tp>
      <tp t="s">
        <v>#N/A N/A</v>
        <stp/>
        <stp>BDP|18382620979538368620</stp>
        <tr r="G4776" s="2"/>
      </tp>
      <tp t="s">
        <v>#N/A N/A</v>
        <stp/>
        <stp>BDP|10910913370841745865</stp>
        <tr r="B310" s="2"/>
      </tp>
      <tp t="s">
        <v>#N/A N/A</v>
        <stp/>
        <stp>BDP|15833023280408163229</stp>
        <tr r="A2544" s="2"/>
      </tp>
      <tp t="s">
        <v>#N/A N/A</v>
        <stp/>
        <stp>BDP|10870942176579791043</stp>
        <tr r="B3274" s="2"/>
      </tp>
      <tp t="s">
        <v>#N/A N/A</v>
        <stp/>
        <stp>BDP|17693974943608926520</stp>
        <tr r="C4779" s="2"/>
      </tp>
      <tp t="s">
        <v>#N/A N/A</v>
        <stp/>
        <stp>BDP|11397104669696303702</stp>
        <tr r="F2930" s="2"/>
      </tp>
      <tp t="s">
        <v>#N/A N/A</v>
        <stp/>
        <stp>BDP|17880164108756907762</stp>
        <tr r="G4629" s="2"/>
      </tp>
      <tp t="s">
        <v>#N/A N/A</v>
        <stp/>
        <stp>BDP|10513107687286945828</stp>
        <tr r="I4285" s="2"/>
      </tp>
      <tp t="s">
        <v>#N/A N/A</v>
        <stp/>
        <stp>BDP|11882803952458734344</stp>
        <tr r="F3453" s="2"/>
      </tp>
      <tp t="s">
        <v>#N/A N/A</v>
        <stp/>
        <stp>BDP|13895650823880280051</stp>
        <tr r="C1225" s="2"/>
      </tp>
      <tp t="s">
        <v>#N/A N/A</v>
        <stp/>
        <stp>BDP|11831468534752201314</stp>
        <tr r="F72" s="2"/>
      </tp>
      <tp t="s">
        <v>#N/A N/A</v>
        <stp/>
        <stp>BDP|12454687780979336260</stp>
        <tr r="D441" s="2"/>
      </tp>
      <tp t="s">
        <v>#N/A N/A</v>
        <stp/>
        <stp>BDP|10079355601423501789</stp>
        <tr r="D606" s="2"/>
      </tp>
      <tp t="s">
        <v>#N/A N/A</v>
        <stp/>
        <stp>BDP|12459137219162781704</stp>
        <tr r="D837" s="2"/>
      </tp>
      <tp t="s">
        <v>#N/A N/A</v>
        <stp/>
        <stp>BDP|16354739948651026317</stp>
        <tr r="A185" s="2"/>
      </tp>
      <tp t="s">
        <v>#N/A N/A</v>
        <stp/>
        <stp>BDP|16708720710120984756</stp>
        <tr r="H2642" s="2"/>
      </tp>
      <tp t="s">
        <v>#N/A N/A</v>
        <stp/>
        <stp>BDP|16403906448144487810</stp>
        <tr r="D996" s="2"/>
      </tp>
      <tp t="s">
        <v>#N/A N/A</v>
        <stp/>
        <stp>BDP|15946263717219198802</stp>
        <tr r="H1339" s="2"/>
      </tp>
      <tp t="s">
        <v>#N/A N/A</v>
        <stp/>
        <stp>BDP|18183538787866819447</stp>
        <tr r="F4901" s="2"/>
      </tp>
      <tp t="s">
        <v>#N/A N/A</v>
        <stp/>
        <stp>BDP|10380553648217420135</stp>
        <tr r="B275" s="2"/>
      </tp>
      <tp t="s">
        <v>#N/A N/A</v>
        <stp/>
        <stp>BDP|10526444773853937723</stp>
        <tr r="I4957" s="2"/>
      </tp>
      <tp t="s">
        <v>#N/A N/A</v>
        <stp/>
        <stp>BDP|12974289469373915282</stp>
        <tr r="H541" s="2"/>
      </tp>
      <tp t="s">
        <v>#N/A N/A</v>
        <stp/>
        <stp>BDP|14184753942505764585</stp>
        <tr r="H3735" s="2"/>
      </tp>
      <tp t="s">
        <v>#N/A N/A</v>
        <stp/>
        <stp>BDP|11116735203662099386</stp>
        <tr r="F4420" s="2"/>
      </tp>
      <tp t="s">
        <v>#N/A N/A</v>
        <stp/>
        <stp>BDP|11017567132440478098</stp>
        <tr r="F523" s="2"/>
      </tp>
      <tp t="s">
        <v>#N/A N/A</v>
        <stp/>
        <stp>BDP|11081722180040923925</stp>
        <tr r="G2439" s="2"/>
      </tp>
      <tp t="s">
        <v>#N/A N/A</v>
        <stp/>
        <stp>BDP|10831118100447917193</stp>
        <tr r="I2381" s="2"/>
      </tp>
      <tp t="s">
        <v>#N/A N/A</v>
        <stp/>
        <stp>BDP|15268327313905944530</stp>
        <tr r="A2885" s="2"/>
      </tp>
      <tp t="s">
        <v>#N/A N/A</v>
        <stp/>
        <stp>BDP|18221499296473357176</stp>
        <tr r="G2646" s="2"/>
      </tp>
      <tp t="s">
        <v>#N/A N/A</v>
        <stp/>
        <stp>BDP|16307238358522385426</stp>
        <tr r="A3719" s="2"/>
      </tp>
      <tp t="s">
        <v>#N/A N/A</v>
        <stp/>
        <stp>BDP|10120299153997631743</stp>
        <tr r="I905" s="2"/>
      </tp>
      <tp t="s">
        <v>#N/A N/A</v>
        <stp/>
        <stp>BDP|12707424742103717696</stp>
        <tr r="H4650" s="2"/>
      </tp>
      <tp t="s">
        <v>#N/A N/A</v>
        <stp/>
        <stp>BDP|12439420062087820053</stp>
        <tr r="A883" s="2"/>
      </tp>
      <tp t="s">
        <v>#N/A N/A</v>
        <stp/>
        <stp>BDP|11677324665017848406</stp>
        <tr r="B175" s="2"/>
      </tp>
      <tp t="s">
        <v>#N/A N/A</v>
        <stp/>
        <stp>BDP|14925410332216353204</stp>
        <tr r="C3236" s="2"/>
      </tp>
      <tp t="s">
        <v>#N/A N/A</v>
        <stp/>
        <stp>BDP|12334743203330465294</stp>
        <tr r="D1485" s="2"/>
      </tp>
      <tp t="s">
        <v>#N/A N/A</v>
        <stp/>
        <stp>BDP|17305134189519595059</stp>
        <tr r="C2778" s="2"/>
      </tp>
      <tp t="s">
        <v>#N/A N/A</v>
        <stp/>
        <stp>BDP|10316534251501199699</stp>
        <tr r="B834" s="2"/>
      </tp>
      <tp t="s">
        <v>#N/A N/A</v>
        <stp/>
        <stp>BDP|11049971562178404184</stp>
        <tr r="I2726" s="2"/>
      </tp>
      <tp t="s">
        <v>#N/A N/A</v>
        <stp/>
        <stp>BDP|16826767266156564642</stp>
        <tr r="F698" s="2"/>
      </tp>
      <tp t="s">
        <v>#N/A N/A</v>
        <stp/>
        <stp>BDP|16353315005011855365</stp>
        <tr r="F1176" s="2"/>
      </tp>
      <tp t="s">
        <v>#N/A N/A</v>
        <stp/>
        <stp>BDP|14363053679773143776</stp>
        <tr r="G1809" s="2"/>
      </tp>
      <tp t="s">
        <v>#N/A N/A</v>
        <stp/>
        <stp>BDP|11087689640052154604</stp>
        <tr r="C4226" s="2"/>
      </tp>
      <tp t="s">
        <v>#N/A N/A</v>
        <stp/>
        <stp>BDP|12799480309930649194</stp>
        <tr r="C2193" s="2"/>
      </tp>
      <tp t="s">
        <v>#N/A N/A</v>
        <stp/>
        <stp>BDP|15813045687673212903</stp>
        <tr r="A1978" s="2"/>
      </tp>
      <tp t="s">
        <v>#N/A N/A</v>
        <stp/>
        <stp>BDP|10663785910551363047</stp>
        <tr r="D2645" s="2"/>
      </tp>
      <tp t="s">
        <v>#N/A N/A</v>
        <stp/>
        <stp>BDP|18098445648399213679</stp>
        <tr r="C3205" s="2"/>
      </tp>
      <tp t="s">
        <v>#N/A N/A</v>
        <stp/>
        <stp>BDP|12264466808054019556</stp>
        <tr r="D1787" s="2"/>
      </tp>
      <tp t="s">
        <v>#N/A N/A</v>
        <stp/>
        <stp>BDP|16872580748029627972</stp>
        <tr r="A1708" s="2"/>
      </tp>
      <tp t="s">
        <v>#N/A N/A</v>
        <stp/>
        <stp>BDP|13752744007070837355</stp>
        <tr r="I3233" s="2"/>
      </tp>
      <tp t="s">
        <v>#N/A N/A</v>
        <stp/>
        <stp>BDP|16615651533493024790</stp>
        <tr r="D110" s="2"/>
      </tp>
      <tp t="s">
        <v>#N/A N/A</v>
        <stp/>
        <stp>BDP|17819581086735791888</stp>
        <tr r="H510" s="2"/>
      </tp>
      <tp t="s">
        <v>#N/A N/A</v>
        <stp/>
        <stp>BDP|17589260709386196424</stp>
        <tr r="G3307" s="2"/>
      </tp>
      <tp t="s">
        <v>#N/A N/A</v>
        <stp/>
        <stp>BDP|11976031276900189142</stp>
        <tr r="B4727" s="2"/>
      </tp>
      <tp t="s">
        <v>#N/A N/A</v>
        <stp/>
        <stp>BDP|12678527019006267763</stp>
        <tr r="A3681" s="2"/>
      </tp>
      <tp t="s">
        <v>#N/A N/A</v>
        <stp/>
        <stp>BDP|12057629902336828518</stp>
        <tr r="D4492" s="2"/>
      </tp>
      <tp t="s">
        <v>#N/A N/A</v>
        <stp/>
        <stp>BDP|12442168354873833272</stp>
        <tr r="A1877" s="2"/>
      </tp>
      <tp t="s">
        <v>#N/A N/A</v>
        <stp/>
        <stp>BDP|15512354740227122280</stp>
        <tr r="H846" s="2"/>
      </tp>
      <tp t="s">
        <v>#N/A N/A</v>
        <stp/>
        <stp>BDP|17851258050867410001</stp>
        <tr r="G327" s="2"/>
      </tp>
      <tp t="s">
        <v>#N/A N/A</v>
        <stp/>
        <stp>BDP|10177597252867292014</stp>
        <tr r="D3927" s="2"/>
      </tp>
      <tp t="s">
        <v>#N/A N/A</v>
        <stp/>
        <stp>BDP|12568734873376435387</stp>
        <tr r="H1881" s="2"/>
      </tp>
      <tp t="s">
        <v>#N/A N/A</v>
        <stp/>
        <stp>BDP|11652981873699458103</stp>
        <tr r="F4874" s="2"/>
      </tp>
      <tp t="s">
        <v>#N/A N/A</v>
        <stp/>
        <stp>BDP|16446695477181601154</stp>
        <tr r="F1128" s="2"/>
      </tp>
      <tp t="s">
        <v>#N/A N/A</v>
        <stp/>
        <stp>BDP|18264603264116872977</stp>
        <tr r="A3329" s="2"/>
      </tp>
      <tp t="s">
        <v>#N/A N/A</v>
        <stp/>
        <stp>BDP|11914229693858443550</stp>
        <tr r="F4993" s="2"/>
      </tp>
      <tp t="s">
        <v>#N/A N/A</v>
        <stp/>
        <stp>BDP|13984938664769560225</stp>
        <tr r="B4405" s="2"/>
      </tp>
      <tp t="s">
        <v>#N/A N/A</v>
        <stp/>
        <stp>BDP|12826364220234330043</stp>
        <tr r="B3300" s="2"/>
      </tp>
      <tp t="s">
        <v>#N/A N/A</v>
        <stp/>
        <stp>BDP|14901867318562843862</stp>
        <tr r="F4262" s="2"/>
      </tp>
      <tp t="s">
        <v>#N/A N/A</v>
        <stp/>
        <stp>BDP|11977905095692558405</stp>
        <tr r="D2027" s="2"/>
      </tp>
      <tp t="s">
        <v>#N/A N/A</v>
        <stp/>
        <stp>BDP|16079525464331684382</stp>
        <tr r="C3790" s="2"/>
      </tp>
      <tp t="s">
        <v>#N/A N/A</v>
        <stp/>
        <stp>BDP|11047335248422081336</stp>
        <tr r="I1387" s="2"/>
      </tp>
      <tp t="s">
        <v>#N/A N/A</v>
        <stp/>
        <stp>BDP|11165347349361016048</stp>
        <tr r="H860" s="2"/>
      </tp>
      <tp t="s">
        <v>#N/A N/A</v>
        <stp/>
        <stp>BDP|15305698202225165116</stp>
        <tr r="C4595" s="2"/>
      </tp>
      <tp t="s">
        <v>#N/A N/A</v>
        <stp/>
        <stp>BDP|14531783821906074047</stp>
        <tr r="G3557" s="2"/>
      </tp>
      <tp t="s">
        <v>#N/A N/A</v>
        <stp/>
        <stp>BDP|16891395311095873602</stp>
        <tr r="C20" s="2"/>
      </tp>
      <tp t="s">
        <v>#N/A N/A</v>
        <stp/>
        <stp>BDP|11508314595398173489</stp>
        <tr r="F2691" s="2"/>
      </tp>
      <tp t="s">
        <v>#N/A N/A</v>
        <stp/>
        <stp>BDP|15070702059724923489</stp>
        <tr r="H1839" s="2"/>
      </tp>
      <tp t="s">
        <v>#N/A N/A</v>
        <stp/>
        <stp>BDP|18206200482820160597</stp>
        <tr r="A3706" s="2"/>
      </tp>
      <tp t="s">
        <v>#N/A N/A</v>
        <stp/>
        <stp>BDP|16344334325965433593</stp>
        <tr r="H2486" s="2"/>
      </tp>
      <tp t="s">
        <v>#N/A N/A</v>
        <stp/>
        <stp>BDP|13984204721084440040</stp>
        <tr r="A460" s="2"/>
      </tp>
      <tp t="s">
        <v>#N/A N/A</v>
        <stp/>
        <stp>BDP|17048927034578869268</stp>
        <tr r="I4962" s="2"/>
      </tp>
      <tp t="s">
        <v>#N/A N/A</v>
        <stp/>
        <stp>BDP|17910979027629474251</stp>
        <tr r="G2853" s="2"/>
      </tp>
      <tp t="s">
        <v>#N/A N/A</v>
        <stp/>
        <stp>BDP|11569371148836735753</stp>
        <tr r="F1585" s="2"/>
      </tp>
      <tp t="s">
        <v>#N/A N/A</v>
        <stp/>
        <stp>BDP|10975845282091794604</stp>
        <tr r="A4173" s="2"/>
      </tp>
      <tp t="s">
        <v>#N/A N/A</v>
        <stp/>
        <stp>BDP|16957501063416484467</stp>
        <tr r="D2038" s="2"/>
      </tp>
      <tp t="s">
        <v>#N/A N/A</v>
        <stp/>
        <stp>BDP|17465839589719306956</stp>
        <tr r="H2367" s="2"/>
      </tp>
      <tp t="s">
        <v>#N/A N/A</v>
        <stp/>
        <stp>BDP|18069475109322099967</stp>
        <tr r="G3881" s="2"/>
      </tp>
      <tp t="s">
        <v>#N/A N/A</v>
        <stp/>
        <stp>BDP|13287560573712601491</stp>
        <tr r="C3307" s="2"/>
      </tp>
      <tp t="s">
        <v>#N/A N/A</v>
        <stp/>
        <stp>BDP|10625645256297813349</stp>
        <tr r="I1428" s="2"/>
      </tp>
      <tp t="s">
        <v>#N/A N/A</v>
        <stp/>
        <stp>BDP|13325238908933792577</stp>
        <tr r="H3303" s="2"/>
      </tp>
      <tp t="s">
        <v>#N/A N/A</v>
        <stp/>
        <stp>BDP|13905831340391565979</stp>
        <tr r="F1542" s="2"/>
      </tp>
      <tp t="s">
        <v>#N/A N/A</v>
        <stp/>
        <stp>BDP|13236786373787560348</stp>
        <tr r="D2313" s="2"/>
      </tp>
      <tp t="s">
        <v>#N/A N/A</v>
        <stp/>
        <stp>BDP|14378168297438247383</stp>
        <tr r="F1838" s="2"/>
      </tp>
      <tp t="s">
        <v>#N/A N/A</v>
        <stp/>
        <stp>BDP|18225921026980753493</stp>
        <tr r="C1832" s="2"/>
      </tp>
      <tp t="s">
        <v>#N/A N/A</v>
        <stp/>
        <stp>BDP|15917993608669186210</stp>
        <tr r="G2713" s="2"/>
      </tp>
      <tp t="s">
        <v>#N/A N/A</v>
        <stp/>
        <stp>BDP|18196256834268138692</stp>
        <tr r="G4393" s="2"/>
      </tp>
      <tp t="s">
        <v>#N/A N/A</v>
        <stp/>
        <stp>BDP|18393884477542203264</stp>
        <tr r="I449" s="2"/>
      </tp>
      <tp t="s">
        <v>#N/A N/A</v>
        <stp/>
        <stp>BDP|12579483302205735406</stp>
        <tr r="F3105" s="2"/>
      </tp>
      <tp t="s">
        <v>#N/A N/A</v>
        <stp/>
        <stp>BDP|14462234827041164297</stp>
        <tr r="D3460" s="2"/>
      </tp>
      <tp t="s">
        <v>#N/A N/A</v>
        <stp/>
        <stp>BDP|12583370157205902649</stp>
        <tr r="H4560" s="2"/>
      </tp>
      <tp t="s">
        <v>#N/A N/A</v>
        <stp/>
        <stp>BDP|16602143032157092489</stp>
        <tr r="A4745" s="2"/>
      </tp>
      <tp t="s">
        <v>#N/A N/A</v>
        <stp/>
        <stp>BDP|17774698016360667768</stp>
        <tr r="A4108" s="2"/>
      </tp>
      <tp t="s">
        <v>#N/A N/A</v>
        <stp/>
        <stp>BDP|12214558709517585736</stp>
        <tr r="G2409" s="2"/>
      </tp>
      <tp t="s">
        <v>#N/A N/A</v>
        <stp/>
        <stp>BDP|16353694722000354536</stp>
        <tr r="D3440" s="2"/>
      </tp>
      <tp t="s">
        <v>#N/A N/A</v>
        <stp/>
        <stp>BDP|11230307059132607254</stp>
        <tr r="G2160" s="2"/>
      </tp>
      <tp t="s">
        <v>#N/A N/A</v>
        <stp/>
        <stp>BDP|10240526735904526588</stp>
        <tr r="I1257" s="2"/>
      </tp>
      <tp t="s">
        <v>#N/A N/A</v>
        <stp/>
        <stp>BDP|15239737961437832402</stp>
        <tr r="F1739" s="2"/>
      </tp>
      <tp t="s">
        <v>#N/A N/A</v>
        <stp/>
        <stp>BDP|12801726026769714931</stp>
        <tr r="B2174" s="2"/>
      </tp>
      <tp t="s">
        <v>#N/A N/A</v>
        <stp/>
        <stp>BDP|17488029541111983568</stp>
        <tr r="C2723" s="2"/>
      </tp>
      <tp t="s">
        <v>#N/A N/A</v>
        <stp/>
        <stp>BDP|15258857692800535389</stp>
        <tr r="B2598" s="2"/>
      </tp>
      <tp t="s">
        <v>#N/A N/A</v>
        <stp/>
        <stp>BDP|11604876278531922881</stp>
        <tr r="H4703" s="2"/>
      </tp>
      <tp t="s">
        <v>#N/A N/A</v>
        <stp/>
        <stp>BDP|11406592575055240126</stp>
        <tr r="F3244" s="2"/>
      </tp>
      <tp t="s">
        <v>#N/A N/A</v>
        <stp/>
        <stp>BDP|15146280353475674047</stp>
        <tr r="B2060" s="2"/>
      </tp>
      <tp t="s">
        <v>#N/A N/A</v>
        <stp/>
        <stp>BDP|15975537724784409127</stp>
        <tr r="C244" s="2"/>
      </tp>
      <tp t="s">
        <v>#N/A N/A</v>
        <stp/>
        <stp>BDP|11606033419305590219</stp>
        <tr r="D4893" s="2"/>
      </tp>
      <tp t="s">
        <v>#N/A N/A</v>
        <stp/>
        <stp>BDP|10383704028966401472</stp>
        <tr r="A840" s="2"/>
      </tp>
      <tp t="s">
        <v>#N/A N/A</v>
        <stp/>
        <stp>BDP|14925936362409819587</stp>
        <tr r="A753" s="2"/>
      </tp>
      <tp t="s">
        <v>#N/A N/A</v>
        <stp/>
        <stp>BDP|14990221245572580733</stp>
        <tr r="D1064" s="2"/>
      </tp>
      <tp t="s">
        <v>#N/A N/A</v>
        <stp/>
        <stp>BDP|16916280366237965263</stp>
        <tr r="D4997" s="2"/>
      </tp>
      <tp t="s">
        <v>#N/A N/A</v>
        <stp/>
        <stp>BDP|13587662622000088097</stp>
        <tr r="D1147" s="2"/>
      </tp>
      <tp t="s">
        <v>#N/A N/A</v>
        <stp/>
        <stp>BDP|14975651023396599129</stp>
        <tr r="D1553" s="2"/>
      </tp>
      <tp t="s">
        <v>#N/A N/A</v>
        <stp/>
        <stp>BDP|15393779048087078642</stp>
        <tr r="A1792" s="2"/>
      </tp>
      <tp t="s">
        <v>#N/A N/A</v>
        <stp/>
        <stp>BDP|17645322808723010044</stp>
        <tr r="B2305" s="2"/>
      </tp>
      <tp t="s">
        <v>#N/A N/A</v>
        <stp/>
        <stp>BDP|13144098219950008591</stp>
        <tr r="I4984" s="2"/>
      </tp>
      <tp t="s">
        <v>#N/A N/A</v>
        <stp/>
        <stp>BDP|18360643196558016895</stp>
        <tr r="B2026" s="2"/>
      </tp>
      <tp t="s">
        <v>#N/A N/A</v>
        <stp/>
        <stp>BDP|10411331068416585417</stp>
        <tr r="A2004" s="2"/>
      </tp>
      <tp t="s">
        <v>#N/A N/A</v>
        <stp/>
        <stp>BDP|16997419813387283320</stp>
        <tr r="H2318" s="2"/>
      </tp>
      <tp t="s">
        <v>#N/A N/A</v>
        <stp/>
        <stp>BDP|11946165170072481202</stp>
        <tr r="B2945" s="2"/>
      </tp>
      <tp t="s">
        <v>#N/A N/A</v>
        <stp/>
        <stp>BDP|12220298407204525321</stp>
        <tr r="B3664" s="2"/>
      </tp>
      <tp t="s">
        <v>#N/A N/A</v>
        <stp/>
        <stp>BDP|14897880891383917130</stp>
        <tr r="D1681" s="2"/>
      </tp>
      <tp t="s">
        <v>#N/A N/A</v>
        <stp/>
        <stp>BDP|11922231268862025092</stp>
        <tr r="D968" s="2"/>
      </tp>
      <tp t="s">
        <v>#N/A N/A</v>
        <stp/>
        <stp>BDP|13080320899738608664</stp>
        <tr r="C4860" s="2"/>
      </tp>
      <tp t="s">
        <v>#N/A N/A</v>
        <stp/>
        <stp>BDP|10098915425248605494</stp>
        <tr r="D291" s="2"/>
      </tp>
      <tp t="s">
        <v>#N/A N/A</v>
        <stp/>
        <stp>BDP|10032778018558623926</stp>
        <tr r="C3883" s="2"/>
      </tp>
      <tp t="s">
        <v>#N/A N/A</v>
        <stp/>
        <stp>BDP|12691785218763511080</stp>
        <tr r="D4027" s="2"/>
      </tp>
      <tp t="s">
        <v>#N/A N/A</v>
        <stp/>
        <stp>BDP|16525563057356787780</stp>
        <tr r="D3475" s="2"/>
      </tp>
      <tp t="s">
        <v>#N/A N/A</v>
        <stp/>
        <stp>BDP|10443528006665308783</stp>
        <tr r="C4851" s="2"/>
      </tp>
      <tp t="s">
        <v>#N/A N/A</v>
        <stp/>
        <stp>BDP|11591548749103302409</stp>
        <tr r="I1390" s="2"/>
      </tp>
      <tp t="s">
        <v>#N/A N/A</v>
        <stp/>
        <stp>BDP|16950875046604676958</stp>
        <tr r="C386" s="2"/>
      </tp>
      <tp t="s">
        <v>#N/A N/A</v>
        <stp/>
        <stp>BDP|15964782410846241280</stp>
        <tr r="A4137" s="2"/>
      </tp>
      <tp t="s">
        <v>#N/A N/A</v>
        <stp/>
        <stp>BDP|12795012328100050757</stp>
        <tr r="B146" s="2"/>
      </tp>
      <tp t="s">
        <v>#N/A N/A</v>
        <stp/>
        <stp>BDP|18371512370048046599</stp>
        <tr r="B2091" s="2"/>
      </tp>
      <tp t="s">
        <v>#N/A N/A</v>
        <stp/>
        <stp>BDP|10469389235723144433</stp>
        <tr r="B577" s="2"/>
      </tp>
      <tp t="s">
        <v>#N/A N/A</v>
        <stp/>
        <stp>BDP|18216935147450489297</stp>
        <tr r="D2079" s="2"/>
      </tp>
      <tp t="s">
        <v>#N/A N/A</v>
        <stp/>
        <stp>BDP|10442529771345410080</stp>
        <tr r="A3793" s="2"/>
      </tp>
      <tp t="s">
        <v>#N/A N/A</v>
        <stp/>
        <stp>BDP|14946029910782156010</stp>
        <tr r="C1470" s="2"/>
      </tp>
      <tp t="s">
        <v>#N/A N/A</v>
        <stp/>
        <stp>BDP|17910644736604496145</stp>
        <tr r="G1221" s="2"/>
      </tp>
      <tp t="s">
        <v>#N/A N/A</v>
        <stp/>
        <stp>BDP|12297553392331835865</stp>
        <tr r="I3536" s="2"/>
      </tp>
      <tp t="s">
        <v>#N/A N/A</v>
        <stp/>
        <stp>BDP|16368980894092300378</stp>
        <tr r="G4691" s="2"/>
      </tp>
      <tp t="s">
        <v>#N/A N/A</v>
        <stp/>
        <stp>BDP|17683862898802753349</stp>
        <tr r="H1208" s="2"/>
      </tp>
      <tp t="s">
        <v>#N/A N/A</v>
        <stp/>
        <stp>BDP|10386807808967982890</stp>
        <tr r="G649" s="2"/>
      </tp>
      <tp t="s">
        <v>#N/A N/A</v>
        <stp/>
        <stp>BDP|10141627579743135509</stp>
        <tr r="C4028" s="2"/>
      </tp>
      <tp t="s">
        <v>#N/A N/A</v>
        <stp/>
        <stp>BDP|15850556193027456918</stp>
        <tr r="H1364" s="2"/>
      </tp>
      <tp t="s">
        <v>#N/A N/A</v>
        <stp/>
        <stp>BDP|12892233871054671470</stp>
        <tr r="H2857" s="2"/>
      </tp>
      <tp t="s">
        <v>#N/A N/A</v>
        <stp/>
        <stp>BDP|14929638463262201105</stp>
        <tr r="A3682" s="2"/>
      </tp>
      <tp t="s">
        <v>#N/A N/A</v>
        <stp/>
        <stp>BDP|16327732885738686682</stp>
        <tr r="C2464" s="2"/>
      </tp>
      <tp t="s">
        <v>#N/A N/A</v>
        <stp/>
        <stp>BDP|15774465871070894137</stp>
        <tr r="H2265" s="2"/>
      </tp>
      <tp t="s">
        <v>#N/A N/A</v>
        <stp/>
        <stp>BDP|10531187643662698037</stp>
        <tr r="C643" s="2"/>
      </tp>
      <tp t="s">
        <v>#N/A N/A</v>
        <stp/>
        <stp>BDP|13330607962857855325</stp>
        <tr r="H2736" s="2"/>
      </tp>
      <tp t="s">
        <v>#N/A N/A</v>
        <stp/>
        <stp>BDP|15140597915546728018</stp>
        <tr r="G135" s="2"/>
      </tp>
      <tp t="s">
        <v>#N/A N/A</v>
        <stp/>
        <stp>BDP|14084504778506350700</stp>
        <tr r="I1914" s="2"/>
      </tp>
      <tp t="s">
        <v>#N/A N/A</v>
        <stp/>
        <stp>BDP|16896151821986754408</stp>
        <tr r="H371" s="2"/>
      </tp>
      <tp t="s">
        <v>#N/A N/A</v>
        <stp/>
        <stp>BDP|14105261189070261974</stp>
        <tr r="B1887" s="2"/>
      </tp>
      <tp t="s">
        <v>#N/A N/A</v>
        <stp/>
        <stp>BDP|11987025369692806219</stp>
        <tr r="C1759" s="2"/>
      </tp>
      <tp t="s">
        <v>#N/A N/A</v>
        <stp/>
        <stp>BDP|11416759436494471689</stp>
        <tr r="D3801" s="2"/>
      </tp>
      <tp t="s">
        <v>#N/A N/A</v>
        <stp/>
        <stp>BDP|14140796508556844231</stp>
        <tr r="B533" s="2"/>
      </tp>
      <tp t="s">
        <v>#N/A N/A</v>
        <stp/>
        <stp>BDP|17839862354499354422</stp>
        <tr r="G1008" s="2"/>
      </tp>
      <tp t="s">
        <v>#N/A N/A</v>
        <stp/>
        <stp>BDP|16463685023833481601</stp>
        <tr r="C1610" s="2"/>
      </tp>
      <tp t="s">
        <v>#N/A N/A</v>
        <stp/>
        <stp>BDP|15345067964012922630</stp>
        <tr r="H122" s="2"/>
      </tp>
      <tp t="s">
        <v>#N/A N/A</v>
        <stp/>
        <stp>BDP|15334893904752321864</stp>
        <tr r="B3935" s="2"/>
      </tp>
      <tp t="s">
        <v>#N/A N/A</v>
        <stp/>
        <stp>BDP|10423235275233968102</stp>
        <tr r="B3203" s="2"/>
      </tp>
      <tp t="s">
        <v>#N/A N/A</v>
        <stp/>
        <stp>BDP|12922623654980216668</stp>
        <tr r="B3792" s="2"/>
      </tp>
      <tp t="s">
        <v>#N/A N/A</v>
        <stp/>
        <stp>BDP|11745976360879295092</stp>
        <tr r="H3854" s="2"/>
      </tp>
      <tp t="s">
        <v>#N/A N/A</v>
        <stp/>
        <stp>BDP|18224032908789772651</stp>
        <tr r="I111" s="2"/>
      </tp>
      <tp t="s">
        <v>#N/A N/A</v>
        <stp/>
        <stp>BDP|10030905699496716153</stp>
        <tr r="F3604" s="2"/>
      </tp>
      <tp t="s">
        <v>#N/A N/A</v>
        <stp/>
        <stp>BDP|17930341708565647683</stp>
        <tr r="G3515" s="2"/>
      </tp>
      <tp t="s">
        <v>#N/A N/A</v>
        <stp/>
        <stp>BDP|12170376257752365190</stp>
        <tr r="D3349" s="2"/>
      </tp>
      <tp t="s">
        <v>#N/A N/A</v>
        <stp/>
        <stp>BDP|13445625763750982479</stp>
        <tr r="H3959" s="2"/>
      </tp>
      <tp t="s">
        <v>#N/A N/A</v>
        <stp/>
        <stp>BDP|13305126728167063026</stp>
        <tr r="C4342" s="2"/>
      </tp>
      <tp t="s">
        <v>#N/A N/A</v>
        <stp/>
        <stp>BDP|16679040415939518998</stp>
        <tr r="F3614" s="2"/>
      </tp>
      <tp t="s">
        <v>#N/A N/A</v>
        <stp/>
        <stp>BDP|12382699004896788526</stp>
        <tr r="C4938" s="2"/>
      </tp>
      <tp t="s">
        <v>#N/A N/A</v>
        <stp/>
        <stp>BDP|16541781274763316214</stp>
        <tr r="I1095" s="2"/>
      </tp>
      <tp t="s">
        <v>#N/A N/A</v>
        <stp/>
        <stp>BDP|12874008201777773258</stp>
        <tr r="G4171" s="2"/>
      </tp>
      <tp t="s">
        <v>#N/A N/A</v>
        <stp/>
        <stp>BDP|16442751948733055121</stp>
        <tr r="B4625" s="2"/>
      </tp>
      <tp t="s">
        <v>#N/A N/A</v>
        <stp/>
        <stp>BDP|14692847673788392496</stp>
        <tr r="F2136" s="2"/>
      </tp>
      <tp t="s">
        <v>#N/A N/A</v>
        <stp/>
        <stp>BDP|14703591355181851283</stp>
        <tr r="H4068" s="2"/>
      </tp>
      <tp t="s">
        <v>#N/A N/A</v>
        <stp/>
        <stp>BDP|15377436597667892848</stp>
        <tr r="G4671" s="2"/>
      </tp>
      <tp t="s">
        <v>#N/A N/A</v>
        <stp/>
        <stp>BDP|14408276268626615164</stp>
        <tr r="D1542" s="2"/>
      </tp>
      <tp t="s">
        <v>#N/A N/A</v>
        <stp/>
        <stp>BDP|13687580505197744678</stp>
        <tr r="H3843" s="2"/>
      </tp>
      <tp t="s">
        <v>#N/A N/A</v>
        <stp/>
        <stp>BDP|11842016280087513976</stp>
        <tr r="G1670" s="2"/>
      </tp>
      <tp t="s">
        <v>#N/A N/A</v>
        <stp/>
        <stp>BDP|12801626822570125124</stp>
        <tr r="G1849" s="2"/>
      </tp>
      <tp t="s">
        <v>#N/A N/A</v>
        <stp/>
        <stp>BDP|12767534277271935616</stp>
        <tr r="F3658" s="2"/>
      </tp>
      <tp t="s">
        <v>#N/A N/A</v>
        <stp/>
        <stp>BDP|14504293554746062237</stp>
        <tr r="H3122" s="2"/>
      </tp>
      <tp t="s">
        <v>#N/A N/A</v>
        <stp/>
        <stp>BDP|14678654726280861762</stp>
        <tr r="H1399" s="2"/>
      </tp>
      <tp t="s">
        <v>#N/A N/A</v>
        <stp/>
        <stp>BDP|16884388259263243403</stp>
        <tr r="B709" s="2"/>
      </tp>
      <tp t="s">
        <v>#N/A N/A</v>
        <stp/>
        <stp>BDP|15391219839042003104</stp>
        <tr r="D1540" s="2"/>
      </tp>
      <tp t="s">
        <v>#N/A N/A</v>
        <stp/>
        <stp>BDP|13530972918638150406</stp>
        <tr r="G84" s="2"/>
      </tp>
      <tp t="s">
        <v>#N/A N/A</v>
        <stp/>
        <stp>BDP|10118175825225913113</stp>
        <tr r="C868" s="2"/>
      </tp>
      <tp t="s">
        <v>#N/A N/A</v>
        <stp/>
        <stp>BDP|14796841399515759773</stp>
        <tr r="I1622" s="2"/>
      </tp>
      <tp t="s">
        <v>#N/A N/A</v>
        <stp/>
        <stp>BDP|13120860873959820263</stp>
        <tr r="I2884" s="2"/>
      </tp>
      <tp t="s">
        <v>#N/A N/A</v>
        <stp/>
        <stp>BDP|15115050094529378299</stp>
        <tr r="A3112" s="2"/>
      </tp>
      <tp t="s">
        <v>#N/A N/A</v>
        <stp/>
        <stp>BDP|12256166516527181294</stp>
        <tr r="B3393" s="2"/>
      </tp>
      <tp t="s">
        <v>#N/A N/A</v>
        <stp/>
        <stp>BDP|13885374309822976559</stp>
        <tr r="D2854" s="2"/>
      </tp>
      <tp t="s">
        <v>#N/A N/A</v>
        <stp/>
        <stp>BDP|10064671961030462788</stp>
        <tr r="C1790" s="2"/>
      </tp>
      <tp t="s">
        <v>#N/A N/A</v>
        <stp/>
        <stp>BDP|10875479967411478464</stp>
        <tr r="G4986" s="2"/>
      </tp>
      <tp t="s">
        <v>#N/A N/A</v>
        <stp/>
        <stp>BDP|17248539244266728784</stp>
        <tr r="G3874" s="2"/>
      </tp>
      <tp t="s">
        <v>#N/A N/A</v>
        <stp/>
        <stp>BDP|10351190020755032108</stp>
        <tr r="G312" s="2"/>
      </tp>
      <tp t="s">
        <v>#N/A N/A</v>
        <stp/>
        <stp>BDP|12421055218170194426</stp>
        <tr r="G2557" s="2"/>
      </tp>
      <tp t="s">
        <v>#N/A N/A</v>
        <stp/>
        <stp>BDP|16212041014551145198</stp>
        <tr r="H1603" s="2"/>
      </tp>
      <tp t="s">
        <v>#N/A N/A</v>
        <stp/>
        <stp>BDP|16907551686445452948</stp>
        <tr r="B4841" s="2"/>
      </tp>
      <tp t="s">
        <v>#N/A N/A</v>
        <stp/>
        <stp>BDP|15142917612839835300</stp>
        <tr r="H1698" s="2"/>
      </tp>
      <tp t="s">
        <v>#N/A N/A</v>
        <stp/>
        <stp>BDP|16011293354774597224</stp>
        <tr r="B3060" s="2"/>
      </tp>
      <tp t="s">
        <v>#N/A N/A</v>
        <stp/>
        <stp>BDP|15355820916713951848</stp>
        <tr r="G2363" s="2"/>
      </tp>
      <tp t="s">
        <v>#N/A N/A</v>
        <stp/>
        <stp>BDP|15108410173287094694</stp>
        <tr r="D1251" s="2"/>
      </tp>
      <tp t="s">
        <v>#N/A N/A</v>
        <stp/>
        <stp>BDP|14285737281129971536</stp>
        <tr r="H1653" s="2"/>
      </tp>
      <tp t="s">
        <v>#N/A N/A</v>
        <stp/>
        <stp>BDP|13223858527178806624</stp>
        <tr r="F1424" s="2"/>
      </tp>
      <tp t="s">
        <v>#N/A N/A</v>
        <stp/>
        <stp>BDP|12564329466801296191</stp>
        <tr r="D493" s="2"/>
      </tp>
      <tp t="s">
        <v>#N/A N/A</v>
        <stp/>
        <stp>BDP|18113084972220299831</stp>
        <tr r="A271" s="2"/>
      </tp>
      <tp t="s">
        <v>#N/A N/A</v>
        <stp/>
        <stp>BDP|12182187648446843630</stp>
        <tr r="A3803" s="2"/>
      </tp>
      <tp t="s">
        <v>#N/A N/A</v>
        <stp/>
        <stp>BDP|16244612614995465397</stp>
        <tr r="C4578" s="2"/>
      </tp>
      <tp t="s">
        <v>#N/A N/A</v>
        <stp/>
        <stp>BDP|15294791955470010043</stp>
        <tr r="H1525" s="2"/>
      </tp>
      <tp t="s">
        <v>#N/A N/A</v>
        <stp/>
        <stp>BDP|12607213654182948008</stp>
        <tr r="B3983" s="2"/>
      </tp>
      <tp t="s">
        <v>#N/A N/A</v>
        <stp/>
        <stp>BDP|11990673554924557158</stp>
        <tr r="B3476" s="2"/>
      </tp>
      <tp t="s">
        <v>#N/A N/A</v>
        <stp/>
        <stp>BDP|17088687377706318767</stp>
        <tr r="D4531" s="2"/>
      </tp>
      <tp t="s">
        <v>#N/A N/A</v>
        <stp/>
        <stp>BDP|12839645611841644317</stp>
        <tr r="D1661" s="2"/>
      </tp>
      <tp t="s">
        <v>#N/A N/A</v>
        <stp/>
        <stp>BDP|16193714803924103289</stp>
        <tr r="G380" s="2"/>
      </tp>
      <tp t="s">
        <v>#N/A N/A</v>
        <stp/>
        <stp>BDP|18307462001362854969</stp>
        <tr r="B1943" s="2"/>
      </tp>
      <tp t="s">
        <v>#N/A N/A</v>
        <stp/>
        <stp>BDP|17503227547917801123</stp>
        <tr r="B1053" s="2"/>
      </tp>
      <tp t="s">
        <v>#N/A N/A</v>
        <stp/>
        <stp>BDP|12872669048217433082</stp>
        <tr r="G3114" s="2"/>
      </tp>
      <tp t="s">
        <v>#N/A N/A</v>
        <stp/>
        <stp>BDP|12881827071673302925</stp>
        <tr r="A3232" s="2"/>
      </tp>
      <tp t="s">
        <v>#N/A N/A</v>
        <stp/>
        <stp>BDP|12556723172551662499</stp>
        <tr r="G2378" s="2"/>
      </tp>
      <tp t="s">
        <v>#N/A N/A</v>
        <stp/>
        <stp>BDP|10977665965135294229</stp>
        <tr r="H1910" s="2"/>
      </tp>
      <tp t="s">
        <v>#N/A N/A</v>
        <stp/>
        <stp>BDP|15962246636570547342</stp>
        <tr r="H3706" s="2"/>
      </tp>
      <tp t="s">
        <v>#N/A N/A</v>
        <stp/>
        <stp>BDP|12833919676003014858</stp>
        <tr r="I4606" s="2"/>
      </tp>
      <tp t="s">
        <v>#N/A N/A</v>
        <stp/>
        <stp>BDP|17143904589344283508</stp>
        <tr r="G1565" s="2"/>
      </tp>
      <tp t="s">
        <v>#N/A N/A</v>
        <stp/>
        <stp>BDP|14337081201013194018</stp>
        <tr r="A1735" s="2"/>
      </tp>
      <tp t="s">
        <v>#N/A N/A</v>
        <stp/>
        <stp>BDP|18203397795475103050</stp>
        <tr r="A578" s="2"/>
      </tp>
      <tp t="s">
        <v>#N/A N/A</v>
        <stp/>
        <stp>BDP|11887417928886259690</stp>
        <tr r="A2401" s="2"/>
      </tp>
      <tp t="s">
        <v>#N/A N/A</v>
        <stp/>
        <stp>BDP|12953871897676173227</stp>
        <tr r="C2501" s="2"/>
      </tp>
      <tp t="s">
        <v>#N/A N/A</v>
        <stp/>
        <stp>BDP|10658286177436661453</stp>
        <tr r="H2743" s="2"/>
      </tp>
      <tp t="s">
        <v>#N/A N/A</v>
        <stp/>
        <stp>BDP|14436573908325686379</stp>
        <tr r="D378" s="2"/>
      </tp>
      <tp t="s">
        <v>#N/A N/A</v>
        <stp/>
        <stp>BDP|17499638914722949500</stp>
        <tr r="D2112" s="2"/>
      </tp>
      <tp t="s">
        <v>#N/A N/A</v>
        <stp/>
        <stp>BDP|12359696696973593932</stp>
        <tr r="F3730" s="2"/>
      </tp>
      <tp t="s">
        <v>#N/A N/A</v>
        <stp/>
        <stp>BDP|13889408610607274600</stp>
        <tr r="C3442" s="2"/>
      </tp>
      <tp t="s">
        <v>#N/A N/A</v>
        <stp/>
        <stp>BDP|16982404021971101634</stp>
        <tr r="B1815" s="2"/>
      </tp>
      <tp t="s">
        <v>#N/A N/A</v>
        <stp/>
        <stp>BDP|11898779783899090060</stp>
        <tr r="D4890" s="2"/>
      </tp>
      <tp t="s">
        <v>#N/A N/A</v>
        <stp/>
        <stp>BDP|10018080373017867797</stp>
        <tr r="D1649" s="2"/>
      </tp>
      <tp t="s">
        <v>#N/A N/A</v>
        <stp/>
        <stp>BDP|13827327575106409614</stp>
        <tr r="B228" s="2"/>
      </tp>
      <tp t="s">
        <v>#N/A N/A</v>
        <stp/>
        <stp>BDP|12504108115815801020</stp>
        <tr r="G1293" s="2"/>
      </tp>
      <tp t="s">
        <v>#N/A N/A</v>
        <stp/>
        <stp>BDP|14952155470256416323</stp>
        <tr r="H2523" s="2"/>
      </tp>
      <tp t="s">
        <v>#N/A N/A</v>
        <stp/>
        <stp>BDP|10329013945112545184</stp>
        <tr r="C3084" s="2"/>
      </tp>
      <tp t="s">
        <v>#N/A N/A</v>
        <stp/>
        <stp>BDP|13010765519395408717</stp>
        <tr r="D181" s="2"/>
      </tp>
      <tp t="s">
        <v>#N/A N/A</v>
        <stp/>
        <stp>BDP|13145040033780433787</stp>
        <tr r="D3790" s="2"/>
      </tp>
      <tp t="s">
        <v>#N/A N/A</v>
        <stp/>
        <stp>BDP|11178361857239317992</stp>
        <tr r="H4246" s="2"/>
      </tp>
      <tp t="s">
        <v>#N/A N/A</v>
        <stp/>
        <stp>BDP|18390393787715432139</stp>
        <tr r="A1136" s="2"/>
      </tp>
      <tp t="s">
        <v>#N/A N/A</v>
        <stp/>
        <stp>BDP|16745044902990978128</stp>
        <tr r="H4152" s="2"/>
      </tp>
      <tp t="s">
        <v>#N/A N/A</v>
        <stp/>
        <stp>BDP|14206315191038818102</stp>
        <tr r="D1305" s="2"/>
      </tp>
      <tp t="s">
        <v>#N/A N/A</v>
        <stp/>
        <stp>BDP|12705049674481432398</stp>
        <tr r="I2355" s="2"/>
      </tp>
      <tp t="s">
        <v>#N/A N/A</v>
        <stp/>
        <stp>BDP|13408154743218194999</stp>
        <tr r="B1247" s="2"/>
      </tp>
      <tp t="s">
        <v>#N/A N/A</v>
        <stp/>
        <stp>BDP|11523681540350174461</stp>
        <tr r="F3026" s="2"/>
      </tp>
      <tp t="s">
        <v>#N/A N/A</v>
        <stp/>
        <stp>BDP|15980612008521291580</stp>
        <tr r="H3072" s="2"/>
      </tp>
      <tp t="s">
        <v>#N/A N/A</v>
        <stp/>
        <stp>BDP|10597733829954073651</stp>
        <tr r="F1019" s="2"/>
      </tp>
      <tp t="s">
        <v>#N/A N/A</v>
        <stp/>
        <stp>BDP|14706723187514020881</stp>
        <tr r="A3645" s="2"/>
      </tp>
      <tp t="s">
        <v>#N/A N/A</v>
        <stp/>
        <stp>BDP|12339903594191905444</stp>
        <tr r="G2095" s="2"/>
      </tp>
      <tp t="s">
        <v>#N/A N/A</v>
        <stp/>
        <stp>BDP|13374883789673047783</stp>
        <tr r="G2858" s="2"/>
      </tp>
      <tp t="s">
        <v>#N/A N/A</v>
        <stp/>
        <stp>BDP|10609422222318975952</stp>
        <tr r="A3032" s="2"/>
      </tp>
      <tp t="s">
        <v>#N/A N/A</v>
        <stp/>
        <stp>BDP|18133406280991383280</stp>
        <tr r="F4286" s="2"/>
      </tp>
      <tp t="s">
        <v>#N/A N/A</v>
        <stp/>
        <stp>BDP|15032533359335326735</stp>
        <tr r="G1149" s="2"/>
      </tp>
      <tp t="s">
        <v>#N/A N/A</v>
        <stp/>
        <stp>BDP|16885737516206594120</stp>
        <tr r="D3782" s="2"/>
      </tp>
      <tp t="s">
        <v>#N/A N/A</v>
        <stp/>
        <stp>BDP|17033393413065615765</stp>
        <tr r="I2518" s="2"/>
      </tp>
      <tp t="s">
        <v>#N/A N/A</v>
        <stp/>
        <stp>BDP|16635936671149610681</stp>
        <tr r="B1741" s="2"/>
      </tp>
      <tp t="s">
        <v>#N/A N/A</v>
        <stp/>
        <stp>BDP|14351423609427344012</stp>
        <tr r="B4797" s="2"/>
      </tp>
      <tp t="s">
        <v>#N/A N/A</v>
        <stp/>
        <stp>BDP|14511835609808014359</stp>
        <tr r="F2750" s="2"/>
      </tp>
      <tp t="s">
        <v>#N/A N/A</v>
        <stp/>
        <stp>BDP|13867173224580330758</stp>
        <tr r="H2128" s="2"/>
      </tp>
      <tp t="s">
        <v>#N/A N/A</v>
        <stp/>
        <stp>BDP|13123773720378206999</stp>
        <tr r="B2358" s="2"/>
      </tp>
      <tp t="s">
        <v>#N/A N/A</v>
        <stp/>
        <stp>BDP|15543672632205960249</stp>
        <tr r="G2504" s="2"/>
      </tp>
      <tp t="s">
        <v>#N/A N/A</v>
        <stp/>
        <stp>BDP|15516999165004727931</stp>
        <tr r="A4516" s="2"/>
      </tp>
      <tp t="s">
        <v>#N/A N/A</v>
        <stp/>
        <stp>BDP|14399227638983585114</stp>
        <tr r="A181" s="2"/>
      </tp>
      <tp t="s">
        <v>#N/A N/A</v>
        <stp/>
        <stp>BDP|16891113171281734621</stp>
        <tr r="H4416" s="2"/>
      </tp>
      <tp t="s">
        <v>#N/A N/A</v>
        <stp/>
        <stp>BDP|16083977147685465995</stp>
        <tr r="C2536" s="2"/>
      </tp>
      <tp t="s">
        <v>#N/A N/A</v>
        <stp/>
        <stp>BDP|11428375668601120279</stp>
        <tr r="H1709" s="2"/>
      </tp>
      <tp t="s">
        <v>#N/A N/A</v>
        <stp/>
        <stp>BDP|12884002615276161214</stp>
        <tr r="F4259" s="2"/>
      </tp>
      <tp t="s">
        <v>#N/A N/A</v>
        <stp/>
        <stp>BDP|16097158338204305739</stp>
        <tr r="I2401" s="2"/>
      </tp>
      <tp t="s">
        <v>#N/A N/A</v>
        <stp/>
        <stp>BDP|11607689139157996438</stp>
        <tr r="H1613" s="2"/>
      </tp>
      <tp t="s">
        <v>#N/A N/A</v>
        <stp/>
        <stp>BDP|15181175679842786654</stp>
        <tr r="F1498" s="2"/>
      </tp>
      <tp t="s">
        <v>#N/A N/A</v>
        <stp/>
        <stp>BDP|12190170727610471681</stp>
        <tr r="C1866" s="2"/>
      </tp>
      <tp t="s">
        <v>#N/A N/A</v>
        <stp/>
        <stp>BDP|12802127943798180851</stp>
        <tr r="A4525" s="2"/>
      </tp>
      <tp t="s">
        <v>#N/A N/A</v>
        <stp/>
        <stp>BDP|13962298334154931104</stp>
        <tr r="D2307" s="2"/>
      </tp>
      <tp t="s">
        <v>#N/A N/A</v>
        <stp/>
        <stp>BDP|13839730667293412658</stp>
        <tr r="G1277" s="2"/>
      </tp>
      <tp t="s">
        <v>#N/A N/A</v>
        <stp/>
        <stp>BDP|16375380817636188501</stp>
        <tr r="H1127" s="2"/>
      </tp>
      <tp t="s">
        <v>#N/A N/A</v>
        <stp/>
        <stp>BDP|11761121465100495197</stp>
        <tr r="F2707" s="2"/>
      </tp>
      <tp t="s">
        <v>#N/A N/A</v>
        <stp/>
        <stp>BDP|17431884820448452259</stp>
        <tr r="G1282" s="2"/>
      </tp>
      <tp t="s">
        <v>#N/A N/A</v>
        <stp/>
        <stp>BDP|11131764904919927873</stp>
        <tr r="F531" s="2"/>
      </tp>
      <tp t="s">
        <v>#N/A N/A</v>
        <stp/>
        <stp>BDP|17268908218668475030</stp>
        <tr r="A1407" s="2"/>
      </tp>
      <tp t="s">
        <v>#N/A N/A</v>
        <stp/>
        <stp>BDP|17676629018996307128</stp>
        <tr r="H736" s="2"/>
      </tp>
      <tp t="s">
        <v>#N/A N/A</v>
        <stp/>
        <stp>BDP|10687417994539626387</stp>
        <tr r="G4112" s="2"/>
      </tp>
      <tp t="s">
        <v>#N/A N/A</v>
        <stp/>
        <stp>BDP|13354439759122545716</stp>
        <tr r="A3500" s="2"/>
      </tp>
      <tp t="s">
        <v>#N/A N/A</v>
        <stp/>
        <stp>BDP|13590029379420323309</stp>
        <tr r="I126" s="2"/>
      </tp>
      <tp t="s">
        <v>#N/A N/A</v>
        <stp/>
        <stp>BDP|16424987071136398933</stp>
        <tr r="G3637" s="2"/>
      </tp>
      <tp t="s">
        <v>#N/A N/A</v>
        <stp/>
        <stp>BDP|13272615438148581935</stp>
        <tr r="C1779" s="2"/>
      </tp>
      <tp t="s">
        <v>#N/A N/A</v>
        <stp/>
        <stp>BDP|13840278485169701703</stp>
        <tr r="H4055" s="2"/>
      </tp>
      <tp t="s">
        <v>#N/A N/A</v>
        <stp/>
        <stp>BDP|12673521475406485184</stp>
        <tr r="C4082" s="2"/>
      </tp>
      <tp t="s">
        <v>#N/A N/A</v>
        <stp/>
        <stp>BDP|10672025161985846402</stp>
        <tr r="A1143" s="2"/>
      </tp>
      <tp t="s">
        <v>#N/A N/A</v>
        <stp/>
        <stp>BDP|13569276505232261489</stp>
        <tr r="A2325" s="2"/>
      </tp>
      <tp t="s">
        <v>#N/A N/A</v>
        <stp/>
        <stp>BDP|10604335451816888718</stp>
        <tr r="H2943" s="2"/>
      </tp>
      <tp t="s">
        <v>#N/A N/A</v>
        <stp/>
        <stp>BDP|17324506425832968527</stp>
        <tr r="G2558" s="2"/>
      </tp>
      <tp t="s">
        <v>#N/A N/A</v>
        <stp/>
        <stp>BDP|10023755500991075184</stp>
        <tr r="F3965" s="2"/>
      </tp>
      <tp t="s">
        <v>#N/A N/A</v>
        <stp/>
        <stp>BDP|13607060723703883562</stp>
        <tr r="H1590" s="2"/>
      </tp>
      <tp t="s">
        <v>#N/A N/A</v>
        <stp/>
        <stp>BDP|14171255521927812406</stp>
        <tr r="F2652" s="2"/>
      </tp>
      <tp t="s">
        <v>#N/A N/A</v>
        <stp/>
        <stp>BDP|16399017141292692789</stp>
        <tr r="D3485" s="2"/>
      </tp>
      <tp t="s">
        <v>#N/A N/A</v>
        <stp/>
        <stp>BDP|10152230249683427222</stp>
        <tr r="G3279" s="2"/>
      </tp>
      <tp t="s">
        <v>#N/A N/A</v>
        <stp/>
        <stp>BDP|13718584902785210420</stp>
        <tr r="I4447" s="2"/>
      </tp>
      <tp t="s">
        <v>#N/A N/A</v>
        <stp/>
        <stp>BDP|16832095058784313073</stp>
        <tr r="D453" s="2"/>
      </tp>
      <tp t="s">
        <v>#N/A N/A</v>
        <stp/>
        <stp>BDP|16928645022310770550</stp>
        <tr r="I3932" s="2"/>
      </tp>
      <tp t="s">
        <v>#N/A N/A</v>
        <stp/>
        <stp>BDP|11823524415193345110</stp>
        <tr r="F2884" s="2"/>
      </tp>
      <tp t="s">
        <v>#N/A N/A</v>
        <stp/>
        <stp>BDP|12661849998551286551</stp>
        <tr r="G4278" s="2"/>
      </tp>
      <tp t="s">
        <v>#N/A N/A</v>
        <stp/>
        <stp>BDP|12493266568338770908</stp>
        <tr r="C2668" s="2"/>
      </tp>
      <tp t="s">
        <v>#N/A N/A</v>
        <stp/>
        <stp>BDP|13851148349273152299</stp>
        <tr r="A4234" s="2"/>
      </tp>
      <tp t="s">
        <v>#N/A N/A</v>
        <stp/>
        <stp>BDP|16300523588128290468</stp>
        <tr r="C4332" s="2"/>
      </tp>
      <tp t="s">
        <v>#N/A N/A</v>
        <stp/>
        <stp>BDP|14244220338757771527</stp>
        <tr r="A1056" s="2"/>
      </tp>
      <tp t="s">
        <v>#N/A N/A</v>
        <stp/>
        <stp>BDP|14330407748790301351</stp>
        <tr r="H2342" s="2"/>
      </tp>
      <tp t="s">
        <v>#N/A N/A</v>
        <stp/>
        <stp>BDP|12777292220027749243</stp>
        <tr r="G2330" s="2"/>
      </tp>
      <tp t="s">
        <v>#N/A N/A</v>
        <stp/>
        <stp>BDP|16346424075563809117</stp>
        <tr r="D4428" s="2"/>
      </tp>
      <tp t="s">
        <v>#N/A N/A</v>
        <stp/>
        <stp>BDP|18062133406399826706</stp>
        <tr r="D1236" s="2"/>
      </tp>
      <tp t="s">
        <v>#N/A N/A</v>
        <stp/>
        <stp>BDP|10255202449901059069</stp>
        <tr r="H3151" s="2"/>
      </tp>
      <tp t="s">
        <v>#N/A N/A</v>
        <stp/>
        <stp>BDP|16170272924035762481</stp>
        <tr r="F167" s="2"/>
      </tp>
      <tp t="s">
        <v>#N/A N/A</v>
        <stp/>
        <stp>BDP|15788061565921059597</stp>
        <tr r="A1054" s="2"/>
      </tp>
      <tp t="s">
        <v>#N/A N/A</v>
        <stp/>
        <stp>BDP|17363464041203165384</stp>
        <tr r="G2690" s="2"/>
      </tp>
      <tp t="s">
        <v>#N/A N/A</v>
        <stp/>
        <stp>BDP|10516592404040605231</stp>
        <tr r="H522" s="2"/>
      </tp>
      <tp t="s">
        <v>#N/A N/A</v>
        <stp/>
        <stp>BDP|10055262655395878561</stp>
        <tr r="H909" s="2"/>
      </tp>
      <tp t="s">
        <v>#N/A N/A</v>
        <stp/>
        <stp>BDP|17361017321664620684</stp>
        <tr r="A788" s="2"/>
      </tp>
      <tp t="s">
        <v>#N/A N/A</v>
        <stp/>
        <stp>BDP|13636493087228614032</stp>
        <tr r="C321" s="2"/>
      </tp>
      <tp t="s">
        <v>#N/A N/A</v>
        <stp/>
        <stp>BDP|17813520965582232106</stp>
        <tr r="H689" s="2"/>
      </tp>
      <tp t="s">
        <v>#N/A N/A</v>
        <stp/>
        <stp>BDP|16161496721772708537</stp>
        <tr r="I534" s="2"/>
      </tp>
      <tp t="s">
        <v>#N/A N/A</v>
        <stp/>
        <stp>BDP|16903887552009873560</stp>
        <tr r="B4109" s="2"/>
      </tp>
      <tp t="s">
        <v>#N/A N/A</v>
        <stp/>
        <stp>BDP|13049857999767904284</stp>
        <tr r="D3885" s="2"/>
      </tp>
      <tp t="s">
        <v>#N/A N/A</v>
        <stp/>
        <stp>BDP|16843290248367078047</stp>
        <tr r="H4673" s="2"/>
      </tp>
      <tp t="s">
        <v>#N/A N/A</v>
        <stp/>
        <stp>BDP|15100290980391048950</stp>
        <tr r="H988" s="2"/>
      </tp>
      <tp t="s">
        <v>#N/A N/A</v>
        <stp/>
        <stp>BDP|13886337624632279709</stp>
        <tr r="B26" s="2"/>
      </tp>
      <tp t="s">
        <v>#N/A N/A</v>
        <stp/>
        <stp>BDP|16931151766546174067</stp>
        <tr r="H1822" s="2"/>
      </tp>
      <tp t="s">
        <v>#N/A N/A</v>
        <stp/>
        <stp>BDP|11649731073076853036</stp>
        <tr r="C3622" s="2"/>
      </tp>
      <tp t="s">
        <v>#N/A N/A</v>
        <stp/>
        <stp>BDP|18167893979019910952</stp>
        <tr r="G1171" s="2"/>
      </tp>
      <tp t="s">
        <v>#N/A N/A</v>
        <stp/>
        <stp>BDP|12227173208727076307</stp>
        <tr r="I3529" s="2"/>
      </tp>
      <tp t="s">
        <v>#N/A N/A</v>
        <stp/>
        <stp>BDP|16801733322335120154</stp>
        <tr r="I3328" s="2"/>
      </tp>
      <tp t="s">
        <v>#N/A N/A</v>
        <stp/>
        <stp>BDP|10704102108020224605</stp>
        <tr r="F2046" s="2"/>
      </tp>
      <tp t="s">
        <v>#N/A N/A</v>
        <stp/>
        <stp>BDP|17237280765867675349</stp>
        <tr r="G862" s="2"/>
      </tp>
      <tp t="s">
        <v>#N/A N/A</v>
        <stp/>
        <stp>BDP|15731706306256425380</stp>
        <tr r="D2264" s="2"/>
      </tp>
      <tp t="s">
        <v>#N/A N/A</v>
        <stp/>
        <stp>BDP|16688254016236886402</stp>
        <tr r="F406" s="2"/>
      </tp>
      <tp t="s">
        <v>#N/A N/A</v>
        <stp/>
        <stp>BDP|11527005832472376790</stp>
        <tr r="H3762" s="2"/>
      </tp>
      <tp t="s">
        <v>#N/A N/A</v>
        <stp/>
        <stp>BDP|17783975705179187090</stp>
        <tr r="D4980" s="2"/>
      </tp>
      <tp t="s">
        <v>#N/A N/A</v>
        <stp/>
        <stp>BDP|12527621015206637496</stp>
        <tr r="F2222" s="2"/>
      </tp>
      <tp t="s">
        <v>#N/A N/A</v>
        <stp/>
        <stp>BDP|10206159403214880217</stp>
        <tr r="C4691" s="2"/>
      </tp>
      <tp t="s">
        <v>#N/A N/A</v>
        <stp/>
        <stp>BDP|13535098989049140584</stp>
        <tr r="D4026" s="2"/>
      </tp>
      <tp t="s">
        <v>#N/A N/A</v>
        <stp/>
        <stp>BDP|14901730511865766005</stp>
        <tr r="B825" s="2"/>
      </tp>
      <tp t="s">
        <v>#N/A N/A</v>
        <stp/>
        <stp>BDP|14794256519160600015</stp>
        <tr r="D2602" s="2"/>
      </tp>
      <tp t="s">
        <v>#N/A N/A</v>
        <stp/>
        <stp>BDP|13732726197778912278</stp>
        <tr r="A1153" s="2"/>
      </tp>
      <tp t="s">
        <v>#N/A N/A</v>
        <stp/>
        <stp>BDP|17897947212531255905</stp>
        <tr r="D308" s="2"/>
      </tp>
      <tp t="s">
        <v>#N/A N/A</v>
        <stp/>
        <stp>BDP|15443696767784273648</stp>
        <tr r="D4401" s="2"/>
      </tp>
      <tp t="s">
        <v>#N/A N/A</v>
        <stp/>
        <stp>BDP|12170055474035809748</stp>
        <tr r="F2001" s="2"/>
      </tp>
      <tp t="s">
        <v>#N/A N/A</v>
        <stp/>
        <stp>BDP|17239340129760760148</stp>
        <tr r="B3179" s="2"/>
      </tp>
      <tp t="s">
        <v>#N/A N/A</v>
        <stp/>
        <stp>BDP|11586909531008932418</stp>
        <tr r="F3482" s="2"/>
      </tp>
      <tp t="s">
        <v>#N/A N/A</v>
        <stp/>
        <stp>BDP|13355231154983014085</stp>
        <tr r="D4855" s="2"/>
      </tp>
      <tp t="s">
        <v>#N/A N/A</v>
        <stp/>
        <stp>BDP|13723084010403588663</stp>
        <tr r="G4802" s="2"/>
      </tp>
      <tp t="s">
        <v>#N/A N/A</v>
        <stp/>
        <stp>BDP|13603126466683688081</stp>
        <tr r="G2495" s="2"/>
      </tp>
      <tp t="s">
        <v>#N/A N/A</v>
        <stp/>
        <stp>BDP|13859179817226375270</stp>
        <tr r="D4016" s="2"/>
      </tp>
      <tp t="s">
        <v>#N/A N/A</v>
        <stp/>
        <stp>BDP|15214286931897678410</stp>
        <tr r="B2704" s="2"/>
      </tp>
      <tp t="s">
        <v>#N/A N/A</v>
        <stp/>
        <stp>BDP|17444043965291898714</stp>
        <tr r="I3805" s="2"/>
      </tp>
      <tp t="s">
        <v>#N/A N/A</v>
        <stp/>
        <stp>BDP|10355108478706019773</stp>
        <tr r="I4467" s="2"/>
      </tp>
      <tp t="s">
        <v>#N/A N/A</v>
        <stp/>
        <stp>BDP|16783806725508703393</stp>
        <tr r="B3941" s="2"/>
      </tp>
      <tp t="s">
        <v>#N/A N/A</v>
        <stp/>
        <stp>BDP|12926045537440159679</stp>
        <tr r="D2934" s="2"/>
      </tp>
      <tp t="s">
        <v>#N/A N/A</v>
        <stp/>
        <stp>BDP|16532612608971974690</stp>
        <tr r="I3598" s="2"/>
      </tp>
      <tp t="s">
        <v>#N/A N/A</v>
        <stp/>
        <stp>BDP|17418176139887116571</stp>
        <tr r="H3941" s="2"/>
      </tp>
      <tp t="s">
        <v>#N/A N/A</v>
        <stp/>
        <stp>BDP|11874794374657831119</stp>
        <tr r="C3433" s="2"/>
      </tp>
      <tp t="s">
        <v>#N/A N/A</v>
        <stp/>
        <stp>BDP|11846054927285455128</stp>
        <tr r="F466" s="2"/>
      </tp>
      <tp t="s">
        <v>#N/A N/A</v>
        <stp/>
        <stp>BDP|14103743437837976073</stp>
        <tr r="I4644" s="2"/>
      </tp>
      <tp t="s">
        <v>#N/A N/A</v>
        <stp/>
        <stp>BDP|16611519508834695056</stp>
        <tr r="H3721" s="2"/>
      </tp>
      <tp t="s">
        <v>#N/A N/A</v>
        <stp/>
        <stp>BDP|16489767564179854925</stp>
        <tr r="G4823" s="2"/>
      </tp>
      <tp t="s">
        <v>#N/A N/A</v>
        <stp/>
        <stp>BDP|16384502109144618004</stp>
        <tr r="C506" s="2"/>
      </tp>
      <tp t="s">
        <v>#N/A N/A</v>
        <stp/>
        <stp>BDP|14183142408341176300</stp>
        <tr r="A544" s="2"/>
      </tp>
      <tp t="s">
        <v>#N/A N/A</v>
        <stp/>
        <stp>BDP|17550703779081088100</stp>
        <tr r="D2463" s="2"/>
      </tp>
      <tp t="s">
        <v>#N/A N/A</v>
        <stp/>
        <stp>BDP|14292622649633734220</stp>
        <tr r="I1584" s="2"/>
      </tp>
      <tp t="s">
        <v>#N/A N/A</v>
        <stp/>
        <stp>BDP|17727383683723035808</stp>
        <tr r="C1627" s="2"/>
      </tp>
      <tp t="s">
        <v>#N/A N/A</v>
        <stp/>
        <stp>BDP|13835034108267692391</stp>
        <tr r="D4723" s="2"/>
      </tp>
      <tp t="s">
        <v>#N/A N/A</v>
        <stp/>
        <stp>BDP|13125196789985949844</stp>
        <tr r="H231" s="2"/>
      </tp>
      <tp t="s">
        <v>#N/A N/A</v>
        <stp/>
        <stp>BDP|16833498083384717995</stp>
        <tr r="D2876" s="2"/>
      </tp>
      <tp t="s">
        <v>#N/A N/A</v>
        <stp/>
        <stp>BDP|10185644818920281031</stp>
        <tr r="D4447" s="2"/>
      </tp>
      <tp t="s">
        <v>#N/A N/A</v>
        <stp/>
        <stp>BDP|13093303728193034644</stp>
        <tr r="F627" s="2"/>
      </tp>
      <tp t="s">
        <v>#N/A N/A</v>
        <stp/>
        <stp>BDP|15750088444761209756</stp>
        <tr r="B842" s="2"/>
      </tp>
      <tp t="s">
        <v>#N/A N/A</v>
        <stp/>
        <stp>BDP|17191523120644856375</stp>
        <tr r="B1272" s="2"/>
      </tp>
      <tp t="s">
        <v>#N/A N/A</v>
        <stp/>
        <stp>BDP|13309409089060582833</stp>
        <tr r="G2253" s="2"/>
      </tp>
      <tp t="s">
        <v>#N/A N/A</v>
        <stp/>
        <stp>BDP|14630390782588062011</stp>
        <tr r="C4542" s="2"/>
      </tp>
      <tp t="s">
        <v>#N/A N/A</v>
        <stp/>
        <stp>BDP|12751650518121529337</stp>
        <tr r="H4795" s="2"/>
      </tp>
      <tp t="s">
        <v>#N/A N/A</v>
        <stp/>
        <stp>BDP|13503804446461739982</stp>
        <tr r="H3645" s="2"/>
      </tp>
      <tp t="s">
        <v>#N/A N/A</v>
        <stp/>
        <stp>BDP|16623203261055273097</stp>
        <tr r="D1948" s="2"/>
      </tp>
      <tp t="s">
        <v>#N/A N/A</v>
        <stp/>
        <stp>BDP|15723255767155017396</stp>
        <tr r="I4018" s="2"/>
      </tp>
      <tp t="s">
        <v>#N/A N/A</v>
        <stp/>
        <stp>BDP|12617997617079027445</stp>
        <tr r="C2830" s="2"/>
      </tp>
      <tp t="s">
        <v>#N/A N/A</v>
        <stp/>
        <stp>BDP|10654912048388159221</stp>
        <tr r="A255" s="2"/>
      </tp>
      <tp t="s">
        <v>#N/A N/A</v>
        <stp/>
        <stp>BDP|16548792529006128284</stp>
        <tr r="B2230" s="2"/>
      </tp>
      <tp t="s">
        <v>#N/A N/A</v>
        <stp/>
        <stp>BDP|15736391595318013070</stp>
        <tr r="I2312" s="2"/>
      </tp>
      <tp t="s">
        <v>#N/A N/A</v>
        <stp/>
        <stp>BDP|16360554939321569667</stp>
        <tr r="F4875" s="2"/>
      </tp>
      <tp t="s">
        <v>#N/A N/A</v>
        <stp/>
        <stp>BDP|16583498163505410674</stp>
        <tr r="A2233" s="2"/>
      </tp>
      <tp t="s">
        <v>#N/A N/A</v>
        <stp/>
        <stp>BDP|17060112848312415711</stp>
        <tr r="I4607" s="2"/>
      </tp>
      <tp t="s">
        <v>#N/A N/A</v>
        <stp/>
        <stp>BDP|16831334645555779352</stp>
        <tr r="B3944" s="2"/>
      </tp>
      <tp t="s">
        <v>#N/A N/A</v>
        <stp/>
        <stp>BDP|14669279386489386084</stp>
        <tr r="C3783" s="2"/>
      </tp>
      <tp t="s">
        <v>#N/A N/A</v>
        <stp/>
        <stp>BDP|13472254780468954645</stp>
        <tr r="A4522" s="2"/>
      </tp>
      <tp t="s">
        <v>#N/A N/A</v>
        <stp/>
        <stp>BDP|14239663653782970227</stp>
        <tr r="G1578" s="2"/>
      </tp>
      <tp t="s">
        <v>#N/A N/A</v>
        <stp/>
        <stp>BDP|12481889251171372920</stp>
        <tr r="D3696" s="2"/>
      </tp>
      <tp t="s">
        <v>#N/A N/A</v>
        <stp/>
        <stp>BDP|17001914129743412805</stp>
        <tr r="H2891" s="2"/>
      </tp>
      <tp t="s">
        <v>#N/A N/A</v>
        <stp/>
        <stp>BDP|16930026646145371024</stp>
        <tr r="G1988" s="2"/>
      </tp>
      <tp t="s">
        <v>#N/A N/A</v>
        <stp/>
        <stp>BDP|14704682413367864380</stp>
        <tr r="G1192" s="2"/>
      </tp>
      <tp t="s">
        <v>#N/A N/A</v>
        <stp/>
        <stp>BDP|15823380763402798589</stp>
        <tr r="G4621" s="2"/>
      </tp>
      <tp t="s">
        <v>#N/A N/A</v>
        <stp/>
        <stp>BDP|10089595701935465704</stp>
        <tr r="B1532" s="2"/>
      </tp>
      <tp t="s">
        <v>#N/A N/A</v>
        <stp/>
        <stp>BDP|17685680122862756673</stp>
        <tr r="D1570" s="2"/>
      </tp>
      <tp t="s">
        <v>#N/A N/A</v>
        <stp/>
        <stp>BDP|13976416794438770174</stp>
        <tr r="D3358" s="2"/>
      </tp>
      <tp t="s">
        <v>#N/A N/A</v>
        <stp/>
        <stp>BDP|12013845824719507696</stp>
        <tr r="A3174" s="2"/>
      </tp>
      <tp t="s">
        <v>#N/A N/A</v>
        <stp/>
        <stp>BDP|12639382311270061730</stp>
        <tr r="F413" s="2"/>
      </tp>
      <tp t="s">
        <v>#N/A N/A</v>
        <stp/>
        <stp>BDP|13849060432766041102</stp>
        <tr r="G4246" s="2"/>
      </tp>
      <tp t="s">
        <v>#N/A N/A</v>
        <stp/>
        <stp>BDP|16857047957887460339</stp>
        <tr r="H3038" s="2"/>
      </tp>
      <tp t="s">
        <v>#N/A N/A</v>
        <stp/>
        <stp>BDP|17517895014399378075</stp>
        <tr r="F2872" s="2"/>
      </tp>
      <tp t="s">
        <v>#N/A N/A</v>
        <stp/>
        <stp>BDP|15892637170576175569</stp>
        <tr r="A1557" s="2"/>
      </tp>
      <tp t="s">
        <v>#N/A N/A</v>
        <stp/>
        <stp>BDP|12107497102900335158</stp>
        <tr r="A4154" s="2"/>
      </tp>
      <tp t="s">
        <v>#N/A N/A</v>
        <stp/>
        <stp>BDP|12119471342201815407</stp>
        <tr r="F893" s="2"/>
      </tp>
      <tp t="s">
        <v>#N/A N/A</v>
        <stp/>
        <stp>BDP|12399637604077126498</stp>
        <tr r="A2341" s="2"/>
      </tp>
      <tp t="s">
        <v>#N/A N/A</v>
        <stp/>
        <stp>BDP|15153966672029812516</stp>
        <tr r="B3502" s="2"/>
      </tp>
      <tp t="s">
        <v>#N/A N/A</v>
        <stp/>
        <stp>BDP|11562290227716545021</stp>
        <tr r="B4466" s="2"/>
      </tp>
      <tp t="s">
        <v>#N/A N/A</v>
        <stp/>
        <stp>BDP|14872811895082356037</stp>
        <tr r="A2407" s="2"/>
      </tp>
      <tp t="s">
        <v>#N/A N/A</v>
        <stp/>
        <stp>BDP|16949290528386323771</stp>
        <tr r="B4720" s="2"/>
      </tp>
      <tp t="s">
        <v>#N/A N/A</v>
        <stp/>
        <stp>BDP|15867763337370622630</stp>
        <tr r="D4962" s="2"/>
      </tp>
      <tp t="s">
        <v>#N/A N/A</v>
        <stp/>
        <stp>BDP|16049006668933214451</stp>
        <tr r="H1418" s="2"/>
      </tp>
      <tp t="s">
        <v>#N/A N/A</v>
        <stp/>
        <stp>BDP|15286790103977234259</stp>
        <tr r="B1514" s="2"/>
      </tp>
      <tp t="s">
        <v>#N/A N/A</v>
        <stp/>
        <stp>BDP|13898041657852028349</stp>
        <tr r="A1651" s="2"/>
      </tp>
      <tp t="s">
        <v>#N/A N/A</v>
        <stp/>
        <stp>BDP|12188230637630305497</stp>
        <tr r="D4215" s="2"/>
      </tp>
      <tp t="s">
        <v>#N/A N/A</v>
        <stp/>
        <stp>BDP|11531866269239184147</stp>
        <tr r="D3558" s="2"/>
      </tp>
      <tp t="s">
        <v>#N/A N/A</v>
        <stp/>
        <stp>BDP|14898511087179235735</stp>
        <tr r="D2321" s="2"/>
      </tp>
      <tp t="s">
        <v>#N/A N/A</v>
        <stp/>
        <stp>BDP|15148768939630648671</stp>
        <tr r="D49" s="2"/>
      </tp>
      <tp t="s">
        <v>#N/A N/A</v>
        <stp/>
        <stp>BDP|11221031779201497037</stp>
        <tr r="B1908" s="2"/>
      </tp>
      <tp t="s">
        <v>#N/A N/A</v>
        <stp/>
        <stp>BDP|11857651106086780632</stp>
        <tr r="H4591" s="2"/>
      </tp>
      <tp t="s">
        <v>#N/A N/A</v>
        <stp/>
        <stp>BDP|13886898485762991620</stp>
        <tr r="H667" s="2"/>
      </tp>
      <tp t="s">
        <v>#N/A N/A</v>
        <stp/>
        <stp>BDP|10789830114848981665</stp>
        <tr r="B4037" s="2"/>
      </tp>
      <tp t="s">
        <v>#N/A N/A</v>
        <stp/>
        <stp>BDP|13952908234687666940</stp>
        <tr r="H2587" s="2"/>
      </tp>
      <tp t="s">
        <v>#N/A N/A</v>
        <stp/>
        <stp>BDP|14693418067634838579</stp>
        <tr r="G141" s="2"/>
      </tp>
      <tp t="s">
        <v>#N/A N/A</v>
        <stp/>
        <stp>BDP|12454513079980268714</stp>
        <tr r="A4465" s="2"/>
      </tp>
      <tp t="s">
        <v>#N/A N/A</v>
        <stp/>
        <stp>BDP|16582756428542625614</stp>
        <tr r="B819" s="2"/>
      </tp>
      <tp t="s">
        <v>#N/A N/A</v>
        <stp/>
        <stp>BDP|17692072239474646716</stp>
        <tr r="B2795" s="2"/>
      </tp>
      <tp t="s">
        <v>#N/A N/A</v>
        <stp/>
        <stp>BDP|13848828236366773944</stp>
        <tr r="C997" s="2"/>
      </tp>
      <tp t="s">
        <v>#N/A N/A</v>
        <stp/>
        <stp>BDP|10163880715409363708</stp>
        <tr r="C2652" s="2"/>
      </tp>
      <tp t="s">
        <v>#N/A N/A</v>
        <stp/>
        <stp>BDP|13250768548063484479</stp>
        <tr r="D3417" s="2"/>
      </tp>
      <tp t="s">
        <v>#N/A N/A</v>
        <stp/>
        <stp>BDP|13824765155002124459</stp>
        <tr r="I137" s="2"/>
      </tp>
      <tp t="s">
        <v>#N/A N/A</v>
        <stp/>
        <stp>BDP|17797277419775035666</stp>
        <tr r="B4648" s="2"/>
      </tp>
      <tp t="s">
        <v>#N/A N/A</v>
        <stp/>
        <stp>BDP|14918514527665081108</stp>
        <tr r="I3219" s="2"/>
      </tp>
      <tp t="s">
        <v>#N/A N/A</v>
        <stp/>
        <stp>BDP|11145522666035837026</stp>
        <tr r="I530" s="2"/>
      </tp>
      <tp t="s">
        <v>#N/A N/A</v>
        <stp/>
        <stp>BDP|15010297244554670047</stp>
        <tr r="I2241" s="2"/>
      </tp>
      <tp t="s">
        <v>#N/A N/A</v>
        <stp/>
        <stp>BDP|13111442579722570560</stp>
        <tr r="F3931" s="2"/>
      </tp>
      <tp t="s">
        <v>#N/A N/A</v>
        <stp/>
        <stp>BDP|14667248650472887651</stp>
        <tr r="A2835" s="2"/>
      </tp>
      <tp t="s">
        <v>#N/A N/A</v>
        <stp/>
        <stp>BDP|12976466201613975283</stp>
        <tr r="A2676" s="2"/>
      </tp>
      <tp t="s">
        <v>#N/A N/A</v>
        <stp/>
        <stp>BDP|18421915238522082729</stp>
        <tr r="G4824" s="2"/>
      </tp>
      <tp t="s">
        <v>#N/A N/A</v>
        <stp/>
        <stp>BDP|10189479909586155513</stp>
        <tr r="A2035" s="2"/>
      </tp>
      <tp t="s">
        <v>#N/A N/A</v>
        <stp/>
        <stp>BDP|13064071224271401787</stp>
        <tr r="H3018" s="2"/>
      </tp>
      <tp t="s">
        <v>#N/A N/A</v>
        <stp/>
        <stp>BDP|15407406798268135725</stp>
        <tr r="A2041" s="2"/>
      </tp>
      <tp t="s">
        <v>#N/A N/A</v>
        <stp/>
        <stp>BDP|14024110245475843330</stp>
        <tr r="A970" s="2"/>
      </tp>
      <tp t="s">
        <v>#N/A N/A</v>
        <stp/>
        <stp>BDP|12762303169384177400</stp>
        <tr r="H2098" s="2"/>
      </tp>
      <tp t="s">
        <v>#N/A N/A</v>
        <stp/>
        <stp>BDP|12621447926266325584</stp>
        <tr r="C4288" s="2"/>
      </tp>
      <tp t="s">
        <v>#N/A N/A</v>
        <stp/>
        <stp>BDP|10566447758532155470</stp>
        <tr r="H3435" s="2"/>
      </tp>
      <tp t="s">
        <v>#N/A N/A</v>
        <stp/>
        <stp>BDP|13933414262225413315</stp>
        <tr r="H1824" s="2"/>
      </tp>
      <tp t="s">
        <v>#N/A N/A</v>
        <stp/>
        <stp>BDP|14967895787471023285</stp>
        <tr r="H789" s="2"/>
      </tp>
      <tp t="s">
        <v>#N/A N/A</v>
        <stp/>
        <stp>BDP|18397268334937691981</stp>
        <tr r="B2836" s="2"/>
      </tp>
      <tp t="s">
        <v>#N/A N/A</v>
        <stp/>
        <stp>BDP|14072113784023806924</stp>
        <tr r="G1063" s="2"/>
      </tp>
      <tp t="s">
        <v>#N/A N/A</v>
        <stp/>
        <stp>BDP|10203790150622758734</stp>
        <tr r="H3474" s="2"/>
      </tp>
      <tp t="s">
        <v>#N/A N/A</v>
        <stp/>
        <stp>BDP|18177242635327838972</stp>
        <tr r="C4686" s="2"/>
      </tp>
      <tp t="s">
        <v>#N/A N/A</v>
        <stp/>
        <stp>BDP|10475509223981959115</stp>
        <tr r="F1016" s="2"/>
      </tp>
      <tp t="s">
        <v>#N/A N/A</v>
        <stp/>
        <stp>BDP|17807044182941233939</stp>
        <tr r="I2284" s="2"/>
      </tp>
      <tp t="s">
        <v>#N/A N/A</v>
        <stp/>
        <stp>BDP|11133054724676673291</stp>
        <tr r="B3862" s="2"/>
      </tp>
      <tp t="s">
        <v>#N/A N/A</v>
        <stp/>
        <stp>BDP|15565409887937567986</stp>
        <tr r="B4775" s="2"/>
      </tp>
      <tp t="s">
        <v>#N/A N/A</v>
        <stp/>
        <stp>BDP|11155707048197759210</stp>
        <tr r="D1556" s="2"/>
      </tp>
      <tp t="s">
        <v>#N/A N/A</v>
        <stp/>
        <stp>BDP|16842161742026141227</stp>
        <tr r="B3918" s="2"/>
      </tp>
      <tp t="s">
        <v>#N/A N/A</v>
        <stp/>
        <stp>BDP|16829931994764767574</stp>
        <tr r="D245" s="2"/>
      </tp>
      <tp t="s">
        <v>#N/A N/A</v>
        <stp/>
        <stp>BDP|17420334939121498158</stp>
        <tr r="G1794" s="2"/>
      </tp>
      <tp t="s">
        <v>#N/A N/A</v>
        <stp/>
        <stp>BDP|13883256015792785504</stp>
        <tr r="B1207" s="2"/>
      </tp>
      <tp t="s">
        <v>#N/A N/A</v>
        <stp/>
        <stp>BDP|17070516753064874453</stp>
        <tr r="A1057" s="2"/>
      </tp>
      <tp t="s">
        <v>#N/A N/A</v>
        <stp/>
        <stp>BDP|12957153244162377245</stp>
        <tr r="H2802" s="2"/>
      </tp>
      <tp t="s">
        <v>#N/A N/A</v>
        <stp/>
        <stp>BDP|10767106309734721260</stp>
        <tr r="A1422" s="2"/>
      </tp>
      <tp t="s">
        <v>#N/A N/A</v>
        <stp/>
        <stp>BDP|11753730218541213114</stp>
        <tr r="A1414" s="2"/>
      </tp>
      <tp t="s">
        <v>#N/A N/A</v>
        <stp/>
        <stp>BDP|11803024814050008711</stp>
        <tr r="B4554" s="2"/>
      </tp>
      <tp t="s">
        <v>#N/A N/A</v>
        <stp/>
        <stp>BDP|16925513205196308215</stp>
        <tr r="F1234" s="2"/>
      </tp>
      <tp t="s">
        <v>#N/A N/A</v>
        <stp/>
        <stp>BDP|10887279425753545407</stp>
        <tr r="H4340" s="2"/>
      </tp>
      <tp t="s">
        <v>#N/A N/A</v>
        <stp/>
        <stp>BDP|17906486668406533434</stp>
        <tr r="C346" s="2"/>
      </tp>
      <tp t="s">
        <v>#N/A N/A</v>
        <stp/>
        <stp>BDP|12149351427482477683</stp>
        <tr r="D126" s="2"/>
      </tp>
      <tp t="s">
        <v>#N/A N/A</v>
        <stp/>
        <stp>BDP|10665771872144812343</stp>
        <tr r="G4627" s="2"/>
      </tp>
      <tp t="s">
        <v>#N/A N/A</v>
        <stp/>
        <stp>BDP|18241642798703252330</stp>
        <tr r="F4196" s="2"/>
      </tp>
      <tp t="s">
        <v>#N/A N/A</v>
        <stp/>
        <stp>BDP|12136798826126194618</stp>
        <tr r="A702" s="2"/>
      </tp>
      <tp t="s">
        <v>#N/A N/A</v>
        <stp/>
        <stp>BDP|14679394512454341508</stp>
        <tr r="G2100" s="2"/>
      </tp>
      <tp t="s">
        <v>#N/A N/A</v>
        <stp/>
        <stp>BDP|12661720960447908339</stp>
        <tr r="I2749" s="2"/>
      </tp>
      <tp t="s">
        <v>#N/A N/A</v>
        <stp/>
        <stp>BDP|15391288397361615848</stp>
        <tr r="B4953" s="2"/>
      </tp>
      <tp t="s">
        <v>#N/A N/A</v>
        <stp/>
        <stp>BDP|13952149204641026473</stp>
        <tr r="C3929" s="2"/>
      </tp>
      <tp t="s">
        <v>#N/A N/A</v>
        <stp/>
        <stp>BDP|16736284038908919805</stp>
        <tr r="F2342" s="2"/>
      </tp>
      <tp t="s">
        <v>#N/A N/A</v>
        <stp/>
        <stp>BDP|13877109175091124326</stp>
        <tr r="F4531" s="2"/>
      </tp>
      <tp t="s">
        <v>#N/A N/A</v>
        <stp/>
        <stp>BDP|15918923744017415859</stp>
        <tr r="C655" s="2"/>
      </tp>
      <tp t="s">
        <v>#N/A N/A</v>
        <stp/>
        <stp>BDP|16942638819750925643</stp>
        <tr r="I3253" s="2"/>
      </tp>
      <tp t="s">
        <v>#N/A N/A</v>
        <stp/>
        <stp>BDP|15938328342695400037</stp>
        <tr r="H3976" s="2"/>
      </tp>
      <tp t="s">
        <v>#N/A N/A</v>
        <stp/>
        <stp>BDP|17075051055901759493</stp>
        <tr r="B3388" s="2"/>
      </tp>
      <tp t="s">
        <v>#N/A N/A</v>
        <stp/>
        <stp>BDP|11344082631154678129</stp>
        <tr r="H2981" s="2"/>
      </tp>
      <tp t="s">
        <v>#N/A N/A</v>
        <stp/>
        <stp>BDP|16278440556009788996</stp>
        <tr r="C1190" s="2"/>
      </tp>
      <tp t="s">
        <v>#N/A N/A</v>
        <stp/>
        <stp>BDP|13425022650945927412</stp>
        <tr r="B238" s="2"/>
      </tp>
      <tp t="s">
        <v>#N/A N/A</v>
        <stp/>
        <stp>BDP|16647973588695197560</stp>
        <tr r="C4786" s="2"/>
      </tp>
      <tp t="s">
        <v>#N/A N/A</v>
        <stp/>
        <stp>BDP|13516591957697386366</stp>
        <tr r="H2940" s="2"/>
      </tp>
      <tp t="s">
        <v>#N/A N/A</v>
        <stp/>
        <stp>BDP|15817350335713285146</stp>
        <tr r="D757" s="2"/>
      </tp>
      <tp t="s">
        <v>#N/A N/A</v>
        <stp/>
        <stp>BDP|17971017657843120602</stp>
        <tr r="F408" s="2"/>
      </tp>
      <tp t="s">
        <v>#N/A N/A</v>
        <stp/>
        <stp>BDP|16047772095729478689</stp>
        <tr r="B1461" s="2"/>
      </tp>
      <tp t="s">
        <v>#N/A N/A</v>
        <stp/>
        <stp>BDP|11180617954153373696</stp>
        <tr r="B2545" s="2"/>
      </tp>
      <tp t="s">
        <v>#N/A N/A</v>
        <stp/>
        <stp>BDP|15829264923563152129</stp>
        <tr r="H4067" s="2"/>
      </tp>
      <tp t="s">
        <v>#N/A N/A</v>
        <stp/>
        <stp>BDP|12195651269717361206</stp>
        <tr r="C3884" s="2"/>
      </tp>
      <tp t="s">
        <v>#N/A N/A</v>
        <stp/>
        <stp>BDP|10200158887958760699</stp>
        <tr r="A2069" s="2"/>
      </tp>
      <tp t="s">
        <v>#N/A N/A</v>
        <stp/>
        <stp>BDP|16641051219929319973</stp>
        <tr r="I2043" s="2"/>
      </tp>
      <tp t="s">
        <v>#N/A N/A</v>
        <stp/>
        <stp>BDP|12121648746581424693</stp>
        <tr r="D1847" s="2"/>
      </tp>
      <tp t="s">
        <v>#N/A N/A</v>
        <stp/>
        <stp>BDP|13314934261832646997</stp>
        <tr r="C1683" s="2"/>
      </tp>
      <tp t="s">
        <v>#N/A N/A</v>
        <stp/>
        <stp>BDP|12849021577131407379</stp>
        <tr r="D1238" s="2"/>
      </tp>
      <tp t="s">
        <v>#N/A N/A</v>
        <stp/>
        <stp>BDP|10574188632080211533</stp>
        <tr r="G4270" s="2"/>
      </tp>
      <tp t="s">
        <v>#N/A N/A</v>
        <stp/>
        <stp>BDP|17708798645735467614</stp>
        <tr r="B4191" s="2"/>
      </tp>
      <tp t="s">
        <v>#N/A N/A</v>
        <stp/>
        <stp>BDP|14596857521141701882</stp>
        <tr r="G3916" s="2"/>
      </tp>
      <tp t="s">
        <v>#N/A N/A</v>
        <stp/>
        <stp>BDP|15693778458842472233</stp>
        <tr r="I3915" s="2"/>
      </tp>
      <tp t="s">
        <v>#N/A N/A</v>
        <stp/>
        <stp>BDP|11159799175093773546</stp>
        <tr r="C337" s="2"/>
      </tp>
      <tp t="s">
        <v>#N/A N/A</v>
        <stp/>
        <stp>BDP|15701629029141237706</stp>
        <tr r="A4401" s="2"/>
      </tp>
      <tp t="s">
        <v>#N/A N/A</v>
        <stp/>
        <stp>BDP|10362622132802503080</stp>
        <tr r="G91" s="2"/>
      </tp>
      <tp t="s">
        <v>#N/A N/A</v>
        <stp/>
        <stp>BDP|14007602431350654698</stp>
        <tr r="B997" s="2"/>
      </tp>
      <tp t="s">
        <v>#N/A N/A</v>
        <stp/>
        <stp>BDP|11889323522027093061</stp>
        <tr r="B4617" s="2"/>
      </tp>
      <tp t="s">
        <v>#N/A N/A</v>
        <stp/>
        <stp>BDP|13087606688783596933</stp>
        <tr r="A3673" s="2"/>
      </tp>
      <tp t="s">
        <v>#N/A N/A</v>
        <stp/>
        <stp>BDP|10089874927839758492</stp>
        <tr r="G2264" s="2"/>
      </tp>
      <tp t="s">
        <v>#N/A N/A</v>
        <stp/>
        <stp>BDP|10821514055470537772</stp>
        <tr r="I1564" s="2"/>
      </tp>
      <tp t="s">
        <v>#N/A N/A</v>
        <stp/>
        <stp>BDP|14473681963207444452</stp>
        <tr r="C542" s="2"/>
      </tp>
      <tp t="s">
        <v>#N/A N/A</v>
        <stp/>
        <stp>BDP|16946856742324848987</stp>
        <tr r="D2812" s="2"/>
      </tp>
      <tp t="s">
        <v>#N/A N/A</v>
        <stp/>
        <stp>BDP|10235418290652878858</stp>
        <tr r="H1038" s="2"/>
      </tp>
      <tp t="s">
        <v>#N/A N/A</v>
        <stp/>
        <stp>BDP|15313027116817843418</stp>
        <tr r="D3144" s="2"/>
      </tp>
      <tp t="s">
        <v>#N/A N/A</v>
        <stp/>
        <stp>BDP|14718377991520760987</stp>
        <tr r="B4092" s="2"/>
      </tp>
      <tp t="s">
        <v>#N/A N/A</v>
        <stp/>
        <stp>BDP|15374678141387883735</stp>
        <tr r="I4905" s="2"/>
      </tp>
      <tp t="s">
        <v>#N/A N/A</v>
        <stp/>
        <stp>BDP|12006525129796725421</stp>
        <tr r="H1231" s="2"/>
      </tp>
      <tp t="s">
        <v>#N/A N/A</v>
        <stp/>
        <stp>BDP|13262300111236834056</stp>
        <tr r="G2952" s="2"/>
      </tp>
      <tp t="s">
        <v>#N/A N/A</v>
        <stp/>
        <stp>BDP|10881799512471542080</stp>
        <tr r="G175" s="2"/>
      </tp>
      <tp t="s">
        <v>#N/A N/A</v>
        <stp/>
        <stp>BDP|10259516244593872510</stp>
        <tr r="G428" s="2"/>
      </tp>
      <tp t="s">
        <v>#N/A N/A</v>
        <stp/>
        <stp>BDP|14344484807106242105</stp>
        <tr r="I3505" s="2"/>
      </tp>
      <tp t="s">
        <v>#N/A N/A</v>
        <stp/>
        <stp>BDP|12229684072143324755</stp>
        <tr r="I3746" s="2"/>
      </tp>
      <tp t="s">
        <v>#N/A N/A</v>
        <stp/>
        <stp>BDP|17681028488041334913</stp>
        <tr r="H3119" s="2"/>
      </tp>
      <tp t="s">
        <v>#N/A N/A</v>
        <stp/>
        <stp>BDP|17584139891428051097</stp>
        <tr r="A609" s="2"/>
      </tp>
      <tp t="s">
        <v>#N/A N/A</v>
        <stp/>
        <stp>BDP|13395382121893623626</stp>
        <tr r="C4033" s="2"/>
      </tp>
      <tp t="s">
        <v>#N/A N/A</v>
        <stp/>
        <stp>BDP|14971985140377969960</stp>
        <tr r="H2548" s="2"/>
      </tp>
      <tp t="s">
        <v>#N/A N/A</v>
        <stp/>
        <stp>BDP|13998539102194112577</stp>
        <tr r="D3910" s="2"/>
      </tp>
      <tp t="s">
        <v>#N/A N/A</v>
        <stp/>
        <stp>BDP|15005307819054715400</stp>
        <tr r="I4807" s="2"/>
      </tp>
      <tp t="s">
        <v>#N/A N/A</v>
        <stp/>
        <stp>BDP|10790745929450693227</stp>
        <tr r="D3492" s="2"/>
      </tp>
      <tp t="s">
        <v>#N/A N/A</v>
        <stp/>
        <stp>BDP|11983156660240696143</stp>
        <tr r="D4826" s="2"/>
      </tp>
      <tp t="s">
        <v>#N/A N/A</v>
        <stp/>
        <stp>BDP|16749300440125153385</stp>
        <tr r="C2277" s="2"/>
      </tp>
      <tp t="s">
        <v>#N/A N/A</v>
        <stp/>
        <stp>BDP|17254379585998681388</stp>
        <tr r="D3351" s="2"/>
      </tp>
      <tp t="s">
        <v>#N/A N/A</v>
        <stp/>
        <stp>BDP|12881316177117894683</stp>
        <tr r="G4814" s="2"/>
      </tp>
      <tp t="s">
        <v>#N/A N/A</v>
        <stp/>
        <stp>BDP|17631345605577147482</stp>
        <tr r="A3285" s="2"/>
      </tp>
      <tp t="s">
        <v>#N/A N/A</v>
        <stp/>
        <stp>BDP|15128375894328594098</stp>
        <tr r="C1586" s="2"/>
      </tp>
      <tp t="s">
        <v>#N/A N/A</v>
        <stp/>
        <stp>BDP|18095626672948677684</stp>
        <tr r="D1080" s="2"/>
      </tp>
      <tp t="s">
        <v>#N/A N/A</v>
        <stp/>
        <stp>BDP|16488216606547961449</stp>
        <tr r="F4187" s="2"/>
      </tp>
      <tp t="s">
        <v>#N/A N/A</v>
        <stp/>
        <stp>BDP|14000496765120612142</stp>
        <tr r="F3070" s="2"/>
      </tp>
      <tp t="s">
        <v>#N/A N/A</v>
        <stp/>
        <stp>BDP|10255187608022907456</stp>
        <tr r="D2369" s="2"/>
      </tp>
      <tp t="s">
        <v>#N/A N/A</v>
        <stp/>
        <stp>BDP|10027054049652120136</stp>
        <tr r="I129" s="2"/>
      </tp>
      <tp t="s">
        <v>#N/A N/A</v>
        <stp/>
        <stp>BDP|14438179253242463555</stp>
        <tr r="G2807" s="2"/>
      </tp>
      <tp t="s">
        <v>#N/A N/A</v>
        <stp/>
        <stp>BDP|11067459726410587078</stp>
        <tr r="B2924" s="2"/>
      </tp>
      <tp t="s">
        <v>#N/A N/A</v>
        <stp/>
        <stp>BDP|15268203766271291774</stp>
        <tr r="G4661" s="2"/>
      </tp>
      <tp t="s">
        <v>#N/A N/A</v>
        <stp/>
        <stp>BDP|17433881225769172398</stp>
        <tr r="B2655" s="2"/>
      </tp>
      <tp t="s">
        <v>#N/A N/A</v>
        <stp/>
        <stp>BDP|13509673621924699449</stp>
        <tr r="A1324" s="2"/>
      </tp>
      <tp t="s">
        <v>#N/A N/A</v>
        <stp/>
        <stp>BDP|11739648705106171664</stp>
        <tr r="G4326" s="2"/>
      </tp>
      <tp t="s">
        <v>#N/A N/A</v>
        <stp/>
        <stp>BDP|15000130361013617658</stp>
        <tr r="A2910" s="2"/>
      </tp>
      <tp t="s">
        <v>#N/A N/A</v>
        <stp/>
        <stp>BDP|17396672064502661271</stp>
        <tr r="A1526" s="2"/>
      </tp>
      <tp t="s">
        <v>#N/A N/A</v>
        <stp/>
        <stp>BDP|15692455324354679000</stp>
        <tr r="A885" s="2"/>
      </tp>
      <tp t="s">
        <v>#N/A N/A</v>
        <stp/>
        <stp>BDP|15949003412936212587</stp>
        <tr r="G4118" s="2"/>
      </tp>
      <tp t="s">
        <v>#N/A N/A</v>
        <stp/>
        <stp>BDP|14015605980464110909</stp>
        <tr r="F422" s="2"/>
      </tp>
      <tp t="s">
        <v>#N/A N/A</v>
        <stp/>
        <stp>BDP|14560399792319811075</stp>
        <tr r="A744" s="2"/>
      </tp>
      <tp t="s">
        <v>#N/A N/A</v>
        <stp/>
        <stp>BDP|10521236023843625426</stp>
        <tr r="F2839" s="2"/>
      </tp>
      <tp t="s">
        <v>#N/A N/A</v>
        <stp/>
        <stp>BDP|14241523940384593645</stp>
        <tr r="B3156" s="2"/>
      </tp>
      <tp t="s">
        <v>#N/A N/A</v>
        <stp/>
        <stp>BDP|14092744960525147743</stp>
        <tr r="H4628" s="2"/>
      </tp>
      <tp t="s">
        <v>#N/A N/A</v>
        <stp/>
        <stp>BDP|15308606940003488361</stp>
        <tr r="G2790" s="2"/>
      </tp>
      <tp t="s">
        <v>#N/A N/A</v>
        <stp/>
        <stp>BDP|17169213401380197210</stp>
        <tr r="A988" s="2"/>
      </tp>
      <tp t="s">
        <v>#N/A N/A</v>
        <stp/>
        <stp>BDP|13371843551720688915</stp>
        <tr r="B4129" s="2"/>
      </tp>
      <tp t="s">
        <v>#N/A N/A</v>
        <stp/>
        <stp>BDP|12980415474465819356</stp>
        <tr r="A647" s="2"/>
      </tp>
      <tp t="s">
        <v>#N/A N/A</v>
        <stp/>
        <stp>BDP|12744859092433143703</stp>
        <tr r="D2080" s="2"/>
      </tp>
      <tp t="s">
        <v>#N/A N/A</v>
        <stp/>
        <stp>BDP|14147944501069362368</stp>
        <tr r="A1179" s="2"/>
      </tp>
      <tp t="s">
        <v>#N/A N/A</v>
        <stp/>
        <stp>BDP|12464309530674605137</stp>
        <tr r="H2108" s="2"/>
      </tp>
      <tp t="s">
        <v>#N/A N/A</v>
        <stp/>
        <stp>BDP|15759330702903360247</stp>
        <tr r="H2009" s="2"/>
      </tp>
      <tp t="s">
        <v>#N/A N/A</v>
        <stp/>
        <stp>BDP|17931641369896615636</stp>
        <tr r="H4702" s="2"/>
      </tp>
      <tp t="s">
        <v>#N/A N/A</v>
        <stp/>
        <stp>BDP|10933934979490498967</stp>
        <tr r="I320" s="2"/>
      </tp>
      <tp t="s">
        <v>#N/A N/A</v>
        <stp/>
        <stp>BDP|14943265354936952230</stp>
        <tr r="G3840" s="2"/>
      </tp>
      <tp t="s">
        <v>#N/A N/A</v>
        <stp/>
        <stp>BDP|15300146327953936281</stp>
        <tr r="D319" s="2"/>
      </tp>
      <tp t="s">
        <v>#N/A N/A</v>
        <stp/>
        <stp>BDP|17465611390736085945</stp>
        <tr r="I2099" s="2"/>
      </tp>
      <tp t="s">
        <v>#N/A N/A</v>
        <stp/>
        <stp>BDP|13787104366510647360</stp>
        <tr r="D2386" s="2"/>
      </tp>
      <tp t="s">
        <v>#N/A N/A</v>
        <stp/>
        <stp>BDP|17432765972311364120</stp>
        <tr r="A3471" s="2"/>
      </tp>
      <tp t="s">
        <v>#N/A N/A</v>
        <stp/>
        <stp>BDP|11557113753377446522</stp>
        <tr r="F940" s="2"/>
      </tp>
      <tp t="s">
        <v>#N/A N/A</v>
        <stp/>
        <stp>BDP|17476804769136472886</stp>
        <tr r="H919" s="2"/>
      </tp>
      <tp t="s">
        <v>#N/A N/A</v>
        <stp/>
        <stp>BDP|12526035590189127566</stp>
        <tr r="F2836" s="2"/>
      </tp>
      <tp t="s">
        <v>#N/A N/A</v>
        <stp/>
        <stp>BDP|10631324714655148007</stp>
        <tr r="A4817" s="2"/>
      </tp>
      <tp t="s">
        <v>#N/A N/A</v>
        <stp/>
        <stp>BDP|10742115242121109342</stp>
        <tr r="I3285" s="2"/>
      </tp>
      <tp t="s">
        <v>#N/A N/A</v>
        <stp/>
        <stp>BDP|18201772756754022925</stp>
        <tr r="A4680" s="2"/>
      </tp>
      <tp t="s">
        <v>#N/A N/A</v>
        <stp/>
        <stp>BDP|16999971568288787600</stp>
        <tr r="A3643" s="2"/>
      </tp>
      <tp t="s">
        <v>#N/A N/A</v>
        <stp/>
        <stp>BDP|17020365250065756300</stp>
        <tr r="I2131" s="2"/>
      </tp>
      <tp t="s">
        <v>#N/A N/A</v>
        <stp/>
        <stp>BDP|10654213433757458115</stp>
        <tr r="C130" s="2"/>
      </tp>
      <tp t="s">
        <v>#N/A N/A</v>
        <stp/>
        <stp>BDP|12988687363475592063</stp>
        <tr r="D4847" s="2"/>
      </tp>
      <tp t="s">
        <v>#N/A N/A</v>
        <stp/>
        <stp>BDP|14899260294558280095</stp>
        <tr r="G1201" s="2"/>
      </tp>
      <tp t="s">
        <v>#N/A N/A</v>
        <stp/>
        <stp>BDP|17874631018972798557</stp>
        <tr r="G4977" s="2"/>
      </tp>
      <tp t="s">
        <v>#N/A N/A</v>
        <stp/>
        <stp>BDP|14275277355346368224</stp>
        <tr r="H415" s="2"/>
      </tp>
      <tp t="s">
        <v>#N/A N/A</v>
        <stp/>
        <stp>BDP|11720215170787297459</stp>
        <tr r="D4595" s="2"/>
      </tp>
      <tp t="s">
        <v>#N/A N/A</v>
        <stp/>
        <stp>BDP|12835046356181260192</stp>
        <tr r="A673" s="2"/>
      </tp>
      <tp t="s">
        <v>#N/A N/A</v>
        <stp/>
        <stp>BDP|18404087809518705732</stp>
        <tr r="C4683" s="2"/>
      </tp>
      <tp t="s">
        <v>#N/A N/A</v>
        <stp/>
        <stp>BDP|16407189967871952734</stp>
        <tr r="H3022" s="2"/>
      </tp>
      <tp t="s">
        <v>#N/A N/A</v>
        <stp/>
        <stp>BDP|17749320955243111507</stp>
        <tr r="H2489" s="2"/>
      </tp>
      <tp t="s">
        <v>#N/A N/A</v>
        <stp/>
        <stp>BDP|14441311080239564111</stp>
        <tr r="F4936" s="2"/>
      </tp>
      <tp t="s">
        <v>#N/A N/A</v>
        <stp/>
        <stp>BDP|15930263252261404482</stp>
        <tr r="B2025" s="2"/>
      </tp>
      <tp t="s">
        <v>#N/A N/A</v>
        <stp/>
        <stp>BDP|14430071377840624438</stp>
        <tr r="F3717" s="2"/>
      </tp>
      <tp t="s">
        <v>#N/A N/A</v>
        <stp/>
        <stp>BDP|14695168190452907982</stp>
        <tr r="B2169" s="2"/>
      </tp>
      <tp t="s">
        <v>#N/A N/A</v>
        <stp/>
        <stp>BDP|16449066044490542525</stp>
        <tr r="F350" s="2"/>
      </tp>
      <tp t="s">
        <v>#N/A N/A</v>
        <stp/>
        <stp>BDP|17445886497397805627</stp>
        <tr r="B1301" s="2"/>
      </tp>
      <tp t="s">
        <v>#N/A N/A</v>
        <stp/>
        <stp>BDP|16413995067298946624</stp>
        <tr r="B3496" s="2"/>
      </tp>
      <tp t="s">
        <v>#N/A N/A</v>
        <stp/>
        <stp>BDP|10532641690881087904</stp>
        <tr r="G3517" s="2"/>
      </tp>
      <tp t="s">
        <v>#N/A N/A</v>
        <stp/>
        <stp>BDP|17031080623124952631</stp>
        <tr r="I1571" s="2"/>
      </tp>
      <tp t="s">
        <v>#N/A N/A</v>
        <stp/>
        <stp>BDP|11105522114504419623</stp>
        <tr r="I763" s="2"/>
      </tp>
      <tp t="s">
        <v>#N/A N/A</v>
        <stp/>
        <stp>BDP|17947001331721969201</stp>
        <tr r="C2471" s="2"/>
      </tp>
      <tp t="s">
        <v>#N/A N/A</v>
        <stp/>
        <stp>BDP|11538227120676750012</stp>
        <tr r="H742" s="2"/>
      </tp>
      <tp t="s">
        <v>#N/A N/A</v>
        <stp/>
        <stp>BDP|14048631745751671010</stp>
        <tr r="F533" s="2"/>
      </tp>
      <tp t="s">
        <v>#N/A N/A</v>
        <stp/>
        <stp>BDP|11357374501513420603</stp>
        <tr r="D2567" s="2"/>
      </tp>
      <tp t="s">
        <v>#N/A N/A</v>
        <stp/>
        <stp>BDP|14759113754690365703</stp>
        <tr r="B2865" s="2"/>
      </tp>
      <tp t="s">
        <v>#N/A N/A</v>
        <stp/>
        <stp>BDP|16732651025486408323</stp>
        <tr r="A3847" s="2"/>
      </tp>
      <tp t="s">
        <v>#N/A N/A</v>
        <stp/>
        <stp>BDP|12787606175983437770</stp>
        <tr r="G3438" s="2"/>
      </tp>
      <tp t="s">
        <v>#N/A N/A</v>
        <stp/>
        <stp>BDP|16098666970994159467</stp>
        <tr r="G153" s="2"/>
      </tp>
      <tp t="s">
        <v>#N/A N/A</v>
        <stp/>
        <stp>BDP|17822583122302103526</stp>
        <tr r="F3911" s="2"/>
      </tp>
      <tp t="s">
        <v>#N/A N/A</v>
        <stp/>
        <stp>BDP|10541368220851779748</stp>
        <tr r="H812" s="2"/>
      </tp>
      <tp t="s">
        <v>#N/A N/A</v>
        <stp/>
        <stp>BDP|17630681468386732619</stp>
        <tr r="G1498" s="2"/>
      </tp>
      <tp t="s">
        <v>#N/A N/A</v>
        <stp/>
        <stp>BDP|16047665432422288666</stp>
        <tr r="D1938" s="2"/>
      </tp>
      <tp t="s">
        <v>#N/A N/A</v>
        <stp/>
        <stp>BDP|15439149855697200177</stp>
        <tr r="A2934" s="2"/>
      </tp>
      <tp t="s">
        <v>#N/A N/A</v>
        <stp/>
        <stp>BDP|10439249281738153503</stp>
        <tr r="C2698" s="2"/>
      </tp>
      <tp t="s">
        <v>#N/A N/A</v>
        <stp/>
        <stp>BDP|11596328684919655456</stp>
        <tr r="B711" s="2"/>
      </tp>
      <tp t="s">
        <v>#N/A N/A</v>
        <stp/>
        <stp>BDP|12944345502925804373</stp>
        <tr r="G1746" s="2"/>
      </tp>
      <tp t="s">
        <v>#N/A N/A</v>
        <stp/>
        <stp>BDP|10907829002657164882</stp>
        <tr r="D2192" s="2"/>
      </tp>
      <tp t="s">
        <v>#N/A N/A</v>
        <stp/>
        <stp>BDP|17296044303258512805</stp>
        <tr r="H4170" s="2"/>
      </tp>
      <tp t="s">
        <v>#N/A N/A</v>
        <stp/>
        <stp>BDP|11600478361610468442</stp>
        <tr r="D1192" s="2"/>
      </tp>
      <tp t="s">
        <v>#N/A N/A</v>
        <stp/>
        <stp>BDP|16728019704712054323</stp>
        <tr r="C247" s="2"/>
      </tp>
      <tp t="s">
        <v>#N/A N/A</v>
        <stp/>
        <stp>BDP|10290131220336514240</stp>
        <tr r="G3556" s="2"/>
      </tp>
      <tp t="s">
        <v>#N/A N/A</v>
        <stp/>
        <stp>BDP|15745154745630694715</stp>
        <tr r="G605" s="2"/>
      </tp>
      <tp t="s">
        <v>#N/A N/A</v>
        <stp/>
        <stp>BDP|15130763207772855788</stp>
        <tr r="A3607" s="2"/>
      </tp>
      <tp t="s">
        <v>#N/A N/A</v>
        <stp/>
        <stp>BDP|15528059166587761312</stp>
        <tr r="A979" s="2"/>
      </tp>
      <tp t="s">
        <v>#N/A N/A</v>
        <stp/>
        <stp>BDP|12195659364835367034</stp>
        <tr r="D3210" s="2"/>
      </tp>
      <tp t="s">
        <v>#N/A N/A</v>
        <stp/>
        <stp>BDP|17241155736392937088</stp>
        <tr r="F2207" s="2"/>
      </tp>
      <tp t="s">
        <v>#N/A N/A</v>
        <stp/>
        <stp>BDP|11201328923152177527</stp>
        <tr r="H2248" s="2"/>
      </tp>
      <tp t="s">
        <v>#N/A N/A</v>
        <stp/>
        <stp>BDP|18402659780059947884</stp>
        <tr r="C514" s="2"/>
      </tp>
      <tp t="s">
        <v>#N/A N/A</v>
        <stp/>
        <stp>BDP|10916199491067968886</stp>
        <tr r="B1823" s="2"/>
      </tp>
      <tp t="s">
        <v>#N/A N/A</v>
        <stp/>
        <stp>BDP|13657158558798977825</stp>
        <tr r="I1875" s="2"/>
      </tp>
      <tp t="s">
        <v>#N/A N/A</v>
        <stp/>
        <stp>BDP|13324583318971129122</stp>
        <tr r="A4893" s="2"/>
      </tp>
      <tp t="s">
        <v>#N/A N/A</v>
        <stp/>
        <stp>BDP|14618561715516156148</stp>
        <tr r="F3734" s="2"/>
      </tp>
      <tp t="s">
        <v>#N/A N/A</v>
        <stp/>
        <stp>BDP|17539412027114712249</stp>
        <tr r="G47" s="2"/>
      </tp>
      <tp t="s">
        <v>#N/A N/A</v>
        <stp/>
        <stp>BDP|10094305261774526641</stp>
        <tr r="C4852" s="2"/>
      </tp>
      <tp t="s">
        <v>#N/A N/A</v>
        <stp/>
        <stp>BDP|17448558713115529177</stp>
        <tr r="B1774" s="2"/>
      </tp>
      <tp t="s">
        <v>#N/A N/A</v>
        <stp/>
        <stp>BDP|10417331532511583605</stp>
        <tr r="F2074" s="2"/>
      </tp>
      <tp t="s">
        <v>#N/A N/A</v>
        <stp/>
        <stp>BDP|17997089155563783635</stp>
        <tr r="F4037" s="2"/>
      </tp>
      <tp t="s">
        <v>#N/A N/A</v>
        <stp/>
        <stp>BDP|16962638907370930741</stp>
        <tr r="F1850" s="2"/>
      </tp>
      <tp t="s">
        <v>#N/A N/A</v>
        <stp/>
        <stp>BDP|11679924391064253279</stp>
        <tr r="C107" s="2"/>
      </tp>
      <tp t="s">
        <v>#N/A N/A</v>
        <stp/>
        <stp>BDP|11181405047584710216</stp>
        <tr r="B4851" s="2"/>
      </tp>
      <tp t="s">
        <v>#N/A N/A</v>
        <stp/>
        <stp>BDP|12608182946003985315</stp>
        <tr r="C95" s="2"/>
      </tp>
      <tp t="s">
        <v>#N/A N/A</v>
        <stp/>
        <stp>BDP|13037969790231713516</stp>
        <tr r="C4422" s="2"/>
      </tp>
      <tp t="s">
        <v>#N/A N/A</v>
        <stp/>
        <stp>BDP|17257813285959680908</stp>
        <tr r="H4711" s="2"/>
      </tp>
      <tp t="s">
        <v>#N/A N/A</v>
        <stp/>
        <stp>BDP|12065061248899761897</stp>
        <tr r="B854" s="2"/>
      </tp>
      <tp t="s">
        <v>#N/A N/A</v>
        <stp/>
        <stp>BDP|14195191557292617595</stp>
        <tr r="H1220" s="2"/>
      </tp>
      <tp t="s">
        <v>#N/A N/A</v>
        <stp/>
        <stp>BDP|10794567538396820711</stp>
        <tr r="B4813" s="2"/>
      </tp>
      <tp t="s">
        <v>#N/A N/A</v>
        <stp/>
        <stp>BDP|10693599131642601388</stp>
        <tr r="C1643" s="2"/>
      </tp>
      <tp t="s">
        <v>#N/A N/A</v>
        <stp/>
        <stp>BDP|10280603373436176006</stp>
        <tr r="C1854" s="2"/>
      </tp>
      <tp t="s">
        <v>#N/A N/A</v>
        <stp/>
        <stp>BDP|10449338088209935560</stp>
        <tr r="C1233" s="2"/>
      </tp>
      <tp t="s">
        <v>#N/A N/A</v>
        <stp/>
        <stp>BDP|11524447371160209529</stp>
        <tr r="B1408" s="2"/>
      </tp>
      <tp t="s">
        <v>#N/A N/A</v>
        <stp/>
        <stp>BDP|17691119856183199705</stp>
        <tr r="C498" s="2"/>
      </tp>
      <tp t="s">
        <v>#N/A N/A</v>
        <stp/>
        <stp>BDP|16864355761872561690</stp>
        <tr r="A4470" s="2"/>
      </tp>
      <tp t="s">
        <v>#N/A N/A</v>
        <stp/>
        <stp>BDP|15953109515374515693</stp>
        <tr r="F370" s="2"/>
      </tp>
      <tp t="s">
        <v>#N/A N/A</v>
        <stp/>
        <stp>BDP|11689531421484316571</stp>
        <tr r="G4422" s="2"/>
      </tp>
      <tp t="s">
        <v>#N/A N/A</v>
        <stp/>
        <stp>BDP|12579429703409343872</stp>
        <tr r="D4408" s="2"/>
      </tp>
      <tp t="s">
        <v>#N/A N/A</v>
        <stp/>
        <stp>BDP|14629702350006250749</stp>
        <tr r="G1203" s="2"/>
      </tp>
      <tp t="s">
        <v>#N/A N/A</v>
        <stp/>
        <stp>BDP|10813440727941936027</stp>
        <tr r="B432" s="2"/>
      </tp>
      <tp t="s">
        <v>#N/A N/A</v>
        <stp/>
        <stp>BDP|13077870160099199362</stp>
        <tr r="I4082" s="2"/>
      </tp>
      <tp t="s">
        <v>#N/A N/A</v>
        <stp/>
        <stp>BDP|17034890399409958891</stp>
        <tr r="A2152" s="2"/>
      </tp>
      <tp t="s">
        <v>#N/A N/A</v>
        <stp/>
        <stp>BDP|17350255655103053437</stp>
        <tr r="F3626" s="2"/>
      </tp>
      <tp t="s">
        <v>#N/A N/A</v>
        <stp/>
        <stp>BDP|12751516465742337404</stp>
        <tr r="D3458" s="2"/>
      </tp>
      <tp t="s">
        <v>#N/A N/A</v>
        <stp/>
        <stp>BDP|13866308608811055601</stp>
        <tr r="B1185" s="2"/>
      </tp>
      <tp t="s">
        <v>#N/A N/A</v>
        <stp/>
        <stp>BDP|17173990266046611984</stp>
        <tr r="C943" s="2"/>
      </tp>
      <tp t="s">
        <v>#N/A N/A</v>
        <stp/>
        <stp>BDP|11443966985284705302</stp>
        <tr r="D505" s="2"/>
      </tp>
      <tp t="s">
        <v>#N/A N/A</v>
        <stp/>
        <stp>BDP|11739777692661668946</stp>
        <tr r="D4484" s="2"/>
      </tp>
      <tp t="s">
        <v>#N/A N/A</v>
        <stp/>
        <stp>BDP|12780698232651454181</stp>
        <tr r="G2000" s="2"/>
      </tp>
      <tp t="s">
        <v>#N/A N/A</v>
        <stp/>
        <stp>BDP|13360728235429492901</stp>
        <tr r="G3193" s="2"/>
      </tp>
      <tp t="s">
        <v>#N/A N/A</v>
        <stp/>
        <stp>BDP|16102644224450709561</stp>
        <tr r="A1406" s="2"/>
      </tp>
      <tp t="s">
        <v>#N/A N/A</v>
        <stp/>
        <stp>BDP|12619887541709797089</stp>
        <tr r="C3136" s="2"/>
      </tp>
      <tp t="s">
        <v>#N/A N/A</v>
        <stp/>
        <stp>BDP|12103583418564227535</stp>
        <tr r="I4130" s="2"/>
      </tp>
      <tp t="s">
        <v>#N/A N/A</v>
        <stp/>
        <stp>BDP|12623970696440550522</stp>
        <tr r="D2587" s="2"/>
      </tp>
      <tp t="s">
        <v>#N/A N/A</v>
        <stp/>
        <stp>BDP|16709831890945318579</stp>
        <tr r="G1150" s="2"/>
      </tp>
      <tp t="s">
        <v>#N/A N/A</v>
        <stp/>
        <stp>BDP|10415321198595825867</stp>
        <tr r="D1429" s="2"/>
      </tp>
      <tp t="s">
        <v>#N/A N/A</v>
        <stp/>
        <stp>BDP|10695771510741793066</stp>
        <tr r="B1932" s="2"/>
      </tp>
      <tp t="s">
        <v>#N/A N/A</v>
        <stp/>
        <stp>BDP|15163656107777712346</stp>
        <tr r="I977" s="2"/>
      </tp>
      <tp t="s">
        <v>#N/A N/A</v>
        <stp/>
        <stp>BDP|14809513579502671366</stp>
        <tr r="D4840" s="2"/>
      </tp>
      <tp t="s">
        <v>#N/A N/A</v>
        <stp/>
        <stp>BDP|17100555821572576500</stp>
        <tr r="B1628" s="2"/>
      </tp>
      <tp t="s">
        <v>#N/A N/A</v>
        <stp/>
        <stp>BDP|13767404355493428663</stp>
        <tr r="C2560" s="2"/>
      </tp>
      <tp t="s">
        <v>#N/A N/A</v>
        <stp/>
        <stp>BDP|13729514036027585558</stp>
        <tr r="A4832" s="2"/>
      </tp>
      <tp t="s">
        <v>#N/A N/A</v>
        <stp/>
        <stp>BDP|12443736525407537773</stp>
        <tr r="C1297" s="2"/>
      </tp>
      <tp t="s">
        <v>#N/A N/A</v>
        <stp/>
        <stp>BDP|10781762140380668479</stp>
        <tr r="G3121" s="2"/>
      </tp>
      <tp t="s">
        <v>#N/A N/A</v>
        <stp/>
        <stp>BDP|12245566700267517717</stp>
        <tr r="H4521" s="2"/>
      </tp>
      <tp t="s">
        <v>#N/A N/A</v>
        <stp/>
        <stp>BDP|14864322855964616199</stp>
        <tr r="C2036" s="2"/>
      </tp>
      <tp t="s">
        <v>#N/A N/A</v>
        <stp/>
        <stp>BDP|15539765552002775264</stp>
        <tr r="I3226" s="2"/>
      </tp>
      <tp t="s">
        <v>#N/A N/A</v>
        <stp/>
        <stp>BDP|17865636617404958354</stp>
        <tr r="B4104" s="2"/>
      </tp>
      <tp t="s">
        <v>#N/A N/A</v>
        <stp/>
        <stp>BDP|15252463662173426320</stp>
        <tr r="G2671" s="2"/>
      </tp>
      <tp t="s">
        <v>#N/A N/A</v>
        <stp/>
        <stp>BDP|16667042707100606130</stp>
        <tr r="C1330" s="2"/>
      </tp>
      <tp t="s">
        <v>#N/A N/A</v>
        <stp/>
        <stp>BDP|12368846384427699258</stp>
        <tr r="F4438" s="2"/>
      </tp>
      <tp t="s">
        <v>#N/A N/A</v>
        <stp/>
        <stp>BDP|17848694996637200853</stp>
        <tr r="H655" s="2"/>
      </tp>
      <tp t="s">
        <v>#N/A N/A</v>
        <stp/>
        <stp>BDP|12748324656717462475</stp>
        <tr r="F3333" s="2"/>
      </tp>
      <tp t="s">
        <v>#N/A N/A</v>
        <stp/>
        <stp>BDP|14839096175046770236</stp>
        <tr r="D3745" s="2"/>
      </tp>
      <tp t="s">
        <v>#N/A N/A</v>
        <stp/>
        <stp>BDP|13478313323704712116</stp>
        <tr r="I2384" s="2"/>
      </tp>
      <tp t="s">
        <v>#N/A N/A</v>
        <stp/>
        <stp>BDP|16407376968552372680</stp>
        <tr r="D514" s="2"/>
      </tp>
      <tp t="s">
        <v>#N/A N/A</v>
        <stp/>
        <stp>BDP|10860343159799100846</stp>
        <tr r="C345" s="2"/>
      </tp>
      <tp t="s">
        <v>#N/A N/A</v>
        <stp/>
        <stp>BDP|15812725944058765996</stp>
        <tr r="I2470" s="2"/>
      </tp>
      <tp t="s">
        <v>#N/A N/A</v>
        <stp/>
        <stp>BDP|17191176303939046856</stp>
        <tr r="H1905" s="2"/>
      </tp>
      <tp t="s">
        <v>#N/A N/A</v>
        <stp/>
        <stp>BDP|11718845810456533967</stp>
        <tr r="G2470" s="2"/>
      </tp>
      <tp t="s">
        <v>#N/A N/A</v>
        <stp/>
        <stp>BDP|12916654499503304964</stp>
        <tr r="C2437" s="2"/>
      </tp>
      <tp t="s">
        <v>#N/A N/A</v>
        <stp/>
        <stp>BDP|16871276929783321250</stp>
        <tr r="I637" s="2"/>
      </tp>
      <tp t="s">
        <v>#N/A N/A</v>
        <stp/>
        <stp>BDP|15487224427217059520</stp>
        <tr r="B3012" s="2"/>
      </tp>
      <tp t="s">
        <v>#N/A N/A</v>
        <stp/>
        <stp>BDP|17027365406556403579</stp>
        <tr r="G4918" s="2"/>
      </tp>
      <tp t="s">
        <v>#N/A N/A</v>
        <stp/>
        <stp>BDP|17069278040590417601</stp>
        <tr r="A4393" s="2"/>
      </tp>
      <tp t="s">
        <v>#N/A N/A</v>
        <stp/>
        <stp>BDP|14004618345889480832</stp>
        <tr r="B1414" s="2"/>
      </tp>
      <tp t="s">
        <v>#N/A N/A</v>
        <stp/>
        <stp>BDP|11242745471966309072</stp>
        <tr r="D1240" s="2"/>
      </tp>
      <tp t="s">
        <v>#N/A N/A</v>
        <stp/>
        <stp>BDP|16103338938154952505</stp>
        <tr r="C539" s="2"/>
      </tp>
      <tp t="s">
        <v>#N/A N/A</v>
        <stp/>
        <stp>BDP|16301505096988730516</stp>
        <tr r="I609" s="2"/>
      </tp>
      <tp t="s">
        <v>#N/A N/A</v>
        <stp/>
        <stp>BDP|11365686899831129803</stp>
        <tr r="H4722" s="2"/>
      </tp>
      <tp t="s">
        <v>#N/A N/A</v>
        <stp/>
        <stp>BDP|10847225158977110700</stp>
        <tr r="I3934" s="2"/>
      </tp>
      <tp t="s">
        <v>#N/A N/A</v>
        <stp/>
        <stp>BDP|13311765358972765492</stp>
        <tr r="G4068" s="2"/>
      </tp>
      <tp t="s">
        <v>#N/A N/A</v>
        <stp/>
        <stp>BDP|10051326021341582750</stp>
        <tr r="A963" s="2"/>
      </tp>
      <tp t="s">
        <v>#N/A N/A</v>
        <stp/>
        <stp>BDP|16335263425617080636</stp>
        <tr r="H4806" s="2"/>
      </tp>
      <tp t="s">
        <v>#N/A N/A</v>
        <stp/>
        <stp>BDP|17525167230015991793</stp>
        <tr r="C1746" s="2"/>
      </tp>
      <tp t="s">
        <v>#N/A N/A</v>
        <stp/>
        <stp>BDP|17815954584090996132</stp>
        <tr r="H2147" s="2"/>
      </tp>
      <tp t="s">
        <v>#N/A N/A</v>
        <stp/>
        <stp>BDP|10469777916894753512</stp>
        <tr r="B2136" s="2"/>
      </tp>
      <tp t="s">
        <v>#N/A N/A</v>
        <stp/>
        <stp>BDP|12811052408250795516</stp>
        <tr r="G3660" s="2"/>
      </tp>
      <tp t="s">
        <v>#N/A N/A</v>
        <stp/>
        <stp>BDP|16237473551320746009</stp>
        <tr r="F1699" s="2"/>
      </tp>
      <tp t="s">
        <v>#N/A N/A</v>
        <stp/>
        <stp>BDP|14376164045364191227</stp>
        <tr r="F4169" s="2"/>
      </tp>
      <tp t="s">
        <v>#N/A N/A</v>
        <stp/>
        <stp>BDP|10497426560280329561</stp>
        <tr r="A924" s="2"/>
      </tp>
      <tp t="s">
        <v>#N/A N/A</v>
        <stp/>
        <stp>BDP|17380407313952214719</stp>
        <tr r="B4937" s="2"/>
      </tp>
      <tp t="s">
        <v>#N/A N/A</v>
        <stp/>
        <stp>BDP|14651358176582344551</stp>
        <tr r="D1265" s="2"/>
      </tp>
      <tp t="s">
        <v>#N/A N/A</v>
        <stp/>
        <stp>BDP|17329608027683658714</stp>
        <tr r="I473" s="2"/>
      </tp>
      <tp t="s">
        <v>#N/A N/A</v>
        <stp/>
        <stp>BDP|10729090508166472119</stp>
        <tr r="H3734" s="2"/>
      </tp>
      <tp t="s">
        <v>#N/A N/A</v>
        <stp/>
        <stp>BDP|13238379217822583447</stp>
        <tr r="G859" s="2"/>
      </tp>
      <tp t="s">
        <v>#N/A N/A</v>
        <stp/>
        <stp>BDP|11953385914697589333</stp>
        <tr r="H1740" s="2"/>
      </tp>
      <tp t="s">
        <v>#N/A N/A</v>
        <stp/>
        <stp>BDP|12970583230776280506</stp>
        <tr r="C1016" s="2"/>
      </tp>
      <tp t="s">
        <v>#N/A N/A</v>
        <stp/>
        <stp>BDP|16385082757261940561</stp>
        <tr r="G4990" s="2"/>
      </tp>
      <tp t="s">
        <v>#N/A N/A</v>
        <stp/>
        <stp>BDP|13128274918856972144</stp>
        <tr r="H3179" s="2"/>
      </tp>
      <tp t="s">
        <v>#N/A N/A</v>
        <stp/>
        <stp>BDP|13637139801707680219</stp>
        <tr r="F515" s="2"/>
      </tp>
      <tp t="s">
        <v>#N/A N/A</v>
        <stp/>
        <stp>BDP|16772100568993560594</stp>
        <tr r="D3212" s="2"/>
      </tp>
      <tp t="s">
        <v>#N/A N/A</v>
        <stp/>
        <stp>BDP|11781015940076036452</stp>
        <tr r="B1982" s="2"/>
      </tp>
      <tp t="s">
        <v>#N/A N/A</v>
        <stp/>
        <stp>BDP|10646642201280084100</stp>
        <tr r="A665" s="2"/>
      </tp>
      <tp t="s">
        <v>#N/A N/A</v>
        <stp/>
        <stp>BDP|16918689527203225674</stp>
        <tr r="B1473" s="2"/>
      </tp>
      <tp t="s">
        <v>#N/A N/A</v>
        <stp/>
        <stp>BDP|11688449387898376252</stp>
        <tr r="I3361" s="2"/>
      </tp>
      <tp t="s">
        <v>#N/A N/A</v>
        <stp/>
        <stp>BDP|12977029719376870296</stp>
        <tr r="H675" s="2"/>
      </tp>
      <tp t="s">
        <v>#N/A N/A</v>
        <stp/>
        <stp>BDP|11328900700997767871</stp>
        <tr r="D1731" s="2"/>
      </tp>
      <tp t="s">
        <v>#N/A N/A</v>
        <stp/>
        <stp>BDP|15634122864490009536</stp>
        <tr r="I2209" s="2"/>
      </tp>
      <tp t="s">
        <v>#N/A N/A</v>
        <stp/>
        <stp>BDP|14563134114436369523</stp>
        <tr r="F1718" s="2"/>
      </tp>
      <tp t="s">
        <v>#N/A N/A</v>
        <stp/>
        <stp>BDP|11072220523994654248</stp>
        <tr r="H1093" s="2"/>
      </tp>
      <tp t="s">
        <v>#N/A N/A</v>
        <stp/>
        <stp>BDP|13304908980352182710</stp>
        <tr r="I1952" s="2"/>
      </tp>
      <tp t="s">
        <v>#N/A N/A</v>
        <stp/>
        <stp>BDP|10411459462807721271</stp>
        <tr r="D371" s="2"/>
      </tp>
      <tp t="s">
        <v>#N/A N/A</v>
        <stp/>
        <stp>BDP|11971928204457495881</stp>
        <tr r="B3017" s="2"/>
      </tp>
      <tp t="s">
        <v>#N/A N/A</v>
        <stp/>
        <stp>BDP|12505191171592813167</stp>
        <tr r="I1441" s="2"/>
      </tp>
      <tp t="s">
        <v>#N/A N/A</v>
        <stp/>
        <stp>BDP|10762254946133063277</stp>
        <tr r="G4156" s="2"/>
      </tp>
      <tp t="s">
        <v>#N/A N/A</v>
        <stp/>
        <stp>BDP|13282299658277608461</stp>
        <tr r="H4135" s="2"/>
      </tp>
      <tp t="s">
        <v>#N/A N/A</v>
        <stp/>
        <stp>BDP|11116750779722939477</stp>
        <tr r="B1382" s="2"/>
      </tp>
      <tp t="s">
        <v>#N/A N/A</v>
        <stp/>
        <stp>BDP|16607511136133330411</stp>
        <tr r="C1160" s="2"/>
      </tp>
      <tp t="s">
        <v>#N/A N/A</v>
        <stp/>
        <stp>BDP|17437514806552868786</stp>
        <tr r="D2960" s="2"/>
      </tp>
      <tp t="s">
        <v>#N/A N/A</v>
        <stp/>
        <stp>BDP|15720277676910549709</stp>
        <tr r="D4879" s="2"/>
      </tp>
      <tp t="s">
        <v>#N/A N/A</v>
        <stp/>
        <stp>BDP|15057089810461890230</stp>
        <tr r="H483" s="2"/>
      </tp>
      <tp t="s">
        <v>#N/A N/A</v>
        <stp/>
        <stp>BDP|14006808517032487801</stp>
        <tr r="I4936" s="2"/>
      </tp>
      <tp t="s">
        <v>#N/A N/A</v>
        <stp/>
        <stp>BDP|10374620454270171473</stp>
        <tr r="G1827" s="2"/>
      </tp>
      <tp t="s">
        <v>#N/A N/A</v>
        <stp/>
        <stp>BDP|11966987435239037571</stp>
        <tr r="G4062" s="2"/>
      </tp>
      <tp t="s">
        <v>#N/A N/A</v>
        <stp/>
        <stp>BDP|15244876415249735242</stp>
        <tr r="G2715" s="2"/>
      </tp>
      <tp t="s">
        <v>#N/A N/A</v>
        <stp/>
        <stp>BDP|15412371864687713036</stp>
        <tr r="G119" s="2"/>
      </tp>
      <tp t="s">
        <v>#N/A N/A</v>
        <stp/>
        <stp>BDP|15845475258166240565</stp>
        <tr r="A1493" s="2"/>
      </tp>
      <tp t="s">
        <v>#N/A N/A</v>
        <stp/>
        <stp>BDP|15350474237153614660</stp>
        <tr r="C2368" s="2"/>
      </tp>
      <tp t="s">
        <v>#N/A N/A</v>
        <stp/>
        <stp>BDP|16223346842624774205</stp>
        <tr r="H3422" s="2"/>
      </tp>
      <tp t="s">
        <v>#N/A N/A</v>
        <stp/>
        <stp>BDP|12589059537152165456</stp>
        <tr r="G875" s="2"/>
      </tp>
      <tp t="s">
        <v>#N/A N/A</v>
        <stp/>
        <stp>BDP|14854206151441376590</stp>
        <tr r="G2813" s="2"/>
      </tp>
      <tp t="s">
        <v>#N/A N/A</v>
        <stp/>
        <stp>BDP|16445021335116416445</stp>
        <tr r="C33" s="2"/>
      </tp>
      <tp t="s">
        <v>#N/A N/A</v>
        <stp/>
        <stp>BDP|15202594218276562057</stp>
        <tr r="D3522" s="2"/>
      </tp>
      <tp t="s">
        <v>#N/A N/A</v>
        <stp/>
        <stp>BDP|14067719677835404610</stp>
        <tr r="H2755" s="2"/>
      </tp>
      <tp t="s">
        <v>#N/A N/A</v>
        <stp/>
        <stp>BDP|14265334451645615052</stp>
        <tr r="B934" s="2"/>
      </tp>
      <tp t="s">
        <v>#N/A N/A</v>
        <stp/>
        <stp>BDP|15962064926080350090</stp>
        <tr r="D2032" s="2"/>
      </tp>
      <tp t="s">
        <v>#N/A N/A</v>
        <stp/>
        <stp>BDP|15878722329100669765</stp>
        <tr r="B961" s="2"/>
      </tp>
      <tp t="s">
        <v>#N/A N/A</v>
        <stp/>
        <stp>BDP|10831598377387287276</stp>
        <tr r="C2623" s="2"/>
      </tp>
      <tp t="s">
        <v>#N/A N/A</v>
        <stp/>
        <stp>BDP|17587848682250408044</stp>
        <tr r="A1202" s="2"/>
      </tp>
      <tp t="s">
        <v>#N/A N/A</v>
        <stp/>
        <stp>BDP|16467744153935441649</stp>
        <tr r="H4509" s="2"/>
      </tp>
      <tp t="s">
        <v>#N/A N/A</v>
        <stp/>
        <stp>BDP|16278503822235774347</stp>
        <tr r="B4264" s="2"/>
      </tp>
      <tp t="s">
        <v>#N/A N/A</v>
        <stp/>
        <stp>BDP|11523402700110453222</stp>
        <tr r="I3862" s="2"/>
      </tp>
      <tp t="s">
        <v>#N/A N/A</v>
        <stp/>
        <stp>BDP|11131077455505865681</stp>
        <tr r="C723" s="2"/>
      </tp>
      <tp t="s">
        <v>#N/A N/A</v>
        <stp/>
        <stp>BDP|15300365755625756140</stp>
        <tr r="D4609" s="2"/>
      </tp>
      <tp t="s">
        <v>#N/A N/A</v>
        <stp/>
        <stp>BDP|10926212247031955053</stp>
        <tr r="A3924" s="2"/>
      </tp>
      <tp t="s">
        <v>#N/A N/A</v>
        <stp/>
        <stp>BDP|16675650530076972295</stp>
        <tr r="G1530" s="2"/>
      </tp>
      <tp t="s">
        <v>#N/A N/A</v>
        <stp/>
        <stp>BDP|18089128941428123213</stp>
        <tr r="H3065" s="2"/>
      </tp>
      <tp t="s">
        <v>#N/A N/A</v>
        <stp/>
        <stp>BDP|16446800784147075637</stp>
        <tr r="B4164" s="2"/>
      </tp>
      <tp t="s">
        <v>#N/A N/A</v>
        <stp/>
        <stp>BDP|16168083253005149184</stp>
        <tr r="A84" s="2"/>
      </tp>
      <tp t="s">
        <v>#N/A N/A</v>
        <stp/>
        <stp>BDP|16203014837333744107</stp>
        <tr r="C2692" s="2"/>
      </tp>
      <tp t="s">
        <v>#N/A N/A</v>
        <stp/>
        <stp>BDP|18305673305521458867</stp>
        <tr r="F3257" s="2"/>
      </tp>
      <tp t="s">
        <v>#N/A N/A</v>
        <stp/>
        <stp>BDP|11864376943231714087</stp>
        <tr r="G682" s="2"/>
      </tp>
      <tp t="s">
        <v>#N/A N/A</v>
        <stp/>
        <stp>BDP|13275604230961984086</stp>
        <tr r="G2939" s="2"/>
      </tp>
      <tp t="s">
        <v>#N/A N/A</v>
        <stp/>
        <stp>BDP|13652009154069194801</stp>
        <tr r="D819" s="2"/>
      </tp>
      <tp t="s">
        <v>#N/A N/A</v>
        <stp/>
        <stp>BDP|17386097464244586281</stp>
        <tr r="A3198" s="2"/>
      </tp>
      <tp t="s">
        <v>#N/A N/A</v>
        <stp/>
        <stp>BDP|15750688275187160491</stp>
        <tr r="H4656" s="2"/>
      </tp>
      <tp t="s">
        <v>#N/A N/A</v>
        <stp/>
        <stp>BDP|11633542951186725069</stp>
        <tr r="G759" s="2"/>
      </tp>
      <tp t="s">
        <v>#N/A N/A</v>
        <stp/>
        <stp>BDP|12257709282419663345</stp>
        <tr r="A2136" s="2"/>
      </tp>
      <tp t="s">
        <v>#N/A N/A</v>
        <stp/>
        <stp>BDP|13306113391444946888</stp>
        <tr r="D3487" s="2"/>
      </tp>
      <tp t="s">
        <v>#N/A N/A</v>
        <stp/>
        <stp>BDP|17399776252034718635</stp>
        <tr r="I1566" s="2"/>
      </tp>
      <tp t="s">
        <v>#N/A N/A</v>
        <stp/>
        <stp>BDP|14864612550812272290</stp>
        <tr r="F288" s="2"/>
      </tp>
      <tp t="s">
        <v>#N/A N/A</v>
        <stp/>
        <stp>BDP|11297557944977144009</stp>
        <tr r="H2844" s="2"/>
      </tp>
      <tp t="s">
        <v>#N/A N/A</v>
        <stp/>
        <stp>BDP|11754648747144029064</stp>
        <tr r="F4209" s="2"/>
      </tp>
      <tp t="s">
        <v>#N/A N/A</v>
        <stp/>
        <stp>BDP|15223348977004452275</stp>
        <tr r="C529" s="2"/>
      </tp>
      <tp t="s">
        <v>#N/A N/A</v>
        <stp/>
        <stp>BDP|10121772005351383121</stp>
        <tr r="F1393" s="2"/>
      </tp>
      <tp t="s">
        <v>#N/A N/A</v>
        <stp/>
        <stp>BDP|15338956460828423506</stp>
        <tr r="H3238" s="2"/>
      </tp>
      <tp t="s">
        <v>#N/A N/A</v>
        <stp/>
        <stp>BDP|13984036809561015513</stp>
        <tr r="I2460" s="2"/>
      </tp>
      <tp t="s">
        <v>#N/A N/A</v>
        <stp/>
        <stp>BDP|16804821989905133402</stp>
        <tr r="B653" s="2"/>
      </tp>
      <tp t="s">
        <v>#N/A N/A</v>
        <stp/>
        <stp>BDP|12622529702895525518</stp>
        <tr r="D491" s="2"/>
      </tp>
      <tp t="s">
        <v>#N/A N/A</v>
        <stp/>
        <stp>BDP|17729485058168169949</stp>
        <tr r="D109" s="2"/>
      </tp>
      <tp t="s">
        <v>#N/A N/A</v>
        <stp/>
        <stp>BDP|14085241004126182738</stp>
        <tr r="A2362" s="2"/>
      </tp>
      <tp t="s">
        <v>#N/A N/A</v>
        <stp/>
        <stp>BDP|14173228400514877595</stp>
        <tr r="A4992" s="2"/>
      </tp>
      <tp t="s">
        <v>#N/A N/A</v>
        <stp/>
        <stp>BDP|10601077968315399485</stp>
        <tr r="A4974" s="2"/>
      </tp>
      <tp t="s">
        <v>#N/A N/A</v>
        <stp/>
        <stp>BDP|13101650613534657738</stp>
        <tr r="I3421" s="2"/>
      </tp>
      <tp t="s">
        <v>#N/A N/A</v>
        <stp/>
        <stp>BDP|18118360762169063379</stp>
        <tr r="B2134" s="2"/>
      </tp>
      <tp t="s">
        <v>#N/A N/A</v>
        <stp/>
        <stp>BDP|17242601234853008643</stp>
        <tr r="D4265" s="2"/>
      </tp>
      <tp t="s">
        <v>#N/A N/A</v>
        <stp/>
        <stp>BDP|14685801730558559017</stp>
        <tr r="C2705" s="2"/>
      </tp>
      <tp t="s">
        <v>#N/A N/A</v>
        <stp/>
        <stp>BDP|10863535959126280124</stp>
        <tr r="F411" s="2"/>
      </tp>
      <tp t="s">
        <v>#N/A N/A</v>
        <stp/>
        <stp>BDP|18105310151960608957</stp>
        <tr r="I1234" s="2"/>
      </tp>
      <tp t="s">
        <v>#N/A N/A</v>
        <stp/>
        <stp>BDP|13116317192827175917</stp>
        <tr r="G1284" s="2"/>
      </tp>
      <tp t="s">
        <v>#N/A N/A</v>
        <stp/>
        <stp>BDP|13476689945665316384</stp>
        <tr r="C4138" s="2"/>
      </tp>
      <tp t="s">
        <v>#N/A N/A</v>
        <stp/>
        <stp>BDP|12641179643369979994</stp>
        <tr r="I1058" s="2"/>
      </tp>
      <tp t="s">
        <v>#N/A N/A</v>
        <stp/>
        <stp>BDP|14787861910829293314</stp>
        <tr r="C4971" s="2"/>
      </tp>
      <tp t="s">
        <v>#N/A N/A</v>
        <stp/>
        <stp>BDP|13004136112960553466</stp>
        <tr r="H3687" s="2"/>
      </tp>
      <tp t="s">
        <v>#N/A N/A</v>
        <stp/>
        <stp>BDP|16648299988919710229</stp>
        <tr r="I2047" s="2"/>
      </tp>
      <tp t="s">
        <v>#N/A N/A</v>
        <stp/>
        <stp>BDP|18192924305020153654</stp>
        <tr r="C566" s="2"/>
      </tp>
      <tp t="s">
        <v>#N/A N/A</v>
        <stp/>
        <stp>BDP|14626508509163967541</stp>
        <tr r="F2063" s="2"/>
      </tp>
      <tp t="s">
        <v>#N/A N/A</v>
        <stp/>
        <stp>BDP|16049581324550950676</stp>
        <tr r="I2405" s="2"/>
      </tp>
      <tp t="s">
        <v>#N/A N/A</v>
        <stp/>
        <stp>BDP|13657173772606859496</stp>
        <tr r="H1163" s="2"/>
      </tp>
      <tp t="s">
        <v>#N/A N/A</v>
        <stp/>
        <stp>BDP|12399566024223390107</stp>
        <tr r="F1988" s="2"/>
      </tp>
      <tp t="s">
        <v>#N/A N/A</v>
        <stp/>
        <stp>BDP|16718012817467623756</stp>
        <tr r="I4315" s="2"/>
      </tp>
      <tp t="s">
        <v>#N/A N/A</v>
        <stp/>
        <stp>BDP|13559613176796466344</stp>
        <tr r="G1528" s="2"/>
      </tp>
      <tp t="s">
        <v>#N/A N/A</v>
        <stp/>
        <stp>BDP|17456741017325344360</stp>
        <tr r="A2455" s="2"/>
      </tp>
      <tp t="s">
        <v>#N/A N/A</v>
        <stp/>
        <stp>BDP|11217035073920889187</stp>
        <tr r="C4634" s="2"/>
      </tp>
      <tp t="s">
        <v>#N/A N/A</v>
        <stp/>
        <stp>BDP|16497799828604303044</stp>
        <tr r="F4213" s="2"/>
      </tp>
      <tp t="s">
        <v>#N/A N/A</v>
        <stp/>
        <stp>BDP|10081239940670736166</stp>
        <tr r="C11" s="2"/>
      </tp>
      <tp t="s">
        <v>#N/A N/A</v>
        <stp/>
        <stp>BDP|12790706121909758931</stp>
        <tr r="A1809" s="2"/>
      </tp>
      <tp t="s">
        <v>#N/A N/A</v>
        <stp/>
        <stp>BDP|17211310646396004170</stp>
        <tr r="I4918" s="2"/>
      </tp>
      <tp t="s">
        <v>#N/A N/A</v>
        <stp/>
        <stp>BDP|18118503483635675761</stp>
        <tr r="C3522" s="2"/>
      </tp>
      <tp t="s">
        <v>#N/A N/A</v>
        <stp/>
        <stp>BDP|10525692175201843734</stp>
        <tr r="B3154" s="2"/>
      </tp>
      <tp t="s">
        <v>#N/A N/A</v>
        <stp/>
        <stp>BDP|15876192146587539001</stp>
        <tr r="H1657" s="2"/>
      </tp>
      <tp t="s">
        <v>#N/A N/A</v>
        <stp/>
        <stp>BDP|12064706922524953491</stp>
        <tr r="H2998" s="2"/>
      </tp>
      <tp t="s">
        <v>#N/A N/A</v>
        <stp/>
        <stp>BDP|17618929443895000851</stp>
        <tr r="A621" s="2"/>
      </tp>
      <tp t="s">
        <v>#N/A N/A</v>
        <stp/>
        <stp>BDP|17173160316199049933</stp>
        <tr r="C681" s="2"/>
      </tp>
      <tp t="s">
        <v>#N/A N/A</v>
        <stp/>
        <stp>BDP|14546966452667166823</stp>
        <tr r="I2946" s="2"/>
      </tp>
      <tp t="s">
        <v>#N/A N/A</v>
        <stp/>
        <stp>BDP|16647338161620299443</stp>
        <tr r="D4191" s="2"/>
      </tp>
      <tp t="s">
        <v>#N/A N/A</v>
        <stp/>
        <stp>BDP|13154000919210300597</stp>
        <tr r="A2176" s="2"/>
      </tp>
      <tp t="s">
        <v>#N/A N/A</v>
        <stp/>
        <stp>BDP|10586252806245391071</stp>
        <tr r="A1239" s="2"/>
      </tp>
      <tp t="s">
        <v>#N/A N/A</v>
        <stp/>
        <stp>BDP|17507021552701329444</stp>
        <tr r="D4933" s="2"/>
      </tp>
      <tp t="s">
        <v>#N/A N/A</v>
        <stp/>
        <stp>BDP|15760442939443858605</stp>
        <tr r="G180" s="2"/>
      </tp>
      <tp t="s">
        <v>#N/A N/A</v>
        <stp/>
        <stp>BDP|12058624164576268362</stp>
        <tr r="I19" s="2"/>
      </tp>
      <tp t="s">
        <v>#N/A N/A</v>
        <stp/>
        <stp>BDP|15958063872313760683</stp>
        <tr r="I2345" s="2"/>
      </tp>
      <tp t="s">
        <v>#N/A N/A</v>
        <stp/>
        <stp>BDP|16602384758766561115</stp>
        <tr r="F488" s="2"/>
      </tp>
      <tp t="s">
        <v>#N/A N/A</v>
        <stp/>
        <stp>BDP|15164322051713249720</stp>
        <tr r="F4706" s="2"/>
      </tp>
      <tp t="s">
        <v>#N/A N/A</v>
        <stp/>
        <stp>BDP|10599668013629574977</stp>
        <tr r="I3213" s="2"/>
      </tp>
      <tp t="s">
        <v>#N/A N/A</v>
        <stp/>
        <stp>BDP|17497409717611779466</stp>
        <tr r="I4766" s="2"/>
      </tp>
      <tp t="s">
        <v>#N/A N/A</v>
        <stp/>
        <stp>BDP|10052320520250805680</stp>
        <tr r="C2931" s="2"/>
      </tp>
      <tp t="s">
        <v>#N/A N/A</v>
        <stp/>
        <stp>BDP|16971466051619991959</stp>
        <tr r="I1173" s="2"/>
      </tp>
      <tp t="s">
        <v>#N/A N/A</v>
        <stp/>
        <stp>BDP|16364181888169019110</stp>
        <tr r="G2936" s="2"/>
      </tp>
      <tp t="s">
        <v>#N/A N/A</v>
        <stp/>
        <stp>BDP|12508265006733077473</stp>
        <tr r="I4530" s="2"/>
      </tp>
      <tp t="s">
        <v>#N/A N/A</v>
        <stp/>
        <stp>BDP|17124516813650525446</stp>
        <tr r="G4347" s="2"/>
      </tp>
      <tp t="s">
        <v>#N/A N/A</v>
        <stp/>
        <stp>BDP|17920262798333748821</stp>
        <tr r="B2343" s="2"/>
      </tp>
      <tp t="s">
        <v>#N/A N/A</v>
        <stp/>
        <stp>BDP|15925058370110748599</stp>
        <tr r="I218" s="2"/>
      </tp>
      <tp t="s">
        <v>#N/A N/A</v>
        <stp/>
        <stp>BDP|17230785857962987061</stp>
        <tr r="A123" s="2"/>
      </tp>
      <tp t="s">
        <v>#N/A N/A</v>
        <stp/>
        <stp>BDP|10223272402266179343</stp>
        <tr r="C4201" s="2"/>
      </tp>
      <tp t="s">
        <v>#N/A N/A</v>
        <stp/>
        <stp>BDP|10569805783207036044</stp>
        <tr r="C2924" s="2"/>
      </tp>
      <tp t="s">
        <v>#N/A N/A</v>
        <stp/>
        <stp>BDP|18375628354915100960</stp>
        <tr r="A2584" s="2"/>
      </tp>
      <tp t="s">
        <v>#N/A N/A</v>
        <stp/>
        <stp>BDP|11764513392113430921</stp>
        <tr r="H1059" s="2"/>
      </tp>
      <tp t="s">
        <v>#N/A N/A</v>
        <stp/>
        <stp>BDP|13408404944056732251</stp>
        <tr r="B972" s="2"/>
      </tp>
      <tp t="s">
        <v>#N/A N/A</v>
        <stp/>
        <stp>BDP|15729510714390971690</stp>
        <tr r="D1325" s="2"/>
      </tp>
      <tp t="s">
        <v>#N/A N/A</v>
        <stp/>
        <stp>BDP|14632353797521157876</stp>
        <tr r="C3939" s="2"/>
      </tp>
      <tp t="s">
        <v>#N/A N/A</v>
        <stp/>
        <stp>BDP|16611116557916295301</stp>
        <tr r="I892" s="2"/>
      </tp>
      <tp t="s">
        <v>#N/A N/A</v>
        <stp/>
        <stp>BDP|11701240850190433154</stp>
        <tr r="C3712" s="2"/>
      </tp>
      <tp t="s">
        <v>#N/A N/A</v>
        <stp/>
        <stp>BDP|13523491358805483025</stp>
        <tr r="I1185" s="2"/>
      </tp>
      <tp t="s">
        <v>#N/A N/A</v>
        <stp/>
        <stp>BDP|12805582551715413072</stp>
        <tr r="F253" s="2"/>
      </tp>
      <tp t="s">
        <v>#N/A N/A</v>
        <stp/>
        <stp>BDP|15656524300202329554</stp>
        <tr r="I1117" s="2"/>
      </tp>
      <tp t="s">
        <v>#N/A N/A</v>
        <stp/>
        <stp>BDP|13769721125643433267</stp>
        <tr r="C847" s="2"/>
      </tp>
      <tp t="s">
        <v>#N/A N/A</v>
        <stp/>
        <stp>BDP|17711201836640322101</stp>
        <tr r="B162" s="2"/>
      </tp>
      <tp t="s">
        <v>#N/A N/A</v>
        <stp/>
        <stp>BDP|14045605440385162431</stp>
        <tr r="H1918" s="2"/>
      </tp>
      <tp t="s">
        <v>#N/A N/A</v>
        <stp/>
        <stp>BDP|13701655560611910597</stp>
        <tr r="C2551" s="2"/>
      </tp>
      <tp t="s">
        <v>#N/A N/A</v>
        <stp/>
        <stp>BDP|12652503934292905191</stp>
        <tr r="D59" s="2"/>
      </tp>
      <tp t="s">
        <v>#N/A N/A</v>
        <stp/>
        <stp>BDP|15810630954132929347</stp>
        <tr r="A3369" s="2"/>
      </tp>
      <tp t="s">
        <v>#N/A N/A</v>
        <stp/>
        <stp>BDP|16441936594317826696</stp>
        <tr r="F3718" s="2"/>
      </tp>
      <tp t="s">
        <v>#N/A N/A</v>
        <stp/>
        <stp>BDP|10442545121781466174</stp>
        <tr r="F1900" s="2"/>
      </tp>
      <tp t="s">
        <v>#N/A N/A</v>
        <stp/>
        <stp>BDP|13471079003543489767</stp>
        <tr r="B4771" s="2"/>
      </tp>
      <tp t="s">
        <v>#N/A N/A</v>
        <stp/>
        <stp>BDP|15490172480893211836</stp>
        <tr r="A829" s="2"/>
      </tp>
      <tp t="s">
        <v>#N/A N/A</v>
        <stp/>
        <stp>BDP|15651547667394275552</stp>
        <tr r="F3603" s="2"/>
      </tp>
      <tp t="s">
        <v>#N/A N/A</v>
        <stp/>
        <stp>BDP|11362020600212521462</stp>
        <tr r="C986" s="2"/>
      </tp>
      <tp t="s">
        <v>#N/A N/A</v>
        <stp/>
        <stp>BDP|18280902435732081751</stp>
        <tr r="A543" s="2"/>
      </tp>
      <tp t="s">
        <v>#N/A N/A</v>
        <stp/>
        <stp>BDP|13417641256350152752</stp>
        <tr r="C1113" s="2"/>
      </tp>
      <tp t="s">
        <v>#N/A N/A</v>
        <stp/>
        <stp>BDP|13056143280029598444</stp>
        <tr r="H235" s="2"/>
      </tp>
      <tp t="s">
        <v>#N/A N/A</v>
        <stp/>
        <stp>BDP|13579316414907454116</stp>
        <tr r="B4748" s="2"/>
      </tp>
      <tp t="s">
        <v>#N/A N/A</v>
        <stp/>
        <stp>BDP|12181462663650841793</stp>
        <tr r="D4424" s="2"/>
      </tp>
      <tp t="s">
        <v>#N/A N/A</v>
        <stp/>
        <stp>BDP|15690955393033079151</stp>
        <tr r="G2851" s="2"/>
      </tp>
      <tp t="s">
        <v>#N/A N/A</v>
        <stp/>
        <stp>BDP|15000960813742848889</stp>
        <tr r="A3074" s="2"/>
      </tp>
      <tp t="s">
        <v>#N/A N/A</v>
        <stp/>
        <stp>BDP|16083329622845276574</stp>
        <tr r="G4969" s="2"/>
      </tp>
      <tp t="s">
        <v>#N/A N/A</v>
        <stp/>
        <stp>BDP|16290734722361217545</stp>
        <tr r="F1093" s="2"/>
      </tp>
      <tp t="s">
        <v>#N/A N/A</v>
        <stp/>
        <stp>BDP|10810589377353477666</stp>
        <tr r="B404" s="2"/>
      </tp>
      <tp t="s">
        <v>#N/A N/A</v>
        <stp/>
        <stp>BDP|17287730258017866544</stp>
        <tr r="D454" s="2"/>
      </tp>
      <tp t="s">
        <v>#N/A N/A</v>
        <stp/>
        <stp>BDP|16659391689019683355</stp>
        <tr r="I401" s="2"/>
      </tp>
      <tp t="s">
        <v>#N/A N/A</v>
        <stp/>
        <stp>BDP|17899123614556816637</stp>
        <tr r="D1887" s="2"/>
      </tp>
      <tp t="s">
        <v>#N/A N/A</v>
        <stp/>
        <stp>BDP|13625053913823516601</stp>
        <tr r="G1975" s="2"/>
      </tp>
      <tp t="s">
        <v>#N/A N/A</v>
        <stp/>
        <stp>BDP|11373839154028755362</stp>
        <tr r="I225" s="2"/>
      </tp>
      <tp t="s">
        <v>#N/A N/A</v>
        <stp/>
        <stp>BDP|14590370855395715052</stp>
        <tr r="C4911" s="2"/>
      </tp>
      <tp t="s">
        <v>#N/A N/A</v>
        <stp/>
        <stp>BDP|12423041749723540299</stp>
        <tr r="I493" s="2"/>
      </tp>
      <tp t="s">
        <v>#N/A N/A</v>
        <stp/>
        <stp>BDP|16492452301205387068</stp>
        <tr r="I4355" s="2"/>
      </tp>
      <tp t="s">
        <v>#N/A N/A</v>
        <stp/>
        <stp>BDP|16967646809882515540</stp>
        <tr r="C242" s="2"/>
      </tp>
      <tp t="s">
        <v>#N/A N/A</v>
        <stp/>
        <stp>BDP|18183841219912008498</stp>
        <tr r="C2981" s="2"/>
      </tp>
      <tp t="s">
        <v>#N/A N/A</v>
        <stp/>
        <stp>BDP|13125659323879094922</stp>
        <tr r="H4322" s="2"/>
      </tp>
      <tp t="s">
        <v>#N/A N/A</v>
        <stp/>
        <stp>BDP|14086430296277237921</stp>
        <tr r="B2130" s="2"/>
      </tp>
      <tp t="s">
        <v>#N/A N/A</v>
        <stp/>
        <stp>BDP|13099364500804430379</stp>
        <tr r="G731" s="2"/>
      </tp>
      <tp t="s">
        <v>#N/A N/A</v>
        <stp/>
        <stp>BDP|14802976191807259494</stp>
        <tr r="H3192" s="2"/>
      </tp>
      <tp t="s">
        <v>#N/A N/A</v>
        <stp/>
        <stp>BDP|15429848962408074476</stp>
        <tr r="D816" s="2"/>
      </tp>
      <tp t="s">
        <v>#N/A N/A</v>
        <stp/>
        <stp>BDP|14473119063450510464</stp>
        <tr r="C4186" s="2"/>
      </tp>
      <tp t="s">
        <v>#N/A N/A</v>
        <stp/>
        <stp>BDP|15125050672490188521</stp>
        <tr r="G1172" s="2"/>
      </tp>
      <tp t="s">
        <v>#N/A N/A</v>
        <stp/>
        <stp>BDP|10743509598189301292</stp>
        <tr r="I2066" s="2"/>
      </tp>
      <tp t="s">
        <v>#N/A N/A</v>
        <stp/>
        <stp>BDP|10295398956450190192</stp>
        <tr r="D656" s="2"/>
      </tp>
      <tp t="s">
        <v>#N/A N/A</v>
        <stp/>
        <stp>BDP|16577456312556798203</stp>
        <tr r="D2663" s="2"/>
      </tp>
      <tp t="s">
        <v>#N/A N/A</v>
        <stp/>
        <stp>BDP|18369849728890212588</stp>
        <tr r="B746" s="2"/>
      </tp>
      <tp t="s">
        <v>#N/A N/A</v>
        <stp/>
        <stp>BDP|15035608122491209751</stp>
        <tr r="D982" s="2"/>
      </tp>
      <tp t="s">
        <v>#N/A N/A</v>
        <stp/>
        <stp>BDP|17115664899048911729</stp>
        <tr r="A2036" s="2"/>
      </tp>
      <tp t="s">
        <v>#N/A N/A</v>
        <stp/>
        <stp>BDP|17579675876929106807</stp>
        <tr r="A797" s="2"/>
      </tp>
      <tp t="s">
        <v>#N/A N/A</v>
        <stp/>
        <stp>BDP|14547769649859782981</stp>
        <tr r="F3471" s="2"/>
      </tp>
      <tp t="s">
        <v>#N/A N/A</v>
        <stp/>
        <stp>BDP|17170034488618813078</stp>
        <tr r="B3640" s="2"/>
      </tp>
      <tp t="s">
        <v>#N/A N/A</v>
        <stp/>
        <stp>BDP|16048255473037743346</stp>
        <tr r="B3819" s="2"/>
      </tp>
      <tp t="s">
        <v>#N/A N/A</v>
        <stp/>
        <stp>BDP|12019008754013587342</stp>
        <tr r="B3460" s="2"/>
      </tp>
      <tp t="s">
        <v>#N/A N/A</v>
        <stp/>
        <stp>BDP|13270800356021904884</stp>
        <tr r="C4661" s="2"/>
      </tp>
      <tp t="s">
        <v>#N/A N/A</v>
        <stp/>
        <stp>BDP|12285003057731070108</stp>
        <tr r="I3681" s="2"/>
      </tp>
      <tp t="s">
        <v>#N/A N/A</v>
        <stp/>
        <stp>BDP|10472973751303504824</stp>
        <tr r="B2558" s="2"/>
      </tp>
      <tp t="s">
        <v>#N/A N/A</v>
        <stp/>
        <stp>BDP|10980544399679388220</stp>
        <tr r="A2790" s="2"/>
      </tp>
      <tp t="s">
        <v>#N/A N/A</v>
        <stp/>
        <stp>BDP|12560916967368561237</stp>
        <tr r="F2715" s="2"/>
      </tp>
      <tp t="s">
        <v>#N/A N/A</v>
        <stp/>
        <stp>BDP|12590026452375188516</stp>
        <tr r="C3698" s="2"/>
      </tp>
      <tp t="s">
        <v>#N/A N/A</v>
        <stp/>
        <stp>BDP|12124922240329712110</stp>
        <tr r="A762" s="2"/>
      </tp>
      <tp t="s">
        <v>#N/A N/A</v>
        <stp/>
        <stp>BDP|16061167645401644503</stp>
        <tr r="B2001" s="2"/>
      </tp>
      <tp t="s">
        <v>#N/A N/A</v>
        <stp/>
        <stp>BDP|17690531663483153028</stp>
        <tr r="B2033" s="2"/>
      </tp>
      <tp t="s">
        <v>#N/A N/A</v>
        <stp/>
        <stp>BDP|17191707944051582257</stp>
        <tr r="D1730" s="2"/>
      </tp>
      <tp t="s">
        <v>#N/A N/A</v>
        <stp/>
        <stp>BDP|10901499059957994158</stp>
        <tr r="C1794" s="2"/>
      </tp>
      <tp t="s">
        <v>#N/A N/A</v>
        <stp/>
        <stp>BDP|12698783005836839460</stp>
        <tr r="H991" s="2"/>
      </tp>
      <tp t="s">
        <v>#N/A N/A</v>
        <stp/>
        <stp>BDP|11116045771391945083</stp>
        <tr r="H3288" s="2"/>
      </tp>
      <tp t="s">
        <v>#N/A N/A</v>
        <stp/>
        <stp>BDP|13969383245262526145</stp>
        <tr r="H104" s="2"/>
      </tp>
      <tp t="s">
        <v>#N/A N/A</v>
        <stp/>
        <stp>BDP|10210156137677273276</stp>
        <tr r="F3409" s="2"/>
      </tp>
      <tp t="s">
        <v>#N/A N/A</v>
        <stp/>
        <stp>BDP|16990832484987319683</stp>
        <tr r="H965" s="2"/>
      </tp>
      <tp t="s">
        <v>#N/A N/A</v>
        <stp/>
        <stp>BDP|11256601814190413174</stp>
        <tr r="G4416" s="2"/>
      </tp>
      <tp t="s">
        <v>#N/A N/A</v>
        <stp/>
        <stp>BDP|11561471550250247751</stp>
        <tr r="B1801" s="2"/>
      </tp>
      <tp t="s">
        <v>#N/A N/A</v>
        <stp/>
        <stp>BDP|18364738295641294021</stp>
        <tr r="C1275" s="2"/>
      </tp>
      <tp t="s">
        <v>#N/A N/A</v>
        <stp/>
        <stp>BDP|14875247324367452496</stp>
        <tr r="H1105" s="2"/>
      </tp>
      <tp t="s">
        <v>#N/A N/A</v>
        <stp/>
        <stp>BDP|18271302023658069642</stp>
        <tr r="G2394" s="2"/>
      </tp>
      <tp t="s">
        <v>#N/A N/A</v>
        <stp/>
        <stp>BDP|13629671764133831786</stp>
        <tr r="G4870" s="2"/>
      </tp>
      <tp t="s">
        <v>#N/A N/A</v>
        <stp/>
        <stp>BDP|16539021616343703336</stp>
        <tr r="C4031" s="2"/>
      </tp>
      <tp t="s">
        <v>#N/A N/A</v>
        <stp/>
        <stp>BDP|11245122221557309274</stp>
        <tr r="I2752" s="2"/>
      </tp>
      <tp t="s">
        <v>#N/A N/A</v>
        <stp/>
        <stp>BDP|12893271451247852538</stp>
        <tr r="C3199" s="2"/>
      </tp>
      <tp t="s">
        <v>#N/A N/A</v>
        <stp/>
        <stp>BDP|13033414375747325025</stp>
        <tr r="H554" s="2"/>
      </tp>
      <tp t="s">
        <v>#N/A N/A</v>
        <stp/>
        <stp>BDP|15755843797676125505</stp>
        <tr r="B2039" s="2"/>
      </tp>
      <tp t="s">
        <v>#N/A N/A</v>
        <stp/>
        <stp>BDP|11174127626442965795</stp>
        <tr r="I3965" s="2"/>
      </tp>
      <tp t="s">
        <v>#N/A N/A</v>
        <stp/>
        <stp>BDP|14990647735677583187</stp>
        <tr r="A4324" s="2"/>
      </tp>
      <tp t="s">
        <v>#N/A N/A</v>
        <stp/>
        <stp>BDP|15691505378641344189</stp>
        <tr r="I938" s="2"/>
      </tp>
      <tp t="s">
        <v>#N/A N/A</v>
        <stp/>
        <stp>BDP|16057863304578126167</stp>
        <tr r="D2164" s="2"/>
      </tp>
      <tp t="s">
        <v>#N/A N/A</v>
        <stp/>
        <stp>BDP|13172763375277237353</stp>
        <tr r="F1357" s="2"/>
      </tp>
      <tp t="s">
        <v>#N/A N/A</v>
        <stp/>
        <stp>BDP|18277062500756256931</stp>
        <tr r="C3604" s="2"/>
      </tp>
      <tp t="s">
        <v>#N/A N/A</v>
        <stp/>
        <stp>BDP|17820340298892766869</stp>
        <tr r="A1107" s="2"/>
      </tp>
      <tp t="s">
        <v>#N/A N/A</v>
        <stp/>
        <stp>BDP|17350696748366148461</stp>
        <tr r="A3521" s="2"/>
      </tp>
      <tp t="s">
        <v>#N/A N/A</v>
        <stp/>
        <stp>BDP|10558029884597593835</stp>
        <tr r="C569" s="2"/>
      </tp>
      <tp t="s">
        <v>#N/A N/A</v>
        <stp/>
        <stp>BDP|14242688714981969526</stp>
        <tr r="C4891" s="2"/>
      </tp>
      <tp t="s">
        <v>#N/A N/A</v>
        <stp/>
        <stp>BDP|16587331140356797046</stp>
        <tr r="I2559" s="2"/>
      </tp>
      <tp t="s">
        <v>#N/A N/A</v>
        <stp/>
        <stp>BDP|17127372533521384138</stp>
        <tr r="F312" s="2"/>
      </tp>
      <tp t="s">
        <v>#N/A N/A</v>
        <stp/>
        <stp>BDP|14677273705354264534</stp>
        <tr r="A2993" s="2"/>
      </tp>
      <tp t="s">
        <v>#N/A N/A</v>
        <stp/>
        <stp>BDP|10977511753152675585</stp>
        <tr r="F459" s="2"/>
      </tp>
      <tp t="s">
        <v>#N/A N/A</v>
        <stp/>
        <stp>BDP|11233476530788202926</stp>
        <tr r="I2735" s="2"/>
      </tp>
      <tp t="s">
        <v>#N/A N/A</v>
        <stp/>
        <stp>BDP|16741220086149429223</stp>
        <tr r="H4994" s="2"/>
      </tp>
      <tp t="s">
        <v>#N/A N/A</v>
        <stp/>
        <stp>BDP|14414439059784833638</stp>
        <tr r="I1250" s="2"/>
      </tp>
      <tp t="s">
        <v>#N/A N/A</v>
        <stp/>
        <stp>BDP|13972980767002211912</stp>
        <tr r="I3323" s="2"/>
      </tp>
      <tp t="s">
        <v>#N/A N/A</v>
        <stp/>
        <stp>BDP|12837923080455604190</stp>
        <tr r="C44" s="2"/>
      </tp>
      <tp t="s">
        <v>#N/A N/A</v>
        <stp/>
        <stp>BDP|11150033011717050060</stp>
        <tr r="G3100" s="2"/>
      </tp>
      <tp t="s">
        <v>#N/A N/A</v>
        <stp/>
        <stp>BDP|18148970904484418235</stp>
        <tr r="D1763" s="2"/>
      </tp>
      <tp t="s">
        <v>#N/A N/A</v>
        <stp/>
        <stp>BDP|17890108562342972561</stp>
        <tr r="F2456" s="2"/>
      </tp>
      <tp t="s">
        <v>#N/A N/A</v>
        <stp/>
        <stp>BDP|17790276715307829495</stp>
        <tr r="D1882" s="2"/>
      </tp>
      <tp t="s">
        <v>#N/A N/A</v>
        <stp/>
        <stp>BDP|17240407214240323518</stp>
        <tr r="A549" s="2"/>
      </tp>
      <tp t="s">
        <v>#N/A N/A</v>
        <stp/>
        <stp>BDP|11894932810629708786</stp>
        <tr r="D3817" s="2"/>
      </tp>
      <tp t="s">
        <v>#N/A N/A</v>
        <stp/>
        <stp>BDP|16404157051263172659</stp>
        <tr r="D790" s="2"/>
      </tp>
      <tp t="s">
        <v>#N/A N/A</v>
        <stp/>
        <stp>BDP|11281253587189421502</stp>
        <tr r="B3354" s="2"/>
      </tp>
      <tp t="s">
        <v>#N/A N/A</v>
        <stp/>
        <stp>BDP|14716708138557326084</stp>
        <tr r="B93" s="2"/>
      </tp>
      <tp t="s">
        <v>#N/A N/A</v>
        <stp/>
        <stp>BDP|13462443143375795105</stp>
        <tr r="D4767" s="2"/>
      </tp>
      <tp t="s">
        <v>#N/A N/A</v>
        <stp/>
        <stp>BDP|12404209164789706837</stp>
        <tr r="D1894" s="2"/>
      </tp>
      <tp t="s">
        <v>#N/A N/A</v>
        <stp/>
        <stp>BDP|15882264538496145535</stp>
        <tr r="A342" s="2"/>
      </tp>
      <tp t="s">
        <v>#N/A N/A</v>
        <stp/>
        <stp>BDP|11433352938352995442</stp>
        <tr r="B4292" s="2"/>
      </tp>
      <tp t="s">
        <v>#N/A N/A</v>
        <stp/>
        <stp>BDP|11109045271696186712</stp>
        <tr r="C3164" s="2"/>
      </tp>
      <tp t="s">
        <v>#N/A N/A</v>
        <stp/>
        <stp>BDP|14844065027844516581</stp>
        <tr r="F4227" s="2"/>
      </tp>
      <tp t="s">
        <v>#N/A N/A</v>
        <stp/>
        <stp>BDP|17464078014480651157</stp>
        <tr r="G679" s="2"/>
      </tp>
      <tp t="s">
        <v>#N/A N/A</v>
        <stp/>
        <stp>BDP|17661612497169588615</stp>
        <tr r="G1160" s="2"/>
      </tp>
      <tp t="s">
        <v>#N/A N/A</v>
        <stp/>
        <stp>BDP|12931266323736891303</stp>
        <tr r="H42" s="2"/>
      </tp>
      <tp t="s">
        <v>#N/A N/A</v>
        <stp/>
        <stp>BDP|16767908073719024603</stp>
        <tr r="G4945" s="2"/>
      </tp>
      <tp t="s">
        <v>#N/A N/A</v>
        <stp/>
        <stp>BDP|11321185361751770098</stp>
        <tr r="F1181" s="2"/>
      </tp>
      <tp t="s">
        <v>#N/A N/A</v>
        <stp/>
        <stp>BDP|10764578353675060271</stp>
        <tr r="H535" s="2"/>
      </tp>
      <tp t="s">
        <v>#N/A N/A</v>
        <stp/>
        <stp>BDP|17237382670682686681</stp>
        <tr r="A2395" s="2"/>
      </tp>
      <tp t="s">
        <v>#N/A N/A</v>
        <stp/>
        <stp>BDP|13188377622500276523</stp>
        <tr r="H4027" s="2"/>
      </tp>
      <tp t="s">
        <v>#N/A N/A</v>
        <stp/>
        <stp>BDP|11278108609022938562</stp>
        <tr r="B4613" s="2"/>
      </tp>
      <tp t="s">
        <v>#N/A N/A</v>
        <stp/>
        <stp>BDP|13410571792421123948</stp>
        <tr r="A289" s="2"/>
      </tp>
      <tp t="s">
        <v>#N/A N/A</v>
        <stp/>
        <stp>BDP|16190379172426231329</stp>
        <tr r="H4113" s="2"/>
      </tp>
      <tp t="s">
        <v>#N/A N/A</v>
        <stp/>
        <stp>BDP|10230005035084321009</stp>
        <tr r="G886" s="2"/>
      </tp>
      <tp t="s">
        <v>#N/A N/A</v>
        <stp/>
        <stp>BDP|13859509029301574204</stp>
        <tr r="I1338" s="2"/>
      </tp>
      <tp t="s">
        <v>#N/A N/A</v>
        <stp/>
        <stp>BDP|15485118974506211278</stp>
        <tr r="I4348" s="2"/>
      </tp>
      <tp t="s">
        <v>#N/A N/A</v>
        <stp/>
        <stp>BDP|11788423148205117384</stp>
        <tr r="B2986" s="2"/>
      </tp>
      <tp t="s">
        <v>#N/A N/A</v>
        <stp/>
        <stp>BDP|10445865787912256531</stp>
        <tr r="C58" s="2"/>
      </tp>
      <tp t="s">
        <v>#N/A N/A</v>
        <stp/>
        <stp>BDP|12967092158809822942</stp>
        <tr r="C3520" s="2"/>
      </tp>
      <tp t="s">
        <v>#N/A N/A</v>
        <stp/>
        <stp>BDP|12534391096389622680</stp>
        <tr r="H2647" s="2"/>
      </tp>
      <tp t="s">
        <v>#N/A N/A</v>
        <stp/>
        <stp>BDP|13416586500596854704</stp>
        <tr r="G840" s="2"/>
      </tp>
      <tp t="s">
        <v>#N/A N/A</v>
        <stp/>
        <stp>BDP|11511607160007029117</stp>
        <tr r="C1309" s="2"/>
      </tp>
      <tp t="s">
        <v>#N/A N/A</v>
        <stp/>
        <stp>BDP|15006593662200928160</stp>
        <tr r="H4235" s="2"/>
      </tp>
      <tp t="s">
        <v>#N/A N/A</v>
        <stp/>
        <stp>BDP|15305350343670979582</stp>
        <tr r="G2651" s="2"/>
      </tp>
      <tp t="s">
        <v>#N/A N/A</v>
        <stp/>
        <stp>BDP|12736187397398858541</stp>
        <tr r="I3927" s="2"/>
      </tp>
      <tp t="s">
        <v>#N/A N/A</v>
        <stp/>
        <stp>BDP|11421241381364303863</stp>
        <tr r="B4131" s="2"/>
      </tp>
      <tp t="s">
        <v>#N/A N/A</v>
        <stp/>
        <stp>BDP|11174607096978591163</stp>
        <tr r="I4158" s="2"/>
      </tp>
      <tp t="s">
        <v>#N/A N/A</v>
        <stp/>
        <stp>BDP|15163401841472000041</stp>
        <tr r="G1615" s="2"/>
      </tp>
      <tp t="s">
        <v>#N/A N/A</v>
        <stp/>
        <stp>BDP|11249092745277362590</stp>
        <tr r="A4591" s="2"/>
      </tp>
      <tp t="s">
        <v>#N/A N/A</v>
        <stp/>
        <stp>BDP|10115555867604469036</stp>
        <tr r="D4584" s="2"/>
      </tp>
      <tp t="s">
        <v>#N/A N/A</v>
        <stp/>
        <stp>BDP|16438451804623715667</stp>
        <tr r="A4314" s="2"/>
      </tp>
      <tp t="s">
        <v>#N/A N/A</v>
        <stp/>
        <stp>BDP|17110359332738450868</stp>
        <tr r="A3349" s="2"/>
      </tp>
      <tp t="s">
        <v>#N/A N/A</v>
        <stp/>
        <stp>BDP|16113126603481707132</stp>
        <tr r="G591" s="2"/>
      </tp>
      <tp t="s">
        <v>#N/A N/A</v>
        <stp/>
        <stp>BDP|15450024128520804025</stp>
        <tr r="D2395" s="2"/>
      </tp>
      <tp t="s">
        <v>#N/A N/A</v>
        <stp/>
        <stp>BDP|10548711272555019220</stp>
        <tr r="B958" s="2"/>
      </tp>
      <tp t="s">
        <v>#N/A N/A</v>
        <stp/>
        <stp>BDP|10444550006715574765</stp>
        <tr r="B3113" s="2"/>
      </tp>
      <tp t="s">
        <v>#N/A N/A</v>
        <stp/>
        <stp>BDP|16726620856093427131</stp>
        <tr r="I4506" s="2"/>
      </tp>
      <tp t="s">
        <v>#N/A N/A</v>
        <stp/>
        <stp>BDP|10360620653021437524</stp>
        <tr r="B703" s="2"/>
      </tp>
      <tp t="s">
        <v>#N/A N/A</v>
        <stp/>
        <stp>BDP|11965695837330532363</stp>
        <tr r="G199" s="2"/>
      </tp>
      <tp t="s">
        <v>#N/A N/A</v>
        <stp/>
        <stp>BDP|12421419103859269805</stp>
        <tr r="G4366" s="2"/>
      </tp>
      <tp t="s">
        <v>#N/A N/A</v>
        <stp/>
        <stp>BDP|13308046226715150344</stp>
        <tr r="D1945" s="2"/>
      </tp>
      <tp t="s">
        <v>#N/A N/A</v>
        <stp/>
        <stp>BDP|15264495036257174286</stp>
        <tr r="D2626" s="2"/>
      </tp>
      <tp t="s">
        <v>#N/A N/A</v>
        <stp/>
        <stp>BDP|12615184742011907115</stp>
        <tr r="D3905" s="2"/>
      </tp>
      <tp t="s">
        <v>#N/A N/A</v>
        <stp/>
        <stp>BDP|13156808172058345349</stp>
        <tr r="A1650" s="2"/>
      </tp>
      <tp t="s">
        <v>#N/A N/A</v>
        <stp/>
        <stp>BDP|17141300452073015575</stp>
        <tr r="F272" s="2"/>
      </tp>
      <tp t="s">
        <v>#N/A N/A</v>
        <stp/>
        <stp>BDP|13796000987819275561</stp>
        <tr r="F2667" s="2"/>
      </tp>
      <tp t="s">
        <v>#N/A N/A</v>
        <stp/>
        <stp>BDP|13472678432747187647</stp>
        <tr r="B2688" s="2"/>
      </tp>
      <tp t="s">
        <v>#N/A N/A</v>
        <stp/>
        <stp>BDP|10366445064535513020</stp>
        <tr r="G2404" s="2"/>
      </tp>
      <tp t="s">
        <v>#N/A N/A</v>
        <stp/>
        <stp>BDP|15325366936583057173</stp>
        <tr r="G4408" s="2"/>
      </tp>
      <tp t="s">
        <v>#N/A N/A</v>
        <stp/>
        <stp>BDP|16226109009901845171</stp>
        <tr r="C2342" s="2"/>
      </tp>
      <tp t="s">
        <v>#N/A N/A</v>
        <stp/>
        <stp>BDP|12191416236863738152</stp>
        <tr r="B4354" s="2"/>
      </tp>
      <tp t="s">
        <v>#N/A N/A</v>
        <stp/>
        <stp>BDP|11044029762058298862</stp>
        <tr r="C1579" s="2"/>
      </tp>
      <tp t="s">
        <v>#N/A N/A</v>
        <stp/>
        <stp>BDP|16947544838497308022</stp>
        <tr r="C2898" s="2"/>
      </tp>
      <tp t="s">
        <v>#N/A N/A</v>
        <stp/>
        <stp>BDP|12978464947475951054</stp>
        <tr r="A3942" s="2"/>
      </tp>
      <tp t="s">
        <v>#N/A N/A</v>
        <stp/>
        <stp>BDP|13451053215474035107</stp>
        <tr r="G3064" s="2"/>
      </tp>
      <tp t="s">
        <v>#N/A N/A</v>
        <stp/>
        <stp>BDP|12504385823011900530</stp>
        <tr r="B2673" s="2"/>
      </tp>
      <tp t="s">
        <v>#N/A N/A</v>
        <stp/>
        <stp>BDP|18241564802539407360</stp>
        <tr r="C3010" s="2"/>
      </tp>
      <tp t="s">
        <v>#N/A N/A</v>
        <stp/>
        <stp>BDP|11123793409973755228</stp>
        <tr r="B2011" s="2"/>
      </tp>
      <tp t="s">
        <v>#N/A N/A</v>
        <stp/>
        <stp>BDP|18063423980372108173</stp>
        <tr r="C3574" s="2"/>
      </tp>
      <tp t="s">
        <v>#N/A N/A</v>
        <stp/>
        <stp>BDP|17870753231714167090</stp>
        <tr r="I4298" s="2"/>
      </tp>
      <tp t="s">
        <v>#N/A N/A</v>
        <stp/>
        <stp>BDP|12807257648236295539</stp>
        <tr r="D2850" s="2"/>
      </tp>
      <tp t="s">
        <v>#N/A N/A</v>
        <stp/>
        <stp>BDP|17247157199179846123</stp>
        <tr r="D2928" s="2"/>
      </tp>
      <tp t="s">
        <v>#N/A N/A</v>
        <stp/>
        <stp>BDP|10996817609137495813</stp>
        <tr r="H854" s="2"/>
      </tp>
      <tp t="s">
        <v>#N/A N/A</v>
        <stp/>
        <stp>BDP|16339405835286646044</stp>
        <tr r="F4329" s="2"/>
      </tp>
      <tp t="s">
        <v>#N/A N/A</v>
        <stp/>
        <stp>BDP|10527561833366301774</stp>
        <tr r="F469" s="2"/>
      </tp>
      <tp t="s">
        <v>#N/A N/A</v>
        <stp/>
        <stp>BDP|16968721206327973107</stp>
        <tr r="A815" s="2"/>
      </tp>
      <tp t="s">
        <v>#N/A N/A</v>
        <stp/>
        <stp>BDP|13164007116750534561</stp>
        <tr r="F1418" s="2"/>
      </tp>
      <tp t="s">
        <v>#N/A N/A</v>
        <stp/>
        <stp>BDP|17514645262448646810</stp>
        <tr r="F37" s="2"/>
      </tp>
      <tp t="s">
        <v>#N/A N/A</v>
        <stp/>
        <stp>BDP|18072285251169555182</stp>
        <tr r="D3752" s="2"/>
      </tp>
      <tp t="s">
        <v>#N/A N/A</v>
        <stp/>
        <stp>BDP|10233656841076765368</stp>
        <tr r="C2876" s="2"/>
      </tp>
      <tp t="s">
        <v>#N/A N/A</v>
        <stp/>
        <stp>BDP|17139258562914496050</stp>
        <tr r="D986" s="2"/>
      </tp>
      <tp t="s">
        <v>#N/A N/A</v>
        <stp/>
        <stp>BDP|15484080018420423375</stp>
        <tr r="A4889" s="2"/>
      </tp>
      <tp t="s">
        <v>#N/A N/A</v>
        <stp/>
        <stp>BDP|10993046448372313116</stp>
        <tr r="I4879" s="2"/>
      </tp>
      <tp t="s">
        <v>#N/A N/A</v>
        <stp/>
        <stp>BDP|14083474634581630520</stp>
        <tr r="D4608" s="2"/>
      </tp>
      <tp t="s">
        <v>#N/A N/A</v>
        <stp/>
        <stp>BDP|10420791156564448188</stp>
        <tr r="H442" s="2"/>
      </tp>
      <tp t="s">
        <v>#N/A N/A</v>
        <stp/>
        <stp>BDP|17796510911074556056</stp>
        <tr r="D1868" s="2"/>
      </tp>
      <tp t="s">
        <v>#N/A N/A</v>
        <stp/>
        <stp>BDP|16186551162191135301</stp>
        <tr r="H2772" s="2"/>
      </tp>
      <tp t="s">
        <v>#N/A N/A</v>
        <stp/>
        <stp>BDP|15670550176026347619</stp>
        <tr r="H3530" s="2"/>
      </tp>
      <tp t="s">
        <v>#N/A N/A</v>
        <stp/>
        <stp>BDP|14339965975108574529</stp>
        <tr r="C1971" s="2"/>
      </tp>
      <tp t="s">
        <v>#N/A N/A</v>
        <stp/>
        <stp>BDP|13412406391001590877</stp>
        <tr r="I105" s="2"/>
      </tp>
      <tp t="s">
        <v>#N/A N/A</v>
        <stp/>
        <stp>BDP|16709095296428888070</stp>
        <tr r="B4430" s="2"/>
      </tp>
      <tp t="s">
        <v>#N/A N/A</v>
        <stp/>
        <stp>BDP|17751604046823206141</stp>
        <tr r="B10" s="2"/>
      </tp>
      <tp t="s">
        <v>#N/A N/A</v>
        <stp/>
        <stp>BDP|12323838482665235077</stp>
        <tr r="G3442" s="2"/>
      </tp>
      <tp t="s">
        <v>#N/A N/A</v>
        <stp/>
        <stp>BDP|12633678206292899188</stp>
        <tr r="G3183" s="2"/>
      </tp>
      <tp t="s">
        <v>#N/A N/A</v>
        <stp/>
        <stp>BDP|16184001238426606485</stp>
        <tr r="I4870" s="2"/>
      </tp>
      <tp t="s">
        <v>#N/A N/A</v>
        <stp/>
        <stp>BDP|14429769455434193519</stp>
        <tr r="A1451" s="2"/>
      </tp>
      <tp t="s">
        <v>#N/A N/A</v>
        <stp/>
        <stp>BDP|16450889194854885473</stp>
        <tr r="B1052" s="2"/>
      </tp>
      <tp t="s">
        <v>#N/A N/A</v>
        <stp/>
        <stp>BDP|17690692979685052417</stp>
        <tr r="B3321" s="2"/>
      </tp>
      <tp t="s">
        <v>#N/A N/A</v>
        <stp/>
        <stp>BDP|10304717343992095669</stp>
        <tr r="D4230" s="2"/>
      </tp>
      <tp t="s">
        <v>#N/A N/A</v>
        <stp/>
        <stp>BDP|13107049370680349315</stp>
        <tr r="F263" s="2"/>
      </tp>
      <tp t="s">
        <v>#N/A N/A</v>
        <stp/>
        <stp>BDP|17116660217472586523</stp>
        <tr r="C1819" s="2"/>
      </tp>
      <tp t="s">
        <v>#N/A N/A</v>
        <stp/>
        <stp>BDP|15154868475159731422</stp>
        <tr r="I1691" s="2"/>
      </tp>
      <tp t="s">
        <v>#N/A N/A</v>
        <stp/>
        <stp>BDP|18316607855919008512</stp>
        <tr r="I4405" s="2"/>
      </tp>
      <tp t="s">
        <v>#N/A N/A</v>
        <stp/>
        <stp>BDP|15411240504606585662</stp>
        <tr r="H15" s="2"/>
      </tp>
      <tp t="s">
        <v>#N/A N/A</v>
        <stp/>
        <stp>BDP|16490364864315818192</stp>
        <tr r="D2538" s="2"/>
      </tp>
      <tp t="s">
        <v>#N/A N/A</v>
        <stp/>
        <stp>BDP|16899569211522988710</stp>
        <tr r="C4148" s="2"/>
      </tp>
      <tp t="s">
        <v>#N/A N/A</v>
        <stp/>
        <stp>BDP|14737621875121793306</stp>
        <tr r="B3249" s="2"/>
      </tp>
      <tp t="s">
        <v>#N/A N/A</v>
        <stp/>
        <stp>BDP|13139060690599993493</stp>
        <tr r="H2407" s="2"/>
      </tp>
      <tp t="s">
        <v>#N/A N/A</v>
        <stp/>
        <stp>BDP|11064596759646290053</stp>
        <tr r="H2387" s="2"/>
      </tp>
      <tp t="s">
        <v>#N/A N/A</v>
        <stp/>
        <stp>BDP|12306785156955830223</stp>
        <tr r="H1345" s="2"/>
      </tp>
      <tp t="s">
        <v>#N/A N/A</v>
        <stp/>
        <stp>BDP|16421981889322336210</stp>
        <tr r="B803" s="2"/>
      </tp>
      <tp t="s">
        <v>#N/A N/A</v>
        <stp/>
        <stp>BDP|16326204920427361677</stp>
        <tr r="G158" s="2"/>
      </tp>
      <tp t="s">
        <v>#N/A N/A</v>
        <stp/>
        <stp>BDP|12178708264457111339</stp>
        <tr r="C1549" s="2"/>
      </tp>
      <tp t="s">
        <v>#N/A N/A</v>
        <stp/>
        <stp>BDP|16869042843677928213</stp>
        <tr r="C4940" s="2"/>
      </tp>
      <tp t="s">
        <v>#N/A N/A</v>
        <stp/>
        <stp>BDP|13447747504813798041</stp>
        <tr r="I3072" s="2"/>
      </tp>
      <tp t="s">
        <v>#N/A N/A</v>
        <stp/>
        <stp>BDP|16268049142412393701</stp>
        <tr r="G4120" s="2"/>
      </tp>
      <tp t="s">
        <v>#N/A N/A</v>
        <stp/>
        <stp>BDP|11856398818251648588</stp>
        <tr r="H1626" s="2"/>
      </tp>
      <tp t="s">
        <v>#N/A N/A</v>
        <stp/>
        <stp>BDP|12613431165805187262</stp>
        <tr r="A1177" s="2"/>
      </tp>
      <tp t="s">
        <v>#N/A N/A</v>
        <stp/>
        <stp>BDP|13696631594849432221</stp>
        <tr r="I4877" s="2"/>
      </tp>
      <tp t="s">
        <v>#N/A N/A</v>
        <stp/>
        <stp>BDP|10679047053490077261</stp>
        <tr r="I4749" s="2"/>
      </tp>
      <tp t="s">
        <v>#N/A N/A</v>
        <stp/>
        <stp>BDP|17677711250560182219</stp>
        <tr r="D4267" s="2"/>
      </tp>
      <tp t="s">
        <v>#N/A N/A</v>
        <stp/>
        <stp>BDP|12500448392490199857</stp>
        <tr r="F4855" s="2"/>
      </tp>
      <tp t="s">
        <v>#N/A N/A</v>
        <stp/>
        <stp>BDP|11597111833953567756</stp>
        <tr r="G3306" s="2"/>
      </tp>
      <tp t="s">
        <v>#N/A N/A</v>
        <stp/>
        <stp>BDP|13211125073535699729</stp>
        <tr r="G713" s="2"/>
      </tp>
      <tp t="s">
        <v>#N/A N/A</v>
        <stp/>
        <stp>BDP|17655083456890782587</stp>
        <tr r="D3202" s="2"/>
      </tp>
      <tp t="s">
        <v>#N/A N/A</v>
        <stp/>
        <stp>BDP|14143550723503301730</stp>
        <tr r="F2000" s="2"/>
      </tp>
      <tp t="s">
        <v>#N/A N/A</v>
        <stp/>
        <stp>BDP|18327285053478725080</stp>
        <tr r="I969" s="2"/>
      </tp>
      <tp t="s">
        <v>#N/A N/A</v>
        <stp/>
        <stp>BDP|16506835583372610346</stp>
        <tr r="B1516" s="2"/>
      </tp>
      <tp t="s">
        <v>#N/A N/A</v>
        <stp/>
        <stp>BDP|10574131231973282626</stp>
        <tr r="I1913" s="2"/>
      </tp>
      <tp t="s">
        <v>#N/A N/A</v>
        <stp/>
        <stp>BDP|11419428965376095242</stp>
        <tr r="H1774" s="2"/>
      </tp>
      <tp t="s">
        <v>#N/A N/A</v>
        <stp/>
        <stp>BDP|17284980226889832233</stp>
        <tr r="D650" s="2"/>
      </tp>
      <tp t="s">
        <v>#N/A N/A</v>
        <stp/>
        <stp>BDP|14506585015700648796</stp>
        <tr r="B3979" s="2"/>
      </tp>
      <tp t="s">
        <v>#N/A N/A</v>
        <stp/>
        <stp>BDP|12209680128906401719</stp>
        <tr r="I393" s="2"/>
      </tp>
      <tp t="s">
        <v>#N/A N/A</v>
        <stp/>
        <stp>BDP|12170417968645746282</stp>
        <tr r="H3098" s="2"/>
      </tp>
      <tp t="s">
        <v>#N/A N/A</v>
        <stp/>
        <stp>BDP|17762031144743713701</stp>
        <tr r="D4114" s="2"/>
      </tp>
      <tp t="s">
        <v>#N/A N/A</v>
        <stp/>
        <stp>BDP|13310095303737956376</stp>
        <tr r="H1024" s="2"/>
      </tp>
      <tp t="s">
        <v>#N/A N/A</v>
        <stp/>
        <stp>BDP|17849462910344037196</stp>
        <tr r="I2121" s="2"/>
      </tp>
      <tp t="s">
        <v>#N/A N/A</v>
        <stp/>
        <stp>BDP|16157544856700321173</stp>
        <tr r="I4929" s="2"/>
      </tp>
      <tp t="s">
        <v>#N/A N/A</v>
        <stp/>
        <stp>BDP|18421827790698865692</stp>
        <tr r="H4378" s="2"/>
      </tp>
      <tp t="s">
        <v>#N/A N/A</v>
        <stp/>
        <stp>BDP|10856214641750765187</stp>
        <tr r="C2923" s="2"/>
      </tp>
      <tp t="s">
        <v>#N/A N/A</v>
        <stp/>
        <stp>BDP|14303821803673556804</stp>
        <tr r="B3702" s="2"/>
      </tp>
      <tp t="s">
        <v>#N/A N/A</v>
        <stp/>
        <stp>BDP|12835776745335535383</stp>
        <tr r="I3478" s="2"/>
      </tp>
      <tp t="s">
        <v>#N/A N/A</v>
        <stp/>
        <stp>BDP|14039086035093234380</stp>
        <tr r="B4218" s="2"/>
      </tp>
      <tp t="s">
        <v>#N/A N/A</v>
        <stp/>
        <stp>BDP|17114680668125011567</stp>
        <tr r="H2041" s="2"/>
      </tp>
      <tp t="s">
        <v>#N/A N/A</v>
        <stp/>
        <stp>BDP|10656587404210513287</stp>
        <tr r="A2871" s="2"/>
      </tp>
      <tp t="s">
        <v>#N/A N/A</v>
        <stp/>
        <stp>BDP|17763996288204612575</stp>
        <tr r="H4709" s="2"/>
      </tp>
      <tp t="s">
        <v>#N/A N/A</v>
        <stp/>
        <stp>BDP|11832739145090082597</stp>
        <tr r="A3652" s="2"/>
      </tp>
      <tp t="s">
        <v>#N/A N/A</v>
        <stp/>
        <stp>BDP|13219388370904841451</stp>
        <tr r="I3544" s="2"/>
      </tp>
      <tp t="s">
        <v>#N/A N/A</v>
        <stp/>
        <stp>BDP|17070706359203832165</stp>
        <tr r="A3094" s="2"/>
      </tp>
      <tp t="s">
        <v>#N/A N/A</v>
        <stp/>
        <stp>BDP|14163066338332130295</stp>
        <tr r="F3739" s="2"/>
      </tp>
      <tp t="s">
        <v>#N/A N/A</v>
        <stp/>
        <stp>BDP|14010967073244746955</stp>
        <tr r="B3280" s="2"/>
      </tp>
      <tp t="s">
        <v>#N/A N/A</v>
        <stp/>
        <stp>BDP|12949613379843095762</stp>
        <tr r="D2894" s="2"/>
      </tp>
      <tp t="s">
        <v>#N/A N/A</v>
        <stp/>
        <stp>BDP|10210432201583320040</stp>
        <tr r="F3024" s="2"/>
      </tp>
      <tp t="s">
        <v>#N/A N/A</v>
        <stp/>
        <stp>BDP|17651642135740841580</stp>
        <tr r="I3129" s="2"/>
      </tp>
      <tp t="s">
        <v>#N/A N/A</v>
        <stp/>
        <stp>BDP|11004857994080531730</stp>
        <tr r="F4435" s="2"/>
      </tp>
      <tp t="s">
        <v>#N/A N/A</v>
        <stp/>
        <stp>BDP|18051704644624762845</stp>
        <tr r="C4881" s="2"/>
      </tp>
      <tp t="s">
        <v>#N/A N/A</v>
        <stp/>
        <stp>BDP|11384741708936921716</stp>
        <tr r="C3900" s="2"/>
      </tp>
      <tp t="s">
        <v>#N/A N/A</v>
        <stp/>
        <stp>BDP|14212773221394339206</stp>
        <tr r="G3160" s="2"/>
      </tp>
      <tp t="s">
        <v>#N/A N/A</v>
        <stp/>
        <stp>BDP|11375769007396434705</stp>
        <tr r="D4409" s="2"/>
      </tp>
      <tp t="s">
        <v>#N/A N/A</v>
        <stp/>
        <stp>BDP|18368552845396489814</stp>
        <tr r="H4162" s="2"/>
      </tp>
      <tp t="s">
        <v>#N/A N/A</v>
        <stp/>
        <stp>BDP|13097126188159861443</stp>
        <tr r="G4745" s="2"/>
      </tp>
      <tp t="s">
        <v>#N/A N/A</v>
        <stp/>
        <stp>BDP|16412527212896005324</stp>
        <tr r="C1437" s="2"/>
      </tp>
      <tp t="s">
        <v>#N/A N/A</v>
        <stp/>
        <stp>BDP|13713395486607809868</stp>
        <tr r="I2759" s="2"/>
      </tp>
      <tp t="s">
        <v>#N/A N/A</v>
        <stp/>
        <stp>BDP|12560771001893531106</stp>
        <tr r="B2279" s="2"/>
      </tp>
      <tp t="s">
        <v>#N/A N/A</v>
        <stp/>
        <stp>BDP|17208332835838388818</stp>
        <tr r="H3080" s="2"/>
      </tp>
      <tp t="s">
        <v>#N/A N/A</v>
        <stp/>
        <stp>BDP|10668854668808449194</stp>
        <tr r="G3364" s="2"/>
      </tp>
      <tp t="s">
        <v>#N/A N/A</v>
        <stp/>
        <stp>BDP|15891456502561924702</stp>
        <tr r="C3228" s="2"/>
      </tp>
      <tp t="s">
        <v>#N/A N/A</v>
        <stp/>
        <stp>BDP|11388253676265059666</stp>
        <tr r="C178" s="2"/>
      </tp>
      <tp t="s">
        <v>#N/A N/A</v>
        <stp/>
        <stp>BDP|17825745203680913709</stp>
        <tr r="D2444" s="2"/>
      </tp>
      <tp t="s">
        <v>#N/A N/A</v>
        <stp/>
        <stp>BDP|17621808800251089909</stp>
        <tr r="A1977" s="2"/>
      </tp>
      <tp t="s">
        <v>#N/A N/A</v>
        <stp/>
        <stp>BDP|10413469599872410898</stp>
        <tr r="D1304" s="2"/>
      </tp>
      <tp t="s">
        <v>#N/A N/A</v>
        <stp/>
        <stp>BDP|13270787620972450385</stp>
        <tr r="B4919" s="2"/>
      </tp>
      <tp t="s">
        <v>#N/A N/A</v>
        <stp/>
        <stp>BDP|13922716515321284396</stp>
        <tr r="G2574" s="2"/>
      </tp>
      <tp t="s">
        <v>#N/A N/A</v>
        <stp/>
        <stp>BDP|12138175976251448228</stp>
        <tr r="A631" s="2"/>
      </tp>
      <tp t="s">
        <v>#N/A N/A</v>
        <stp/>
        <stp>BDP|15373725974715147729</stp>
        <tr r="F1667" s="2"/>
      </tp>
      <tp t="s">
        <v>#N/A N/A</v>
        <stp/>
        <stp>BDP|10949679446667903273</stp>
        <tr r="A1670" s="2"/>
      </tp>
      <tp t="s">
        <v>#N/A N/A</v>
        <stp/>
        <stp>BDP|15350044609791984316</stp>
        <tr r="B3950" s="2"/>
      </tp>
      <tp t="s">
        <v>#N/A N/A</v>
        <stp/>
        <stp>BDP|12852713565754886021</stp>
        <tr r="A1871" s="2"/>
      </tp>
      <tp t="s">
        <v>#N/A N/A</v>
        <stp/>
        <stp>BDP|15627036715736234548</stp>
        <tr r="G3850" s="2"/>
      </tp>
      <tp t="s">
        <v>#N/A N/A</v>
        <stp/>
        <stp>BDP|13276425496358799177</stp>
        <tr r="I1369" s="2"/>
      </tp>
      <tp t="s">
        <v>#N/A N/A</v>
        <stp/>
        <stp>BDP|13289715584532501947</stp>
        <tr r="F2568" s="2"/>
      </tp>
      <tp t="s">
        <v>#N/A N/A</v>
        <stp/>
        <stp>BDP|12620240051830047251</stp>
        <tr r="G566" s="2"/>
      </tp>
      <tp t="s">
        <v>#N/A N/A</v>
        <stp/>
        <stp>BDP|12083900536719600660</stp>
        <tr r="H19" s="2"/>
      </tp>
      <tp t="s">
        <v>#N/A N/A</v>
        <stp/>
        <stp>BDP|12256778340640327606</stp>
        <tr r="C3212" s="2"/>
      </tp>
      <tp t="s">
        <v>#N/A N/A</v>
        <stp/>
        <stp>BDP|12612803129879964603</stp>
        <tr r="A2321" s="2"/>
      </tp>
      <tp t="s">
        <v>#N/A N/A</v>
        <stp/>
        <stp>BDP|12416373651577495401</stp>
        <tr r="D3352" s="2"/>
      </tp>
      <tp t="s">
        <v>#N/A N/A</v>
        <stp/>
        <stp>BDP|10694063856205637765</stp>
        <tr r="I3162" s="2"/>
      </tp>
      <tp t="s">
        <v>#N/A N/A</v>
        <stp/>
        <stp>BDP|13373417354335999094</stp>
        <tr r="B2732" s="2"/>
      </tp>
      <tp t="s">
        <v>#N/A N/A</v>
        <stp/>
        <stp>BDP|15682956470109735522</stp>
        <tr r="A2313" s="2"/>
      </tp>
      <tp t="s">
        <v>#N/A N/A</v>
        <stp/>
        <stp>BDP|10795576085192700843</stp>
        <tr r="G4230" s="2"/>
      </tp>
      <tp t="s">
        <v>#N/A N/A</v>
        <stp/>
        <stp>BDP|17764557525687837099</stp>
        <tr r="B4549" s="2"/>
      </tp>
      <tp t="s">
        <v>#N/A N/A</v>
        <stp/>
        <stp>BDP|11107433372623480620</stp>
        <tr r="F3764" s="2"/>
      </tp>
      <tp t="s">
        <v>#N/A N/A</v>
        <stp/>
        <stp>BDP|14202128574667329210</stp>
        <tr r="A3944" s="2"/>
      </tp>
      <tp t="s">
        <v>#N/A N/A</v>
        <stp/>
        <stp>BDP|12477729645632724426</stp>
        <tr r="D1964" s="2"/>
      </tp>
      <tp t="s">
        <v>#N/A N/A</v>
        <stp/>
        <stp>BDP|17826080226411796373</stp>
        <tr r="B557" s="2"/>
      </tp>
      <tp t="s">
        <v>#N/A N/A</v>
        <stp/>
        <stp>BDP|13325459344894662026</stp>
        <tr r="B4719" s="2"/>
      </tp>
      <tp t="s">
        <v>#N/A N/A</v>
        <stp/>
        <stp>BDP|12578752238822691387</stp>
        <tr r="F1691" s="2"/>
      </tp>
      <tp t="s">
        <v>#N/A N/A</v>
        <stp/>
        <stp>BDP|18071466584892099143</stp>
        <tr r="F2535" s="2"/>
      </tp>
      <tp t="s">
        <v>#N/A N/A</v>
        <stp/>
        <stp>BDP|12311517050142402704</stp>
        <tr r="G2875" s="2"/>
      </tp>
      <tp t="s">
        <v>#N/A N/A</v>
        <stp/>
        <stp>BDP|14757911325011413916</stp>
        <tr r="D1995" s="2"/>
      </tp>
      <tp t="s">
        <v>#N/A N/A</v>
        <stp/>
        <stp>BDP|13843022542113814365</stp>
        <tr r="F836" s="2"/>
      </tp>
      <tp t="s">
        <v>#N/A N/A</v>
        <stp/>
        <stp>BDP|10152625082099450037</stp>
        <tr r="B307" s="2"/>
      </tp>
      <tp t="s">
        <v>#N/A N/A</v>
        <stp/>
        <stp>BDP|11833628148303188752</stp>
        <tr r="A2260" s="2"/>
      </tp>
      <tp t="s">
        <v>#N/A N/A</v>
        <stp/>
        <stp>BDP|11474060081867787925</stp>
        <tr r="A4995" s="2"/>
      </tp>
      <tp t="s">
        <v>#N/A N/A</v>
        <stp/>
        <stp>BDP|10856314448564630415</stp>
        <tr r="A4874" s="2"/>
      </tp>
      <tp t="s">
        <v>#N/A N/A</v>
        <stp/>
        <stp>BDP|14827754829721179734</stp>
        <tr r="A2948" s="2"/>
      </tp>
      <tp t="s">
        <v>#N/A N/A</v>
        <stp/>
        <stp>BDP|13269600131195441411</stp>
        <tr r="C2493" s="2"/>
      </tp>
      <tp t="s">
        <v>#N/A N/A</v>
        <stp/>
        <stp>BDP|11411842336765517857</stp>
        <tr r="C4103" s="2"/>
      </tp>
      <tp t="s">
        <v>#N/A N/A</v>
        <stp/>
        <stp>BDP|10046633576667777144</stp>
        <tr r="C1769" s="2"/>
      </tp>
      <tp t="s">
        <v>#N/A N/A</v>
        <stp/>
        <stp>BDP|12555055824390616740</stp>
        <tr r="C2396" s="2"/>
      </tp>
      <tp t="s">
        <v>#N/A N/A</v>
        <stp/>
        <stp>BDP|13953041971925281684</stp>
        <tr r="I1313" s="2"/>
      </tp>
      <tp t="s">
        <v>#N/A N/A</v>
        <stp/>
        <stp>BDP|17890523140557973659</stp>
        <tr r="G1891" s="2"/>
      </tp>
      <tp t="s">
        <v>#N/A N/A</v>
        <stp/>
        <stp>BDP|16001011467351620661</stp>
        <tr r="H3510" s="2"/>
      </tp>
      <tp t="s">
        <v>#N/A N/A</v>
        <stp/>
        <stp>BDP|16498328785409063353</stp>
        <tr r="I3930" s="2"/>
      </tp>
      <tp t="s">
        <v>#N/A N/A</v>
        <stp/>
        <stp>BDP|10187200316957339322</stp>
        <tr r="D1434" s="2"/>
      </tp>
      <tp t="s">
        <v>#N/A N/A</v>
        <stp/>
        <stp>BDP|16169334224569637964</stp>
        <tr r="H4882" s="2"/>
      </tp>
      <tp t="s">
        <v>#N/A N/A</v>
        <stp/>
        <stp>BDP|13748977282361709430</stp>
        <tr r="B4601" s="2"/>
      </tp>
      <tp t="s">
        <v>#N/A N/A</v>
        <stp/>
        <stp>BDP|15274196958736718027</stp>
        <tr r="B864" s="2"/>
      </tp>
      <tp t="s">
        <v>#N/A N/A</v>
        <stp/>
        <stp>BDP|16097736927674319018</stp>
        <tr r="H1441" s="2"/>
      </tp>
      <tp t="s">
        <v>#N/A N/A</v>
        <stp/>
        <stp>BDP|16262886462987694887</stp>
        <tr r="G3230" s="2"/>
      </tp>
      <tp t="s">
        <v>#N/A N/A</v>
        <stp/>
        <stp>BDP|13811348875789604999</stp>
        <tr r="A4758" s="2"/>
      </tp>
      <tp t="s">
        <v>#N/A N/A</v>
        <stp/>
        <stp>BDP|13505802637407337872</stp>
        <tr r="G40" s="2"/>
      </tp>
      <tp t="s">
        <v>#N/A N/A</v>
        <stp/>
        <stp>BDP|11437277165623473142</stp>
        <tr r="A959" s="2"/>
      </tp>
      <tp t="s">
        <v>#N/A N/A</v>
        <stp/>
        <stp>BDP|14569777895104341923</stp>
        <tr r="B831" s="2"/>
      </tp>
      <tp t="s">
        <v>#N/A N/A</v>
        <stp/>
        <stp>BDP|17715676417030520742</stp>
        <tr r="I3372" s="2"/>
      </tp>
      <tp t="s">
        <v>#N/A N/A</v>
        <stp/>
        <stp>BDP|15479865470304370970</stp>
        <tr r="I4894" s="2"/>
      </tp>
      <tp t="s">
        <v>#N/A N/A</v>
        <stp/>
        <stp>BDP|12817657547724509397</stp>
        <tr r="H4478" s="2"/>
      </tp>
      <tp t="s">
        <v>#N/A N/A</v>
        <stp/>
        <stp>BDP|13228133246131770061</stp>
        <tr r="C2237" s="2"/>
      </tp>
      <tp t="s">
        <v>#N/A N/A</v>
        <stp/>
        <stp>BDP|18411231586463349646</stp>
        <tr r="A1004" s="2"/>
      </tp>
      <tp t="s">
        <v>#N/A N/A</v>
        <stp/>
        <stp>BDP|10930166565927892743</stp>
        <tr r="G3895" s="2"/>
      </tp>
      <tp t="s">
        <v>#N/A N/A</v>
        <stp/>
        <stp>BDP|11646850645842283822</stp>
        <tr r="F4604" s="2"/>
      </tp>
      <tp t="s">
        <v>#N/A N/A</v>
        <stp/>
        <stp>BDP|13202585776573861520</stp>
        <tr r="H2472" s="2"/>
      </tp>
      <tp t="s">
        <v>#N/A N/A</v>
        <stp/>
        <stp>BDP|15730267770935418239</stp>
        <tr r="F3427" s="2"/>
      </tp>
      <tp t="s">
        <v>#N/A N/A</v>
        <stp/>
        <stp>BDP|11029328206832130734</stp>
        <tr r="G2161" s="2"/>
      </tp>
      <tp t="s">
        <v>#N/A N/A</v>
        <stp/>
        <stp>BDP|14465247077352245433</stp>
        <tr r="I4327" s="2"/>
      </tp>
      <tp t="s">
        <v>#N/A N/A</v>
        <stp/>
        <stp>BDP|15550426640435620770</stp>
        <tr r="F2411" s="2"/>
      </tp>
      <tp t="s">
        <v>#N/A N/A</v>
        <stp/>
        <stp>BDP|16661549637546586167</stp>
        <tr r="C1747" s="2"/>
      </tp>
      <tp t="s">
        <v>#N/A N/A</v>
        <stp/>
        <stp>BDP|17367274536539267864</stp>
        <tr r="I1789" s="2"/>
      </tp>
      <tp t="s">
        <v>#N/A N/A</v>
        <stp/>
        <stp>BDP|10413390227436923052</stp>
        <tr r="C1065" s="2"/>
      </tp>
      <tp t="s">
        <v>#N/A N/A</v>
        <stp/>
        <stp>BDP|13397214545836171407</stp>
        <tr r="G2634" s="2"/>
      </tp>
      <tp t="s">
        <v>#N/A N/A</v>
        <stp/>
        <stp>BDP|17758556504350218524</stp>
        <tr r="A4039" s="2"/>
      </tp>
      <tp t="s">
        <v>#N/A N/A</v>
        <stp/>
        <stp>BDP|13342217226724601041</stp>
        <tr r="A3977" s="2"/>
      </tp>
      <tp t="s">
        <v>#N/A N/A</v>
        <stp/>
        <stp>BDP|12693851299776994253</stp>
        <tr r="I4992" s="2"/>
      </tp>
      <tp t="s">
        <v>#N/A N/A</v>
        <stp/>
        <stp>BDP|17740461462036045454</stp>
        <tr r="C4671" s="2"/>
      </tp>
      <tp t="s">
        <v>#N/A N/A</v>
        <stp/>
        <stp>BDP|16218549931180654778</stp>
        <tr r="A4778" s="2"/>
      </tp>
      <tp t="s">
        <v>#N/A N/A</v>
        <stp/>
        <stp>BDP|11761516245652208572</stp>
        <tr r="I2676" s="2"/>
      </tp>
      <tp t="s">
        <v>#N/A N/A</v>
        <stp/>
        <stp>BDP|11344712872094302252</stp>
        <tr r="I2230" s="2"/>
      </tp>
      <tp t="s">
        <v>#N/A N/A</v>
        <stp/>
        <stp>BDP|15145036531162537304</stp>
        <tr r="B1776" s="2"/>
      </tp>
      <tp t="s">
        <v>#N/A N/A</v>
        <stp/>
        <stp>BDP|10967275065922268207</stp>
        <tr r="I3266" s="2"/>
      </tp>
      <tp t="s">
        <v>#N/A N/A</v>
        <stp/>
        <stp>BDP|15870921479969940630</stp>
        <tr r="F1949" s="2"/>
      </tp>
      <tp t="s">
        <v>#N/A N/A</v>
        <stp/>
        <stp>BDP|13714721321890851257</stp>
        <tr r="I3360" s="2"/>
      </tp>
      <tp t="s">
        <v>#N/A N/A</v>
        <stp/>
        <stp>BDP|14787696662088417815</stp>
        <tr r="B1464" s="2"/>
      </tp>
      <tp t="s">
        <v>#N/A N/A</v>
        <stp/>
        <stp>BDP|17675276119451878198</stp>
        <tr r="F2168" s="2"/>
      </tp>
      <tp t="s">
        <v>#N/A N/A</v>
        <stp/>
        <stp>BDP|14655747969423171238</stp>
        <tr r="I592" s="2"/>
      </tp>
      <tp t="s">
        <v>#N/A N/A</v>
        <stp/>
        <stp>BDP|11027588220536013416</stp>
        <tr r="H1475" s="2"/>
      </tp>
      <tp t="s">
        <v>#N/A N/A</v>
        <stp/>
        <stp>BDP|13343107247900514283</stp>
        <tr r="D4671" s="2"/>
      </tp>
      <tp t="s">
        <v>#N/A N/A</v>
        <stp/>
        <stp>BDP|16124324078090191630</stp>
        <tr r="D1676" s="2"/>
      </tp>
      <tp t="s">
        <v>#N/A N/A</v>
        <stp/>
        <stp>BDP|15451711414452189597</stp>
        <tr r="I3409" s="2"/>
      </tp>
      <tp t="s">
        <v>#N/A N/A</v>
        <stp/>
        <stp>BDP|14505879389014522474</stp>
        <tr r="C2897" s="2"/>
      </tp>
      <tp t="s">
        <v>#N/A N/A</v>
        <stp/>
        <stp>BDP|10063786819894946613</stp>
        <tr r="C765" s="2"/>
      </tp>
      <tp t="s">
        <v>#N/A N/A</v>
        <stp/>
        <stp>BDP|10455190558797594795</stp>
        <tr r="A2493" s="2"/>
      </tp>
      <tp t="s">
        <v>#N/A N/A</v>
        <stp/>
        <stp>BDP|15548740150031828208</stp>
        <tr r="I4975" s="2"/>
      </tp>
      <tp t="s">
        <v>#N/A N/A</v>
        <stp/>
        <stp>BDP|13886398039486916188</stp>
        <tr r="I2580" s="2"/>
      </tp>
      <tp t="s">
        <v>#N/A N/A</v>
        <stp/>
        <stp>BDP|17491101839878694925</stp>
        <tr r="G3401" s="2"/>
      </tp>
      <tp t="s">
        <v>#N/A N/A</v>
        <stp/>
        <stp>BDP|10785131758140057051</stp>
        <tr r="F492" s="2"/>
      </tp>
      <tp t="s">
        <v>#N/A N/A</v>
        <stp/>
        <stp>BDP|13400285333552256449</stp>
        <tr r="G3943" s="2"/>
      </tp>
      <tp t="s">
        <v>#N/A N/A</v>
        <stp/>
        <stp>BDP|13764584425705747542</stp>
        <tr r="F380" s="2"/>
      </tp>
      <tp t="s">
        <v>#N/A N/A</v>
        <stp/>
        <stp>BDP|17434383264102730461</stp>
        <tr r="A2728" s="2"/>
      </tp>
      <tp t="s">
        <v>#N/A N/A</v>
        <stp/>
        <stp>BDP|10245403044271721584</stp>
        <tr r="D1204" s="2"/>
      </tp>
      <tp t="s">
        <v>#N/A N/A</v>
        <stp/>
        <stp>BDP|15308114411258267982</stp>
        <tr r="F2665" s="2"/>
      </tp>
      <tp t="s">
        <v>#N/A N/A</v>
        <stp/>
        <stp>BDP|11265208961705987433</stp>
        <tr r="A4517" s="2"/>
      </tp>
      <tp t="s">
        <v>#N/A N/A</v>
        <stp/>
        <stp>BDP|15946179055064684147</stp>
        <tr r="F3780" s="2"/>
      </tp>
      <tp t="s">
        <v>#N/A N/A</v>
        <stp/>
        <stp>BDP|13866000704715721221</stp>
        <tr r="D2801" s="2"/>
      </tp>
      <tp t="s">
        <v>#N/A N/A</v>
        <stp/>
        <stp>BDP|11471074728331626640</stp>
        <tr r="C1217" s="2"/>
      </tp>
      <tp t="s">
        <v>#N/A N/A</v>
        <stp/>
        <stp>BDP|17265488032815227136</stp>
        <tr r="F2618" s="2"/>
      </tp>
      <tp t="s">
        <v>#N/A N/A</v>
        <stp/>
        <stp>BDP|12435000353413915074</stp>
        <tr r="F4446" s="2"/>
      </tp>
      <tp t="s">
        <v>#N/A N/A</v>
        <stp/>
        <stp>BDP|13148797491158805183</stp>
        <tr r="A534" s="2"/>
      </tp>
      <tp t="s">
        <v>#N/A N/A</v>
        <stp/>
        <stp>BDP|17358334415768962951</stp>
        <tr r="F870" s="2"/>
      </tp>
      <tp t="s">
        <v>#N/A N/A</v>
        <stp/>
        <stp>BDP|11241041719777144377</stp>
        <tr r="B647" s="2"/>
      </tp>
      <tp t="s">
        <v>#N/A N/A</v>
        <stp/>
        <stp>BDP|15555432054328862833</stp>
        <tr r="C3227" s="2"/>
      </tp>
      <tp t="s">
        <v>#N/A N/A</v>
        <stp/>
        <stp>BDP|11136147031561597689</stp>
        <tr r="C3704" s="2"/>
      </tp>
      <tp t="s">
        <v>#N/A N/A</v>
        <stp/>
        <stp>BDP|17304790266005047755</stp>
        <tr r="H741" s="2"/>
      </tp>
      <tp t="s">
        <v>#N/A N/A</v>
        <stp/>
        <stp>BDP|12211529660053890610</stp>
        <tr r="D2202" s="2"/>
      </tp>
      <tp t="s">
        <v>#N/A N/A</v>
        <stp/>
        <stp>BDP|12801149641275399672</stp>
        <tr r="C4688" s="2"/>
      </tp>
      <tp t="s">
        <v>#N/A N/A</v>
        <stp/>
        <stp>BDP|18412214149438128243</stp>
        <tr r="C2808" s="2"/>
      </tp>
      <tp t="s">
        <v>#N/A N/A</v>
        <stp/>
        <stp>BDP|17902038390379325309</stp>
        <tr r="B2208" s="2"/>
      </tp>
      <tp t="s">
        <v>#N/A N/A</v>
        <stp/>
        <stp>BDP|12322143175152264296</stp>
        <tr r="G812" s="2"/>
      </tp>
      <tp t="s">
        <v>#N/A N/A</v>
        <stp/>
        <stp>BDP|17770032100284584788</stp>
        <tr r="D623" s="2"/>
      </tp>
      <tp t="s">
        <v>#N/A N/A</v>
        <stp/>
        <stp>BDP|15733558288888366402</stp>
        <tr r="B3269" s="2"/>
      </tp>
      <tp t="s">
        <v>#N/A N/A</v>
        <stp/>
        <stp>BDP|13863156856753087028</stp>
        <tr r="A1094" s="2"/>
      </tp>
      <tp t="s">
        <v>#N/A N/A</v>
        <stp/>
        <stp>BDP|10288518739607174526</stp>
        <tr r="D2486" s="2"/>
      </tp>
      <tp t="s">
        <v>#N/A N/A</v>
        <stp/>
        <stp>BDP|11367924799010015514</stp>
        <tr r="C2197" s="2"/>
      </tp>
      <tp t="s">
        <v>#N/A N/A</v>
        <stp/>
        <stp>BDP|16833887124229504181</stp>
        <tr r="C3173" s="2"/>
      </tp>
      <tp t="s">
        <v>#N/A N/A</v>
        <stp/>
        <stp>BDP|16063653213584628195</stp>
        <tr r="F1514" s="2"/>
      </tp>
      <tp t="s">
        <v>#N/A N/A</v>
        <stp/>
        <stp>BDP|11314550675107952032</stp>
        <tr r="D3292" s="2"/>
      </tp>
      <tp t="s">
        <v>#N/A N/A</v>
        <stp/>
        <stp>BDP|12295115401915960224</stp>
        <tr r="H822" s="2"/>
      </tp>
      <tp t="s">
        <v>#N/A N/A</v>
        <stp/>
        <stp>BDP|16797893653468017748</stp>
        <tr r="C4533" s="2"/>
      </tp>
      <tp t="s">
        <v>#N/A N/A</v>
        <stp/>
        <stp>BDP|12835346063386450525</stp>
        <tr r="B1177" s="2"/>
      </tp>
      <tp t="s">
        <v>#N/A N/A</v>
        <stp/>
        <stp>BDP|13806745112932539329</stp>
        <tr r="H4099" s="2"/>
      </tp>
      <tp t="s">
        <v>#N/A N/A</v>
        <stp/>
        <stp>BDP|12359086401041301705</stp>
        <tr r="F2860" s="2"/>
      </tp>
      <tp t="s">
        <v>#N/A N/A</v>
        <stp/>
        <stp>BDP|16201169465390159599</stp>
        <tr r="F1025" s="2"/>
      </tp>
      <tp t="s">
        <v>#N/A N/A</v>
        <stp/>
        <stp>BDP|15600305784453844933</stp>
        <tr r="I1912" s="2"/>
      </tp>
      <tp t="s">
        <v>#N/A N/A</v>
        <stp/>
        <stp>BDP|11330666661672962743</stp>
        <tr r="B2276" s="2"/>
      </tp>
      <tp t="s">
        <v>#N/A N/A</v>
        <stp/>
        <stp>BDP|14306430455486986759</stp>
        <tr r="I1699" s="2"/>
      </tp>
      <tp t="s">
        <v>#N/A N/A</v>
        <stp/>
        <stp>BDP|18147703078268104410</stp>
        <tr r="B3737" s="2"/>
      </tp>
      <tp t="s">
        <v>#N/A N/A</v>
        <stp/>
        <stp>BDP|12969066386279929795</stp>
        <tr r="F2787" s="2"/>
      </tp>
      <tp t="s">
        <v>#N/A N/A</v>
        <stp/>
        <stp>BDP|17435087314612173000</stp>
        <tr r="F3214" s="2"/>
      </tp>
      <tp t="s">
        <v>#N/A N/A</v>
        <stp/>
        <stp>BDP|11090891554829460103</stp>
        <tr r="B1566" s="2"/>
      </tp>
      <tp t="s">
        <v>#N/A N/A</v>
        <stp/>
        <stp>BDP|13716214952180940045</stp>
        <tr r="G1973" s="2"/>
      </tp>
      <tp t="s">
        <v>#N/A N/A</v>
        <stp/>
        <stp>BDP|13554603646021376494</stp>
        <tr r="I4311" s="2"/>
      </tp>
      <tp t="s">
        <v>#N/A N/A</v>
        <stp/>
        <stp>BDP|11113223318291769753</stp>
        <tr r="D2353" s="2"/>
      </tp>
      <tp t="s">
        <v>#N/A N/A</v>
        <stp/>
        <stp>BDP|14743380500062045164</stp>
        <tr r="G3725" s="2"/>
      </tp>
      <tp t="s">
        <v>#N/A N/A</v>
        <stp/>
        <stp>BDP|13167051268779436817</stp>
        <tr r="D2832" s="2"/>
      </tp>
      <tp t="s">
        <v>#N/A N/A</v>
        <stp/>
        <stp>BDP|15866715405071131744</stp>
        <tr r="H3344" s="2"/>
      </tp>
      <tp t="s">
        <v>#N/A N/A</v>
        <stp/>
        <stp>BDP|16410043238960260139</stp>
        <tr r="C2828" s="2"/>
      </tp>
      <tp t="s">
        <v>#N/A N/A</v>
        <stp/>
        <stp>BDP|11463415313502977265</stp>
        <tr r="D2968" s="2"/>
      </tp>
      <tp t="s">
        <v>#N/A N/A</v>
        <stp/>
        <stp>BDP|11851915483446370207</stp>
        <tr r="G638" s="2"/>
      </tp>
      <tp t="s">
        <v>#N/A N/A</v>
        <stp/>
        <stp>BDP|14777867805188434096</stp>
        <tr r="I2385" s="2"/>
      </tp>
      <tp t="s">
        <v>#N/A N/A</v>
        <stp/>
        <stp>BDP|14728317532460569083</stp>
        <tr r="F1460" s="2"/>
      </tp>
      <tp t="s">
        <v>#N/A N/A</v>
        <stp/>
        <stp>BDP|14775595546946696776</stp>
        <tr r="F4376" s="2"/>
      </tp>
      <tp t="s">
        <v>#N/A N/A</v>
        <stp/>
        <stp>BDP|14349499536670304770</stp>
        <tr r="C1788" s="2"/>
      </tp>
      <tp t="s">
        <v>#N/A N/A</v>
        <stp/>
        <stp>BDP|11496311261352886248</stp>
        <tr r="D3435" s="2"/>
      </tp>
      <tp t="s">
        <v>#N/A N/A</v>
        <stp/>
        <stp>BDP|15502829458445551923</stp>
        <tr r="H576" s="2"/>
      </tp>
      <tp t="s">
        <v>#N/A N/A</v>
        <stp/>
        <stp>BDP|13474741944966962253</stp>
        <tr r="D2570" s="2"/>
      </tp>
      <tp t="s">
        <v>#N/A N/A</v>
        <stp/>
        <stp>BDP|12999057971526454714</stp>
        <tr r="B1463" s="2"/>
      </tp>
      <tp t="s">
        <v>#N/A N/A</v>
        <stp/>
        <stp>BDP|17056530173169997817</stp>
        <tr r="F2462" s="2"/>
      </tp>
      <tp t="s">
        <v>#N/A N/A</v>
        <stp/>
        <stp>BDP|14585051010329037883</stp>
        <tr r="A2606" s="2"/>
      </tp>
      <tp t="s">
        <v>#N/A N/A</v>
        <stp/>
        <stp>BDP|11500689641204755334</stp>
        <tr r="C3931" s="2"/>
      </tp>
      <tp t="s">
        <v>#N/A N/A</v>
        <stp/>
        <stp>BDP|12156927945398891361</stp>
        <tr r="I2609" s="2"/>
      </tp>
      <tp t="s">
        <v>#N/A N/A</v>
        <stp/>
        <stp>BDP|16266152775334391097</stp>
        <tr r="G3315" s="2"/>
      </tp>
      <tp t="s">
        <v>#N/A N/A</v>
        <stp/>
        <stp>BDP|14335957507171188885</stp>
        <tr r="B2971" s="2"/>
      </tp>
      <tp t="s">
        <v>#N/A N/A</v>
        <stp/>
        <stp>BDP|10069209877474748587</stp>
        <tr r="A1935" s="2"/>
      </tp>
      <tp t="s">
        <v>#N/A N/A</v>
        <stp/>
        <stp>BDP|13762194403857106142</stp>
        <tr r="F486" s="2"/>
      </tp>
      <tp t="s">
        <v>#N/A N/A</v>
        <stp/>
        <stp>BDP|15953201514345666739</stp>
        <tr r="F122" s="2"/>
      </tp>
      <tp t="s">
        <v>#N/A N/A</v>
        <stp/>
        <stp>BDP|15194093467043343446</stp>
        <tr r="I4284" s="2"/>
      </tp>
      <tp t="s">
        <v>#N/A N/A</v>
        <stp/>
        <stp>BDP|15552763082927946903</stp>
        <tr r="F1364" s="2"/>
      </tp>
      <tp t="s">
        <v>#N/A N/A</v>
        <stp/>
        <stp>BDP|10376152337705924308</stp>
        <tr r="G4766" s="2"/>
      </tp>
      <tp t="s">
        <v>#N/A N/A</v>
        <stp/>
        <stp>BDP|14313707102525893215</stp>
        <tr r="H1491" s="2"/>
      </tp>
      <tp t="s">
        <v>#N/A N/A</v>
        <stp/>
        <stp>BDP|14793113856786130291</stp>
        <tr r="B2537" s="2"/>
      </tp>
      <tp t="s">
        <v>#N/A N/A</v>
        <stp/>
        <stp>BDP|10418452028420103209</stp>
        <tr r="I4047" s="2"/>
      </tp>
      <tp t="s">
        <v>#N/A N/A</v>
        <stp/>
        <stp>BDP|15623626978575094546</stp>
        <tr r="D1691" s="2"/>
      </tp>
      <tp t="s">
        <v>#N/A N/A</v>
        <stp/>
        <stp>BDP|16504233693410890950</stp>
        <tr r="B1178" s="2"/>
      </tp>
      <tp t="s">
        <v>#N/A N/A</v>
        <stp/>
        <stp>BDP|14354573278620166258</stp>
        <tr r="A517" s="2"/>
      </tp>
      <tp t="s">
        <v>#N/A N/A</v>
        <stp/>
        <stp>BDP|13271288021044509362</stp>
        <tr r="C2337" s="2"/>
      </tp>
      <tp t="s">
        <v>#N/A N/A</v>
        <stp/>
        <stp>BDP|18126894447384191461</stp>
        <tr r="B519" s="2"/>
      </tp>
      <tp t="s">
        <v>#N/A N/A</v>
        <stp/>
        <stp>BDP|17444996585873252122</stp>
        <tr r="G3164" s="2"/>
      </tp>
      <tp t="s">
        <v>#N/A N/A</v>
        <stp/>
        <stp>BDP|14889438925354279248</stp>
        <tr r="A3394" s="2"/>
      </tp>
      <tp t="s">
        <v>#N/A N/A</v>
        <stp/>
        <stp>BDP|16841238078484860332</stp>
        <tr r="C4735" s="2"/>
      </tp>
      <tp t="s">
        <v>#N/A N/A</v>
        <stp/>
        <stp>BDP|10945675879570800578</stp>
        <tr r="C3977" s="2"/>
      </tp>
      <tp t="s">
        <v>#N/A N/A</v>
        <stp/>
        <stp>BDP|12683721586128841120</stp>
        <tr r="C2113" s="2"/>
      </tp>
      <tp t="s">
        <v>#N/A N/A</v>
        <stp/>
        <stp>BDP|17499792680329338567</stp>
        <tr r="D1956" s="2"/>
      </tp>
      <tp t="s">
        <v>#N/A N/A</v>
        <stp/>
        <stp>BDP|13457809215126841815</stp>
        <tr r="C1197" s="2"/>
      </tp>
      <tp t="s">
        <v>#N/A N/A</v>
        <stp/>
        <stp>BDP|16971323924044057772</stp>
        <tr r="A2926" s="2"/>
      </tp>
      <tp t="s">
        <v>#N/A N/A</v>
        <stp/>
        <stp>BDP|15824916184474537400</stp>
        <tr r="I2107" s="2"/>
      </tp>
      <tp t="s">
        <v>#N/A N/A</v>
        <stp/>
        <stp>BDP|18241498849964310896</stp>
        <tr r="D990" s="2"/>
      </tp>
      <tp t="s">
        <v>#N/A N/A</v>
        <stp/>
        <stp>BDP|16892357992038440038</stp>
        <tr r="H618" s="2"/>
      </tp>
      <tp t="s">
        <v>#N/A N/A</v>
        <stp/>
        <stp>BDP|16585341412839909923</stp>
        <tr r="C2998" s="2"/>
      </tp>
      <tp t="s">
        <v>#N/A N/A</v>
        <stp/>
        <stp>BDP|17625282763657540000</stp>
        <tr r="B4778" s="2"/>
      </tp>
      <tp t="s">
        <v>#N/A N/A</v>
        <stp/>
        <stp>BDP|10742223233957845268</stp>
        <tr r="B2911" s="2"/>
      </tp>
      <tp t="s">
        <v>#N/A N/A</v>
        <stp/>
        <stp>BDP|16432717292064625894</stp>
        <tr r="H332" s="2"/>
      </tp>
      <tp t="s">
        <v>#N/A N/A</v>
        <stp/>
        <stp>BDP|17841150831366177751</stp>
        <tr r="D3436" s="2"/>
      </tp>
      <tp t="s">
        <v>#N/A N/A</v>
        <stp/>
        <stp>BDP|12076012473416855725</stp>
        <tr r="C1692" s="2"/>
      </tp>
      <tp t="s">
        <v>#N/A N/A</v>
        <stp/>
        <stp>BDP|12359422628277710764</stp>
        <tr r="H3524" s="2"/>
      </tp>
      <tp t="s">
        <v>#N/A N/A</v>
        <stp/>
        <stp>BDP|11110311809975394320</stp>
        <tr r="C3008" s="2"/>
      </tp>
      <tp t="s">
        <v>#N/A N/A</v>
        <stp/>
        <stp>BDP|12963608019851053083</stp>
        <tr r="D2465" s="2"/>
      </tp>
      <tp t="s">
        <v>#N/A N/A</v>
        <stp/>
        <stp>BDP|11527086312712631610</stp>
        <tr r="A2231" s="2"/>
      </tp>
      <tp t="s">
        <v>#N/A N/A</v>
        <stp/>
        <stp>BDP|16846752133455201342</stp>
        <tr r="I679" s="2"/>
      </tp>
      <tp t="s">
        <v>#N/A N/A</v>
        <stp/>
        <stp>BDP|12772490671426054376</stp>
        <tr r="F2542" s="2"/>
      </tp>
      <tp t="s">
        <v>#N/A N/A</v>
        <stp/>
        <stp>BDP|13548609447884318193</stp>
        <tr r="H4786" s="2"/>
      </tp>
      <tp t="s">
        <v>#N/A N/A</v>
        <stp/>
        <stp>BDP|13249552982302548886</stp>
        <tr r="I3484" s="2"/>
      </tp>
      <tp t="s">
        <v>#N/A N/A</v>
        <stp/>
        <stp>BDP|13284713158221292417</stp>
        <tr r="A2773" s="2"/>
      </tp>
      <tp t="s">
        <v>#N/A N/A</v>
        <stp/>
        <stp>BDP|13843872576170471857</stp>
        <tr r="I222" s="2"/>
      </tp>
      <tp t="s">
        <v>#N/A N/A</v>
        <stp/>
        <stp>BDP|10143556805851941008</stp>
        <tr r="F2798" s="2"/>
      </tp>
      <tp t="s">
        <v>#N/A N/A</v>
        <stp/>
        <stp>BDP|12562214943341930164</stp>
        <tr r="B3001" s="2"/>
      </tp>
      <tp t="s">
        <v>#N/A N/A</v>
        <stp/>
        <stp>BDP|13917143642614749606</stp>
        <tr r="D2423" s="2"/>
      </tp>
      <tp t="s">
        <v>#N/A N/A</v>
        <stp/>
        <stp>BDP|14428769933735828118</stp>
        <tr r="D2198" s="2"/>
      </tp>
      <tp t="s">
        <v>#N/A N/A</v>
        <stp/>
        <stp>BDP|13953588869964618063</stp>
        <tr r="C4481" s="2"/>
      </tp>
      <tp t="s">
        <v>#N/A N/A</v>
        <stp/>
        <stp>BDP|17878077404011749242</stp>
        <tr r="F1417" s="2"/>
      </tp>
      <tp t="s">
        <v>#N/A N/A</v>
        <stp/>
        <stp>BDP|11820334213164605361</stp>
        <tr r="G2803" s="2"/>
      </tp>
      <tp t="s">
        <v>#N/A N/A</v>
        <stp/>
        <stp>BDP|16761432828526175253</stp>
        <tr r="C4480" s="2"/>
      </tp>
      <tp t="s">
        <v>#N/A N/A</v>
        <stp/>
        <stp>BDP|16614617849202494228</stp>
        <tr r="I4323" s="2"/>
      </tp>
      <tp t="s">
        <v>#N/A N/A</v>
        <stp/>
        <stp>BDP|15586289042616750107</stp>
        <tr r="B2019" s="2"/>
      </tp>
      <tp t="s">
        <v>#N/A N/A</v>
        <stp/>
        <stp>BDP|10707082906130160401</stp>
        <tr r="A759" s="2"/>
      </tp>
      <tp t="s">
        <v>#N/A N/A</v>
        <stp/>
        <stp>BDP|15117079883141981845</stp>
        <tr r="B2382" s="2"/>
      </tp>
      <tp t="s">
        <v>#N/A N/A</v>
        <stp/>
        <stp>BDP|11571682546555504264</stp>
        <tr r="D242" s="2"/>
      </tp>
      <tp t="s">
        <v>#N/A N/A</v>
        <stp/>
        <stp>BDP|11930514451734813195</stp>
        <tr r="B3994" s="2"/>
      </tp>
      <tp t="s">
        <v>#N/A N/A</v>
        <stp/>
        <stp>BDP|11123368856226989504</stp>
        <tr r="G1953" s="2"/>
      </tp>
      <tp t="s">
        <v>#N/A N/A</v>
        <stp/>
        <stp>BDP|13123994659262933903</stp>
        <tr r="A1198" s="2"/>
      </tp>
      <tp t="s">
        <v>#N/A N/A</v>
        <stp/>
        <stp>BDP|14244071078606601108</stp>
        <tr r="G2988" s="2"/>
      </tp>
      <tp t="s">
        <v>#N/A N/A</v>
        <stp/>
        <stp>BDP|13232298263041706240</stp>
        <tr r="F154" s="2"/>
      </tp>
      <tp t="s">
        <v>#N/A N/A</v>
        <stp/>
        <stp>BDP|13301721909644654458</stp>
        <tr r="I2103" s="2"/>
      </tp>
      <tp t="s">
        <v>#N/A N/A</v>
        <stp/>
        <stp>BDP|11362518249820297425</stp>
        <tr r="D2718" s="2"/>
      </tp>
      <tp t="s">
        <v>#N/A N/A</v>
        <stp/>
        <stp>BDP|12746604161274504288</stp>
        <tr r="A2542" s="2"/>
      </tp>
      <tp t="s">
        <v>#N/A N/A</v>
        <stp/>
        <stp>BDP|15368657826017826239</stp>
        <tr r="H1291" s="2"/>
      </tp>
      <tp t="s">
        <v>#N/A N/A</v>
        <stp/>
        <stp>BDP|17898632461795243632</stp>
        <tr r="F3484" s="2"/>
      </tp>
      <tp t="s">
        <v>#N/A N/A</v>
        <stp/>
        <stp>BDP|14543200958784403329</stp>
        <tr r="B3127" s="2"/>
      </tp>
      <tp t="s">
        <v>#N/A N/A</v>
        <stp/>
        <stp>BDP|16803207953934961191</stp>
        <tr r="I3562" s="2"/>
      </tp>
      <tp t="s">
        <v>#N/A N/A</v>
        <stp/>
        <stp>BDP|17409939719043612831</stp>
        <tr r="C1015" s="2"/>
      </tp>
      <tp t="s">
        <v>#N/A N/A</v>
        <stp/>
        <stp>BDP|16381447046625824722</stp>
        <tr r="F2050" s="2"/>
      </tp>
      <tp t="s">
        <v>#N/A N/A</v>
        <stp/>
        <stp>BDP|17564280404272594374</stp>
        <tr r="H3440" s="2"/>
      </tp>
      <tp t="s">
        <v>#N/A N/A</v>
        <stp/>
        <stp>BDP|17778407048882522113</stp>
        <tr r="D4105" s="2"/>
      </tp>
      <tp t="s">
        <v>#N/A N/A</v>
        <stp/>
        <stp>BDP|10951931544470117949</stp>
        <tr r="A4033" s="2"/>
      </tp>
      <tp t="s">
        <v>#N/A N/A</v>
        <stp/>
        <stp>BDP|13717784007354571469</stp>
        <tr r="G916" s="2"/>
      </tp>
      <tp t="s">
        <v>#N/A N/A</v>
        <stp/>
        <stp>BDP|17033228127584794798</stp>
        <tr r="C415" s="2"/>
      </tp>
      <tp t="s">
        <v>#N/A N/A</v>
        <stp/>
        <stp>BDP|14497276081059909300</stp>
        <tr r="D4497" s="2"/>
      </tp>
      <tp t="s">
        <v>#N/A N/A</v>
        <stp/>
        <stp>BDP|10058629723222277286</stp>
        <tr r="G1679" s="2"/>
      </tp>
      <tp t="s">
        <v>#N/A N/A</v>
        <stp/>
        <stp>BDP|18215206049933201921</stp>
        <tr r="F378" s="2"/>
      </tp>
      <tp t="s">
        <v>#N/A N/A</v>
        <stp/>
        <stp>BDP|15367451759420442008</stp>
        <tr r="G755" s="2"/>
      </tp>
      <tp t="s">
        <v>#N/A N/A</v>
        <stp/>
        <stp>BDP|11929722034447222668</stp>
        <tr r="B3980" s="2"/>
      </tp>
      <tp t="s">
        <v>#N/A N/A</v>
        <stp/>
        <stp>BDP|15673584065521118319</stp>
        <tr r="C3657" s="2"/>
      </tp>
      <tp t="s">
        <v>#N/A N/A</v>
        <stp/>
        <stp>BDP|10122122201635106088</stp>
        <tr r="H2090" s="2"/>
      </tp>
      <tp t="s">
        <v>#N/A N/A</v>
        <stp/>
        <stp>BDP|14262811081960927002</stp>
        <tr r="H3158" s="2"/>
      </tp>
      <tp t="s">
        <v>#N/A N/A</v>
        <stp/>
        <stp>BDP|17623289319057839745</stp>
        <tr r="G2552" s="2"/>
      </tp>
      <tp t="s">
        <v>#N/A N/A</v>
        <stp/>
        <stp>BDP|13207021858461491371</stp>
        <tr r="F3060" s="2"/>
      </tp>
      <tp t="s">
        <v>#N/A N/A</v>
        <stp/>
        <stp>BDP|17459728550507848651</stp>
        <tr r="D1022" s="2"/>
      </tp>
      <tp t="s">
        <v>#N/A N/A</v>
        <stp/>
        <stp>BDP|15627758328746923292</stp>
        <tr r="F4533" s="2"/>
      </tp>
      <tp t="s">
        <v>#N/A N/A</v>
        <stp/>
        <stp>BDP|13923365051363608238</stp>
        <tr r="G3719" s="2"/>
      </tp>
      <tp t="s">
        <v>#N/A N/A</v>
        <stp/>
        <stp>BDP|14156078054787832215</stp>
        <tr r="C376" s="2"/>
      </tp>
      <tp t="s">
        <v>#N/A N/A</v>
        <stp/>
        <stp>BDP|12678217408361691526</stp>
        <tr r="H1264" s="2"/>
      </tp>
      <tp t="s">
        <v>#N/A N/A</v>
        <stp/>
        <stp>BDP|15815148990349673011</stp>
        <tr r="B2325" s="2"/>
      </tp>
      <tp t="s">
        <v>#N/A N/A</v>
        <stp/>
        <stp>BDP|16038345136653196185</stp>
        <tr r="F4932" s="2"/>
      </tp>
      <tp t="s">
        <v>#N/A N/A</v>
        <stp/>
        <stp>BDP|11415645682302096992</stp>
        <tr r="D4162" s="2"/>
      </tp>
      <tp t="s">
        <v>#N/A N/A</v>
        <stp/>
        <stp>BDP|17533305819965338440</stp>
        <tr r="I1383" s="2"/>
      </tp>
      <tp t="s">
        <v>#N/A N/A</v>
        <stp/>
        <stp>BDP|15992595080304306883</stp>
        <tr r="D2905" s="2"/>
      </tp>
      <tp t="s">
        <v>#N/A N/A</v>
        <stp/>
        <stp>BDP|11347859143310616983</stp>
        <tr r="I1632" s="2"/>
      </tp>
      <tp t="s">
        <v>#N/A N/A</v>
        <stp/>
        <stp>BDP|13282272278296338457</stp>
        <tr r="F1285" s="2"/>
      </tp>
      <tp t="s">
        <v>#N/A N/A</v>
        <stp/>
        <stp>BDP|11057700323833157394</stp>
        <tr r="F1059" s="2"/>
      </tp>
      <tp t="s">
        <v>#N/A N/A</v>
        <stp/>
        <stp>BDP|14413680224996736248</stp>
        <tr r="G2217" s="2"/>
      </tp>
      <tp t="s">
        <v>#N/A N/A</v>
        <stp/>
        <stp>BDP|12311155258696616431</stp>
        <tr r="A2388" s="2"/>
      </tp>
      <tp t="s">
        <v>#N/A N/A</v>
        <stp/>
        <stp>BDP|17877634767506775503</stp>
        <tr r="C3044" s="2"/>
      </tp>
      <tp t="s">
        <v>#N/A N/A</v>
        <stp/>
        <stp>BDP|12310852320169813551</stp>
        <tr r="C2940" s="2"/>
      </tp>
      <tp t="s">
        <v>#N/A N/A</v>
        <stp/>
        <stp>BDP|16295466702086877059</stp>
        <tr r="A4501" s="2"/>
      </tp>
      <tp t="s">
        <v>#N/A N/A</v>
        <stp/>
        <stp>BDP|16426773413076999229</stp>
        <tr r="H572" s="2"/>
      </tp>
      <tp t="s">
        <v>#N/A N/A</v>
        <stp/>
        <stp>BDP|15759455423231300693</stp>
        <tr r="I1439" s="2"/>
      </tp>
      <tp t="s">
        <v>#N/A N/A</v>
        <stp/>
        <stp>BDP|13636696907158230916</stp>
        <tr r="A2207" s="2"/>
      </tp>
      <tp t="s">
        <v>#N/A N/A</v>
        <stp/>
        <stp>BDP|14714587730663664527</stp>
        <tr r="G3167" s="2"/>
      </tp>
      <tp t="s">
        <v>#N/A N/A</v>
        <stp/>
        <stp>BDP|15452639070024441489</stp>
        <tr r="F4480" s="2"/>
      </tp>
      <tp t="s">
        <v>#N/A N/A</v>
        <stp/>
        <stp>BDP|16063894088177844526</stp>
        <tr r="B4034" s="2"/>
      </tp>
      <tp t="s">
        <v>#N/A N/A</v>
        <stp/>
        <stp>BDP|15915728160423544358</stp>
        <tr r="C4566" s="2"/>
      </tp>
      <tp t="s">
        <v>#N/A N/A</v>
        <stp/>
        <stp>BDP|11269794222246411661</stp>
        <tr r="B3390" s="2"/>
      </tp>
      <tp t="s">
        <v>#N/A N/A</v>
        <stp/>
        <stp>BDP|14948252045222404464</stp>
        <tr r="B3069" s="2"/>
      </tp>
      <tp t="s">
        <v>#N/A N/A</v>
        <stp/>
        <stp>BDP|15446472469022178101</stp>
        <tr r="H3473" s="2"/>
      </tp>
      <tp t="s">
        <v>#N/A N/A</v>
        <stp/>
        <stp>BDP|15707316079093725634</stp>
        <tr r="I3705" s="2"/>
      </tp>
      <tp t="s">
        <v>#N/A N/A</v>
        <stp/>
        <stp>BDP|10874367452161694318</stp>
        <tr r="D1214" s="2"/>
      </tp>
      <tp t="s">
        <v>#N/A N/A</v>
        <stp/>
        <stp>BDP|11714166054887895661</stp>
        <tr r="B2051" s="2"/>
      </tp>
      <tp t="s">
        <v>#N/A N/A</v>
        <stp/>
        <stp>BDP|12903754830834781603</stp>
        <tr r="D4226" s="2"/>
      </tp>
      <tp t="s">
        <v>#N/A N/A</v>
        <stp/>
        <stp>BDP|10079037844062463281</stp>
        <tr r="F2439" s="2"/>
      </tp>
      <tp t="s">
        <v>#N/A N/A</v>
        <stp/>
        <stp>BDP|12180096067584495404</stp>
        <tr r="A1115" s="2"/>
      </tp>
      <tp t="s">
        <v>#N/A N/A</v>
        <stp/>
        <stp>BDP|10230715946282926570</stp>
        <tr r="H787" s="2"/>
      </tp>
      <tp t="s">
        <v>#N/A N/A</v>
        <stp/>
        <stp>BDP|12805325368652144181</stp>
        <tr r="H7" s="2"/>
      </tp>
      <tp t="s">
        <v>#N/A N/A</v>
        <stp/>
        <stp>BDP|14331238639127688647</stp>
        <tr r="G1317" s="2"/>
      </tp>
      <tp t="s">
        <v>#N/A N/A</v>
        <stp/>
        <stp>BDP|13758283345629802895</stp>
        <tr r="B788" s="2"/>
      </tp>
      <tp t="s">
        <v>#N/A N/A</v>
        <stp/>
        <stp>BDP|11672512928557314574</stp>
        <tr r="H629" s="2"/>
      </tp>
      <tp t="s">
        <v>#N/A N/A</v>
        <stp/>
        <stp>BDP|16125964955927199983</stp>
        <tr r="B2667" s="2"/>
      </tp>
      <tp t="s">
        <v>#N/A N/A</v>
        <stp/>
        <stp>BDP|14108005291099805030</stp>
        <tr r="F2638" s="2"/>
      </tp>
      <tp t="s">
        <v>#N/A N/A</v>
        <stp/>
        <stp>BDP|12453632221204450695</stp>
        <tr r="B2809" s="2"/>
      </tp>
      <tp t="s">
        <v>#N/A N/A</v>
        <stp/>
        <stp>BDP|16864367736323739145</stp>
        <tr r="B722" s="2"/>
      </tp>
      <tp t="s">
        <v>#N/A N/A</v>
        <stp/>
        <stp>BDP|10949622602712165033</stp>
        <tr r="G3488" s="2"/>
      </tp>
      <tp t="s">
        <v>#N/A N/A</v>
        <stp/>
        <stp>BDP|12878490828153450367</stp>
        <tr r="D636" s="2"/>
      </tp>
      <tp t="s">
        <v>#N/A N/A</v>
        <stp/>
        <stp>BDP|14321297109166833403</stp>
        <tr r="G2093" s="2"/>
      </tp>
      <tp t="s">
        <v>#N/A N/A</v>
        <stp/>
        <stp>BDP|15790692560117001641</stp>
        <tr r="F3483" s="2"/>
      </tp>
      <tp t="s">
        <v>#N/A N/A</v>
        <stp/>
        <stp>BDP|11278436275043839569</stp>
        <tr r="H3317" s="2"/>
      </tp>
      <tp t="s">
        <v>#N/A N/A</v>
        <stp/>
        <stp>BDP|11893007766210302377</stp>
        <tr r="G706" s="2"/>
      </tp>
      <tp t="s">
        <v>#N/A N/A</v>
        <stp/>
        <stp>BDP|15581373070763156692</stp>
        <tr r="C2325" s="2"/>
      </tp>
      <tp t="s">
        <v>#N/A N/A</v>
        <stp/>
        <stp>BDP|10370216425812870654</stp>
        <tr r="H459" s="2"/>
      </tp>
      <tp t="s">
        <v>#N/A N/A</v>
        <stp/>
        <stp>BDP|12427315829800338756</stp>
        <tr r="D672" s="2"/>
      </tp>
      <tp t="s">
        <v>#N/A N/A</v>
        <stp/>
        <stp>BDP|14989425376681350244</stp>
        <tr r="I97" s="2"/>
      </tp>
      <tp t="s">
        <v>#N/A N/A</v>
        <stp/>
        <stp>BDP|16237012523385337598</stp>
        <tr r="B2546" s="2"/>
      </tp>
      <tp t="s">
        <v>#N/A N/A</v>
        <stp/>
        <stp>BDP|13607723778354389351</stp>
        <tr r="A2459" s="2"/>
      </tp>
      <tp t="s">
        <v>#N/A N/A</v>
        <stp/>
        <stp>BDP|14038089200026238600</stp>
        <tr r="I2198" s="2"/>
      </tp>
      <tp t="s">
        <v>#N/A N/A</v>
        <stp/>
        <stp>BDP|14564785475945577574</stp>
        <tr r="F1668" s="2"/>
      </tp>
      <tp t="s">
        <v>#N/A N/A</v>
        <stp/>
        <stp>BDP|15254712714317480095</stp>
        <tr r="G3765" s="2"/>
      </tp>
      <tp t="s">
        <v>#N/A N/A</v>
        <stp/>
        <stp>BDP|11683698527725366419</stp>
        <tr r="C1011" s="2"/>
      </tp>
      <tp t="s">
        <v>#N/A N/A</v>
        <stp/>
        <stp>BDP|11448388158723846060</stp>
        <tr r="H4907" s="2"/>
      </tp>
      <tp t="s">
        <v>#N/A N/A</v>
        <stp/>
        <stp>BDP|15454720117104222399</stp>
        <tr r="F3496" s="2"/>
      </tp>
      <tp t="s">
        <v>#N/A N/A</v>
        <stp/>
        <stp>BDP|12463202341911912163</stp>
        <tr r="F1773" s="2"/>
      </tp>
      <tp t="s">
        <v>#N/A N/A</v>
        <stp/>
        <stp>BDP|12287853323384650880</stp>
        <tr r="C2800" s="2"/>
      </tp>
      <tp t="s">
        <v>#N/A N/A</v>
        <stp/>
        <stp>BDP|16846611214986587329</stp>
        <tr r="H981" s="2"/>
      </tp>
      <tp t="s">
        <v>#N/A N/A</v>
        <stp/>
        <stp>BDP|11612644621434183584</stp>
        <tr r="H847" s="2"/>
      </tp>
      <tp t="s">
        <v>#N/A N/A</v>
        <stp/>
        <stp>BDP|12333648138456140546</stp>
        <tr r="D1448" s="2"/>
      </tp>
      <tp t="s">
        <v>#N/A N/A</v>
        <stp/>
        <stp>BDP|15649710404582095495</stp>
        <tr r="I655" s="2"/>
      </tp>
      <tp t="s">
        <v>#N/A N/A</v>
        <stp/>
        <stp>BDP|10685845849081689979</stp>
        <tr r="B762" s="2"/>
      </tp>
      <tp t="s">
        <v>#N/A N/A</v>
        <stp/>
        <stp>BDP|11061477962270861779</stp>
        <tr r="H384" s="2"/>
      </tp>
      <tp t="s">
        <v>#N/A N/A</v>
        <stp/>
        <stp>BDP|17545576207491900765</stp>
        <tr r="A1147" s="2"/>
      </tp>
      <tp t="s">
        <v>#N/A N/A</v>
        <stp/>
        <stp>BDP|10465143812637129392</stp>
        <tr r="H716" s="2"/>
      </tp>
      <tp t="s">
        <v>#N/A N/A</v>
        <stp/>
        <stp>BDP|12250811281271902715</stp>
        <tr r="D2160" s="2"/>
      </tp>
      <tp t="s">
        <v>#N/A N/A</v>
        <stp/>
        <stp>BDP|10152802633958040789</stp>
        <tr r="B598" s="2"/>
      </tp>
      <tp t="s">
        <v>#N/A N/A</v>
        <stp/>
        <stp>BDP|12974058440796638408</stp>
        <tr r="D2249" s="2"/>
      </tp>
      <tp t="s">
        <v>#N/A N/A</v>
        <stp/>
        <stp>BDP|11753089410117176349</stp>
        <tr r="B1452" s="2"/>
      </tp>
      <tp t="s">
        <v>#N/A N/A</v>
        <stp/>
        <stp>BDP|10622187994439564555</stp>
        <tr r="H859" s="2"/>
      </tp>
      <tp t="s">
        <v>#N/A N/A</v>
        <stp/>
        <stp>BDP|13838662100461657022</stp>
        <tr r="D283" s="2"/>
      </tp>
      <tp t="s">
        <v>#N/A N/A</v>
        <stp/>
        <stp>BDP|11352781807682639003</stp>
        <tr r="H1755" s="2"/>
      </tp>
      <tp t="s">
        <v>#N/A N/A</v>
        <stp/>
        <stp>BDP|17656347506353633380</stp>
        <tr r="I1018" s="2"/>
      </tp>
      <tp t="s">
        <v>#N/A N/A</v>
        <stp/>
        <stp>BDP|11624202662446930775</stp>
        <tr r="I556" s="2"/>
      </tp>
      <tp t="s">
        <v>#N/A N/A</v>
        <stp/>
        <stp>BDP|16213412710566042190</stp>
        <tr r="H4264" s="2"/>
      </tp>
      <tp t="s">
        <v>#N/A N/A</v>
        <stp/>
        <stp>BDP|16506896981001737304</stp>
        <tr r="F4945" s="2"/>
      </tp>
      <tp t="s">
        <v>#N/A N/A</v>
        <stp/>
        <stp>BDP|11833110054337067677</stp>
        <tr r="D2218" s="2"/>
      </tp>
      <tp t="s">
        <v>#N/A N/A</v>
        <stp/>
        <stp>BDP|13938350280798461423</stp>
        <tr r="B1343" s="2"/>
      </tp>
      <tp t="s">
        <v>#N/A N/A</v>
        <stp/>
        <stp>BDP|14532310514274366697</stp>
        <tr r="I1669" s="2"/>
      </tp>
      <tp t="s">
        <v>#N/A N/A</v>
        <stp/>
        <stp>BDP|12283798878031888718</stp>
        <tr r="C3177" s="2"/>
      </tp>
      <tp t="s">
        <v>#N/A N/A</v>
        <stp/>
        <stp>BDP|15233294766693244652</stp>
        <tr r="B272" s="2"/>
      </tp>
      <tp t="s">
        <v>#N/A N/A</v>
        <stp/>
        <stp>BDP|13775184771209066840</stp>
        <tr r="C1962" s="2"/>
      </tp>
      <tp t="s">
        <v>#N/A N/A</v>
        <stp/>
        <stp>BDP|14572791165018616950</stp>
        <tr r="C4338" s="2"/>
      </tp>
      <tp t="s">
        <v>#N/A N/A</v>
        <stp/>
        <stp>BDP|12571262258013044216</stp>
        <tr r="H1243" s="2"/>
      </tp>
      <tp t="s">
        <v>#N/A N/A</v>
        <stp/>
        <stp>BDP|13562695141416431333</stp>
        <tr r="C3360" s="2"/>
      </tp>
      <tp t="s">
        <v>#N/A N/A</v>
        <stp/>
        <stp>BDP|16108576952593704195</stp>
        <tr r="B3857" s="2"/>
      </tp>
      <tp t="s">
        <v>#N/A N/A</v>
        <stp/>
        <stp>BDP|16889767174526692465</stp>
        <tr r="F4272" s="2"/>
      </tp>
      <tp t="s">
        <v>#N/A N/A</v>
        <stp/>
        <stp>BDP|13097698402025865491</stp>
        <tr r="A1380" s="2"/>
      </tp>
      <tp t="s">
        <v>#N/A N/A</v>
        <stp/>
        <stp>BDP|14039288376976652322</stp>
        <tr r="F2480" s="2"/>
      </tp>
      <tp t="s">
        <v>#N/A N/A</v>
        <stp/>
        <stp>BDP|12831011905311337757</stp>
        <tr r="D116" s="2"/>
      </tp>
      <tp t="s">
        <v>#N/A N/A</v>
        <stp/>
        <stp>BDP|17754298123970599328</stp>
        <tr r="G266" s="2"/>
      </tp>
      <tp t="s">
        <v>#N/A N/A</v>
        <stp/>
        <stp>BDP|17678240753265323182</stp>
        <tr r="C4933" s="2"/>
      </tp>
      <tp t="s">
        <v>#N/A N/A</v>
        <stp/>
        <stp>BDP|14120901533789068387</stp>
        <tr r="C1270" s="2"/>
      </tp>
      <tp t="s">
        <v>#N/A N/A</v>
        <stp/>
        <stp>BDP|13990621641436103319</stp>
        <tr r="G1518" s="2"/>
      </tp>
      <tp t="s">
        <v>#N/A N/A</v>
        <stp/>
        <stp>BDP|14960343633787453703</stp>
        <tr r="D2674" s="2"/>
      </tp>
      <tp t="s">
        <v>#N/A N/A</v>
        <stp/>
        <stp>BDP|12428751909272168333</stp>
        <tr r="B97" s="2"/>
      </tp>
      <tp t="s">
        <v>#N/A N/A</v>
        <stp/>
        <stp>BDP|14996359113946456418</stp>
        <tr r="B3163" s="2"/>
      </tp>
      <tp t="s">
        <v>#N/A N/A</v>
        <stp/>
        <stp>BDP|13535991563361024957</stp>
        <tr r="A2242" s="2"/>
      </tp>
      <tp t="s">
        <v>#N/A N/A</v>
        <stp/>
        <stp>BDP|16189381330347227563</stp>
        <tr r="H2363" s="2"/>
      </tp>
      <tp t="s">
        <v>#N/A N/A</v>
        <stp/>
        <stp>BDP|16516411645283491180</stp>
        <tr r="A828" s="2"/>
      </tp>
      <tp t="s">
        <v>#N/A N/A</v>
        <stp/>
        <stp>BDP|17785240018326657605</stp>
        <tr r="A3424" s="2"/>
      </tp>
      <tp t="s">
        <v>#N/A N/A</v>
        <stp/>
        <stp>BDP|17625217427853568081</stp>
        <tr r="H2442" s="2"/>
      </tp>
      <tp t="s">
        <v>#N/A N/A</v>
        <stp/>
        <stp>BDP|14928173410979632951</stp>
        <tr r="A4086" s="2"/>
      </tp>
      <tp t="s">
        <v>#N/A N/A</v>
        <stp/>
        <stp>BDP|12987202476395201603</stp>
        <tr r="B4033" s="2"/>
      </tp>
      <tp t="s">
        <v>#N/A N/A</v>
        <stp/>
        <stp>BDP|14496356657020803635</stp>
        <tr r="B1733" s="2"/>
      </tp>
      <tp t="s">
        <v>#N/A N/A</v>
        <stp/>
        <stp>BDP|12341476940391182783</stp>
        <tr r="D3139" s="2"/>
      </tp>
      <tp t="s">
        <v>#N/A N/A</v>
        <stp/>
        <stp>BDP|11862328201131422724</stp>
        <tr r="B4718" s="2"/>
      </tp>
      <tp t="s">
        <v>#N/A N/A</v>
        <stp/>
        <stp>BDP|18186533369619148671</stp>
        <tr r="H4990" s="2"/>
      </tp>
      <tp t="s">
        <v>#N/A N/A</v>
        <stp/>
        <stp>BDP|16439255441670910449</stp>
        <tr r="I1430" s="2"/>
      </tp>
      <tp t="s">
        <v>#N/A N/A</v>
        <stp/>
        <stp>BDP|11497145471955941659</stp>
        <tr r="A1736" s="2"/>
      </tp>
      <tp t="s">
        <v>#N/A N/A</v>
        <stp/>
        <stp>BDP|11993555099539812000</stp>
        <tr r="I1843" s="2"/>
      </tp>
      <tp t="s">
        <v>#N/A N/A</v>
        <stp/>
        <stp>BDP|17643823170834043893</stp>
        <tr r="F3100" s="2"/>
      </tp>
      <tp t="s">
        <v>#N/A N/A</v>
        <stp/>
        <stp>BDP|11977352940531172308</stp>
        <tr r="D4115" s="2"/>
      </tp>
      <tp t="s">
        <v>#N/A N/A</v>
        <stp/>
        <stp>BDP|14948290482943847976</stp>
        <tr r="C813" s="2"/>
      </tp>
      <tp t="s">
        <v>#N/A N/A</v>
        <stp/>
        <stp>BDP|17484102915575895649</stp>
        <tr r="B3314" s="2"/>
      </tp>
      <tp t="s">
        <v>#N/A N/A</v>
        <stp/>
        <stp>BDP|17297046662492063792</stp>
        <tr r="B847" s="2"/>
      </tp>
      <tp t="s">
        <v>#N/A N/A</v>
        <stp/>
        <stp>BDP|13968438176481404555</stp>
        <tr r="H4726" s="2"/>
      </tp>
      <tp t="s">
        <v>#N/A N/A</v>
        <stp/>
        <stp>BDP|11124130756315885416</stp>
        <tr r="H1614" s="2"/>
      </tp>
      <tp t="s">
        <v>#N/A N/A</v>
        <stp/>
        <stp>BDP|14420791594207463908</stp>
        <tr r="H1307" s="2"/>
      </tp>
      <tp t="s">
        <v>#N/A N/A</v>
        <stp/>
        <stp>BDP|14766215407802800044</stp>
        <tr r="A4544" s="2"/>
      </tp>
      <tp t="s">
        <v>#N/A N/A</v>
        <stp/>
        <stp>BDP|17605234844875864044</stp>
        <tr r="A3858" s="2"/>
      </tp>
      <tp t="s">
        <v>#N/A N/A</v>
        <stp/>
        <stp>BDP|14803229642545358367</stp>
        <tr r="C1111" s="2"/>
      </tp>
      <tp t="s">
        <v>#N/A N/A</v>
        <stp/>
        <stp>BDP|11839344517665470228</stp>
        <tr r="B4984" s="2"/>
      </tp>
      <tp t="s">
        <v>#N/A N/A</v>
        <stp/>
        <stp>BDP|17402057822517641688</stp>
        <tr r="F1094" s="2"/>
      </tp>
      <tp t="s">
        <v>#N/A N/A</v>
        <stp/>
        <stp>BDP|17936460618915935337</stp>
        <tr r="G4883" s="2"/>
      </tp>
      <tp t="s">
        <v>#N/A N/A</v>
        <stp/>
        <stp>BDP|17271228167701361690</stp>
        <tr r="H2890" s="2"/>
      </tp>
      <tp t="s">
        <v>#N/A N/A</v>
        <stp/>
        <stp>BDP|15214604529306293341</stp>
        <tr r="F877" s="2"/>
      </tp>
      <tp t="s">
        <v>#N/A N/A</v>
        <stp/>
        <stp>BDP|18010506991986559696</stp>
        <tr r="D40" s="2"/>
      </tp>
      <tp t="s">
        <v>#N/A N/A</v>
        <stp/>
        <stp>BDP|13919564752680463748</stp>
        <tr r="F1857" s="2"/>
      </tp>
      <tp t="s">
        <v>#N/A N/A</v>
        <stp/>
        <stp>BDP|15955264168245985036</stp>
        <tr r="H665" s="2"/>
      </tp>
      <tp t="s">
        <v>#N/A N/A</v>
        <stp/>
        <stp>BDP|13396530963750609483</stp>
        <tr r="A3537" s="2"/>
      </tp>
      <tp t="s">
        <v>#N/A N/A</v>
        <stp/>
        <stp>BDP|11651648436992112289</stp>
        <tr r="A3734" s="2"/>
      </tp>
      <tp t="s">
        <v>#N/A N/A</v>
        <stp/>
        <stp>BDP|11363735111732502198</stp>
        <tr r="G1730" s="2"/>
      </tp>
      <tp t="s">
        <v>#N/A N/A</v>
        <stp/>
        <stp>BDP|12479252824413893504</stp>
        <tr r="B3865" s="2"/>
      </tp>
      <tp t="s">
        <v>#N/A N/A</v>
        <stp/>
        <stp>BDP|14761920428198720376</stp>
        <tr r="I4899" s="2"/>
      </tp>
      <tp t="s">
        <v>#N/A N/A</v>
        <stp/>
        <stp>BDP|16730222210396095788</stp>
        <tr r="D1276" s="2"/>
      </tp>
      <tp t="s">
        <v>#N/A N/A</v>
        <stp/>
        <stp>BDP|17379728506345266189</stp>
        <tr r="H3939" s="2"/>
      </tp>
      <tp t="s">
        <v>#N/A N/A</v>
        <stp/>
        <stp>BDP|16633925328830694974</stp>
        <tr r="H3828" s="2"/>
      </tp>
      <tp t="s">
        <v>#N/A N/A</v>
        <stp/>
        <stp>BDP|11979705304864901698</stp>
        <tr r="F3161" s="2"/>
      </tp>
      <tp t="s">
        <v>#N/A N/A</v>
        <stp/>
        <stp>BDP|14659613912994042389</stp>
        <tr r="C1219" s="2"/>
      </tp>
      <tp t="s">
        <v>#N/A N/A</v>
        <stp/>
        <stp>BDP|17967604252580537036</stp>
        <tr r="A4073" s="2"/>
      </tp>
      <tp t="s">
        <v>#N/A N/A</v>
        <stp/>
        <stp>BDP|12098733927656971509</stp>
        <tr r="B4967" s="2"/>
      </tp>
      <tp t="s">
        <v>#N/A N/A</v>
        <stp/>
        <stp>BDP|10225175609326226334</stp>
        <tr r="H2728" s="2"/>
      </tp>
      <tp t="s">
        <v>#N/A N/A</v>
        <stp/>
        <stp>BDP|14440867632303431891</stp>
        <tr r="A4975" s="2"/>
      </tp>
      <tp t="s">
        <v>#N/A N/A</v>
        <stp/>
        <stp>BDP|15109999833842035960</stp>
        <tr r="D4561" s="2"/>
      </tp>
      <tp t="s">
        <v>#N/A N/A</v>
        <stp/>
        <stp>BDP|10374971136787630993</stp>
        <tr r="G889" s="2"/>
      </tp>
      <tp t="s">
        <v>#N/A N/A</v>
        <stp/>
        <stp>BDP|15934096499281054943</stp>
        <tr r="D121" s="2"/>
      </tp>
      <tp t="s">
        <v>#N/A N/A</v>
        <stp/>
        <stp>BDP|16681627578844318727</stp>
        <tr r="D2547" s="2"/>
      </tp>
      <tp t="s">
        <v>#N/A N/A</v>
        <stp/>
        <stp>BDP|12061846089186852085</stp>
        <tr r="C2167" s="2"/>
      </tp>
      <tp t="s">
        <v>#N/A N/A</v>
        <stp/>
        <stp>BDP|11721273550390418292</stp>
        <tr r="B913" s="2"/>
      </tp>
      <tp t="s">
        <v>#N/A N/A</v>
        <stp/>
        <stp>BDP|10514901259531515945</stp>
        <tr r="H839" s="2"/>
      </tp>
      <tp t="s">
        <v>#N/A N/A</v>
        <stp/>
        <stp>BDP|13267985427348807481</stp>
        <tr r="F4439" s="2"/>
      </tp>
      <tp t="s">
        <v>#N/A N/A</v>
        <stp/>
        <stp>BDP|10963940958510126891</stp>
        <tr r="G4128" s="2"/>
      </tp>
      <tp t="s">
        <v>#N/A N/A</v>
        <stp/>
        <stp>BDP|18355699661184096864</stp>
        <tr r="D4844" s="2"/>
      </tp>
      <tp t="s">
        <v>#N/A N/A</v>
        <stp/>
        <stp>BDP|10533785867565767005</stp>
        <tr r="H709" s="2"/>
      </tp>
      <tp t="s">
        <v>#N/A N/A</v>
        <stp/>
        <stp>BDP|17039305459614656125</stp>
        <tr r="H4737" s="2"/>
      </tp>
      <tp t="s">
        <v>#N/A N/A</v>
        <stp/>
        <stp>BDP|12268650359776669357</stp>
        <tr r="G3899" s="2"/>
      </tp>
      <tp t="s">
        <v>#N/A N/A</v>
        <stp/>
        <stp>BDP|16887992694401076389</stp>
        <tr r="B3539" s="2"/>
      </tp>
      <tp t="s">
        <v>#N/A N/A</v>
        <stp/>
        <stp>BDP|10957140336617054166</stp>
        <tr r="G3649" s="2"/>
      </tp>
      <tp t="s">
        <v>#N/A N/A</v>
        <stp/>
        <stp>BDP|15196488721093308461</stp>
        <tr r="B639" s="2"/>
      </tp>
      <tp t="s">
        <v>#N/A N/A</v>
        <stp/>
        <stp>BDP|15930582194684065986</stp>
        <tr r="C323" s="2"/>
      </tp>
      <tp t="s">
        <v>#N/A N/A</v>
        <stp/>
        <stp>BDP|12385178832824270098</stp>
        <tr r="A1794" s="2"/>
      </tp>
      <tp t="s">
        <v>#N/A N/A</v>
        <stp/>
        <stp>BDP|11439289873880000024</stp>
        <tr r="D2005" s="2"/>
      </tp>
      <tp t="s">
        <v>#N/A N/A</v>
        <stp/>
        <stp>BDP|15772650809604251342</stp>
        <tr r="I4207" s="2"/>
      </tp>
      <tp t="s">
        <v>#N/A N/A</v>
        <stp/>
        <stp>BDP|17640682511471548570</stp>
        <tr r="A4922" s="2"/>
      </tp>
      <tp t="s">
        <v>#N/A N/A</v>
        <stp/>
        <stp>BDP|17158159203151228389</stp>
        <tr r="D2216" s="2"/>
      </tp>
      <tp t="s">
        <v>#N/A N/A</v>
        <stp/>
        <stp>BDP|10713601549825484376</stp>
        <tr r="C2079" s="2"/>
      </tp>
      <tp t="s">
        <v>#N/A N/A</v>
        <stp/>
        <stp>BDP|10731238288988559641</stp>
        <tr r="C284" s="2"/>
      </tp>
      <tp t="s">
        <v>#N/A N/A</v>
        <stp/>
        <stp>BDP|14143338336820940006</stp>
        <tr r="C3537" s="2"/>
      </tp>
      <tp t="s">
        <v>#N/A N/A</v>
        <stp/>
        <stp>BDP|12156207208115348172</stp>
        <tr r="H1487" s="2"/>
      </tp>
      <tp t="s">
        <v>#N/A N/A</v>
        <stp/>
        <stp>BDP|13971415166640299518</stp>
        <tr r="D4402" s="2"/>
      </tp>
      <tp t="s">
        <v>#N/A N/A</v>
        <stp/>
        <stp>BDP|11945137865144611646</stp>
        <tr r="G2592" s="2"/>
      </tp>
      <tp t="s">
        <v>#N/A N/A</v>
        <stp/>
        <stp>BDP|13494382556200499135</stp>
        <tr r="C338" s="2"/>
      </tp>
      <tp t="s">
        <v>#N/A N/A</v>
        <stp/>
        <stp>BDP|16713205749090666457</stp>
        <tr r="G2515" s="2"/>
      </tp>
      <tp t="s">
        <v>#N/A N/A</v>
        <stp/>
        <stp>BDP|16883261801810456060</stp>
        <tr r="I658" s="2"/>
      </tp>
      <tp t="s">
        <v>#N/A N/A</v>
        <stp/>
        <stp>BDP|11318897419544803867</stp>
        <tr r="C1891" s="2"/>
      </tp>
      <tp t="s">
        <v>#N/A N/A</v>
        <stp/>
        <stp>BDP|13742036876119870970</stp>
        <tr r="C169" s="2"/>
      </tp>
      <tp t="s">
        <v>#N/A N/A</v>
        <stp/>
        <stp>BDP|12664970086306977136</stp>
        <tr r="A3609" s="2"/>
      </tp>
      <tp t="s">
        <v>#N/A N/A</v>
        <stp/>
        <stp>BDP|13155714534890061384</stp>
        <tr r="B4377" s="2"/>
      </tp>
      <tp t="s">
        <v>#N/A N/A</v>
        <stp/>
        <stp>BDP|11004585782101789917</stp>
        <tr r="B3767" s="2"/>
      </tp>
      <tp t="s">
        <v>#N/A N/A</v>
        <stp/>
        <stp>BDP|10735613226582969258</stp>
        <tr r="A2342" s="2"/>
      </tp>
      <tp t="s">
        <v>#N/A N/A</v>
        <stp/>
        <stp>BDP|14733890396966347775</stp>
        <tr r="F3917" s="2"/>
      </tp>
      <tp t="s">
        <v>#N/A N/A</v>
        <stp/>
        <stp>BDP|16902622904833118720</stp>
        <tr r="B1912" s="2"/>
      </tp>
      <tp t="s">
        <v>#N/A N/A</v>
        <stp/>
        <stp>BDP|12158387231983218560</stp>
        <tr r="I2548" s="2"/>
      </tp>
      <tp t="s">
        <v>#N/A N/A</v>
        <stp/>
        <stp>BDP|17088094515277970593</stp>
        <tr r="I4567" s="2"/>
      </tp>
      <tp t="s">
        <v>#N/A N/A</v>
        <stp/>
        <stp>BDP|14683939399424564459</stp>
        <tr r="G4677" s="2"/>
      </tp>
      <tp t="s">
        <v>#N/A N/A</v>
        <stp/>
        <stp>BDP|11597090140080295129</stp>
        <tr r="G732" s="2"/>
      </tp>
      <tp t="s">
        <v>#N/A N/A</v>
        <stp/>
        <stp>BDP|10498290379659974811</stp>
        <tr r="C3252" s="2"/>
      </tp>
      <tp t="s">
        <v>#N/A N/A</v>
        <stp/>
        <stp>BDP|17900889168589233476</stp>
        <tr r="B4570" s="2"/>
      </tp>
      <tp t="s">
        <v>#N/A N/A</v>
        <stp/>
        <stp>BDP|11895301151382459117</stp>
        <tr r="I589" s="2"/>
      </tp>
      <tp t="s">
        <v>#N/A N/A</v>
        <stp/>
        <stp>BDP|14906614355674782763</stp>
        <tr r="G3190" s="2"/>
      </tp>
      <tp t="s">
        <v>#N/A N/A</v>
        <stp/>
        <stp>BDP|16086561312330155696</stp>
        <tr r="F392" s="2"/>
      </tp>
      <tp t="s">
        <v>#N/A N/A</v>
        <stp/>
        <stp>BDP|13064478885559711292</stp>
        <tr r="B2727" s="2"/>
      </tp>
      <tp t="s">
        <v>#N/A N/A</v>
        <stp/>
        <stp>BDP|10304178710752933614</stp>
        <tr r="F2470" s="2"/>
      </tp>
      <tp t="s">
        <v>#N/A N/A</v>
        <stp/>
        <stp>BDP|14496433957196806743</stp>
        <tr r="F1653" s="2"/>
      </tp>
      <tp t="s">
        <v>#N/A N/A</v>
        <stp/>
        <stp>BDP|17913435232527013348</stp>
        <tr r="C4003" s="2"/>
      </tp>
      <tp t="s">
        <v>#N/A N/A</v>
        <stp/>
        <stp>BDP|12097130948726439532</stp>
        <tr r="F19" s="2"/>
      </tp>
      <tp t="s">
        <v>#N/A N/A</v>
        <stp/>
        <stp>BDP|12837601226894458660</stp>
        <tr r="D3661" s="2"/>
      </tp>
      <tp t="s">
        <v>#N/A N/A</v>
        <stp/>
        <stp>BDP|15325338536000263183</stp>
        <tr r="B2214" s="2"/>
      </tp>
      <tp t="s">
        <v>#N/A N/A</v>
        <stp/>
        <stp>BDP|11716239599296356821</stp>
        <tr r="C2363" s="2"/>
      </tp>
      <tp t="s">
        <v>#N/A N/A</v>
        <stp/>
        <stp>BDP|15397842691757268784</stp>
        <tr r="G4679" s="2"/>
      </tp>
      <tp t="s">
        <v>#N/A N/A</v>
        <stp/>
        <stp>BDP|15940710571882341366</stp>
        <tr r="A638" s="2"/>
      </tp>
      <tp t="s">
        <v>#N/A N/A</v>
        <stp/>
        <stp>BDP|10775621845921861747</stp>
        <tr r="A4395" s="2"/>
      </tp>
      <tp t="s">
        <v>#N/A N/A</v>
        <stp/>
        <stp>BDP|14237574973382332099</stp>
        <tr r="B923" s="2"/>
      </tp>
      <tp t="s">
        <v>#N/A N/A</v>
        <stp/>
        <stp>BDP|10212397157466354439</stp>
        <tr r="G4034" s="2"/>
      </tp>
      <tp t="s">
        <v>#N/A N/A</v>
        <stp/>
        <stp>BDP|18404884136242410529</stp>
        <tr r="B3510" s="2"/>
      </tp>
      <tp t="s">
        <v>#N/A N/A</v>
        <stp/>
        <stp>BDP|15790568839882458501</stp>
        <tr r="G1598" s="2"/>
      </tp>
      <tp t="s">
        <v>#N/A N/A</v>
        <stp/>
        <stp>BDP|13227364867912705082</stp>
        <tr r="F944" s="2"/>
      </tp>
      <tp t="s">
        <v>#N/A N/A</v>
        <stp/>
        <stp>BDP|17981185559574406305</stp>
        <tr r="D137" s="2"/>
      </tp>
      <tp t="s">
        <v>#N/A N/A</v>
        <stp/>
        <stp>BDP|12826046364042105259</stp>
        <tr r="C1725" s="2"/>
      </tp>
      <tp t="s">
        <v>#N/A N/A</v>
        <stp/>
        <stp>BDP|12865205638021983656</stp>
        <tr r="G4162" s="2"/>
      </tp>
      <tp t="s">
        <v>#N/A N/A</v>
        <stp/>
        <stp>BDP|10166749947604824367</stp>
        <tr r="H889" s="2"/>
      </tp>
      <tp t="s">
        <v>#N/A N/A</v>
        <stp/>
        <stp>BDP|10973759520266347734</stp>
        <tr r="F1660" s="2"/>
      </tp>
      <tp t="s">
        <v>#N/A N/A</v>
        <stp/>
        <stp>BDP|12480441378411674426</stp>
        <tr r="I1556" s="2"/>
      </tp>
      <tp t="s">
        <v>#N/A N/A</v>
        <stp/>
        <stp>BDP|13699913349493615943</stp>
        <tr r="H4379" s="2"/>
      </tp>
      <tp t="s">
        <v>#N/A N/A</v>
        <stp/>
        <stp>BDP|14777098853710531548</stp>
        <tr r="G3813" s="2"/>
      </tp>
      <tp t="s">
        <v>#N/A N/A</v>
        <stp/>
        <stp>BDP|16858847569764045892</stp>
        <tr r="D4248" s="2"/>
      </tp>
      <tp t="s">
        <v>#N/A N/A</v>
        <stp/>
        <stp>BDP|11662130849215103517</stp>
        <tr r="H1363" s="2"/>
      </tp>
      <tp t="s">
        <v>#N/A N/A</v>
        <stp/>
        <stp>BDP|16882656857991576033</stp>
        <tr r="H509" s="2"/>
      </tp>
      <tp t="s">
        <v>#N/A N/A</v>
        <stp/>
        <stp>BDP|10174804091426422386</stp>
        <tr r="A444" s="2"/>
      </tp>
      <tp t="s">
        <v>#N/A N/A</v>
        <stp/>
        <stp>BDP|11588316363976228696</stp>
        <tr r="H3565" s="2"/>
      </tp>
      <tp t="s">
        <v>#N/A N/A</v>
        <stp/>
        <stp>BDP|13065616406247363687</stp>
        <tr r="H2481" s="2"/>
      </tp>
      <tp t="s">
        <v>#N/A N/A</v>
        <stp/>
        <stp>BDP|10357580012828776829</stp>
        <tr r="G3144" s="2"/>
      </tp>
      <tp t="s">
        <v>#N/A N/A</v>
        <stp/>
        <stp>BDP|18248788406222852989</stp>
        <tr r="B1712" s="2"/>
      </tp>
      <tp t="s">
        <v>#N/A N/A</v>
        <stp/>
        <stp>BDP|15390099866520435744</stp>
        <tr r="I1549" s="2"/>
      </tp>
      <tp t="s">
        <v>#N/A N/A</v>
        <stp/>
        <stp>BDP|11545894907679411435</stp>
        <tr r="D4606" s="2"/>
      </tp>
      <tp t="s">
        <v>#N/A N/A</v>
        <stp/>
        <stp>BDP|14580366320737894672</stp>
        <tr r="F2140" s="2"/>
      </tp>
      <tp t="s">
        <v>#N/A N/A</v>
        <stp/>
        <stp>BDP|15456266296068914210</stp>
        <tr r="F1583" s="2"/>
      </tp>
      <tp t="s">
        <v>#N/A N/A</v>
        <stp/>
        <stp>BDP|11660224738333891789</stp>
        <tr r="G4046" s="2"/>
      </tp>
      <tp t="s">
        <v>#N/A N/A</v>
        <stp/>
        <stp>BDP|10873678332952274330</stp>
        <tr r="F3573" s="2"/>
      </tp>
      <tp t="s">
        <v>#N/A N/A</v>
        <stp/>
        <stp>BDP|14626183532267647566</stp>
        <tr r="A3691" s="2"/>
      </tp>
      <tp t="s">
        <v>#N/A N/A</v>
        <stp/>
        <stp>BDP|10033297550435378667</stp>
        <tr r="C3026" s="2"/>
      </tp>
      <tp t="s">
        <v>#N/A N/A</v>
        <stp/>
        <stp>BDP|15728394517650401310</stp>
        <tr r="I3061" s="2"/>
      </tp>
      <tp t="s">
        <v>#N/A N/A</v>
        <stp/>
        <stp>BDP|14279732842247644493</stp>
        <tr r="C2819" s="2"/>
      </tp>
      <tp t="s">
        <v>#N/A N/A</v>
        <stp/>
        <stp>BDP|16432748828135798233</stp>
        <tr r="G212" s="2"/>
      </tp>
      <tp t="s">
        <v>#N/A N/A</v>
        <stp/>
        <stp>BDP|14383622468975470514</stp>
        <tr r="C2919" s="2"/>
      </tp>
      <tp t="s">
        <v>#N/A N/A</v>
        <stp/>
        <stp>BDP|13641776978230168746</stp>
        <tr r="H1164" s="2"/>
      </tp>
      <tp t="s">
        <v>#N/A N/A</v>
        <stp/>
        <stp>BDP|17529039761272866738</stp>
        <tr r="I955" s="2"/>
      </tp>
      <tp t="s">
        <v>#N/A N/A</v>
        <stp/>
        <stp>BDP|17922962997142247162</stp>
        <tr r="H3901" s="2"/>
      </tp>
      <tp t="s">
        <v>#N/A N/A</v>
        <stp/>
        <stp>BDP|15707580946721219171</stp>
        <tr r="H256" s="2"/>
      </tp>
      <tp t="s">
        <v>#N/A N/A</v>
        <stp/>
        <stp>BDP|13855656744433355665</stp>
        <tr r="I3218" s="2"/>
      </tp>
      <tp t="s">
        <v>#N/A N/A</v>
        <stp/>
        <stp>BDP|13756590331645306404</stp>
        <tr r="F4726" s="2"/>
      </tp>
      <tp t="s">
        <v>#N/A N/A</v>
        <stp/>
        <stp>BDP|17472650104356170384</stp>
        <tr r="A241" s="2"/>
      </tp>
      <tp t="s">
        <v>#N/A N/A</v>
        <stp/>
        <stp>BDP|13601283170386357413</stp>
        <tr r="G1560" s="2"/>
      </tp>
      <tp t="s">
        <v>#N/A N/A</v>
        <stp/>
        <stp>BDP|15122454848852090301</stp>
        <tr r="B1831" s="2"/>
      </tp>
      <tp t="s">
        <v>#N/A N/A</v>
        <stp/>
        <stp>BDP|17037044639510515045</stp>
        <tr r="I3964" s="2"/>
      </tp>
      <tp t="s">
        <v>#N/A N/A</v>
        <stp/>
        <stp>BDP|11020369042835107795</stp>
        <tr r="H2079" s="2"/>
      </tp>
      <tp t="s">
        <v>#N/A N/A</v>
        <stp/>
        <stp>BDP|13167513619624662733</stp>
        <tr r="C389" s="2"/>
      </tp>
      <tp t="s">
        <v>#N/A N/A</v>
        <stp/>
        <stp>BDP|12324776389638534147</stp>
        <tr r="C122" s="2"/>
      </tp>
      <tp t="s">
        <v>#N/A N/A</v>
        <stp/>
        <stp>BDP|12382497106951296329</stp>
        <tr r="I2282" s="2"/>
      </tp>
      <tp t="s">
        <v>#N/A N/A</v>
        <stp/>
        <stp>BDP|16317380014286101626</stp>
        <tr r="G1079" s="2"/>
      </tp>
      <tp t="s">
        <v>#N/A N/A</v>
        <stp/>
        <stp>BDP|17441179118883326042</stp>
        <tr r="D4895" s="2"/>
      </tp>
      <tp t="s">
        <v>#N/A N/A</v>
        <stp/>
        <stp>BDP|11345590570780631705</stp>
        <tr r="A83" s="2"/>
      </tp>
      <tp t="s">
        <v>#N/A N/A</v>
        <stp/>
        <stp>BDP|15301743475490824160</stp>
        <tr r="D224" s="2"/>
      </tp>
      <tp t="s">
        <v>#N/A N/A</v>
        <stp/>
        <stp>BDP|13062406223374802576</stp>
        <tr r="A4686" s="2"/>
      </tp>
      <tp t="s">
        <v>#N/A N/A</v>
        <stp/>
        <stp>BDP|16873826757159965683</stp>
        <tr r="C4742" s="2"/>
      </tp>
      <tp t="s">
        <v>#N/A N/A</v>
        <stp/>
        <stp>BDP|14356378189899149204</stp>
        <tr r="H1948" s="2"/>
      </tp>
      <tp t="s">
        <v>#N/A N/A</v>
        <stp/>
        <stp>BDP|13605709181949832136</stp>
        <tr r="I1640" s="2"/>
      </tp>
      <tp t="s">
        <v>#N/A N/A</v>
        <stp/>
        <stp>BDP|18019188630347779938</stp>
        <tr r="B682" s="2"/>
      </tp>
      <tp t="s">
        <v>#N/A N/A</v>
        <stp/>
        <stp>BDP|13827204965545657672</stp>
        <tr r="A2827" s="2"/>
      </tp>
      <tp t="s">
        <v>#N/A N/A</v>
        <stp/>
        <stp>BDP|12468418478221582440</stp>
        <tr r="I4299" s="2"/>
      </tp>
      <tp t="s">
        <v>#N/A N/A</v>
        <stp/>
        <stp>BDP|15463498881855165814</stp>
        <tr r="F696" s="2"/>
      </tp>
      <tp t="s">
        <v>#N/A N/A</v>
        <stp/>
        <stp>BDP|14427682206154456220</stp>
        <tr r="C2420" s="2"/>
      </tp>
      <tp t="s">
        <v>#N/A N/A</v>
        <stp/>
        <stp>BDP|13019760253193851611</stp>
        <tr r="C2344" s="2"/>
      </tp>
      <tp t="s">
        <v>#N/A N/A</v>
        <stp/>
        <stp>BDP|16358012622864755481</stp>
        <tr r="C2962" s="2"/>
      </tp>
      <tp t="s">
        <v>#N/A N/A</v>
        <stp/>
        <stp>BDP|11968089615010236497</stp>
        <tr r="A3772" s="2"/>
      </tp>
      <tp t="s">
        <v>#N/A N/A</v>
        <stp/>
        <stp>BDP|14719115324413596083</stp>
        <tr r="I3827" s="2"/>
      </tp>
      <tp t="s">
        <v>#N/A N/A</v>
        <stp/>
        <stp>BDP|13781792795721025846</stp>
        <tr r="H131" s="2"/>
      </tp>
      <tp t="s">
        <v>#N/A N/A</v>
        <stp/>
        <stp>BDP|16429734925830910746</stp>
        <tr r="C2382" s="2"/>
      </tp>
      <tp t="s">
        <v>#N/A N/A</v>
        <stp/>
        <stp>BDP|17966532539194592194</stp>
        <tr r="B4240" s="2"/>
      </tp>
      <tp t="s">
        <v>#N/A N/A</v>
        <stp/>
        <stp>BDP|10049404850335796082</stp>
        <tr r="G2438" s="2"/>
      </tp>
      <tp t="s">
        <v>#N/A N/A</v>
        <stp/>
        <stp>BDP|11038062018490056418</stp>
        <tr r="C3330" s="2"/>
      </tp>
      <tp t="s">
        <v>#N/A N/A</v>
        <stp/>
        <stp>BDP|13893176866683024363</stp>
        <tr r="B1211" s="2"/>
      </tp>
      <tp t="s">
        <v>#N/A N/A</v>
        <stp/>
        <stp>BDP|14972259127947076748</stp>
        <tr r="A2743" s="2"/>
      </tp>
      <tp t="s">
        <v>#N/A N/A</v>
        <stp/>
        <stp>BDP|10342584267351188624</stp>
        <tr r="B3394" s="2"/>
      </tp>
      <tp t="s">
        <v>#N/A N/A</v>
        <stp/>
        <stp>BDP|16278123032451571188</stp>
        <tr r="F2311" s="2"/>
      </tp>
      <tp t="s">
        <v>#N/A N/A</v>
        <stp/>
        <stp>BDP|17049098484222161937</stp>
        <tr r="I2375" s="2"/>
      </tp>
      <tp t="s">
        <v>#N/A N/A</v>
        <stp/>
        <stp>BDP|15348904647085962929</stp>
        <tr r="F3750" s="2"/>
      </tp>
      <tp t="s">
        <v>#N/A N/A</v>
        <stp/>
        <stp>BDP|16388441336685984078</stp>
        <tr r="I2566" s="2"/>
      </tp>
      <tp t="s">
        <v>#N/A N/A</v>
        <stp/>
        <stp>BDP|15111338275245046080</stp>
        <tr r="C4569" s="2"/>
      </tp>
      <tp t="s">
        <v>#N/A N/A</v>
        <stp/>
        <stp>BDP|14212462608200598466</stp>
        <tr r="D143" s="2"/>
      </tp>
      <tp t="s">
        <v>#N/A N/A</v>
        <stp/>
        <stp>BDP|14617691970919736874</stp>
        <tr r="B613" s="2"/>
      </tp>
      <tp t="s">
        <v>#N/A N/A</v>
        <stp/>
        <stp>BDP|10300369879024531464</stp>
        <tr r="A1685" s="2"/>
      </tp>
      <tp t="s">
        <v>#N/A N/A</v>
        <stp/>
        <stp>BDP|14701734322625095095</stp>
        <tr r="I2478" s="2"/>
      </tp>
      <tp t="s">
        <v>#N/A N/A</v>
        <stp/>
        <stp>BDP|16946253047572045648</stp>
        <tr r="I4273" s="2"/>
      </tp>
      <tp t="s">
        <v>#N/A N/A</v>
        <stp/>
        <stp>BDP|10135990146891030815</stp>
        <tr r="F4059" s="2"/>
      </tp>
      <tp t="s">
        <v>#N/A N/A</v>
        <stp/>
        <stp>BDP|17292065121274961535</stp>
        <tr r="H1412" s="2"/>
      </tp>
      <tp t="s">
        <v>#N/A N/A</v>
        <stp/>
        <stp>BDP|13726113029521582551</stp>
        <tr r="H1577" s="2"/>
      </tp>
      <tp t="s">
        <v>#N/A N/A</v>
        <stp/>
        <stp>BDP|14998437957319479866</stp>
        <tr r="G4048" s="2"/>
      </tp>
      <tp t="s">
        <v>#N/A N/A</v>
        <stp/>
        <stp>BDP|17492758055930368182</stp>
        <tr r="D383" s="2"/>
      </tp>
      <tp t="s">
        <v>#N/A N/A</v>
        <stp/>
        <stp>BDP|12395076639385770057</stp>
        <tr r="F2647" s="2"/>
      </tp>
      <tp t="s">
        <v>#N/A N/A</v>
        <stp/>
        <stp>BDP|10526147777820964207</stp>
        <tr r="H3160" s="2"/>
      </tp>
      <tp t="s">
        <v>#N/A N/A</v>
        <stp/>
        <stp>BDP|10064618307246850415</stp>
        <tr r="H4554" s="2"/>
      </tp>
      <tp t="s">
        <v>#N/A N/A</v>
        <stp/>
        <stp>BDP|12185183868571869064</stp>
        <tr r="A2343" s="2"/>
      </tp>
      <tp t="s">
        <v>#N/A N/A</v>
        <stp/>
        <stp>BDP|13318176966925440596</stp>
        <tr r="F3146" s="2"/>
      </tp>
      <tp t="s">
        <v>#N/A N/A</v>
        <stp/>
        <stp>BDP|12499549158363190569</stp>
        <tr r="C4747" s="2"/>
      </tp>
      <tp t="s">
        <v>#N/A N/A</v>
        <stp/>
        <stp>BDP|17315912776578351580</stp>
        <tr r="H793" s="2"/>
      </tp>
      <tp t="s">
        <v>#N/A N/A</v>
        <stp/>
        <stp>BDP|10738824693774078194</stp>
        <tr r="B628" s="2"/>
      </tp>
      <tp t="s">
        <v>#N/A N/A</v>
        <stp/>
        <stp>BDP|10747284728204840005</stp>
        <tr r="C4070" s="2"/>
      </tp>
      <tp t="s">
        <v>#N/A N/A</v>
        <stp/>
        <stp>BDP|12744448734771009089</stp>
        <tr r="F4069" s="2"/>
      </tp>
      <tp t="s">
        <v>#N/A N/A</v>
        <stp/>
        <stp>BDP|14314419705404182096</stp>
        <tr r="C1605" s="2"/>
      </tp>
      <tp t="s">
        <v>#N/A N/A</v>
        <stp/>
        <stp>BDP|12548647770945789290</stp>
        <tr r="I2813" s="2"/>
      </tp>
      <tp t="s">
        <v>#N/A N/A</v>
        <stp/>
        <stp>BDP|13697478144436857122</stp>
        <tr r="H3493" s="2"/>
      </tp>
      <tp t="s">
        <v>#N/A N/A</v>
        <stp/>
        <stp>BDP|13835082939074306050</stp>
        <tr r="A3238" s="2"/>
      </tp>
      <tp t="s">
        <v>#N/A N/A</v>
        <stp/>
        <stp>BDP|13586130066022918268</stp>
        <tr r="A1641" s="2"/>
      </tp>
      <tp t="s">
        <v>#N/A N/A</v>
        <stp/>
        <stp>BDP|13042382802952181646</stp>
        <tr r="F1658" s="2"/>
      </tp>
      <tp t="s">
        <v>#N/A N/A</v>
        <stp/>
        <stp>BDP|18309238892821948645</stp>
        <tr r="B1553" s="2"/>
      </tp>
      <tp t="s">
        <v>#N/A N/A</v>
        <stp/>
        <stp>BDP|12365598528049598887</stp>
        <tr r="B2215" s="2"/>
      </tp>
      <tp t="s">
        <v>#N/A N/A</v>
        <stp/>
        <stp>BDP|12132027276326909737</stp>
        <tr r="B2375" s="2"/>
      </tp>
      <tp t="s">
        <v>#N/A N/A</v>
        <stp/>
        <stp>BDP|16916616217083768671</stp>
        <tr r="D4187" s="2"/>
      </tp>
      <tp t="s">
        <v>#N/A N/A</v>
        <stp/>
        <stp>BDP|10867250192048644762</stp>
        <tr r="H73" s="2"/>
      </tp>
      <tp t="s">
        <v>#N/A N/A</v>
        <stp/>
        <stp>BDP|14371266265132646694</stp>
        <tr r="D4068" s="2"/>
      </tp>
      <tp t="s">
        <v>#N/A N/A</v>
        <stp/>
        <stp>BDP|10216787147935674248</stp>
        <tr r="A2778" s="2"/>
      </tp>
      <tp t="s">
        <v>#N/A N/A</v>
        <stp/>
        <stp>BDP|14314575621435953235</stp>
        <tr r="D3161" s="2"/>
      </tp>
      <tp t="s">
        <v>#N/A N/A</v>
        <stp/>
        <stp>BDP|15359797721025220167</stp>
        <tr r="A4579" s="2"/>
      </tp>
      <tp t="s">
        <v>#N/A N/A</v>
        <stp/>
        <stp>BDP|17028781744869495975</stp>
        <tr r="H1034" s="2"/>
      </tp>
      <tp t="s">
        <v>#N/A N/A</v>
        <stp/>
        <stp>BDP|13288893972919469123</stp>
        <tr r="H3934" s="2"/>
      </tp>
      <tp t="s">
        <v>#N/A N/A</v>
        <stp/>
        <stp>BDP|15978280239366756606</stp>
        <tr r="F2592" s="2"/>
      </tp>
      <tp t="s">
        <v>#N/A N/A</v>
        <stp/>
        <stp>BDP|14361076021551960334</stp>
        <tr r="F4216" s="2"/>
      </tp>
      <tp t="s">
        <v>#N/A N/A</v>
        <stp/>
        <stp>BDP|11374643189822231938</stp>
        <tr r="H4927" s="2"/>
      </tp>
      <tp t="s">
        <v>#N/A N/A</v>
        <stp/>
        <stp>BDP|17721690227107563032</stp>
        <tr r="B1555" s="2"/>
      </tp>
      <tp t="s">
        <v>#N/A N/A</v>
        <stp/>
        <stp>BDP|13091924262190689893</stp>
        <tr r="C4605" s="2"/>
      </tp>
      <tp t="s">
        <v>#N/A N/A</v>
        <stp/>
        <stp>BDP|15136493369251809264</stp>
        <tr r="C1048" s="2"/>
      </tp>
      <tp t="s">
        <v>#N/A N/A</v>
        <stp/>
        <stp>BDP|11320493514674998488</stp>
        <tr r="D3394" s="2"/>
      </tp>
      <tp t="s">
        <v>#N/A N/A</v>
        <stp/>
        <stp>BDP|11523285685158004770</stp>
        <tr r="C738" s="2"/>
      </tp>
      <tp t="s">
        <v>#N/A N/A</v>
        <stp/>
        <stp>BDP|11970290336472163683</stp>
        <tr r="G1916" s="2"/>
      </tp>
      <tp t="s">
        <v>#N/A N/A</v>
        <stp/>
        <stp>BDP|15895510471671417238</stp>
        <tr r="D3024" s="2"/>
      </tp>
      <tp t="s">
        <v>#N/A N/A</v>
        <stp/>
        <stp>BDP|13325599053975312255</stp>
        <tr r="B2652" s="2"/>
      </tp>
      <tp t="s">
        <v>#N/A N/A</v>
        <stp/>
        <stp>BDP|10969497299118129174</stp>
        <tr r="A992" s="2"/>
      </tp>
      <tp t="s">
        <v>#N/A N/A</v>
        <stp/>
        <stp>BDP|17147403464984234588</stp>
        <tr r="G1164" s="2"/>
      </tp>
      <tp t="s">
        <v>#N/A N/A</v>
        <stp/>
        <stp>BDP|13112592613647029442</stp>
        <tr r="A2094" s="2"/>
      </tp>
      <tp t="s">
        <v>#N/A N/A</v>
        <stp/>
        <stp>BDP|14829522348316903746</stp>
        <tr r="D133" s="2"/>
      </tp>
      <tp t="s">
        <v>#N/A N/A</v>
        <stp/>
        <stp>BDP|13373666858884050029</stp>
        <tr r="D2593" s="2"/>
      </tp>
      <tp t="s">
        <v>#N/A N/A</v>
        <stp/>
        <stp>BDP|13479015585247675893</stp>
        <tr r="H4739" s="2"/>
      </tp>
      <tp t="s">
        <v>#N/A N/A</v>
        <stp/>
        <stp>BDP|11425131251330158181</stp>
        <tr r="H3745" s="2"/>
      </tp>
      <tp t="s">
        <v>#N/A N/A</v>
        <stp/>
        <stp>BDP|13065645062361075693</stp>
        <tr r="B3355" s="2"/>
      </tp>
      <tp t="s">
        <v>#N/A N/A</v>
        <stp/>
        <stp>BDP|14910055617510301175</stp>
        <tr r="C1556" s="2"/>
      </tp>
      <tp t="s">
        <v>#N/A N/A</v>
        <stp/>
        <stp>BDP|12909282059389611814</stp>
        <tr r="B884" s="2"/>
      </tp>
      <tp t="s">
        <v>#N/A N/A</v>
        <stp/>
        <stp>BDP|16796225648307720359</stp>
        <tr r="A2206" s="2"/>
      </tp>
      <tp t="s">
        <v>#N/A N/A</v>
        <stp/>
        <stp>BDP|11711144346795348592</stp>
        <tr r="H83" s="2"/>
      </tp>
      <tp t="s">
        <v>#N/A N/A</v>
        <stp/>
        <stp>BDP|12917753543587745268</stp>
        <tr r="I4122" s="2"/>
      </tp>
      <tp t="s">
        <v>#N/A N/A</v>
        <stp/>
        <stp>BDP|17470783014477529239</stp>
        <tr r="I3473" s="2"/>
      </tp>
      <tp t="s">
        <v>#N/A N/A</v>
        <stp/>
        <stp>BDP|16283758376993930161</stp>
        <tr r="B4113" s="2"/>
      </tp>
      <tp t="s">
        <v>#N/A N/A</v>
        <stp/>
        <stp>BDP|12992310706564763171</stp>
        <tr r="F432" s="2"/>
      </tp>
      <tp t="s">
        <v>#N/A N/A</v>
        <stp/>
        <stp>BDP|15228681346286781552</stp>
        <tr r="B1203" s="2"/>
      </tp>
      <tp t="s">
        <v>#N/A N/A</v>
        <stp/>
        <stp>BDP|14312705675453188392</stp>
        <tr r="G1922" s="2"/>
      </tp>
      <tp t="s">
        <v>#N/A N/A</v>
        <stp/>
        <stp>BDP|10450080563575498753</stp>
        <tr r="H2438" s="2"/>
      </tp>
      <tp t="s">
        <v>#N/A N/A</v>
        <stp/>
        <stp>BDP|10984794579836497237</stp>
        <tr r="G4675" s="2"/>
      </tp>
      <tp t="s">
        <v>#N/A N/A</v>
        <stp/>
        <stp>BDP|10237665530842357391</stp>
        <tr r="B4910" s="2"/>
      </tp>
      <tp t="s">
        <v>#N/A N/A</v>
        <stp/>
        <stp>BDP|12624599660077077216</stp>
        <tr r="B789" s="2"/>
      </tp>
      <tp t="s">
        <v>#N/A N/A</v>
        <stp/>
        <stp>BDP|14633087418869054880</stp>
        <tr r="H3535" s="2"/>
      </tp>
      <tp t="s">
        <v>#N/A N/A</v>
        <stp/>
        <stp>BDP|18027543682219035889</stp>
        <tr r="D4383" s="2"/>
      </tp>
      <tp t="s">
        <v>#N/A N/A</v>
        <stp/>
        <stp>BDP|11955444583991598858</stp>
        <tr r="H4746" s="2"/>
      </tp>
      <tp t="s">
        <v>#N/A N/A</v>
        <stp/>
        <stp>BDP|15639593304385322168</stp>
        <tr r="I3340" s="2"/>
      </tp>
      <tp t="s">
        <v>#N/A N/A</v>
        <stp/>
        <stp>BDP|17318051065732479799</stp>
        <tr r="G4886" s="2"/>
      </tp>
      <tp t="s">
        <v>#N/A N/A</v>
        <stp/>
        <stp>BDP|15128382338701686097</stp>
        <tr r="D4528" s="2"/>
      </tp>
      <tp t="s">
        <v>#N/A N/A</v>
        <stp/>
        <stp>BDP|11486429239664374628</stp>
        <tr r="H3695" s="2"/>
      </tp>
      <tp t="s">
        <v>#N/A N/A</v>
        <stp/>
        <stp>BDP|14917546365717769419</stp>
        <tr r="H4626" s="2"/>
      </tp>
      <tp t="s">
        <v>#N/A N/A</v>
        <stp/>
        <stp>BDP|18298697446519306704</stp>
        <tr r="H3614" s="2"/>
      </tp>
      <tp t="s">
        <v>#N/A N/A</v>
        <stp/>
        <stp>BDP|17592191014732095169</stp>
        <tr r="H3185" s="2"/>
      </tp>
      <tp t="s">
        <v>#N/A N/A</v>
        <stp/>
        <stp>BDP|18438485160196510879</stp>
        <tr r="G2930" s="2"/>
      </tp>
      <tp t="s">
        <v>#N/A N/A</v>
        <stp/>
        <stp>BDP|15105088033395234766</stp>
        <tr r="I1739" s="2"/>
      </tp>
      <tp t="s">
        <v>#N/A N/A</v>
        <stp/>
        <stp>BDP|13768368052614562580</stp>
        <tr r="C1366" s="2"/>
      </tp>
      <tp t="s">
        <v>#N/A N/A</v>
        <stp/>
        <stp>BDP|17352330570106832169</stp>
        <tr r="A4818" s="2"/>
      </tp>
      <tp t="s">
        <v>#N/A N/A</v>
        <stp/>
        <stp>BDP|17797493451942083015</stp>
        <tr r="C2041" s="2"/>
      </tp>
      <tp t="s">
        <v>#N/A N/A</v>
        <stp/>
        <stp>BDP|10037816285001934538</stp>
        <tr r="A402" s="2"/>
      </tp>
      <tp t="s">
        <v>#N/A N/A</v>
        <stp/>
        <stp>BDP|17971656023680018718</stp>
        <tr r="I1731" s="2"/>
      </tp>
      <tp t="s">
        <v>#N/A N/A</v>
        <stp/>
        <stp>BDP|14986994171527945963</stp>
        <tr r="B3458" s="2"/>
      </tp>
      <tp t="s">
        <v>#N/A N/A</v>
        <stp/>
        <stp>BDP|10218826394612999736</stp>
        <tr r="F3027" s="2"/>
      </tp>
      <tp t="s">
        <v>#N/A N/A</v>
        <stp/>
        <stp>BDP|13752338626732905454</stp>
        <tr r="B3520" s="2"/>
      </tp>
      <tp t="s">
        <v>#N/A N/A</v>
        <stp/>
        <stp>BDP|11486314344036669497</stp>
        <tr r="F3784" s="2"/>
      </tp>
      <tp t="s">
        <v>#N/A N/A</v>
        <stp/>
        <stp>BDP|15833581144881864121</stp>
        <tr r="F2291" s="2"/>
      </tp>
      <tp t="s">
        <v>#N/A N/A</v>
        <stp/>
        <stp>BDP|18050898220174630212</stp>
        <tr r="G1456" s="2"/>
      </tp>
      <tp t="s">
        <v>#N/A N/A</v>
        <stp/>
        <stp>BDP|15121109034610804330</stp>
        <tr r="A4205" s="2"/>
      </tp>
      <tp t="s">
        <v>#N/A N/A</v>
        <stp/>
        <stp>BDP|17469409964315936472</stp>
        <tr r="I4045" s="2"/>
      </tp>
      <tp t="s">
        <v>#N/A N/A</v>
        <stp/>
        <stp>BDP|13319213897148883436</stp>
        <tr r="F2261" s="2"/>
      </tp>
      <tp t="s">
        <v>#N/A N/A</v>
        <stp/>
        <stp>BDP|14356511405731191487</stp>
        <tr r="I3709" s="2"/>
      </tp>
      <tp t="s">
        <v>#N/A N/A</v>
        <stp/>
        <stp>BDP|13907443042831966680</stp>
        <tr r="C1564" s="2"/>
      </tp>
      <tp t="s">
        <v>#N/A N/A</v>
        <stp/>
        <stp>BDP|13124304350734689595</stp>
        <tr r="B3931" s="2"/>
      </tp>
      <tp t="s">
        <v>#N/A N/A</v>
        <stp/>
        <stp>BDP|16569419330327995239</stp>
        <tr r="H1143" s="2"/>
      </tp>
      <tp t="s">
        <v>#N/A N/A</v>
        <stp/>
        <stp>BDP|17195304845584942030</stp>
        <tr r="F1380" s="2"/>
      </tp>
      <tp t="s">
        <v>#N/A N/A</v>
        <stp/>
        <stp>BDP|10190278395538981740</stp>
        <tr r="I4831" s="2"/>
      </tp>
      <tp t="s">
        <v>#N/A N/A</v>
        <stp/>
        <stp>BDP|11644081826855281246</stp>
        <tr r="I3375" s="2"/>
      </tp>
      <tp t="s">
        <v>#N/A N/A</v>
        <stp/>
        <stp>BDP|13872776567084667204</stp>
        <tr r="F377" s="2"/>
      </tp>
      <tp t="s">
        <v>#N/A N/A</v>
        <stp/>
        <stp>BDP|14874656677534779530</stp>
        <tr r="H1261" s="2"/>
      </tp>
      <tp t="s">
        <v>#N/A N/A</v>
        <stp/>
        <stp>BDP|14309629019476194177</stp>
        <tr r="G2066" s="2"/>
      </tp>
      <tp t="s">
        <v>#N/A N/A</v>
        <stp/>
        <stp>BDP|11163020544516160786</stp>
        <tr r="D1193" s="2"/>
      </tp>
      <tp t="s">
        <v>#N/A N/A</v>
        <stp/>
        <stp>BDP|17043397078024907360</stp>
        <tr r="I1892" s="2"/>
      </tp>
      <tp t="s">
        <v>#N/A N/A</v>
        <stp/>
        <stp>BDP|17101167894032977942</stp>
        <tr r="F4463" s="2"/>
      </tp>
      <tp t="s">
        <v>#N/A N/A</v>
        <stp/>
        <stp>BDP|11637743561783954740</stp>
        <tr r="B1928" s="2"/>
      </tp>
      <tp t="s">
        <v>#N/A N/A</v>
        <stp/>
        <stp>BDP|17064305995258976124</stp>
        <tr r="C2141" s="2"/>
      </tp>
      <tp t="s">
        <v>#N/A N/A</v>
        <stp/>
        <stp>BDP|10150143948115758440</stp>
        <tr r="D17" s="2"/>
      </tp>
      <tp t="s">
        <v>#N/A N/A</v>
        <stp/>
        <stp>BDP|10511397511927486175</stp>
        <tr r="F987" s="2"/>
      </tp>
      <tp t="s">
        <v>#N/A N/A</v>
        <stp/>
        <stp>BDP|10368591038323919157</stp>
        <tr r="I1272" s="2"/>
      </tp>
      <tp t="s">
        <v>#N/A N/A</v>
        <stp/>
        <stp>BDP|14262123702831485087</stp>
        <tr r="A1984" s="2"/>
      </tp>
      <tp t="s">
        <v>#N/A N/A</v>
        <stp/>
        <stp>BDP|15256491965351376231</stp>
        <tr r="B64" s="2"/>
      </tp>
      <tp t="s">
        <v>#N/A N/A</v>
        <stp/>
        <stp>BDP|10447315410257908122</stp>
        <tr r="I1267" s="2"/>
      </tp>
      <tp t="s">
        <v>#N/A N/A</v>
        <stp/>
        <stp>BDP|11124807329559135672</stp>
        <tr r="F3705" s="2"/>
      </tp>
      <tp t="s">
        <v>#N/A N/A</v>
        <stp/>
        <stp>BDP|11237609007243394080</stp>
        <tr r="I4395" s="2"/>
      </tp>
      <tp t="s">
        <v>#N/A N/A</v>
        <stp/>
        <stp>BDP|14018981694299576974</stp>
        <tr r="G4139" s="2"/>
      </tp>
      <tp t="s">
        <v>#N/A N/A</v>
        <stp/>
        <stp>BDP|14967171344441541416</stp>
        <tr r="A2654" s="2"/>
      </tp>
      <tp t="s">
        <v>#N/A N/A</v>
        <stp/>
        <stp>BDP|16315444709231553753</stp>
        <tr r="F1452" s="2"/>
      </tp>
      <tp t="s">
        <v>#N/A N/A</v>
        <stp/>
        <stp>BDP|17060823993603603193</stp>
        <tr r="C3644" s="2"/>
      </tp>
      <tp t="s">
        <v>#N/A N/A</v>
        <stp/>
        <stp>BDP|16957647282659926586</stp>
        <tr r="I1356" s="2"/>
      </tp>
      <tp t="s">
        <v>#N/A N/A</v>
        <stp/>
        <stp>BDP|10227184415706211230</stp>
        <tr r="H4255" s="2"/>
      </tp>
      <tp t="s">
        <v>#N/A N/A</v>
        <stp/>
        <stp>BDP|13084814358289403339</stp>
        <tr r="G1938" s="2"/>
      </tp>
      <tp t="s">
        <v>#N/A N/A</v>
        <stp/>
        <stp>BDP|13278634217647041786</stp>
        <tr r="C1105" s="2"/>
      </tp>
      <tp t="s">
        <v>#N/A N/A</v>
        <stp/>
        <stp>BDP|16418500440420367394</stp>
        <tr r="A2616" s="2"/>
      </tp>
      <tp t="s">
        <v>#N/A N/A</v>
        <stp/>
        <stp>BDP|15062653294499869770</stp>
        <tr r="C557" s="2"/>
      </tp>
      <tp t="s">
        <v>#N/A N/A</v>
        <stp/>
        <stp>BDP|17661458796246232898</stp>
        <tr r="I684" s="2"/>
      </tp>
      <tp t="s">
        <v>#N/A N/A</v>
        <stp/>
        <stp>BDP|10703101605624578196</stp>
        <tr r="F1015" s="2"/>
      </tp>
      <tp t="s">
        <v>#N/A N/A</v>
        <stp/>
        <stp>BDP|13933243090745288919</stp>
        <tr r="I2364" s="2"/>
      </tp>
      <tp t="s">
        <v>#N/A N/A</v>
        <stp/>
        <stp>BDP|16806011971712361756</stp>
        <tr r="I3290" s="2"/>
      </tp>
      <tp t="s">
        <v>#N/A N/A</v>
        <stp/>
        <stp>BDP|10240673345040879666</stp>
        <tr r="H2353" s="2"/>
      </tp>
      <tp t="s">
        <v>#N/A N/A</v>
        <stp/>
        <stp>BDP|10203786202197141475</stp>
        <tr r="A227" s="2"/>
      </tp>
      <tp t="s">
        <v>#N/A N/A</v>
        <stp/>
        <stp>BDP|14395379308470138331</stp>
        <tr r="H49" s="2"/>
      </tp>
      <tp t="s">
        <v>#N/A N/A</v>
        <stp/>
        <stp>BDP|16695643393975628897</stp>
        <tr r="D3204" s="2"/>
      </tp>
      <tp t="s">
        <v>#N/A N/A</v>
        <stp/>
        <stp>BDP|13318951039994689977</stp>
        <tr r="C1167" s="2"/>
      </tp>
      <tp t="s">
        <v>#N/A N/A</v>
        <stp/>
        <stp>BDP|14055112579146246044</stp>
        <tr r="D4512" s="2"/>
      </tp>
      <tp t="s">
        <v>#N/A N/A</v>
        <stp/>
        <stp>BDP|12325629959991439424</stp>
        <tr r="B3896" s="2"/>
      </tp>
      <tp t="s">
        <v>#N/A N/A</v>
        <stp/>
        <stp>BDP|14966107317257329734</stp>
        <tr r="H3030" s="2"/>
      </tp>
      <tp t="s">
        <v>#N/A N/A</v>
        <stp/>
        <stp>BDP|16551548133555850148</stp>
        <tr r="C3315" s="2"/>
      </tp>
      <tp t="s">
        <v>#N/A N/A</v>
        <stp/>
        <stp>BDP|12058463929461173100</stp>
        <tr r="F1574" s="2"/>
      </tp>
      <tp t="s">
        <v>#N/A N/A</v>
        <stp/>
        <stp>BDP|16265087447431421772</stp>
        <tr r="G2642" s="2"/>
      </tp>
      <tp t="s">
        <v>#N/A N/A</v>
        <stp/>
        <stp>BDP|13758895582614531371</stp>
        <tr r="I3801" s="2"/>
      </tp>
      <tp t="s">
        <v>#N/A N/A</v>
        <stp/>
        <stp>BDP|17208411477200259082</stp>
        <tr r="I3333" s="2"/>
      </tp>
      <tp t="s">
        <v>#N/A N/A</v>
        <stp/>
        <stp>BDP|16141340620713830034</stp>
        <tr r="C3998" s="2"/>
      </tp>
      <tp t="s">
        <v>#N/A N/A</v>
        <stp/>
        <stp>BDP|11224211557766234483</stp>
        <tr r="H3991" s="2"/>
      </tp>
      <tp t="s">
        <v>#N/A N/A</v>
        <stp/>
        <stp>BDP|10782665959437860014</stp>
        <tr r="H1970" s="2"/>
      </tp>
      <tp t="s">
        <v>#N/A N/A</v>
        <stp/>
        <stp>BDP|15057579315625062037</stp>
        <tr r="B1837" s="2"/>
      </tp>
      <tp t="s">
        <v>#N/A N/A</v>
        <stp/>
        <stp>BDP|13090021707835539219</stp>
        <tr r="I576" s="2"/>
      </tp>
      <tp t="s">
        <v>#N/A N/A</v>
        <stp/>
        <stp>BDP|10719169511696370223</stp>
        <tr r="I1680" s="2"/>
      </tp>
      <tp t="s">
        <v>#N/A N/A</v>
        <stp/>
        <stp>BDP|14246052487669081112</stp>
        <tr r="C103" s="2"/>
      </tp>
      <tp t="s">
        <v>#N/A N/A</v>
        <stp/>
        <stp>BDP|13362593058405621259</stp>
        <tr r="G4000" s="2"/>
      </tp>
      <tp t="s">
        <v>#N/A N/A</v>
        <stp/>
        <stp>BDP|13581564352580068705</stp>
        <tr r="B3648" s="2"/>
      </tp>
      <tp t="s">
        <v>#N/A N/A</v>
        <stp/>
        <stp>BDP|15861992053064399904</stp>
        <tr r="D2442" s="2"/>
      </tp>
      <tp t="s">
        <v>#N/A N/A</v>
        <stp/>
        <stp>BDP|11228426213139553979</stp>
        <tr r="A3648" s="2"/>
      </tp>
      <tp t="s">
        <v>#N/A N/A</v>
        <stp/>
        <stp>BDP|16803233026250483280</stp>
        <tr r="G2711" s="2"/>
      </tp>
      <tp t="s">
        <v>#N/A N/A</v>
        <stp/>
        <stp>BDP|13015039372424430446</stp>
        <tr r="G4926" s="2"/>
      </tp>
      <tp t="s">
        <v>#N/A N/A</v>
        <stp/>
        <stp>BDP|12454671732806305535</stp>
        <tr r="G4087" s="2"/>
      </tp>
      <tp t="s">
        <v>#N/A N/A</v>
        <stp/>
        <stp>BDP|17916298475236600022</stp>
        <tr r="A4103" s="2"/>
      </tp>
      <tp t="s">
        <v>#N/A N/A</v>
        <stp/>
        <stp>BDP|17859055681012893951</stp>
        <tr r="A1400" s="2"/>
      </tp>
      <tp t="s">
        <v>#N/A N/A</v>
        <stp/>
        <stp>BDP|14195264561281462531</stp>
        <tr r="B1843" s="2"/>
      </tp>
      <tp t="s">
        <v>#N/A N/A</v>
        <stp/>
        <stp>BDP|14500363524603141279</stp>
        <tr r="I724" s="2"/>
      </tp>
      <tp t="s">
        <v>#N/A N/A</v>
        <stp/>
        <stp>BDP|15216663325675892085</stp>
        <tr r="B3916" s="2"/>
      </tp>
      <tp t="s">
        <v>#N/A N/A</v>
        <stp/>
        <stp>BDP|12288781149500426561</stp>
        <tr r="B3489" s="2"/>
      </tp>
      <tp t="s">
        <v>#N/A N/A</v>
        <stp/>
        <stp>BDP|12448532679463793784</stp>
        <tr r="I3084" s="2"/>
      </tp>
      <tp t="s">
        <v>#N/A N/A</v>
        <stp/>
        <stp>BDP|13873769631067998478</stp>
        <tr r="B1856" s="2"/>
      </tp>
      <tp t="s">
        <v>#N/A N/A</v>
        <stp/>
        <stp>BDP|10804570820615917678</stp>
        <tr r="I4768" s="2"/>
      </tp>
      <tp t="s">
        <v>#N/A N/A</v>
        <stp/>
        <stp>BDP|18297944147745467443</stp>
        <tr r="F306" s="2"/>
      </tp>
      <tp t="s">
        <v>#N/A N/A</v>
        <stp/>
        <stp>BDP|13567214900496093350</stp>
        <tr r="D1845" s="2"/>
      </tp>
      <tp t="s">
        <v>#N/A N/A</v>
        <stp/>
        <stp>BDP|15627204216523953189</stp>
        <tr r="D2869" s="2"/>
      </tp>
      <tp t="s">
        <v>#N/A N/A</v>
        <stp/>
        <stp>BDP|12276162900591064659</stp>
        <tr r="D2516" s="2"/>
      </tp>
      <tp t="s">
        <v>#N/A N/A</v>
        <stp/>
        <stp>BDP|10707759365224729117</stp>
        <tr r="A3313" s="2"/>
      </tp>
      <tp t="s">
        <v>#N/A N/A</v>
        <stp/>
        <stp>BDP|11618450151444389003</stp>
        <tr r="G2335" s="2"/>
      </tp>
      <tp t="s">
        <v>#N/A N/A</v>
        <stp/>
        <stp>BDP|16632580340645622699</stp>
        <tr r="F2205" s="2"/>
      </tp>
      <tp t="s">
        <v>#N/A N/A</v>
        <stp/>
        <stp>BDP|14145023137907794429</stp>
        <tr r="C3351" s="2"/>
      </tp>
      <tp t="s">
        <v>#N/A N/A</v>
        <stp/>
        <stp>BDP|16843648440616516685</stp>
        <tr r="F578" s="2"/>
      </tp>
      <tp t="s">
        <v>#N/A N/A</v>
        <stp/>
        <stp>BDP|11305427562824021323</stp>
        <tr r="F4377" s="2"/>
      </tp>
      <tp t="s">
        <v>#N/A N/A</v>
        <stp/>
        <stp>BDP|12854864291491997671</stp>
        <tr r="I1664" s="2"/>
      </tp>
      <tp t="s">
        <v>#N/A N/A</v>
        <stp/>
        <stp>BDP|17749735446877150721</stp>
        <tr r="G2723" s="2"/>
      </tp>
      <tp t="s">
        <v>#N/A N/A</v>
        <stp/>
        <stp>BDP|10283412600148367810</stp>
        <tr r="D2274" s="2"/>
      </tp>
      <tp t="s">
        <v>#N/A N/A</v>
        <stp/>
        <stp>BDP|14496195728941799230</stp>
        <tr r="C91" s="2"/>
      </tp>
      <tp t="s">
        <v>#N/A N/A</v>
        <stp/>
        <stp>BDP|12530249745794024453</stp>
        <tr r="A3114" s="2"/>
      </tp>
      <tp t="s">
        <v>#N/A N/A</v>
        <stp/>
        <stp>BDP|15443138949263629790</stp>
        <tr r="H4461" s="2"/>
      </tp>
      <tp t="s">
        <v>#N/A N/A</v>
        <stp/>
        <stp>BDP|14990105474040823642</stp>
        <tr r="D4255" s="2"/>
      </tp>
      <tp t="s">
        <v>#N/A N/A</v>
        <stp/>
        <stp>BDP|16655315912353433303</stp>
        <tr r="G2763" s="2"/>
      </tp>
      <tp t="s">
        <v>#N/A N/A</v>
        <stp/>
        <stp>BDP|13851246458787738724</stp>
        <tr r="F3421" s="2"/>
      </tp>
      <tp t="s">
        <v>#N/A N/A</v>
        <stp/>
        <stp>BDP|14430304735382648263</stp>
        <tr r="I1209" s="2"/>
      </tp>
      <tp t="s">
        <v>#N/A N/A</v>
        <stp/>
        <stp>BDP|15819630168627779653</stp>
        <tr r="C354" s="2"/>
      </tp>
      <tp t="s">
        <v>#N/A N/A</v>
        <stp/>
        <stp>BDP|16614964765234513915</stp>
        <tr r="H732" s="2"/>
      </tp>
      <tp t="s">
        <v>#N/A N/A</v>
        <stp/>
        <stp>BDP|13788451258221814738</stp>
        <tr r="G4558" s="2"/>
      </tp>
      <tp t="s">
        <v>#N/A N/A</v>
        <stp/>
        <stp>BDP|13896444028853529205</stp>
        <tr r="G1440" s="2"/>
      </tp>
      <tp t="s">
        <v>#N/A N/A</v>
        <stp/>
        <stp>BDP|14267996430442231885</stp>
        <tr r="C2727" s="2"/>
      </tp>
      <tp t="s">
        <v>#N/A N/A</v>
        <stp/>
        <stp>BDP|14202220585279001340</stp>
        <tr r="A950" s="2"/>
      </tp>
      <tp t="s">
        <v>#N/A N/A</v>
        <stp/>
        <stp>BDP|12684678512970394112</stp>
        <tr r="D2163" s="2"/>
      </tp>
      <tp t="s">
        <v>#N/A N/A</v>
        <stp/>
        <stp>BDP|16241071018551512290</stp>
        <tr r="D792" s="2"/>
      </tp>
      <tp t="s">
        <v>#N/A N/A</v>
        <stp/>
        <stp>BDP|12784233649962904253</stp>
        <tr r="G2483" s="2"/>
      </tp>
      <tp t="s">
        <v>#N/A N/A</v>
        <stp/>
        <stp>BDP|13965696310163653375</stp>
        <tr r="B4169" s="2"/>
      </tp>
      <tp t="s">
        <v>#N/A N/A</v>
        <stp/>
        <stp>BDP|17067255914157278724</stp>
        <tr r="H494" s="2"/>
      </tp>
      <tp t="s">
        <v>#N/A N/A</v>
        <stp/>
        <stp>BDP|11833583305638131854</stp>
        <tr r="B1672" s="2"/>
      </tp>
      <tp t="s">
        <v>#N/A N/A</v>
        <stp/>
        <stp>BDP|15144033207596150757</stp>
        <tr r="I3846" s="2"/>
      </tp>
      <tp t="s">
        <v>#N/A N/A</v>
        <stp/>
        <stp>BDP|12549305645695658472</stp>
        <tr r="G1253" s="2"/>
      </tp>
      <tp t="s">
        <v>#N/A N/A</v>
        <stp/>
        <stp>BDP|14618445023564830282</stp>
        <tr r="G1608" s="2"/>
      </tp>
      <tp t="s">
        <v>#N/A N/A</v>
        <stp/>
        <stp>BDP|17122547742992382054</stp>
        <tr r="B364" s="2"/>
      </tp>
      <tp t="s">
        <v>#N/A N/A</v>
        <stp/>
        <stp>BDP|17851167893849433289</stp>
        <tr r="C181" s="2"/>
      </tp>
      <tp t="s">
        <v>#N/A N/A</v>
        <stp/>
        <stp>BDP|11205302225686725216</stp>
        <tr r="I996" s="2"/>
      </tp>
      <tp t="s">
        <v>#N/A N/A</v>
        <stp/>
        <stp>BDP|15234151133297759425</stp>
        <tr r="F1129" s="2"/>
      </tp>
      <tp t="s">
        <v>#N/A N/A</v>
        <stp/>
        <stp>BDP|13187924481915051330</stp>
        <tr r="A477" s="2"/>
      </tp>
      <tp t="s">
        <v>#N/A N/A</v>
        <stp/>
        <stp>BDP|16400406350066499518</stp>
        <tr r="I2262" s="2"/>
      </tp>
      <tp t="s">
        <v>#N/A N/A</v>
        <stp/>
        <stp>BDP|16109643053963398244</stp>
        <tr r="C1512" s="2"/>
      </tp>
      <tp t="s">
        <v>#N/A N/A</v>
        <stp/>
        <stp>BDP|11056199055125522488</stp>
        <tr r="D2504" s="2"/>
      </tp>
      <tp t="s">
        <v>#N/A N/A</v>
        <stp/>
        <stp>BDP|17000053126453265206</stp>
        <tr r="D1504" s="2"/>
      </tp>
      <tp t="s">
        <v>#N/A N/A</v>
        <stp/>
        <stp>BDP|12921444744382929411</stp>
        <tr r="G2877" s="2"/>
      </tp>
      <tp t="s">
        <v>#N/A N/A</v>
        <stp/>
        <stp>BDP|15628992993577977644</stp>
        <tr r="I661" s="2"/>
      </tp>
      <tp t="s">
        <v>#N/A N/A</v>
        <stp/>
        <stp>BDP|17309436051391943397</stp>
        <tr r="B3818" s="2"/>
      </tp>
      <tp t="s">
        <v>#N/A N/A</v>
        <stp/>
        <stp>BDP|18409652444588369674</stp>
        <tr r="I3572" s="2"/>
      </tp>
      <tp t="s">
        <v>#N/A N/A</v>
        <stp/>
        <stp>BDP|13381993722629910509</stp>
        <tr r="B3415" s="2"/>
      </tp>
      <tp t="s">
        <v>#N/A N/A</v>
        <stp/>
        <stp>BDP|16229220751096407347</stp>
        <tr r="A4357" s="2"/>
      </tp>
      <tp t="s">
        <v>#N/A N/A</v>
        <stp/>
        <stp>BDP|17205037660251565456</stp>
        <tr r="I1111" s="2"/>
      </tp>
      <tp t="s">
        <v>#N/A N/A</v>
        <stp/>
        <stp>BDP|14903937995096741696</stp>
        <tr r="C397" s="2"/>
      </tp>
      <tp t="s">
        <v>#N/A N/A</v>
        <stp/>
        <stp>BDP|12799784173217899152</stp>
        <tr r="A178" s="2"/>
      </tp>
      <tp t="s">
        <v>#N/A N/A</v>
        <stp/>
        <stp>BDP|17005500190428685778</stp>
        <tr r="D1298" s="2"/>
      </tp>
      <tp t="s">
        <v>#N/A N/A</v>
        <stp/>
        <stp>BDP|17471640625512707529</stp>
        <tr r="G319" s="2"/>
      </tp>
      <tp t="s">
        <v>#N/A N/A</v>
        <stp/>
        <stp>BDP|15080624271492146226</stp>
        <tr r="C4829" s="2"/>
      </tp>
      <tp t="s">
        <v>#N/A N/A</v>
        <stp/>
        <stp>BDP|12153178736583972795</stp>
        <tr r="D231" s="2"/>
      </tp>
      <tp t="s">
        <v>#N/A N/A</v>
        <stp/>
        <stp>BDP|13889363875236358586</stp>
        <tr r="D1697" s="2"/>
      </tp>
      <tp t="s">
        <v>#N/A N/A</v>
        <stp/>
        <stp>BDP|15758625659922556096</stp>
        <tr r="C4603" s="2"/>
      </tp>
      <tp t="s">
        <v>#N/A N/A</v>
        <stp/>
        <stp>BDP|11379866028886571984</stp>
        <tr r="F4643" s="2"/>
      </tp>
      <tp t="s">
        <v>#N/A N/A</v>
        <stp/>
        <stp>BDP|12862779120921883274</stp>
        <tr r="F2015" s="2"/>
      </tp>
      <tp t="s">
        <v>#N/A N/A</v>
        <stp/>
        <stp>BDP|11161825955478380056</stp>
        <tr r="I4560" s="2"/>
      </tp>
      <tp t="s">
        <v>#N/A N/A</v>
        <stp/>
        <stp>BDP|17786915747217048912</stp>
        <tr r="C2319" s="2"/>
      </tp>
      <tp t="s">
        <v>#N/A N/A</v>
        <stp/>
        <stp>BDP|14054889185688936840</stp>
        <tr r="G2649" s="2"/>
      </tp>
      <tp t="s">
        <v>#N/A N/A</v>
        <stp/>
        <stp>BDP|17580393898621020846</stp>
        <tr r="G1301" s="2"/>
      </tp>
      <tp t="s">
        <v>#N/A N/A</v>
        <stp/>
        <stp>BDP|12533248088318003491</stp>
        <tr r="B1869" s="2"/>
      </tp>
      <tp t="s">
        <v>#N/A N/A</v>
        <stp/>
        <stp>BDP|13529283948629372869</stp>
        <tr r="C4243" s="2"/>
      </tp>
      <tp t="s">
        <v>#N/A N/A</v>
        <stp/>
        <stp>BDP|13707949123039035503</stp>
        <tr r="B878" s="2"/>
      </tp>
      <tp t="s">
        <v>#N/A N/A</v>
        <stp/>
        <stp>BDP|11153046900984661135</stp>
        <tr r="H3292" s="2"/>
      </tp>
      <tp t="s">
        <v>#N/A N/A</v>
        <stp/>
        <stp>BDP|10368555425411463279</stp>
        <tr r="A2139" s="2"/>
      </tp>
      <tp t="s">
        <v>#N/A N/A</v>
        <stp/>
        <stp>BDP|12841973221314899965</stp>
        <tr r="H3385" s="2"/>
      </tp>
      <tp t="s">
        <v>#N/A N/A</v>
        <stp/>
        <stp>BDP|11391795731520303181</stp>
        <tr r="B1110" s="2"/>
      </tp>
      <tp t="s">
        <v>#N/A N/A</v>
        <stp/>
        <stp>BDP|14894233795518635384</stp>
        <tr r="I1227" s="2"/>
      </tp>
      <tp t="s">
        <v>#N/A N/A</v>
        <stp/>
        <stp>BDP|18397848582008701429</stp>
        <tr r="G1872" s="2"/>
      </tp>
      <tp t="s">
        <v>#N/A N/A</v>
        <stp/>
        <stp>BDP|13486026766129515851</stp>
        <tr r="F2912" s="2"/>
      </tp>
      <tp t="s">
        <v>#N/A N/A</v>
        <stp/>
        <stp>BDP|13920948391132931557</stp>
        <tr r="I2028" s="2"/>
      </tp>
      <tp t="s">
        <v>#N/A N/A</v>
        <stp/>
        <stp>BDP|15924718316716653186</stp>
        <tr r="C3208" s="2"/>
      </tp>
      <tp t="s">
        <v>#N/A N/A</v>
        <stp/>
        <stp>BDP|11694333762168251850</stp>
        <tr r="F3993" s="2"/>
      </tp>
      <tp t="s">
        <v>#N/A N/A</v>
        <stp/>
        <stp>BDP|11927373768970733015</stp>
        <tr r="I4391" s="2"/>
      </tp>
      <tp t="s">
        <v>#N/A N/A</v>
        <stp/>
        <stp>BDP|14522264040965545365</stp>
        <tr r="D3974" s="2"/>
      </tp>
      <tp t="s">
        <v>#N/A N/A</v>
        <stp/>
        <stp>BDP|17561291909320016158</stp>
        <tr r="B1068" s="2"/>
      </tp>
      <tp t="s">
        <v>#N/A N/A</v>
        <stp/>
        <stp>BDP|10277437548811169583</stp>
        <tr r="G3346" s="2"/>
      </tp>
      <tp t="s">
        <v>#N/A N/A</v>
        <stp/>
        <stp>BDP|11097682012807282586</stp>
        <tr r="D4587" s="2"/>
      </tp>
      <tp t="s">
        <v>#N/A N/A</v>
        <stp/>
        <stp>BDP|17221728531373553441</stp>
        <tr r="I4247" s="2"/>
      </tp>
      <tp t="s">
        <v>#N/A N/A</v>
        <stp/>
        <stp>BDP|18148936851042394206</stp>
        <tr r="C68" s="2"/>
      </tp>
      <tp t="s">
        <v>#N/A N/A</v>
        <stp/>
        <stp>BDP|15081356143866425029</stp>
        <tr r="I2512" s="2"/>
      </tp>
      <tp t="s">
        <v>#N/A N/A</v>
        <stp/>
        <stp>BDP|16426450766577594723</stp>
        <tr r="I715" s="2"/>
      </tp>
      <tp t="s">
        <v>#N/A N/A</v>
        <stp/>
        <stp>BDP|13152237701842379701</stp>
        <tr r="B594" s="2"/>
      </tp>
      <tp t="s">
        <v>#N/A N/A</v>
        <stp/>
        <stp>BDP|10479390119752156459</stp>
        <tr r="G3697" s="2"/>
      </tp>
      <tp t="s">
        <v>#N/A N/A</v>
        <stp/>
        <stp>BDP|13888189181158786664</stp>
        <tr r="D1602" s="2"/>
      </tp>
      <tp t="s">
        <v>#N/A N/A</v>
        <stp/>
        <stp>BDP|14668320595619455356</stp>
        <tr r="F2281" s="2"/>
      </tp>
      <tp t="s">
        <v>#N/A N/A</v>
        <stp/>
        <stp>BDP|10814665629100027074</stp>
        <tr r="I762" s="2"/>
      </tp>
      <tp t="s">
        <v>#N/A N/A</v>
        <stp/>
        <stp>BDP|14626429191935171846</stp>
        <tr r="H3664" s="2"/>
      </tp>
      <tp t="s">
        <v>#N/A N/A</v>
        <stp/>
        <stp>BDP|15015775089518842666</stp>
        <tr r="A2391" s="2"/>
      </tp>
      <tp t="s">
        <v>#N/A N/A</v>
        <stp/>
        <stp>BDP|16148745019615958151</stp>
        <tr r="F1729" s="2"/>
      </tp>
      <tp t="s">
        <v>#N/A N/A</v>
        <stp/>
        <stp>BDP|17268429972544594470</stp>
        <tr r="F407" s="2"/>
      </tp>
      <tp t="s">
        <v>#N/A N/A</v>
        <stp/>
        <stp>BDP|14166329288899832236</stp>
        <tr r="D593" s="2"/>
      </tp>
      <tp t="s">
        <v>#N/A N/A</v>
        <stp/>
        <stp>BDP|13718432127439524867</stp>
        <tr r="F1686" s="2"/>
      </tp>
      <tp t="s">
        <v>#N/A N/A</v>
        <stp/>
        <stp>BDP|16537072722607605765</stp>
        <tr r="D1629" s="2"/>
      </tp>
      <tp t="s">
        <v>#N/A N/A</v>
        <stp/>
        <stp>BDP|15175604334306577205</stp>
        <tr r="I4756" s="2"/>
      </tp>
      <tp t="s">
        <v>#N/A N/A</v>
        <stp/>
        <stp>BDP|13474533306370360223</stp>
        <tr r="C4026" s="2"/>
      </tp>
      <tp t="s">
        <v>#N/A N/A</v>
        <stp/>
        <stp>BDP|10306559162401574618</stp>
        <tr r="G4317" s="2"/>
      </tp>
      <tp t="s">
        <v>#N/A N/A</v>
        <stp/>
        <stp>BDP|16477011226106367603</stp>
        <tr r="A208" s="2"/>
      </tp>
      <tp t="s">
        <v>#N/A N/A</v>
        <stp/>
        <stp>BDP|12652741935421575326</stp>
        <tr r="A1279" s="2"/>
      </tp>
      <tp t="s">
        <v>#N/A N/A</v>
        <stp/>
        <stp>BDP|13747911099882683594</stp>
        <tr r="B4607" s="2"/>
      </tp>
      <tp t="s">
        <v>#N/A N/A</v>
        <stp/>
        <stp>BDP|17831826460435298889</stp>
        <tr r="G2965" s="2"/>
      </tp>
      <tp t="s">
        <v>#N/A N/A</v>
        <stp/>
        <stp>BDP|11177033552334328434</stp>
        <tr r="G631" s="2"/>
      </tp>
      <tp t="s">
        <v>#N/A N/A</v>
        <stp/>
        <stp>BDP|14216323212266659444</stp>
        <tr r="A1898" s="2"/>
      </tp>
      <tp t="s">
        <v>#N/A N/A</v>
        <stp/>
        <stp>BDP|16301800547728632625</stp>
        <tr r="C4944" s="2"/>
      </tp>
      <tp t="s">
        <v>#N/A N/A</v>
        <stp/>
        <stp>BDP|16892032903854868604</stp>
        <tr r="D4216" s="2"/>
      </tp>
      <tp t="s">
        <v>#N/A N/A</v>
        <stp/>
        <stp>BDP|11912214078414603460</stp>
        <tr r="D2462" s="2"/>
      </tp>
      <tp t="s">
        <v>#N/A N/A</v>
        <stp/>
        <stp>BDP|10703960022216771944</stp>
        <tr r="B1216" s="2"/>
      </tp>
      <tp t="s">
        <v>#N/A N/A</v>
        <stp/>
        <stp>BDP|16184583138564880097</stp>
        <tr r="A852" s="2"/>
      </tp>
      <tp t="s">
        <v>#N/A N/A</v>
        <stp/>
        <stp>BDP|14970306699648900296</stp>
        <tr r="G4932" s="2"/>
      </tp>
      <tp t="s">
        <v>#N/A N/A</v>
        <stp/>
        <stp>BDP|14145592139091120704</stp>
        <tr r="I1774" s="2"/>
      </tp>
      <tp t="s">
        <v>#N/A N/A</v>
        <stp/>
        <stp>BDP|14727576686784075964</stp>
        <tr r="D1822" s="2"/>
      </tp>
      <tp t="s">
        <v>#N/A N/A</v>
        <stp/>
        <stp>BDP|10667344945577016476</stp>
        <tr r="H3566" s="2"/>
      </tp>
      <tp t="s">
        <v>#N/A N/A</v>
        <stp/>
        <stp>BDP|15018799718674687376</stp>
        <tr r="B4495" s="2"/>
      </tp>
      <tp t="s">
        <v>#N/A N/A</v>
        <stp/>
        <stp>BDP|16805631073490823307</stp>
        <tr r="G2204" s="2"/>
      </tp>
      <tp t="s">
        <v>#N/A N/A</v>
        <stp/>
        <stp>BDP|15236790645683722197</stp>
        <tr r="G1367" s="2"/>
      </tp>
      <tp t="s">
        <v>#N/A N/A</v>
        <stp/>
        <stp>BDP|13329291563222919100</stp>
        <tr r="H1887" s="2"/>
      </tp>
      <tp t="s">
        <v>#N/A N/A</v>
        <stp/>
        <stp>BDP|13235977405156727877</stp>
        <tr r="H2136" s="2"/>
      </tp>
      <tp t="s">
        <v>#N/A N/A</v>
        <stp/>
        <stp>BDP|13517188089578292665</stp>
        <tr r="B1762" s="2"/>
      </tp>
      <tp t="s">
        <v>#N/A N/A</v>
        <stp/>
        <stp>BDP|12047575526138044913</stp>
        <tr r="F2144" s="2"/>
      </tp>
      <tp t="s">
        <v>#N/A N/A</v>
        <stp/>
        <stp>BDP|17518124876772866793</stp>
        <tr r="H2552" s="2"/>
      </tp>
      <tp t="s">
        <v>#N/A N/A</v>
        <stp/>
        <stp>BDP|15970330626680513096</stp>
        <tr r="C562" s="2"/>
      </tp>
      <tp t="s">
        <v>#N/A N/A</v>
        <stp/>
        <stp>BDP|18208101548019951032</stp>
        <tr r="I3978" s="2"/>
      </tp>
      <tp t="s">
        <v>#N/A N/A</v>
        <stp/>
        <stp>BDP|13538326189279961577</stp>
        <tr r="F256" s="2"/>
      </tp>
      <tp t="s">
        <v>#N/A N/A</v>
        <stp/>
        <stp>BDP|17652802150589444720</stp>
        <tr r="B3586" s="2"/>
      </tp>
      <tp t="s">
        <v>#N/A N/A</v>
        <stp/>
        <stp>BDP|13778965987891296745</stp>
        <tr r="I561" s="2"/>
      </tp>
      <tp t="s">
        <v>#N/A N/A</v>
        <stp/>
        <stp>BDP|12800780220494631761</stp>
        <tr r="B2785" s="2"/>
      </tp>
      <tp t="s">
        <v>#N/A N/A</v>
        <stp/>
        <stp>BDP|18251687928151478962</stp>
        <tr r="D4290" s="2"/>
      </tp>
      <tp t="s">
        <v>#N/A N/A</v>
        <stp/>
        <stp>BDP|17951741021514424285</stp>
        <tr r="I420" s="2"/>
      </tp>
      <tp t="s">
        <v>#N/A N/A</v>
        <stp/>
        <stp>BDP|15395598119425511062</stp>
        <tr r="F1492" s="2"/>
      </tp>
      <tp t="s">
        <v>#N/A N/A</v>
        <stp/>
        <stp>BDP|14907280095003146852</stp>
        <tr r="C4215" s="2"/>
      </tp>
      <tp t="s">
        <v>#N/A N/A</v>
        <stp/>
        <stp>BDP|17931096563511425474</stp>
        <tr r="G1847" s="2"/>
      </tp>
      <tp t="s">
        <v>#N/A N/A</v>
        <stp/>
        <stp>BDP|13729845698176852036</stp>
        <tr r="A2497" s="2"/>
      </tp>
      <tp t="s">
        <v>#N/A N/A</v>
        <stp/>
        <stp>BDP|16946096190859564259</stp>
        <tr r="B4542" s="2"/>
      </tp>
      <tp t="s">
        <v>#N/A N/A</v>
        <stp/>
        <stp>BDP|17595758763381205316</stp>
        <tr r="B4097" s="2"/>
      </tp>
      <tp t="s">
        <v>#N/A N/A</v>
        <stp/>
        <stp>BDP|13652918885927361116</stp>
        <tr r="F214" s="2"/>
      </tp>
      <tp t="s">
        <v>#N/A N/A</v>
        <stp/>
        <stp>BDP|12594137266349298820</stp>
        <tr r="H3276" s="2"/>
      </tp>
      <tp t="s">
        <v>#N/A N/A</v>
        <stp/>
        <stp>BDP|13854953842289696399</stp>
        <tr r="C213" s="2"/>
      </tp>
      <tp t="s">
        <v>#N/A N/A</v>
        <stp/>
        <stp>BDP|14956833146088892474</stp>
        <tr r="G115" s="2"/>
      </tp>
      <tp t="s">
        <v>#N/A N/A</v>
        <stp/>
        <stp>BDP|17708601147915035430</stp>
        <tr r="B3537" s="2"/>
      </tp>
      <tp t="s">
        <v>#N/A N/A</v>
        <stp/>
        <stp>BDP|13774514907804411661</stp>
        <tr r="H566" s="2"/>
      </tp>
      <tp t="s">
        <v>#N/A N/A</v>
        <stp/>
        <stp>BDP|17035972433741550828</stp>
        <tr r="G2620" s="2"/>
      </tp>
      <tp t="s">
        <v>#N/A N/A</v>
        <stp/>
        <stp>BDP|10970122968302688165</stp>
        <tr r="D1641" s="2"/>
      </tp>
      <tp t="s">
        <v>#N/A N/A</v>
        <stp/>
        <stp>BDP|13768674392991191909</stp>
        <tr r="B4311" s="2"/>
      </tp>
      <tp t="s">
        <v>#N/A N/A</v>
        <stp/>
        <stp>BDP|13769400159397463198</stp>
        <tr r="B2680" s="2"/>
      </tp>
      <tp t="s">
        <v>#N/A N/A</v>
        <stp/>
        <stp>BDP|17495350726293526113</stp>
        <tr r="A3862" s="2"/>
      </tp>
      <tp t="s">
        <v>#N/A N/A</v>
        <stp/>
        <stp>BDP|13461476940875931291</stp>
        <tr r="C384" s="2"/>
      </tp>
      <tp t="s">
        <v>#N/A N/A</v>
        <stp/>
        <stp>BDP|10699552685209483018</stp>
        <tr r="A4019" s="2"/>
      </tp>
      <tp t="s">
        <v>#N/A N/A</v>
        <stp/>
        <stp>BDP|12661297159887583608</stp>
        <tr r="I2258" s="2"/>
      </tp>
      <tp t="s">
        <v>#N/A N/A</v>
        <stp/>
        <stp>BDP|17123512326092193640</stp>
        <tr r="G1285" s="2"/>
      </tp>
      <tp t="s">
        <v>#N/A N/A</v>
        <stp/>
        <stp>BDP|11799933123489157752</stp>
        <tr r="A1299" s="2"/>
      </tp>
      <tp t="s">
        <v>#N/A N/A</v>
        <stp/>
        <stp>BDP|15086207073225402144</stp>
        <tr r="A4955" s="2"/>
      </tp>
      <tp t="s">
        <v>#N/A N/A</v>
        <stp/>
        <stp>BDP|11037559432671376272</stp>
        <tr r="C989" s="2"/>
      </tp>
      <tp t="s">
        <v>#N/A N/A</v>
        <stp/>
        <stp>BDP|16924689702142635660</stp>
        <tr r="I3999" s="2"/>
      </tp>
      <tp t="s">
        <v>#N/A N/A</v>
        <stp/>
        <stp>BDP|10938561483548965169</stp>
        <tr r="B4306" s="2"/>
      </tp>
      <tp t="s">
        <v>#N/A N/A</v>
        <stp/>
        <stp>BDP|12729275153603181211</stp>
        <tr r="D3253" s="2"/>
      </tp>
      <tp t="s">
        <v>#N/A N/A</v>
        <stp/>
        <stp>BDP|10443044957375227469</stp>
        <tr r="B3281" s="2"/>
      </tp>
      <tp t="s">
        <v>#N/A N/A</v>
        <stp/>
        <stp>BDP|18123921370222518058</stp>
        <tr r="G1939" s="2"/>
      </tp>
      <tp t="s">
        <v>#N/A N/A</v>
        <stp/>
        <stp>BDP|12155679242614443036</stp>
        <tr r="F603" s="2"/>
      </tp>
      <tp t="s">
        <v>#N/A N/A</v>
        <stp/>
        <stp>BDP|13525267633756626058</stp>
        <tr r="B637" s="2"/>
      </tp>
      <tp t="s">
        <v>#N/A N/A</v>
        <stp/>
        <stp>BDP|11882086015907591336</stp>
        <tr r="C4124" s="2"/>
      </tp>
      <tp t="s">
        <v>#N/A N/A</v>
        <stp/>
        <stp>BDP|16635965285474083762</stp>
        <tr r="I3245" s="2"/>
      </tp>
      <tp t="s">
        <v>#N/A N/A</v>
        <stp/>
        <stp>BDP|10517270896127584827</stp>
        <tr r="G2096" s="2"/>
      </tp>
      <tp t="s">
        <v>#N/A N/A</v>
        <stp/>
        <stp>BDP|12057174845156982587</stp>
        <tr r="D3370" s="2"/>
      </tp>
      <tp t="s">
        <v>#N/A N/A</v>
        <stp/>
        <stp>BDP|10857639878640000505</stp>
        <tr r="C666" s="2"/>
      </tp>
      <tp t="s">
        <v>#N/A N/A</v>
        <stp/>
        <stp>BDP|10684546000705601476</stp>
        <tr r="D1547" s="2"/>
      </tp>
      <tp t="s">
        <v>#N/A N/A</v>
        <stp/>
        <stp>BDP|17537418202287438015</stp>
        <tr r="I4117" s="2"/>
      </tp>
      <tp t="s">
        <v>#N/A N/A</v>
        <stp/>
        <stp>BDP|17623934593692276179</stp>
        <tr r="F2204" s="2"/>
      </tp>
      <tp t="s">
        <v>#N/A N/A</v>
        <stp/>
        <stp>BDP|16908800786927815546</stp>
        <tr r="H1695" s="2"/>
      </tp>
      <tp t="s">
        <v>#N/A N/A</v>
        <stp/>
        <stp>BDP|11191320631741739463</stp>
        <tr r="I1560" s="2"/>
      </tp>
      <tp t="s">
        <v>#N/A N/A</v>
        <stp/>
        <stp>BDP|17095586066216905643</stp>
        <tr r="B1637" s="2"/>
      </tp>
      <tp t="s">
        <v>#N/A N/A</v>
        <stp/>
        <stp>BDP|16598045243360965684</stp>
        <tr r="I3952" s="2"/>
      </tp>
      <tp t="s">
        <v>#N/A N/A</v>
        <stp/>
        <stp>BDP|16387133361532232700</stp>
        <tr r="H3223" s="2"/>
      </tp>
      <tp t="s">
        <v>#N/A N/A</v>
        <stp/>
        <stp>BDP|14236767106140692771</stp>
        <tr r="I1043" s="2"/>
      </tp>
      <tp t="s">
        <v>#N/A N/A</v>
        <stp/>
        <stp>BDP|12579020019823553486</stp>
        <tr r="C3109" s="2"/>
      </tp>
      <tp t="s">
        <v>#N/A N/A</v>
        <stp/>
        <stp>BDP|15395668953400684231</stp>
        <tr r="H3693" s="2"/>
      </tp>
      <tp t="s">
        <v>#N/A N/A</v>
        <stp/>
        <stp>BDP|13796551189729820301</stp>
        <tr r="B1821" s="2"/>
      </tp>
      <tp t="s">
        <v>#N/A N/A</v>
        <stp/>
        <stp>BDP|12085270505933994784</stp>
        <tr r="C2905" s="2"/>
      </tp>
      <tp t="s">
        <v>#N/A N/A</v>
        <stp/>
        <stp>BDP|13019563994952765961</stp>
        <tr r="F4741" s="2"/>
      </tp>
      <tp t="s">
        <v>#N/A N/A</v>
        <stp/>
        <stp>BDP|13597203807991026412</stp>
        <tr r="I230" s="2"/>
      </tp>
      <tp t="s">
        <v>#N/A N/A</v>
        <stp/>
        <stp>BDP|11142371425156030204</stp>
        <tr r="F808" s="2"/>
      </tp>
      <tp t="s">
        <v>#N/A N/A</v>
        <stp/>
        <stp>BDP|16634606771366139557</stp>
        <tr r="H3270" s="2"/>
      </tp>
      <tp t="s">
        <v>#N/A N/A</v>
        <stp/>
        <stp>BDP|13248255465224847795</stp>
        <tr r="H1133" s="2"/>
      </tp>
      <tp t="s">
        <v>#N/A N/A</v>
        <stp/>
        <stp>BDP|12444393007710805512</stp>
        <tr r="F2105" s="2"/>
      </tp>
      <tp t="s">
        <v>#N/A N/A</v>
        <stp/>
        <stp>BDP|17421152100367464567</stp>
        <tr r="G394" s="2"/>
      </tp>
      <tp t="s">
        <v>#N/A N/A</v>
        <stp/>
        <stp>BDP|11088004673834653660</stp>
        <tr r="B2967" s="2"/>
      </tp>
      <tp t="s">
        <v>#N/A N/A</v>
        <stp/>
        <stp>BDP|17395944860214366878</stp>
        <tr r="D2495" s="2"/>
      </tp>
      <tp t="s">
        <v>#N/A N/A</v>
        <stp/>
        <stp>BDP|17842002861386343390</stp>
        <tr r="H254" s="2"/>
      </tp>
      <tp t="s">
        <v>#N/A N/A</v>
        <stp/>
        <stp>BDP|17504654605797729210</stp>
        <tr r="B1526" s="2"/>
      </tp>
      <tp t="s">
        <v>#N/A N/A</v>
        <stp/>
        <stp>BDP|12937646254010961533</stp>
        <tr r="I580" s="2"/>
      </tp>
      <tp t="s">
        <v>#N/A N/A</v>
        <stp/>
        <stp>BDP|11440412000407416623</stp>
        <tr r="H4977" s="2"/>
      </tp>
      <tp t="s">
        <v>#N/A N/A</v>
        <stp/>
        <stp>BDP|14166414153312338335</stp>
        <tr r="D2372" s="2"/>
      </tp>
      <tp t="s">
        <v>#N/A N/A</v>
        <stp/>
        <stp>BDP|10118521224006771530</stp>
        <tr r="G1964" s="2"/>
      </tp>
      <tp t="s">
        <v>#N/A N/A</v>
        <stp/>
        <stp>BDP|14256540012384178066</stp>
        <tr r="I2290" s="2"/>
      </tp>
      <tp t="s">
        <v>#N/A N/A</v>
        <stp/>
        <stp>BDP|17137752614055122024</stp>
        <tr r="D178" s="2"/>
      </tp>
      <tp t="s">
        <v>#N/A N/A</v>
        <stp/>
        <stp>BDP|15903887281603710247</stp>
        <tr r="I1380" s="2"/>
      </tp>
      <tp t="s">
        <v>#N/A N/A</v>
        <stp/>
        <stp>BDP|18323832954295462433</stp>
        <tr r="F2680" s="2"/>
      </tp>
      <tp t="s">
        <v>#N/A N/A</v>
        <stp/>
        <stp>BDP|17541072554361172745</stp>
        <tr r="C1654" s="2"/>
      </tp>
      <tp t="s">
        <v>#N/A N/A</v>
        <stp/>
        <stp>BDP|15941443154317242787</stp>
        <tr r="D2522" s="2"/>
      </tp>
      <tp t="s">
        <v>#N/A N/A</v>
        <stp/>
        <stp>BDP|16431786306131102483</stp>
        <tr r="B4673" s="2"/>
      </tp>
      <tp t="s">
        <v>#N/A N/A</v>
        <stp/>
        <stp>BDP|11350285883176826935</stp>
        <tr r="G4795" s="2"/>
      </tp>
      <tp t="s">
        <v>#N/A N/A</v>
        <stp/>
        <stp>BDP|17831747322837435199</stp>
        <tr r="I3401" s="2"/>
      </tp>
      <tp t="s">
        <v>#N/A N/A</v>
        <stp/>
        <stp>BDP|16632553536641634503</stp>
        <tr r="H4582" s="2"/>
      </tp>
      <tp t="s">
        <v>#N/A N/A</v>
        <stp/>
        <stp>BDP|14960612168302167227</stp>
        <tr r="F888" s="2"/>
      </tp>
      <tp t="s">
        <v>#N/A N/A</v>
        <stp/>
        <stp>BDP|17487014040797398054</stp>
        <tr r="B429" s="2"/>
      </tp>
      <tp t="s">
        <v>#N/A N/A</v>
        <stp/>
        <stp>BDP|18200414428768964213</stp>
        <tr r="I3248" s="2"/>
      </tp>
      <tp t="s">
        <v>#N/A N/A</v>
        <stp/>
        <stp>BDP|12206140450612160046</stp>
        <tr r="I4578" s="2"/>
      </tp>
      <tp t="s">
        <v>#N/A N/A</v>
        <stp/>
        <stp>BDP|15092188867041922756</stp>
        <tr r="H2951" s="2"/>
      </tp>
      <tp t="s">
        <v>#N/A N/A</v>
        <stp/>
        <stp>BDP|13238562139618877965</stp>
        <tr r="H2977" s="2"/>
      </tp>
      <tp t="s">
        <v>#N/A N/A</v>
        <stp/>
        <stp>BDP|17857580104886411039</stp>
        <tr r="D3237" s="2"/>
      </tp>
      <tp t="s">
        <v>#N/A N/A</v>
        <stp/>
        <stp>BDP|14767506300046639326</stp>
        <tr r="D1791" s="2"/>
      </tp>
      <tp t="s">
        <v>#N/A N/A</v>
        <stp/>
        <stp>BDP|14628084209534441402</stp>
        <tr r="D785" s="2"/>
      </tp>
      <tp t="s">
        <v>#N/A N/A</v>
        <stp/>
        <stp>BDP|17549468131922161606</stp>
        <tr r="H3136" s="2"/>
      </tp>
      <tp t="s">
        <v>#N/A N/A</v>
        <stp/>
        <stp>BDP|12797205855924367526</stp>
        <tr r="C690" s="2"/>
      </tp>
      <tp t="s">
        <v>#N/A N/A</v>
        <stp/>
        <stp>BDP|13082497405853609092</stp>
        <tr r="I4142" s="2"/>
      </tp>
      <tp t="s">
        <v>#N/A N/A</v>
        <stp/>
        <stp>BDP|11731544206408343852</stp>
        <tr r="G49" s="2"/>
      </tp>
      <tp t="s">
        <v>#N/A N/A</v>
        <stp/>
        <stp>BDP|17609704894065044815</stp>
        <tr r="B737" s="2"/>
      </tp>
      <tp t="s">
        <v>#N/A N/A</v>
        <stp/>
        <stp>BDP|11610705408365440796</stp>
        <tr r="H2627" s="2"/>
      </tp>
      <tp t="s">
        <v>#N/A N/A</v>
        <stp/>
        <stp>BDP|16153651088379668595</stp>
        <tr r="B3172" s="2"/>
      </tp>
      <tp t="s">
        <v>#N/A N/A</v>
        <stp/>
        <stp>BDP|12678915483551610612</stp>
        <tr r="F3227" s="2"/>
      </tp>
      <tp t="s">
        <v>#N/A N/A</v>
        <stp/>
        <stp>BDP|17462482863513410284</stp>
        <tr r="G52" s="2"/>
      </tp>
      <tp t="s">
        <v>#N/A N/A</v>
        <stp/>
        <stp>BDP|14248665075829289805</stp>
        <tr r="F2265" s="2"/>
      </tp>
      <tp t="s">
        <v>#N/A N/A</v>
        <stp/>
        <stp>BDP|17695126657232129504</stp>
        <tr r="C4675" s="2"/>
      </tp>
      <tp t="s">
        <v>#N/A N/A</v>
        <stp/>
        <stp>BDP|11195039502702654749</stp>
        <tr r="B3252" s="2"/>
      </tp>
      <tp t="s">
        <v>#N/A N/A</v>
        <stp/>
        <stp>BDP|18106606193430010308</stp>
        <tr r="D3221" s="2"/>
      </tp>
      <tp t="s">
        <v>#N/A N/A</v>
        <stp/>
        <stp>BDP|10485762453062071436</stp>
        <tr r="A4058" s="2"/>
      </tp>
      <tp t="s">
        <v>#N/A N/A</v>
        <stp/>
        <stp>BDP|13854467446930265786</stp>
        <tr r="G403" s="2"/>
      </tp>
      <tp t="s">
        <v>#N/A N/A</v>
        <stp/>
        <stp>BDP|10594037151122237377</stp>
        <tr r="B4762" s="2"/>
      </tp>
      <tp t="s">
        <v>#N/A N/A</v>
        <stp/>
        <stp>BDP|16955135710665984715</stp>
        <tr r="A3097" s="2"/>
      </tp>
      <tp t="s">
        <v>#N/A N/A</v>
        <stp/>
        <stp>BDP|10527337944897734475</stp>
        <tr r="D962" s="2"/>
      </tp>
      <tp t="s">
        <v>#N/A N/A</v>
        <stp/>
        <stp>BDP|10336275126136148219</stp>
        <tr r="D2153" s="2"/>
      </tp>
      <tp t="s">
        <v>#N/A N/A</v>
        <stp/>
        <stp>BDP|13548773523953664152</stp>
        <tr r="I1773" s="2"/>
      </tp>
      <tp t="s">
        <v>#N/A N/A</v>
        <stp/>
        <stp>BDP|11341024153494262428</stp>
        <tr r="D2893" s="2"/>
      </tp>
      <tp t="s">
        <v>#N/A N/A</v>
        <stp/>
        <stp>BDP|12288761415747733747</stp>
        <tr r="G3619" s="2"/>
      </tp>
      <tp t="s">
        <v>#N/A N/A</v>
        <stp/>
        <stp>BDP|11129109357011401001</stp>
        <tr r="A1379" s="2"/>
      </tp>
      <tp t="s">
        <v>#N/A N/A</v>
        <stp/>
        <stp>BDP|12272328522557227022</stp>
        <tr r="B1020" s="2"/>
      </tp>
      <tp t="s">
        <v>#N/A N/A</v>
        <stp/>
        <stp>BDP|10406538374010160604</stp>
        <tr r="I4628" s="2"/>
      </tp>
      <tp t="s">
        <v>#N/A N/A</v>
        <stp/>
        <stp>BDP|10182220764277562706</stp>
        <tr r="B3318" s="2"/>
      </tp>
      <tp t="s">
        <v>#N/A N/A</v>
        <stp/>
        <stp>BDP|17286420900562274503</stp>
        <tr r="D4340" s="2"/>
      </tp>
      <tp t="s">
        <v>#N/A N/A</v>
        <stp/>
        <stp>BDP|17082353925374630642</stp>
        <tr r="F3102" s="2"/>
      </tp>
      <tp t="s">
        <v>#N/A N/A</v>
        <stp/>
        <stp>BDP|17434486808427502038</stp>
        <tr r="I3110" s="2"/>
      </tp>
      <tp t="s">
        <v>#N/A N/A</v>
        <stp/>
        <stp>BDP|17359224712370897092</stp>
        <tr r="A1980" s="2"/>
      </tp>
      <tp t="s">
        <v>#N/A N/A</v>
        <stp/>
        <stp>BDP|13532004819066686086</stp>
        <tr r="A2587" s="2"/>
      </tp>
      <tp t="s">
        <v>#N/A N/A</v>
        <stp/>
        <stp>BDP|16616380370857507190</stp>
        <tr r="A393" s="2"/>
      </tp>
      <tp t="s">
        <v>#N/A N/A</v>
        <stp/>
        <stp>BDP|10505109326625232235</stp>
        <tr r="F700" s="2"/>
      </tp>
      <tp t="s">
        <v>#N/A N/A</v>
        <stp/>
        <stp>BDP|15227669024800684542</stp>
        <tr r="C2913" s="2"/>
      </tp>
      <tp t="s">
        <v>#N/A N/A</v>
        <stp/>
        <stp>BDP|11376934299290207599</stp>
        <tr r="C2429" s="2"/>
      </tp>
      <tp t="s">
        <v>#N/A N/A</v>
        <stp/>
        <stp>BDP|10272531060770380701</stp>
        <tr r="A4487" s="2"/>
      </tp>
      <tp t="s">
        <v>#N/A N/A</v>
        <stp/>
        <stp>BDP|12643295344217085793</stp>
        <tr r="F3919" s="2"/>
      </tp>
      <tp t="s">
        <v>#N/A N/A</v>
        <stp/>
        <stp>BDP|13085921417197716806</stp>
        <tr r="F1462" s="2"/>
      </tp>
      <tp t="s">
        <v>#N/A N/A</v>
        <stp/>
        <stp>BDP|14248124463075590246</stp>
        <tr r="F1403" s="2"/>
      </tp>
      <tp t="s">
        <v>#N/A N/A</v>
        <stp/>
        <stp>BDP|10030239565567450705</stp>
        <tr r="C3921" s="2"/>
      </tp>
      <tp t="s">
        <v>#N/A N/A</v>
        <stp/>
        <stp>BDP|12210996489573940499</stp>
        <tr r="D1840" s="2"/>
      </tp>
      <tp t="s">
        <v>#N/A N/A</v>
        <stp/>
        <stp>BDP|15012736741506399435</stp>
        <tr r="D2682" s="2"/>
      </tp>
      <tp t="s">
        <v>#N/A N/A</v>
        <stp/>
        <stp>BDP|14113558845104744542</stp>
        <tr r="A3957" s="2"/>
      </tp>
      <tp t="s">
        <v>#N/A N/A</v>
        <stp/>
        <stp>BDP|12679463495148237358</stp>
        <tr r="C4845" s="2"/>
      </tp>
      <tp t="s">
        <v>#N/A N/A</v>
        <stp/>
        <stp>BDP|14252443636725388217</stp>
        <tr r="B588" s="2"/>
      </tp>
      <tp t="s">
        <v>#N/A N/A</v>
        <stp/>
        <stp>BDP|12096541157186034014</stp>
        <tr r="I1022" s="2"/>
      </tp>
      <tp t="s">
        <v>#N/A N/A</v>
        <stp/>
        <stp>BDP|15507062009843979213</stp>
        <tr r="D3581" s="2"/>
      </tp>
      <tp t="s">
        <v>#N/A N/A</v>
        <stp/>
        <stp>BDP|11040375363940353053</stp>
        <tr r="G4119" s="2"/>
      </tp>
      <tp t="s">
        <v>#N/A N/A</v>
        <stp/>
        <stp>BDP|14357111139663046198</stp>
        <tr r="D4519" s="2"/>
      </tp>
      <tp t="s">
        <v>#N/A N/A</v>
        <stp/>
        <stp>BDP|12631173254915231754</stp>
        <tr r="H2262" s="2"/>
      </tp>
      <tp t="s">
        <v>#N/A N/A</v>
        <stp/>
        <stp>BDP|13975488853084616260</stp>
        <tr r="C2550" s="2"/>
      </tp>
      <tp t="s">
        <v>#N/A N/A</v>
        <stp/>
        <stp>BDP|10088160075724508641</stp>
        <tr r="D3509" s="2"/>
      </tp>
      <tp t="s">
        <v>#N/A N/A</v>
        <stp/>
        <stp>BDP|11681548964734124258</stp>
        <tr r="A2443" s="2"/>
      </tp>
      <tp t="s">
        <v>#N/A N/A</v>
        <stp/>
        <stp>BDP|17110015355812626413</stp>
        <tr r="H3015" s="2"/>
      </tp>
      <tp t="s">
        <v>#N/A N/A</v>
        <stp/>
        <stp>BDP|13121710840192173639</stp>
        <tr r="I4614" s="2"/>
      </tp>
      <tp t="s">
        <v>#N/A N/A</v>
        <stp/>
        <stp>BDP|12713268818660200593</stp>
        <tr r="I1818" s="2"/>
      </tp>
      <tp t="s">
        <v>#N/A N/A</v>
        <stp/>
        <stp>BDP|12043678010486637737</stp>
        <tr r="D1332" s="2"/>
      </tp>
      <tp t="s">
        <v>#N/A N/A</v>
        <stp/>
        <stp>BDP|10764922676299922388</stp>
        <tr r="H322" s="2"/>
      </tp>
      <tp t="s">
        <v>#N/A N/A</v>
        <stp/>
        <stp>BDP|14452803666739341739</stp>
        <tr r="H4864" s="2"/>
      </tp>
      <tp t="s">
        <v>#N/A N/A</v>
        <stp/>
        <stp>BDP|10898645919213321040</stp>
        <tr r="D3972" s="2"/>
      </tp>
      <tp t="s">
        <v>#N/A N/A</v>
        <stp/>
        <stp>BDP|14129489520864269299</stp>
        <tr r="A4054" s="2"/>
      </tp>
      <tp t="s">
        <v>#N/A N/A</v>
        <stp/>
        <stp>BDP|16816339720673845016</stp>
        <tr r="F766" s="2"/>
      </tp>
      <tp t="s">
        <v>#N/A N/A</v>
        <stp/>
        <stp>BDP|15574854422132258924</stp>
        <tr r="A1303" s="2"/>
      </tp>
      <tp t="s">
        <v>#N/A N/A</v>
        <stp/>
        <stp>BDP|15020715766352518206</stp>
        <tr r="A685" s="2"/>
      </tp>
      <tp t="s">
        <v>#N/A N/A</v>
        <stp/>
        <stp>BDP|13797393023523790585</stp>
        <tr r="I2452" s="2"/>
      </tp>
      <tp t="s">
        <v>#N/A N/A</v>
        <stp/>
        <stp>BDP|13383476293163153949</stp>
        <tr r="D1168" s="2"/>
      </tp>
      <tp t="s">
        <v>#N/A N/A</v>
        <stp/>
        <stp>BDP|15853479478710701228</stp>
        <tr r="B2245" s="2"/>
      </tp>
      <tp t="s">
        <v>#N/A N/A</v>
        <stp/>
        <stp>BDP|16306324432335566742</stp>
        <tr r="I4052" s="2"/>
      </tp>
      <tp t="s">
        <v>#N/A N/A</v>
        <stp/>
        <stp>BDP|13478210093785456906</stp>
        <tr r="B2780" s="2"/>
      </tp>
      <tp t="s">
        <v>#N/A N/A</v>
        <stp/>
        <stp>BDP|15958684176915497513</stp>
        <tr r="B19" s="2"/>
      </tp>
      <tp t="s">
        <v>#N/A N/A</v>
        <stp/>
        <stp>BDP|16818022127453823377</stp>
        <tr r="A1135" s="2"/>
      </tp>
      <tp t="s">
        <v>#N/A N/A</v>
        <stp/>
        <stp>BDP|17634848782393385012</stp>
        <tr r="H2874" s="2"/>
      </tp>
      <tp t="s">
        <v>#N/A N/A</v>
        <stp/>
        <stp>BDP|11402164583524131820</stp>
        <tr r="H2579" s="2"/>
      </tp>
      <tp t="s">
        <v>#N/A N/A</v>
        <stp/>
        <stp>BDP|11640704365370503441</stp>
        <tr r="B3299" s="2"/>
      </tp>
      <tp t="s">
        <v>#N/A N/A</v>
        <stp/>
        <stp>BDP|10944796147946507109</stp>
        <tr r="F4460" s="2"/>
      </tp>
      <tp t="s">
        <v>#N/A N/A</v>
        <stp/>
        <stp>BDP|13745685057142857627</stp>
        <tr r="A1413" s="2"/>
      </tp>
      <tp t="s">
        <v>#N/A N/A</v>
        <stp/>
        <stp>BDP|10834144944367808626</stp>
        <tr r="B927" s="2"/>
      </tp>
      <tp t="s">
        <v>#N/A N/A</v>
        <stp/>
        <stp>BDP|10893488525297566524</stp>
        <tr r="A234" s="2"/>
      </tp>
      <tp t="s">
        <v>#N/A N/A</v>
        <stp/>
        <stp>BDP|14757996697082201292</stp>
        <tr r="I4694" s="2"/>
      </tp>
      <tp t="s">
        <v>#N/A N/A</v>
        <stp/>
        <stp>BDP|16244755163396046567</stp>
        <tr r="I3415" s="2"/>
      </tp>
      <tp t="s">
        <v>#N/A N/A</v>
        <stp/>
        <stp>BDP|13166565606554251612</stp>
        <tr r="F881" s="2"/>
      </tp>
      <tp t="s">
        <v>#N/A N/A</v>
        <stp/>
        <stp>BDP|15624471353027973795</stp>
        <tr r="G1260" s="2"/>
      </tp>
      <tp t="s">
        <v>#N/A N/A</v>
        <stp/>
        <stp>BDP|13454561068273873700</stp>
        <tr r="C4941" s="2"/>
      </tp>
      <tp t="s">
        <v>#N/A N/A</v>
        <stp/>
        <stp>BDP|13516031730134156054</stp>
        <tr r="G2193" s="2"/>
      </tp>
      <tp t="s">
        <v>#N/A N/A</v>
        <stp/>
        <stp>BDP|17853442093576443896</stp>
        <tr r="F4221" s="2"/>
      </tp>
      <tp t="s">
        <v>#N/A N/A</v>
        <stp/>
        <stp>BDP|14267188409928857992</stp>
        <tr r="G379" s="2"/>
      </tp>
      <tp t="s">
        <v>#N/A N/A</v>
        <stp/>
        <stp>BDP|14964605949893434168</stp>
        <tr r="D1187" s="2"/>
      </tp>
      <tp t="s">
        <v>#N/A N/A</v>
        <stp/>
        <stp>BDP|16526494418296468122</stp>
        <tr r="H3623" s="2"/>
      </tp>
      <tp t="s">
        <v>#N/A N/A</v>
        <stp/>
        <stp>BDP|18028273195663520452</stp>
        <tr r="A275" s="2"/>
      </tp>
      <tp t="s">
        <v>#N/A N/A</v>
        <stp/>
        <stp>BDP|10130304999526315894</stp>
        <tr r="H4313" s="2"/>
      </tp>
      <tp t="s">
        <v>#N/A N/A</v>
        <stp/>
        <stp>BDP|13316556695588022317</stp>
        <tr r="I486" s="2"/>
      </tp>
      <tp t="s">
        <v>#N/A N/A</v>
        <stp/>
        <stp>BDP|17025942360558243446</stp>
        <tr r="B512" s="2"/>
      </tp>
      <tp t="s">
        <v>#N/A N/A</v>
        <stp/>
        <stp>BDP|16668843855617022856</stp>
        <tr r="G2293" s="2"/>
      </tp>
      <tp t="s">
        <v>#N/A N/A</v>
        <stp/>
        <stp>BDP|17720486060462535384</stp>
        <tr r="I2867" s="2"/>
      </tp>
      <tp t="s">
        <v>#N/A N/A</v>
        <stp/>
        <stp>BDP|16036413756635087658</stp>
        <tr r="H4435" s="2"/>
      </tp>
      <tp t="s">
        <v>#N/A N/A</v>
        <stp/>
        <stp>BDP|10312753324251254023</stp>
        <tr r="A807" s="2"/>
      </tp>
      <tp t="s">
        <v>#N/A N/A</v>
        <stp/>
        <stp>BDP|15728621417053219524</stp>
        <tr r="G308" s="2"/>
      </tp>
      <tp t="s">
        <v>#N/A N/A</v>
        <stp/>
        <stp>BDP|13552185315307274081</stp>
        <tr r="I3100" s="2"/>
      </tp>
      <tp t="s">
        <v>#N/A N/A</v>
        <stp/>
        <stp>BDP|17110781919572229702</stp>
        <tr r="G328" s="2"/>
      </tp>
      <tp t="s">
        <v>#N/A N/A</v>
        <stp/>
        <stp>BDP|10923793332291918197</stp>
        <tr r="I4186" s="2"/>
      </tp>
      <tp t="s">
        <v>#N/A N/A</v>
        <stp/>
        <stp>BDP|13002027207482218557</stp>
        <tr r="I1136" s="2"/>
      </tp>
      <tp t="s">
        <v>#N/A N/A</v>
        <stp/>
        <stp>BDP|16503707365837080422</stp>
        <tr r="D1185" s="2"/>
      </tp>
      <tp t="s">
        <v>#N/A N/A</v>
        <stp/>
        <stp>BDP|14671226937905297435</stp>
        <tr r="A2449" s="2"/>
      </tp>
      <tp t="s">
        <v>#N/A N/A</v>
        <stp/>
        <stp>BDP|16270964545677541865</stp>
        <tr r="B1029" s="2"/>
      </tp>
      <tp t="s">
        <v>#N/A N/A</v>
        <stp/>
        <stp>BDP|17260679307514539122</stp>
        <tr r="C874" s="2"/>
      </tp>
      <tp t="s">
        <v>#N/A N/A</v>
        <stp/>
        <stp>BDP|16518744914407795373</stp>
        <tr r="D1644" s="2"/>
      </tp>
      <tp t="s">
        <v>#N/A N/A</v>
        <stp/>
        <stp>BDP|15332108025002715041</stp>
        <tr r="F2855" s="2"/>
      </tp>
      <tp t="s">
        <v>#N/A N/A</v>
        <stp/>
        <stp>BDP|11207762777873475626</stp>
        <tr r="H2422" s="2"/>
      </tp>
      <tp t="s">
        <v>#N/A N/A</v>
        <stp/>
        <stp>BDP|11703766341142456419</stp>
        <tr r="C134" s="2"/>
      </tp>
      <tp t="s">
        <v>#N/A N/A</v>
        <stp/>
        <stp>BDP|14320018442723724724</stp>
        <tr r="G4354" s="2"/>
      </tp>
      <tp t="s">
        <v>#N/A N/A</v>
        <stp/>
        <stp>BDP|17564157801164392673</stp>
        <tr r="D4427" s="2"/>
      </tp>
      <tp t="s">
        <v>#N/A N/A</v>
        <stp/>
        <stp>BDP|14020402443839613903</stp>
        <tr r="F75" s="2"/>
      </tp>
      <tp t="s">
        <v>#N/A N/A</v>
        <stp/>
        <stp>BDP|16598605342584627441</stp>
        <tr r="B2197" s="2"/>
      </tp>
      <tp t="s">
        <v>#N/A N/A</v>
        <stp/>
        <stp>BDP|10230279331402175703</stp>
        <tr r="C1557" s="2"/>
      </tp>
      <tp t="s">
        <v>#N/A N/A</v>
        <stp/>
        <stp>BDP|13650297060073981030</stp>
        <tr r="C2445" s="2"/>
      </tp>
      <tp t="s">
        <v>#N/A N/A</v>
        <stp/>
        <stp>BDP|15704846377877266932</stp>
        <tr r="F1557" s="2"/>
      </tp>
      <tp t="s">
        <v>#N/A N/A</v>
        <stp/>
        <stp>BDP|13921150741854182698</stp>
        <tr r="F2455" s="2"/>
      </tp>
      <tp t="s">
        <v>#N/A N/A</v>
        <stp/>
        <stp>BDP|14091136437120357221</stp>
        <tr r="H89" s="2"/>
      </tp>
      <tp t="s">
        <v>#N/A N/A</v>
        <stp/>
        <stp>BDP|15174056351591795574</stp>
        <tr r="I926" s="2"/>
      </tp>
      <tp t="s">
        <v>#N/A N/A</v>
        <stp/>
        <stp>BDP|16897869741819304790</stp>
        <tr r="F309" s="2"/>
      </tp>
      <tp t="s">
        <v>#N/A N/A</v>
        <stp/>
        <stp>BDP|15997971591216374795</stp>
        <tr r="G458" s="2"/>
      </tp>
      <tp t="s">
        <v>#N/A N/A</v>
        <stp/>
        <stp>BDP|14226868046734005875</stp>
        <tr r="G231" s="2"/>
      </tp>
      <tp t="s">
        <v>#N/A N/A</v>
        <stp/>
        <stp>BDP|16006635416990367535</stp>
        <tr r="A3997" s="2"/>
      </tp>
      <tp t="s">
        <v>#N/A N/A</v>
        <stp/>
        <stp>BDP|13614313028725339399</stp>
        <tr r="F1376" s="2"/>
      </tp>
      <tp t="s">
        <v>#N/A N/A</v>
        <stp/>
        <stp>BDP|16021910792983120176</stp>
        <tr r="B2287" s="2"/>
      </tp>
      <tp t="s">
        <v>#N/A N/A</v>
        <stp/>
        <stp>BDP|10100469003866075619</stp>
        <tr r="A1689" s="2"/>
      </tp>
      <tp t="s">
        <v>#N/A N/A</v>
        <stp/>
        <stp>BDP|12910121937033084796</stp>
        <tr r="H1214" s="2"/>
      </tp>
      <tp t="s">
        <v>#N/A N/A</v>
        <stp/>
        <stp>BDP|10742238575685456401</stp>
        <tr r="H673" s="2"/>
      </tp>
      <tp t="s">
        <v>#N/A N/A</v>
        <stp/>
        <stp>BDP|17333091959814730217</stp>
        <tr r="A2182" s="2"/>
      </tp>
      <tp t="s">
        <v>#N/A N/A</v>
        <stp/>
        <stp>BDP|17869618051554939446</stp>
        <tr r="D445" s="2"/>
      </tp>
      <tp t="s">
        <v>#N/A N/A</v>
        <stp/>
        <stp>BDP|15879379988622450863</stp>
        <tr r="F4184" s="2"/>
      </tp>
      <tp t="s">
        <v>#N/A N/A</v>
        <stp/>
        <stp>BDP|10178826696363684667</stp>
        <tr r="C4649" s="2"/>
      </tp>
      <tp t="s">
        <v>#N/A N/A</v>
        <stp/>
        <stp>BDP|14421595669050923388</stp>
        <tr r="F4337" s="2"/>
      </tp>
      <tp t="s">
        <v>#N/A N/A</v>
        <stp/>
        <stp>BDP|13330961962439029129</stp>
        <tr r="B2318" s="2"/>
      </tp>
      <tp t="s">
        <v>#N/A N/A</v>
        <stp/>
        <stp>BDP|18153138089641608487</stp>
        <tr r="H3933" s="2"/>
      </tp>
      <tp t="s">
        <v>#N/A N/A</v>
        <stp/>
        <stp>BDP|10580145201544748120</stp>
        <tr r="D3669" s="2"/>
      </tp>
      <tp t="s">
        <v>#N/A N/A</v>
        <stp/>
        <stp>BDP|15391522255396324726</stp>
        <tr r="B830" s="2"/>
      </tp>
      <tp t="s">
        <v>#N/A N/A</v>
        <stp/>
        <stp>BDP|11760440153016129248</stp>
        <tr r="C2637" s="2"/>
      </tp>
      <tp t="s">
        <v>#N/A N/A</v>
        <stp/>
        <stp>BDP|17952689420127463007</stp>
        <tr r="I4334" s="2"/>
      </tp>
      <tp t="s">
        <v>#N/A N/A</v>
        <stp/>
        <stp>BDP|16674928676524226854</stp>
        <tr r="D1148" s="2"/>
      </tp>
      <tp t="s">
        <v>#N/A N/A</v>
        <stp/>
        <stp>BDP|15959826149424227956</stp>
        <tr r="B2441" s="2"/>
      </tp>
      <tp t="s">
        <v>#N/A N/A</v>
        <stp/>
        <stp>BDP|15619687708385748242</stp>
        <tr r="I1347" s="2"/>
      </tp>
      <tp t="s">
        <v>#N/A N/A</v>
        <stp/>
        <stp>BDP|17358125431007762625</stp>
        <tr r="G1058" s="2"/>
      </tp>
      <tp t="s">
        <v>#N/A N/A</v>
        <stp/>
        <stp>BDP|12426911181196817190</stp>
        <tr r="C2889" s="2"/>
      </tp>
      <tp t="s">
        <v>#N/A N/A</v>
        <stp/>
        <stp>BDP|14869369702065998605</stp>
        <tr r="C4729" s="2"/>
      </tp>
      <tp t="s">
        <v>#N/A N/A</v>
        <stp/>
        <stp>BDP|15332091306181939003</stp>
        <tr r="A941" s="2"/>
      </tp>
      <tp t="s">
        <v>#N/A N/A</v>
        <stp/>
        <stp>BDP|11639378359905912641</stp>
        <tr r="H1992" s="2"/>
      </tp>
      <tp t="s">
        <v>#N/A N/A</v>
        <stp/>
        <stp>BDP|13728041464517626646</stp>
        <tr r="G1442" s="2"/>
      </tp>
      <tp t="s">
        <v>#N/A N/A</v>
        <stp/>
        <stp>BDP|14524867390014002567</stp>
        <tr r="G405" s="2"/>
      </tp>
      <tp t="s">
        <v>#N/A N/A</v>
        <stp/>
        <stp>BDP|16864874966348849447</stp>
        <tr r="F3245" s="2"/>
      </tp>
      <tp t="s">
        <v>#N/A N/A</v>
        <stp/>
        <stp>BDP|14682739454636569410</stp>
        <tr r="B4698" s="2"/>
      </tp>
      <tp t="s">
        <v>#N/A N/A</v>
        <stp/>
        <stp>BDP|17413065857115363332</stp>
        <tr r="A4246" s="2"/>
      </tp>
      <tp t="s">
        <v>#N/A N/A</v>
        <stp/>
        <stp>BDP|12508216433561770655</stp>
        <tr r="B4276" s="2"/>
      </tp>
      <tp t="s">
        <v>#N/A N/A</v>
        <stp/>
        <stp>BDP|13084293488599063449</stp>
        <tr r="B4434" s="2"/>
      </tp>
      <tp t="s">
        <v>#N/A N/A</v>
        <stp/>
        <stp>BDP|11820492150361071545</stp>
        <tr r="F2716" s="2"/>
      </tp>
      <tp t="s">
        <v>#N/A N/A</v>
        <stp/>
        <stp>BDP|12732079217810357716</stp>
        <tr r="D1843" s="2"/>
      </tp>
      <tp t="s">
        <v>#N/A N/A</v>
        <stp/>
        <stp>BDP|16936702541553917244</stp>
        <tr r="D3841" s="2"/>
      </tp>
      <tp t="s">
        <v>#N/A N/A</v>
        <stp/>
        <stp>BDP|13552329557079590804</stp>
        <tr r="H4780" s="2"/>
      </tp>
      <tp t="s">
        <v>#N/A N/A</v>
        <stp/>
        <stp>BDP|14274652714073446420</stp>
        <tr r="I2728" s="2"/>
      </tp>
      <tp t="s">
        <v>#N/A N/A</v>
        <stp/>
        <stp>BDP|15977672270525349584</stp>
        <tr r="H3704" s="2"/>
      </tp>
      <tp t="s">
        <v>#N/A N/A</v>
        <stp/>
        <stp>BDP|15353516897378766576</stp>
        <tr r="F4040" s="2"/>
      </tp>
      <tp t="s">
        <v>#N/A N/A</v>
        <stp/>
        <stp>BDP|13422722812986095710</stp>
        <tr r="F1580" s="2"/>
      </tp>
      <tp t="s">
        <v>#N/A N/A</v>
        <stp/>
        <stp>BDP|14792170260536050159</stp>
        <tr r="C4146" s="2"/>
      </tp>
      <tp t="s">
        <v>#N/A N/A</v>
        <stp/>
        <stp>BDP|14395126702510031169</stp>
        <tr r="F4539" s="2"/>
      </tp>
      <tp t="s">
        <v>#N/A N/A</v>
        <stp/>
        <stp>BDP|12369935116048362602</stp>
        <tr r="B4776" s="2"/>
      </tp>
      <tp t="s">
        <v>#N/A N/A</v>
        <stp/>
        <stp>BDP|17689558230392522736</stp>
        <tr r="I2567" s="2"/>
      </tp>
      <tp t="s">
        <v>#N/A N/A</v>
        <stp/>
        <stp>BDP|16665932193287431573</stp>
        <tr r="C3058" s="2"/>
      </tp>
      <tp t="s">
        <v>#N/A N/A</v>
        <stp/>
        <stp>BDP|16719665073263595029</stp>
        <tr r="C2" s="2"/>
      </tp>
      <tp t="s">
        <v>#N/A N/A</v>
        <stp/>
        <stp>BDP|10905873694952890775</stp>
        <tr r="H542" s="2"/>
      </tp>
      <tp t="s">
        <v>#N/A N/A</v>
        <stp/>
        <stp>BDP|17545587168549762976</stp>
        <tr r="I3735" s="2"/>
      </tp>
      <tp t="s">
        <v>#N/A N/A</v>
        <stp/>
        <stp>BDP|18060644690407234433</stp>
        <tr r="C2085" s="2"/>
      </tp>
      <tp t="s">
        <v>#N/A N/A</v>
        <stp/>
        <stp>BDP|17060343377361758616</stp>
        <tr r="H3075" s="2"/>
      </tp>
      <tp t="s">
        <v>#N/A N/A</v>
        <stp/>
        <stp>BDP|16349298629185489720</stp>
        <tr r="I4537" s="2"/>
      </tp>
      <tp t="s">
        <v>#N/A N/A</v>
        <stp/>
        <stp>BDP|10761014377794592719</stp>
        <tr r="B3897" s="2"/>
      </tp>
      <tp t="s">
        <v>#N/A N/A</v>
        <stp/>
        <stp>BDP|12028808436458480573</stp>
        <tr r="H4062" s="2"/>
      </tp>
      <tp t="s">
        <v>#N/A N/A</v>
        <stp/>
        <stp>BDP|12147009632886541334</stp>
        <tr r="D3117" s="2"/>
      </tp>
      <tp t="s">
        <v>#N/A N/A</v>
        <stp/>
        <stp>BDP|17945722656014054586</stp>
        <tr r="G547" s="2"/>
      </tp>
      <tp t="s">
        <v>#N/A N/A</v>
        <stp/>
        <stp>BDP|16360485303326973042</stp>
        <tr r="D802" s="2"/>
      </tp>
      <tp t="s">
        <v>#N/A N/A</v>
        <stp/>
        <stp>BDP|12909755544340955547</stp>
        <tr r="G767" s="2"/>
      </tp>
      <tp t="s">
        <v>#N/A N/A</v>
        <stp/>
        <stp>BDP|15502500939806094195</stp>
        <tr r="D1878" s="2"/>
      </tp>
      <tp t="s">
        <v>#N/A N/A</v>
        <stp/>
        <stp>BDP|10127647903296253416</stp>
        <tr r="H808" s="2"/>
      </tp>
      <tp t="s">
        <v>#N/A N/A</v>
        <stp/>
        <stp>BDP|14742953336723804994</stp>
        <tr r="B850" s="2"/>
      </tp>
      <tp t="s">
        <v>#N/A N/A</v>
        <stp/>
        <stp>BDP|15906611701466886149</stp>
        <tr r="C4155" s="2"/>
      </tp>
      <tp t="s">
        <v>#N/A N/A</v>
        <stp/>
        <stp>BDP|10403906469049143296</stp>
        <tr r="G2063" s="2"/>
      </tp>
      <tp t="s">
        <v>#N/A N/A</v>
        <stp/>
        <stp>BDP|15765708407780235661</stp>
        <tr r="H283" s="2"/>
      </tp>
      <tp t="s">
        <v>#N/A N/A</v>
        <stp/>
        <stp>BDP|10111666661963258700</stp>
        <tr r="G3316" s="2"/>
      </tp>
      <tp t="s">
        <v>#N/A N/A</v>
        <stp/>
        <stp>BDP|16433989091187023592</stp>
        <tr r="I741" s="2"/>
      </tp>
      <tp t="s">
        <v>#N/A N/A</v>
        <stp/>
        <stp>BDP|15273851181861121037</stp>
        <tr r="H1020" s="2"/>
      </tp>
      <tp t="s">
        <v>#N/A N/A</v>
        <stp/>
        <stp>BDP|17021556678306090795</stp>
        <tr r="F3834" s="2"/>
      </tp>
      <tp t="s">
        <v>#N/A N/A</v>
        <stp/>
        <stp>BDP|10980270903384067296</stp>
        <tr r="B4282" s="2"/>
      </tp>
      <tp t="s">
        <v>#N/A N/A</v>
        <stp/>
        <stp>BDP|14930045138822725167</stp>
        <tr r="F4101" s="2"/>
      </tp>
      <tp t="s">
        <v>#N/A N/A</v>
        <stp/>
        <stp>BDP|11403088290095077985</stp>
        <tr r="G3098" s="2"/>
      </tp>
      <tp t="s">
        <v>#N/A N/A</v>
        <stp/>
        <stp>BDP|13557798768481946797</stp>
        <tr r="B1356" s="2"/>
      </tp>
      <tp t="s">
        <v>#N/A N/A</v>
        <stp/>
        <stp>BDP|10627269461220630030</stp>
        <tr r="F4398" s="2"/>
      </tp>
      <tp t="s">
        <v>#N/A N/A</v>
        <stp/>
        <stp>BDP|11420663236821867186</stp>
        <tr r="G1876" s="2"/>
      </tp>
      <tp t="s">
        <v>#N/A N/A</v>
        <stp/>
        <stp>BDP|12203419753536661123</stp>
        <tr r="I4029" s="2"/>
      </tp>
      <tp t="s">
        <v>#N/A N/A</v>
        <stp/>
        <stp>BDP|15272816753848227462</stp>
        <tr r="I1882" s="2"/>
      </tp>
      <tp t="s">
        <v>#N/A N/A</v>
        <stp/>
        <stp>BDP|10490791131701812107</stp>
        <tr r="C4257" s="2"/>
      </tp>
      <tp t="s">
        <v>#N/A N/A</v>
        <stp/>
        <stp>BDP|14629845480191377158</stp>
        <tr r="A1972" s="2"/>
      </tp>
      <tp t="s">
        <v>#N/A N/A</v>
        <stp/>
        <stp>BDP|12391485656153020496</stp>
        <tr r="A871" s="2"/>
      </tp>
      <tp t="s">
        <v>#N/A N/A</v>
        <stp/>
        <stp>BDP|12682792464891732689</stp>
        <tr r="B2052" s="2"/>
      </tp>
      <tp t="s">
        <v>#N/A N/A</v>
        <stp/>
        <stp>BDP|16289272866665529326</stp>
        <tr r="D1017" s="2"/>
      </tp>
      <tp t="s">
        <v>#N/A N/A</v>
        <stp/>
        <stp>BDP|10783081641192246283</stp>
        <tr r="B1937" s="2"/>
      </tp>
      <tp t="s">
        <v>#N/A N/A</v>
        <stp/>
        <stp>BDP|12315309796698581449</stp>
        <tr r="G618" s="2"/>
      </tp>
      <tp t="s">
        <v>#N/A N/A</v>
        <stp/>
        <stp>BDP|12578164035842576673</stp>
        <tr r="F4246" s="2"/>
      </tp>
      <tp t="s">
        <v>#N/A N/A</v>
        <stp/>
        <stp>BDP|17336664197814412821</stp>
        <tr r="D3682" s="2"/>
      </tp>
      <tp t="s">
        <v>#N/A N/A</v>
        <stp/>
        <stp>BDP|11419881058221149919</stp>
        <tr r="A1553" s="2"/>
      </tp>
      <tp t="s">
        <v>#N/A N/A</v>
        <stp/>
        <stp>BDP|17546696608817679263</stp>
        <tr r="D265" s="2"/>
      </tp>
      <tp t="s">
        <v>#N/A N/A</v>
        <stp/>
        <stp>BDP|10652260865909641976</stp>
        <tr r="I3903" s="2"/>
      </tp>
      <tp t="s">
        <v>#N/A N/A</v>
        <stp/>
        <stp>BDP|12568739815166612611</stp>
        <tr r="G2200" s="2"/>
      </tp>
      <tp t="s">
        <v>#N/A N/A</v>
        <stp/>
        <stp>BDP|16645538944687762422</stp>
        <tr r="I3981" s="2"/>
      </tp>
      <tp t="s">
        <v>#N/A N/A</v>
        <stp/>
        <stp>BDP|10951810082680681486</stp>
        <tr r="I1417" s="2"/>
      </tp>
      <tp t="s">
        <v>#N/A N/A</v>
        <stp/>
        <stp>BDP|11759333352862314112</stp>
        <tr r="D949" s="2"/>
      </tp>
      <tp t="s">
        <v>#N/A N/A</v>
        <stp/>
        <stp>BDP|13639768136382418164</stp>
        <tr r="H4249" s="2"/>
      </tp>
      <tp t="s">
        <v>#N/A N/A</v>
        <stp/>
        <stp>BDP|11624332052393496077</stp>
        <tr r="B932" s="2"/>
      </tp>
      <tp t="s">
        <v>#N/A N/A</v>
        <stp/>
        <stp>BDP|12464613366057087170</stp>
        <tr r="H3508" s="2"/>
      </tp>
      <tp t="s">
        <v>#N/A N/A</v>
        <stp/>
        <stp>BDP|16580191120041930017</stp>
        <tr r="C3047" s="2"/>
      </tp>
      <tp t="s">
        <v>#N/A N/A</v>
        <stp/>
        <stp>BDP|16093735741339460824</stp>
        <tr r="F4864" s="2"/>
      </tp>
      <tp t="s">
        <v>#N/A N/A</v>
        <stp/>
        <stp>BDP|13276705337172373129</stp>
        <tr r="A2886" s="2"/>
      </tp>
      <tp t="s">
        <v>#N/A N/A</v>
        <stp/>
        <stp>BDP|18121472286314261468</stp>
        <tr r="F4711" s="2"/>
      </tp>
      <tp t="s">
        <v>#N/A N/A</v>
        <stp/>
        <stp>BDP|14853378068460077533</stp>
        <tr r="F2814" s="2"/>
      </tp>
      <tp t="s">
        <v>#N/A N/A</v>
        <stp/>
        <stp>BDP|16600309830563416161</stp>
        <tr r="D4050" s="2"/>
      </tp>
      <tp t="s">
        <v>#N/A N/A</v>
        <stp/>
        <stp>BDP|14500259386762004822</stp>
        <tr r="D1529" s="2"/>
      </tp>
      <tp t="s">
        <v>#N/A N/A</v>
        <stp/>
        <stp>BDP|12258183077464872416</stp>
        <tr r="G868" s="2"/>
      </tp>
      <tp t="s">
        <v>#N/A N/A</v>
        <stp/>
        <stp>BDP|18419158855861039901</stp>
        <tr r="I1612" s="2"/>
      </tp>
      <tp t="s">
        <v>#N/A N/A</v>
        <stp/>
        <stp>BDP|12760603153630568556</stp>
        <tr r="H1977" s="2"/>
      </tp>
      <tp t="s">
        <v>#N/A N/A</v>
        <stp/>
        <stp>BDP|11144391374058875901</stp>
        <tr r="C2123" s="2"/>
      </tp>
      <tp t="s">
        <v>#N/A N/A</v>
        <stp/>
        <stp>BDP|13326312063183709122</stp>
        <tr r="H2865" s="2"/>
      </tp>
      <tp t="s">
        <v>#N/A N/A</v>
        <stp/>
        <stp>BDP|18380489328568752202</stp>
        <tr r="G3615" s="2"/>
      </tp>
      <tp t="s">
        <v>#N/A N/A</v>
        <stp/>
        <stp>BDP|18368961320141479652</stp>
        <tr r="H644" s="2"/>
      </tp>
      <tp t="s">
        <v>#N/A N/A</v>
        <stp/>
        <stp>BDP|11023707407247608555</stp>
        <tr r="B3038" s="2"/>
      </tp>
      <tp t="s">
        <v>#N/A N/A</v>
        <stp/>
        <stp>BDP|18179145168743808817</stp>
        <tr r="A4954" s="2"/>
      </tp>
      <tp t="s">
        <v>#N/A N/A</v>
        <stp/>
        <stp>BDP|10845161591835995926</stp>
        <tr r="I671" s="2"/>
      </tp>
      <tp t="s">
        <v>#N/A N/A</v>
        <stp/>
        <stp>BDP|17514396213648852936</stp>
        <tr r="D1517" s="2"/>
      </tp>
      <tp t="s">
        <v>#N/A N/A</v>
        <stp/>
        <stp>BDP|13625358738490688794</stp>
        <tr r="D730" s="2"/>
      </tp>
      <tp t="s">
        <v>#N/A N/A</v>
        <stp/>
        <stp>BDP|14400263485802387801</stp>
        <tr r="G1748" s="2"/>
      </tp>
      <tp t="s">
        <v>#N/A N/A</v>
        <stp/>
        <stp>BDP|17686185961146878239</stp>
        <tr r="F593" s="2"/>
      </tp>
      <tp t="s">
        <v>#N/A N/A</v>
        <stp/>
        <stp>BDP|16622000522002735273</stp>
        <tr r="B2260" s="2"/>
      </tp>
      <tp t="s">
        <v>#N/A N/A</v>
        <stp/>
        <stp>BDP|17605794626881891754</stp>
        <tr r="F2399" s="2"/>
      </tp>
      <tp t="s">
        <v>#N/A N/A</v>
        <stp/>
        <stp>BDP|12277051373454636560</stp>
        <tr r="D2951" s="2"/>
      </tp>
      <tp t="s">
        <v>#N/A N/A</v>
        <stp/>
        <stp>BDP|13896078924694950163</stp>
        <tr r="I3002" s="2"/>
      </tp>
      <tp t="s">
        <v>#N/A N/A</v>
        <stp/>
        <stp>BDP|13340205407367923291</stp>
        <tr r="G3801" s="2"/>
      </tp>
      <tp t="s">
        <v>#N/A N/A</v>
        <stp/>
        <stp>BDP|12104667116097403617</stp>
        <tr r="F1929" s="2"/>
      </tp>
      <tp t="s">
        <v>#N/A N/A</v>
        <stp/>
        <stp>BDP|14433464855771062036</stp>
        <tr r="H770" s="2"/>
      </tp>
      <tp t="s">
        <v>#N/A N/A</v>
        <stp/>
        <stp>BDP|10264627475096690378</stp>
        <tr r="A535" s="2"/>
      </tp>
      <tp t="s">
        <v>#N/A N/A</v>
        <stp/>
        <stp>BDP|13282507980899637304</stp>
        <tr r="H1478" s="2"/>
      </tp>
      <tp t="s">
        <v>#N/A N/A</v>
        <stp/>
        <stp>BDP|16680604460051195335</stp>
        <tr r="A575" s="2"/>
      </tp>
      <tp t="s">
        <v>#N/A N/A</v>
        <stp/>
        <stp>BDP|10653409441713781743</stp>
        <tr r="I1426" s="2"/>
      </tp>
      <tp t="s">
        <v>#N/A N/A</v>
        <stp/>
        <stp>BDP|16912503198276643834</stp>
        <tr r="H3553" s="2"/>
      </tp>
      <tp t="s">
        <v>#N/A N/A</v>
        <stp/>
        <stp>BDP|11953999882276781211</stp>
        <tr r="D258" s="2"/>
      </tp>
      <tp t="s">
        <v>#N/A N/A</v>
        <stp/>
        <stp>BDP|13230037230217468317</stp>
        <tr r="H3063" s="2"/>
      </tp>
      <tp t="s">
        <v>#N/A N/A</v>
        <stp/>
        <stp>BDP|13560012544386719531</stp>
        <tr r="C4811" s="2"/>
      </tp>
      <tp t="s">
        <v>#N/A N/A</v>
        <stp/>
        <stp>BDP|13850395171322334177</stp>
        <tr r="H3809" s="2"/>
      </tp>
      <tp t="s">
        <v>#N/A N/A</v>
        <stp/>
        <stp>BDP|15529284508935398621</stp>
        <tr r="B2553" s="2"/>
      </tp>
      <tp t="s">
        <v>#N/A N/A</v>
        <stp/>
        <stp>BDP|10231514764837393001</stp>
        <tr r="I2242" s="2"/>
      </tp>
      <tp t="s">
        <v>#N/A N/A</v>
        <stp/>
        <stp>BDP|10488149519473469794</stp>
        <tr r="F4181" s="2"/>
      </tp>
      <tp t="s">
        <v>#N/A N/A</v>
        <stp/>
        <stp>BDP|13715200475704282649</stp>
        <tr r="A1315" s="2"/>
      </tp>
      <tp t="s">
        <v>#N/A N/A</v>
        <stp/>
        <stp>BDP|10131952297534518023</stp>
        <tr r="C4684" s="2"/>
      </tp>
      <tp t="s">
        <v>#N/A N/A</v>
        <stp/>
        <stp>BDP|13351059060220788150</stp>
        <tr r="G3593" s="2"/>
      </tp>
      <tp t="s">
        <v>#N/A N/A</v>
        <stp/>
        <stp>BDP|17753675925084618377</stp>
        <tr r="F875" s="2"/>
      </tp>
      <tp t="s">
        <v>#N/A N/A</v>
        <stp/>
        <stp>BDP|10686587309989558865</stp>
        <tr r="G3276" s="2"/>
      </tp>
      <tp t="s">
        <v>#N/A N/A</v>
        <stp/>
        <stp>BDP|18248059885775792115</stp>
        <tr r="C3484" s="2"/>
      </tp>
      <tp t="s">
        <v>#N/A N/A</v>
        <stp/>
        <stp>BDP|12305717300142324352</stp>
        <tr r="H2161" s="2"/>
      </tp>
      <tp t="s">
        <v>#N/A N/A</v>
        <stp/>
        <stp>BDP|14146685045671883309</stp>
        <tr r="I4927" s="2"/>
      </tp>
      <tp t="s">
        <v>#N/A N/A</v>
        <stp/>
        <stp>BDP|11314746772393984689</stp>
        <tr r="H1827" s="2"/>
      </tp>
      <tp t="s">
        <v>#N/A N/A</v>
        <stp/>
        <stp>BDP|12130286504430928406</stp>
        <tr r="D537" s="2"/>
      </tp>
      <tp t="s">
        <v>#N/A N/A</v>
        <stp/>
        <stp>BDP|15164906946245010936</stp>
        <tr r="F2784" s="2"/>
      </tp>
      <tp t="s">
        <v>#N/A N/A</v>
        <stp/>
        <stp>BDP|13075159465245211568</stp>
        <tr r="D4958" s="2"/>
      </tp>
      <tp t="s">
        <v>#N/A N/A</v>
        <stp/>
        <stp>BDP|11524764393409401207</stp>
        <tr r="F3574" s="2"/>
      </tp>
      <tp t="s">
        <v>#N/A N/A</v>
        <stp/>
        <stp>BDP|14043978917990105850</stp>
        <tr r="D4480" s="2"/>
      </tp>
      <tp t="s">
        <v>#N/A N/A</v>
        <stp/>
        <stp>BDP|16518144955166617060</stp>
        <tr r="A2212" s="2"/>
      </tp>
      <tp t="s">
        <v>#N/A N/A</v>
        <stp/>
        <stp>BDP|14937748019894967291</stp>
        <tr r="F237" s="2"/>
      </tp>
      <tp t="s">
        <v>#N/A N/A</v>
        <stp/>
        <stp>BDP|14024332566552113700</stp>
        <tr r="D3592" s="2"/>
      </tp>
      <tp t="s">
        <v>#N/A N/A</v>
        <stp/>
        <stp>BDP|10217751422907180605</stp>
        <tr r="I3581" s="2"/>
      </tp>
      <tp t="s">
        <v>#N/A N/A</v>
        <stp/>
        <stp>BDP|10932631653412466594</stp>
        <tr r="H1520" s="2"/>
      </tp>
      <tp t="s">
        <v>#N/A N/A</v>
        <stp/>
        <stp>BDP|17647223468011111692</stp>
        <tr r="A756" s="2"/>
      </tp>
      <tp t="s">
        <v>#N/A N/A</v>
        <stp/>
        <stp>BDP|12740438880162556863</stp>
        <tr r="I800" s="2"/>
      </tp>
      <tp t="s">
        <v>#N/A N/A</v>
        <stp/>
        <stp>BDP|12584156137194119015</stp>
        <tr r="A4163" s="2"/>
      </tp>
      <tp t="s">
        <v>#N/A N/A</v>
        <stp/>
        <stp>BDP|10088400334317386409</stp>
        <tr r="B2413" s="2"/>
      </tp>
      <tp t="s">
        <v>#N/A N/A</v>
        <stp/>
        <stp>BDP|12497957538964748899</stp>
        <tr r="I747" s="2"/>
      </tp>
      <tp t="s">
        <v>#N/A N/A</v>
        <stp/>
        <stp>BDP|14314564956094288467</stp>
        <tr r="H3554" s="2"/>
      </tp>
      <tp t="s">
        <v>#N/A N/A</v>
        <stp/>
        <stp>BDP|12400403116865448615</stp>
        <tr r="A3447" s="2"/>
      </tp>
      <tp t="s">
        <v>#N/A N/A</v>
        <stp/>
        <stp>BDP|12932380501995487038</stp>
        <tr r="I4582" s="2"/>
      </tp>
      <tp t="s">
        <v>#N/A N/A</v>
        <stp/>
        <stp>BDP|15623842986273216219</stp>
        <tr r="F4375" s="2"/>
      </tp>
      <tp t="s">
        <v>#N/A N/A</v>
        <stp/>
        <stp>BDP|16311657925095190355</stp>
        <tr r="H1325" s="2"/>
      </tp>
      <tp t="s">
        <v>#N/A N/A</v>
        <stp/>
        <stp>BDP|10283661221783511376</stp>
        <tr r="D43" s="2"/>
      </tp>
      <tp t="s">
        <v>#N/A N/A</v>
        <stp/>
        <stp>BDP|12382615590361656832</stp>
        <tr r="G4790" s="2"/>
      </tp>
      <tp t="s">
        <v>#N/A N/A</v>
        <stp/>
        <stp>BDP|16192682738352227543</stp>
        <tr r="H1511" s="2"/>
      </tp>
      <tp t="s">
        <v>#N/A N/A</v>
        <stp/>
        <stp>BDP|11945149011323911626</stp>
        <tr r="I4663" s="2"/>
      </tp>
      <tp t="s">
        <v>#N/A N/A</v>
        <stp/>
        <stp>BDP|10677018648298958811</stp>
        <tr r="C3465" s="2"/>
      </tp>
      <tp t="s">
        <v>#N/A N/A</v>
        <stp/>
        <stp>BDP|15563169427916699457</stp>
        <tr r="F79" s="2"/>
      </tp>
      <tp t="s">
        <v>#N/A N/A</v>
        <stp/>
        <stp>BDP|15003788692267828850</stp>
        <tr r="F2751" s="2"/>
      </tp>
      <tp t="s">
        <v>#N/A N/A</v>
        <stp/>
        <stp>BDP|15361383439616134748</stp>
        <tr r="A3598" s="2"/>
      </tp>
      <tp t="s">
        <v>#N/A N/A</v>
        <stp/>
        <stp>BDP|15638683739353994795</stp>
        <tr r="G2384" s="2"/>
      </tp>
      <tp t="s">
        <v>#N/A N/A</v>
        <stp/>
        <stp>BDP|11565151627323038508</stp>
        <tr r="G2501" s="2"/>
      </tp>
      <tp t="s">
        <v>#N/A N/A</v>
        <stp/>
        <stp>BDP|17332244894600671829</stp>
        <tr r="G3682" s="2"/>
      </tp>
      <tp t="s">
        <v>#N/A N/A</v>
        <stp/>
        <stp>BDP|13005045956197192542</stp>
        <tr r="D4278" s="2"/>
      </tp>
      <tp t="s">
        <v>#N/A N/A</v>
        <stp/>
        <stp>BDP|10992546284369936070</stp>
        <tr r="D1944" s="2"/>
      </tp>
      <tp t="s">
        <v>#N/A N/A</v>
        <stp/>
        <stp>BDP|13411954092687091044</stp>
        <tr r="G2073" s="2"/>
      </tp>
      <tp t="s">
        <v>#N/A N/A</v>
        <stp/>
        <stp>BDP|16742000444572194456</stp>
        <tr r="H3125" s="2"/>
      </tp>
      <tp t="s">
        <v>#N/A N/A</v>
        <stp/>
        <stp>BDP|17556130427878372854</stp>
        <tr r="A3380" s="2"/>
      </tp>
      <tp t="s">
        <v>#N/A N/A</v>
        <stp/>
        <stp>BDP|12617576949907978067</stp>
        <tr r="C1742" s="2"/>
      </tp>
      <tp t="s">
        <v>#N/A N/A</v>
        <stp/>
        <stp>BDP|11124215721292288743</stp>
        <tr r="C4794" s="2"/>
      </tp>
      <tp t="s">
        <v>#N/A N/A</v>
        <stp/>
        <stp>BDP|12224609370595303263</stp>
        <tr r="G2400" s="2"/>
      </tp>
      <tp t="s">
        <v>#N/A N/A</v>
        <stp/>
        <stp>BDP|10199667962373213701</stp>
        <tr r="I3654" s="2"/>
      </tp>
      <tp t="s">
        <v>#N/A N/A</v>
        <stp/>
        <stp>BDP|12303678212188808994</stp>
        <tr r="C1656" s="2"/>
      </tp>
      <tp t="s">
        <v>#N/A N/A</v>
        <stp/>
        <stp>BDP|15161004511484583422</stp>
        <tr r="I4712" s="2"/>
      </tp>
      <tp t="s">
        <v>#N/A N/A</v>
        <stp/>
        <stp>BDP|10599734629333914213</stp>
        <tr r="I2746" s="2"/>
      </tp>
      <tp t="s">
        <v>#N/A N/A</v>
        <stp/>
        <stp>BDP|10630026430994416371</stp>
        <tr r="G3822" s="2"/>
      </tp>
      <tp t="s">
        <v>#N/A N/A</v>
        <stp/>
        <stp>BDP|10544767831179561908</stp>
        <tr r="F3975" s="2"/>
      </tp>
      <tp t="s">
        <v>#N/A N/A</v>
        <stp/>
        <stp>BDP|17407711097459408419</stp>
        <tr r="A2350" s="2"/>
      </tp>
      <tp t="s">
        <v>#N/A N/A</v>
        <stp/>
        <stp>BDP|11606770979415926065</stp>
        <tr r="C2535" s="2"/>
      </tp>
      <tp t="s">
        <v>#N/A N/A</v>
        <stp/>
        <stp>BDP|11917995780383210755</stp>
        <tr r="G987" s="2"/>
      </tp>
      <tp t="s">
        <v>#N/A N/A</v>
        <stp/>
        <stp>BDP|16215627824764413273</stp>
        <tr r="C3569" s="2"/>
      </tp>
      <tp t="s">
        <v>#N/A N/A</v>
        <stp/>
        <stp>BDP|10744316841587931497</stp>
        <tr r="C4571" s="2"/>
      </tp>
      <tp t="s">
        <v>#N/A N/A</v>
        <stp/>
        <stp>BDP|14921570089055062807</stp>
        <tr r="F2614" s="2"/>
      </tp>
      <tp t="s">
        <v>#N/A N/A</v>
        <stp/>
        <stp>BDP|15752765563353502300</stp>
        <tr r="I3902" s="2"/>
      </tp>
      <tp t="s">
        <v>#N/A N/A</v>
        <stp/>
        <stp>BDP|11633970192807791231</stp>
        <tr r="G3006" s="2"/>
      </tp>
      <tp t="s">
        <v>#N/A N/A</v>
        <stp/>
        <stp>BDP|16945087178051869467</stp>
        <tr r="A846" s="2"/>
      </tp>
      <tp t="s">
        <v>#N/A N/A</v>
        <stp/>
        <stp>BDP|13506863997081296718</stp>
        <tr r="B1490" s="2"/>
      </tp>
      <tp t="s">
        <v>#N/A N/A</v>
        <stp/>
        <stp>BDP|12443408291922253902</stp>
        <tr r="H177" s="2"/>
      </tp>
      <tp t="s">
        <v>#N/A N/A</v>
        <stp/>
        <stp>BDP|15974587343836218678</stp>
        <tr r="G1606" s="2"/>
      </tp>
      <tp t="s">
        <v>#N/A N/A</v>
        <stp/>
        <stp>BDP|13380875828268994527</stp>
        <tr r="A3052" s="2"/>
      </tp>
      <tp t="s">
        <v>#N/A N/A</v>
        <stp/>
        <stp>BDP|10065714517303974187</stp>
        <tr r="B2040" s="2"/>
      </tp>
      <tp t="s">
        <v>#N/A N/A</v>
        <stp/>
        <stp>BDP|17507464623933056679</stp>
        <tr r="B4757" s="2"/>
      </tp>
      <tp t="s">
        <v>#N/A N/A</v>
        <stp/>
        <stp>BDP|16845275192860995931</stp>
        <tr r="H4987" s="2"/>
      </tp>
      <tp t="s">
        <v>#N/A N/A</v>
        <stp/>
        <stp>BDP|12652004374456434717</stp>
        <tr r="C3341" s="2"/>
      </tp>
      <tp t="s">
        <v>#N/A N/A</v>
        <stp/>
        <stp>BDP|17867860891776928412</stp>
        <tr r="F2661" s="2"/>
      </tp>
      <tp t="s">
        <v>#N/A N/A</v>
        <stp/>
        <stp>BDP|10515887818565178835</stp>
        <tr r="A2610" s="2"/>
      </tp>
      <tp t="s">
        <v>#N/A N/A</v>
        <stp/>
        <stp>BDP|13423032062731323014</stp>
        <tr r="D484" s="2"/>
      </tp>
      <tp t="s">
        <v>#N/A N/A</v>
        <stp/>
        <stp>BDP|14320640525255762127</stp>
        <tr r="G4334" s="2"/>
      </tp>
      <tp t="s">
        <v>#N/A N/A</v>
        <stp/>
        <stp>BDP|12464183975785709592</stp>
        <tr r="I3311" s="2"/>
      </tp>
      <tp t="s">
        <v>#N/A N/A</v>
        <stp/>
        <stp>BDP|10277847780060218431</stp>
        <tr r="I4793" s="2"/>
      </tp>
      <tp t="s">
        <v>#N/A N/A</v>
        <stp/>
        <stp>BDP|11424370878777545691</stp>
        <tr r="I170" s="2"/>
      </tp>
      <tp t="s">
        <v>#N/A N/A</v>
        <stp/>
        <stp>BDP|12105027885788064616</stp>
        <tr r="D895" s="2"/>
      </tp>
      <tp t="s">
        <v>#N/A N/A</v>
        <stp/>
        <stp>BDP|14150260233819680855</stp>
        <tr r="I4223" s="2"/>
      </tp>
      <tp t="s">
        <v>#N/A N/A</v>
        <stp/>
        <stp>BDP|10436332431786595248</stp>
        <tr r="B1708" s="2"/>
      </tp>
      <tp t="s">
        <v>#N/A N/A</v>
        <stp/>
        <stp>BDP|12030013943284408615</stp>
        <tr r="D2031" s="2"/>
      </tp>
      <tp t="s">
        <v>#N/A N/A</v>
        <stp/>
        <stp>BDP|14025207979463752693</stp>
        <tr r="B3316" s="2"/>
      </tp>
      <tp t="s">
        <v>#N/A N/A</v>
        <stp/>
        <stp>BDP|14352115922367600415</stp>
        <tr r="I1822" s="2"/>
      </tp>
      <tp t="s">
        <v>#N/A N/A</v>
        <stp/>
        <stp>BDP|10364857301109858583</stp>
        <tr r="B2903" s="2"/>
      </tp>
      <tp t="s">
        <v>#N/A N/A</v>
        <stp/>
        <stp>BDP|14738567892398267467</stp>
        <tr r="C1880" s="2"/>
      </tp>
      <tp t="s">
        <v>#N/A N/A</v>
        <stp/>
        <stp>BDP|14648124912503128301</stp>
        <tr r="B3092" s="2"/>
      </tp>
      <tp t="s">
        <v>#N/A N/A</v>
        <stp/>
        <stp>BDP|13038868035984656821</stp>
        <tr r="C1342" s="2"/>
      </tp>
      <tp t="s">
        <v>#N/A N/A</v>
        <stp/>
        <stp>BDP|11945798003726297464</stp>
        <tr r="A1905" s="2"/>
      </tp>
      <tp t="s">
        <v>#N/A N/A</v>
        <stp/>
        <stp>BDP|10540276055143777072</stp>
        <tr r="B2384" s="2"/>
      </tp>
      <tp t="s">
        <v>#N/A N/A</v>
        <stp/>
        <stp>BDP|15192125178883480489</stp>
        <tr r="C2375" s="2"/>
      </tp>
      <tp t="s">
        <v>#N/A N/A</v>
        <stp/>
        <stp>BDP|11532537173654113336</stp>
        <tr r="C2135" s="2"/>
      </tp>
      <tp t="s">
        <v>#N/A N/A</v>
        <stp/>
        <stp>BDP|17484052426564231529</stp>
        <tr r="H3557" s="2"/>
      </tp>
      <tp t="s">
        <v>#N/A N/A</v>
        <stp/>
        <stp>BDP|13678428427845438401</stp>
        <tr r="H1504" s="2"/>
      </tp>
      <tp t="s">
        <v>#N/A N/A</v>
        <stp/>
        <stp>BDP|12705565472846383271</stp>
        <tr r="B4021" s="2"/>
      </tp>
      <tp t="s">
        <v>#N/A N/A</v>
        <stp/>
        <stp>BDP|17783469137200831494</stp>
        <tr r="D1870" s="2"/>
      </tp>
      <tp t="s">
        <v>#N/A N/A</v>
        <stp/>
        <stp>BDP|14727800095157350662</stp>
        <tr r="F3074" s="2"/>
      </tp>
      <tp t="s">
        <v>#N/A N/A</v>
        <stp/>
        <stp>BDP|11092467021561271237</stp>
        <tr r="F2171" s="2"/>
      </tp>
      <tp t="s">
        <v>#N/A N/A</v>
        <stp/>
        <stp>BDP|13514733939621898216</stp>
        <tr r="A1253" s="2"/>
      </tp>
      <tp t="s">
        <v>#N/A N/A</v>
        <stp/>
        <stp>BDP|16872321260152983554</stp>
        <tr r="G1115" s="2"/>
      </tp>
      <tp t="s">
        <v>#N/A N/A</v>
        <stp/>
        <stp>BDP|10920018176480028387</stp>
        <tr r="G1965" s="2"/>
      </tp>
      <tp t="s">
        <v>#N/A N/A</v>
        <stp/>
        <stp>BDP|15776639869459857835</stp>
        <tr r="H1789" s="2"/>
      </tp>
      <tp t="s">
        <v>#N/A N/A</v>
        <stp/>
        <stp>BDP|17099202455366605252</stp>
        <tr r="B3589" s="2"/>
      </tp>
      <tp t="s">
        <v>#N/A N/A</v>
        <stp/>
        <stp>BDP|10740774863610450519</stp>
        <tr r="A1985" s="2"/>
      </tp>
      <tp t="s">
        <v>#N/A N/A</v>
        <stp/>
        <stp>BDP|10876283719495639299</stp>
        <tr r="F2382" s="2"/>
      </tp>
      <tp t="s">
        <v>#N/A N/A</v>
        <stp/>
        <stp>BDP|15541471674133496147</stp>
        <tr r="I4923" s="2"/>
      </tp>
      <tp t="s">
        <v>#N/A N/A</v>
        <stp/>
        <stp>BDP|12368409371205717035</stp>
        <tr r="G1339" s="2"/>
      </tp>
      <tp t="s">
        <v>#N/A N/A</v>
        <stp/>
        <stp>BDP|16765223141305188137</stp>
        <tr r="C37" s="2"/>
      </tp>
      <tp t="s">
        <v>#N/A N/A</v>
        <stp/>
        <stp>BDP|13510336220113994596</stp>
        <tr r="I1781" s="2"/>
      </tp>
      <tp t="s">
        <v>#N/A N/A</v>
        <stp/>
        <stp>BDP|13391431117880289231</stp>
        <tr r="I624" s="2"/>
      </tp>
      <tp t="s">
        <v>#N/A N/A</v>
        <stp/>
        <stp>BDP|16544235354855241064</stp>
        <tr r="B3955" s="2"/>
      </tp>
      <tp t="s">
        <v>#N/A N/A</v>
        <stp/>
        <stp>BDP|18211906584115486847</stp>
        <tr r="D3498" s="2"/>
      </tp>
      <tp t="s">
        <v>#N/A N/A</v>
        <stp/>
        <stp>BDP|16608320717672288276</stp>
        <tr r="G3799" s="2"/>
      </tp>
      <tp t="s">
        <v>#N/A N/A</v>
        <stp/>
        <stp>BDP|11103056745664700508</stp>
        <tr r="F1772" s="2"/>
      </tp>
      <tp t="s">
        <v>#N/A N/A</v>
        <stp/>
        <stp>BDP|11146029823155709214</stp>
        <tr r="D3340" s="2"/>
      </tp>
      <tp t="s">
        <v>#N/A N/A</v>
        <stp/>
        <stp>BDP|10135378660585055404</stp>
        <tr r="I4346" s="2"/>
      </tp>
      <tp t="s">
        <v>#N/A N/A</v>
        <stp/>
        <stp>BDP|10845119704242848734</stp>
        <tr r="I4789" s="2"/>
      </tp>
      <tp t="s">
        <v>#N/A N/A</v>
        <stp/>
        <stp>BDP|15267712262745798505</stp>
        <tr r="G3865" s="2"/>
      </tp>
      <tp t="s">
        <v>#N/A N/A</v>
        <stp/>
        <stp>BDP|12664473433021588012</stp>
        <tr r="B4574" s="2"/>
      </tp>
      <tp t="s">
        <v>#N/A N/A</v>
        <stp/>
        <stp>BDP|11824529440611942556</stp>
        <tr r="F1738" s="2"/>
      </tp>
      <tp t="s">
        <v>#N/A N/A</v>
        <stp/>
        <stp>BDP|14571001331751174239</stp>
        <tr r="B1497" s="2"/>
      </tp>
      <tp t="s">
        <v>#N/A N/A</v>
        <stp/>
        <stp>BDP|15116270070851600566</stp>
        <tr r="F78" s="2"/>
      </tp>
      <tp t="s">
        <v>#N/A N/A</v>
        <stp/>
        <stp>BDP|16479508125490352541</stp>
        <tr r="B3077" s="2"/>
      </tp>
      <tp t="s">
        <v>#N/A N/A</v>
        <stp/>
        <stp>BDP|14015543653492588241</stp>
        <tr r="B3577" s="2"/>
      </tp>
      <tp t="s">
        <v>#N/A N/A</v>
        <stp/>
        <stp>BDP|14079023702548698807</stp>
        <tr r="F667" s="2"/>
      </tp>
      <tp t="s">
        <v>#N/A N/A</v>
        <stp/>
        <stp>BDP|15374975372316264928</stp>
        <tr r="B3465" s="2"/>
      </tp>
      <tp t="s">
        <v>#N/A N/A</v>
        <stp/>
        <stp>BDP|17185653842932546358</stp>
        <tr r="A667" s="2"/>
      </tp>
      <tp t="s">
        <v>#N/A N/A</v>
        <stp/>
        <stp>BDP|13394383441865980554</stp>
        <tr r="D328" s="2"/>
      </tp>
      <tp t="s">
        <v>#N/A N/A</v>
        <stp/>
        <stp>BDP|12499111453075434746</stp>
        <tr r="H899" s="2"/>
      </tp>
      <tp t="s">
        <v>#N/A N/A</v>
        <stp/>
        <stp>BDP|16621738103483762675</stp>
        <tr r="I3326" s="2"/>
      </tp>
      <tp t="s">
        <v>#N/A N/A</v>
        <stp/>
        <stp>BDP|11532696527426882754</stp>
        <tr r="F160" s="2"/>
      </tp>
      <tp t="s">
        <v>#N/A N/A</v>
        <stp/>
        <stp>BDP|16351756701944403157</stp>
        <tr r="F2249" s="2"/>
      </tp>
      <tp t="s">
        <v>#N/A N/A</v>
        <stp/>
        <stp>BDP|12088021223512588629</stp>
        <tr r="A3634" s="2"/>
      </tp>
      <tp t="s">
        <v>#N/A N/A</v>
        <stp/>
        <stp>BDP|13991370509434534043</stp>
        <tr r="F218" s="2"/>
      </tp>
      <tp t="s">
        <v>#N/A N/A</v>
        <stp/>
        <stp>BDP|12371019774576278720</stp>
        <tr r="G1741" s="2"/>
      </tp>
      <tp t="s">
        <v>#N/A N/A</v>
        <stp/>
        <stp>BDP|15853798511151406620</stp>
        <tr r="D2517" s="2"/>
      </tp>
      <tp t="s">
        <v>#N/A N/A</v>
        <stp/>
        <stp>BDP|11448963473628149369</stp>
        <tr r="A3612" s="2"/>
      </tp>
      <tp t="s">
        <v>#N/A N/A</v>
        <stp/>
        <stp>BDP|13748001073739346915</stp>
        <tr r="C1920" s="2"/>
      </tp>
      <tp t="s">
        <v>#N/A N/A</v>
        <stp/>
        <stp>BDP|10457537067786200146</stp>
        <tr r="C3374" s="2"/>
      </tp>
      <tp t="s">
        <v>#N/A N/A</v>
        <stp/>
        <stp>BDP|15579375230154331573</stp>
        <tr r="G2999" s="2"/>
      </tp>
      <tp t="s">
        <v>#N/A N/A</v>
        <stp/>
        <stp>BDP|15728984274918594785</stp>
        <tr r="D3315" s="2"/>
      </tp>
      <tp t="s">
        <v>#N/A N/A</v>
        <stp/>
        <stp>BDP|17742125554437741002</stp>
        <tr r="I1769" s="2"/>
      </tp>
      <tp t="s">
        <v>#N/A N/A</v>
        <stp/>
        <stp>BDP|11681323310036480160</stp>
        <tr r="F2428" s="2"/>
      </tp>
      <tp t="s">
        <v>#N/A N/A</v>
        <stp/>
        <stp>BDP|18405940975131436370</stp>
        <tr r="D1800" s="2"/>
      </tp>
      <tp t="s">
        <v>#N/A N/A</v>
        <stp/>
        <stp>BDP|13403389174812917172</stp>
        <tr r="I545" s="2"/>
      </tp>
      <tp t="s">
        <v>#N/A N/A</v>
        <stp/>
        <stp>BDP|11140431157204627057</stp>
        <tr r="G1245" s="2"/>
      </tp>
      <tp t="s">
        <v>#N/A N/A</v>
        <stp/>
        <stp>BDP|17410521161426073611</stp>
        <tr r="C335" s="2"/>
      </tp>
      <tp t="s">
        <v>#N/A N/A</v>
        <stp/>
        <stp>BDP|15906488501976779317</stp>
        <tr r="G1580" s="2"/>
      </tp>
      <tp t="s">
        <v>#N/A N/A</v>
        <stp/>
        <stp>BDP|14353752244094534715</stp>
        <tr r="H463" s="2"/>
      </tp>
      <tp t="s">
        <v>#N/A N/A</v>
        <stp/>
        <stp>BDP|14776995870277115990</stp>
        <tr r="G4560" s="2"/>
      </tp>
      <tp t="s">
        <v>#N/A N/A</v>
        <stp/>
        <stp>BDP|12890115022471498490</stp>
        <tr r="A2316" s="2"/>
      </tp>
      <tp t="s">
        <v>#N/A N/A</v>
        <stp/>
        <stp>BDP|12708499559304286333</stp>
        <tr r="A2766" s="2"/>
      </tp>
      <tp t="s">
        <v>#N/A N/A</v>
        <stp/>
        <stp>BDP|16039612583338325471</stp>
        <tr r="F3028" s="2"/>
      </tp>
      <tp t="s">
        <v>#N/A N/A</v>
        <stp/>
        <stp>BDP|18002377514768735622</stp>
        <tr r="F3123" s="2"/>
      </tp>
      <tp t="s">
        <v>#N/A N/A</v>
        <stp/>
        <stp>BDP|11272933295161531477</stp>
        <tr r="I849" s="2"/>
      </tp>
      <tp t="s">
        <v>#N/A N/A</v>
        <stp/>
        <stp>BDP|11899610026721196087</stp>
        <tr r="H4876" s="2"/>
      </tp>
      <tp t="s">
        <v>#N/A N/A</v>
        <stp/>
        <stp>BDP|17673066522913299261</stp>
        <tr r="D3785" s="2"/>
      </tp>
      <tp t="s">
        <v>#N/A N/A</v>
        <stp/>
        <stp>BDP|14032778363202118338</stp>
        <tr r="A1359" s="2"/>
      </tp>
      <tp t="s">
        <v>#N/A N/A</v>
        <stp/>
        <stp>BDP|16343091343174831277</stp>
        <tr r="F1720" s="2"/>
      </tp>
      <tp t="s">
        <v>#N/A N/A</v>
        <stp/>
        <stp>BDP|10506497549094014031</stp>
        <tr r="H4209" s="2"/>
      </tp>
      <tp t="s">
        <v>#N/A N/A</v>
        <stp/>
        <stp>BDP|15993369921024026485</stp>
        <tr r="D1143" s="2"/>
      </tp>
      <tp t="s">
        <v>#N/A N/A</v>
        <stp/>
        <stp>BDP|12298059550603774066</stp>
        <tr r="G4917" s="2"/>
      </tp>
      <tp t="s">
        <v>#N/A N/A</v>
        <stp/>
        <stp>BDP|12421191129697261204</stp>
        <tr r="H4537" s="2"/>
      </tp>
      <tp t="s">
        <v>#N/A N/A</v>
        <stp/>
        <stp>BDP|14106516447660551142</stp>
        <tr r="A1039" s="2"/>
      </tp>
      <tp t="s">
        <v>#N/A N/A</v>
        <stp/>
        <stp>BDP|13946376573164342780</stp>
        <tr r="D2588" s="2"/>
      </tp>
      <tp t="s">
        <v>#N/A N/A</v>
        <stp/>
        <stp>BDP|12305056101066570046</stp>
        <tr r="G1745" s="2"/>
      </tp>
      <tp t="s">
        <v>#N/A N/A</v>
        <stp/>
        <stp>BDP|13233615872272261454</stp>
        <tr r="H2987" s="2"/>
      </tp>
      <tp t="s">
        <v>#N/A N/A</v>
        <stp/>
        <stp>BDP|14621321802755134611</stp>
        <tr r="A1009" s="2"/>
      </tp>
      <tp t="s">
        <v>#N/A N/A</v>
        <stp/>
        <stp>BDP|17532795559524100525</stp>
        <tr r="C1462" s="2"/>
      </tp>
      <tp t="s">
        <v>#N/A N/A</v>
        <stp/>
        <stp>BDP|12560562125339945895</stp>
        <tr r="I3483" s="2"/>
      </tp>
      <tp t="s">
        <v>#N/A N/A</v>
        <stp/>
        <stp>BDP|17444753407137185318</stp>
        <tr r="G2313" s="2"/>
      </tp>
      <tp t="s">
        <v>#N/A N/A</v>
        <stp/>
        <stp>BDP|12060131097079524773</stp>
        <tr r="G1736" s="2"/>
      </tp>
      <tp t="s">
        <v>#N/A N/A</v>
        <stp/>
        <stp>BDP|18309776883194335721</stp>
        <tr r="G4296" s="2"/>
      </tp>
      <tp t="s">
        <v>#N/A N/A</v>
        <stp/>
        <stp>BDP|11077417742287477210</stp>
        <tr r="F373" s="2"/>
      </tp>
      <tp t="s">
        <v>#N/A N/A</v>
        <stp/>
        <stp>BDP|17575599444866659486</stp>
        <tr r="A2283" s="2"/>
      </tp>
      <tp t="s">
        <v>#N/A N/A</v>
        <stp/>
        <stp>BDP|15624376066063524743</stp>
        <tr r="A4131" s="2"/>
      </tp>
      <tp t="s">
        <v>#N/A N/A</v>
        <stp/>
        <stp>BDP|18117186400445874871</stp>
        <tr r="H3368" s="2"/>
      </tp>
      <tp t="s">
        <v>#N/A N/A</v>
        <stp/>
        <stp>BDP|15670304420612567256</stp>
        <tr r="G26" s="2"/>
      </tp>
      <tp t="s">
        <v>#N/A N/A</v>
        <stp/>
        <stp>BDP|13711331652989852888</stp>
        <tr r="G1151" s="2"/>
      </tp>
      <tp t="s">
        <v>#N/A N/A</v>
        <stp/>
        <stp>BDP|14080033959171963458</stp>
        <tr r="C3012" s="2"/>
      </tp>
      <tp t="s">
        <v>#N/A N/A</v>
        <stp/>
        <stp>BDP|14419470791365034845</stp>
        <tr r="A4337" s="2"/>
      </tp>
      <tp t="s">
        <v>#N/A N/A</v>
        <stp/>
        <stp>BDP|11352915169652569884</stp>
        <tr r="I153" s="2"/>
      </tp>
      <tp t="s">
        <v>#N/A N/A</v>
        <stp/>
        <stp>BDP|15149753617776152141</stp>
        <tr r="I1088" s="2"/>
      </tp>
      <tp t="s">
        <v>#N/A N/A</v>
        <stp/>
        <stp>BDP|12643069654702061128</stp>
        <tr r="B2831" s="2"/>
      </tp>
      <tp t="s">
        <v>#N/A N/A</v>
        <stp/>
        <stp>BDP|16161716813853798725</stp>
        <tr r="H2228" s="2"/>
      </tp>
      <tp t="s">
        <v>#N/A N/A</v>
        <stp/>
        <stp>BDP|16205124721960080171</stp>
        <tr r="C479" s="2"/>
      </tp>
      <tp t="s">
        <v>#N/A N/A</v>
        <stp/>
        <stp>BDP|11212965517105721823</stp>
        <tr r="F426" s="2"/>
      </tp>
      <tp t="s">
        <v>#N/A N/A</v>
        <stp/>
        <stp>BDP|16326189342832927565</stp>
        <tr r="C3824" s="2"/>
      </tp>
      <tp t="s">
        <v>#N/A N/A</v>
        <stp/>
        <stp>BDP|13316916056302475967</stp>
        <tr r="B2432" s="2"/>
      </tp>
      <tp t="s">
        <v>#N/A N/A</v>
        <stp/>
        <stp>BDP|16445333064336398096</stp>
        <tr r="D2677" s="2"/>
      </tp>
      <tp t="s">
        <v>#N/A N/A</v>
        <stp/>
        <stp>BDP|16979098205811952259</stp>
        <tr r="D2525" s="2"/>
      </tp>
      <tp t="s">
        <v>#N/A N/A</v>
        <stp/>
        <stp>BDP|13324388102383358637</stp>
        <tr r="I299" s="2"/>
      </tp>
      <tp t="s">
        <v>#N/A N/A</v>
        <stp/>
        <stp>BDP|18346792781970017225</stp>
        <tr r="F245" s="2"/>
      </tp>
      <tp t="s">
        <v>#N/A N/A</v>
        <stp/>
        <stp>BDP|11203592807414547508</stp>
        <tr r="C3819" s="2"/>
      </tp>
      <tp t="s">
        <v>#N/A N/A</v>
        <stp/>
        <stp>BDP|16094401991968826609</stp>
        <tr r="B1390" s="2"/>
      </tp>
      <tp t="s">
        <v>#N/A N/A</v>
        <stp/>
        <stp>BDP|10724329253166988568</stp>
        <tr r="I324" s="2"/>
      </tp>
      <tp t="s">
        <v>#N/A N/A</v>
        <stp/>
        <stp>BDP|10258916372898118390</stp>
        <tr r="C4854" s="2"/>
      </tp>
      <tp t="s">
        <v>#N/A N/A</v>
        <stp/>
        <stp>BDP|13087504006780605391</stp>
        <tr r="C4470" s="2"/>
      </tp>
      <tp t="s">
        <v>#N/A N/A</v>
        <stp/>
        <stp>BDP|11894592733876203499</stp>
        <tr r="H4085" s="2"/>
      </tp>
      <tp t="s">
        <v>#N/A N/A</v>
        <stp/>
        <stp>BDP|11187657055077871002</stp>
        <tr r="I76" s="2"/>
      </tp>
      <tp t="s">
        <v>#N/A N/A</v>
        <stp/>
        <stp>BDP|13863731015059495934</stp>
        <tr r="C2688" s="2"/>
      </tp>
      <tp t="s">
        <v>#N/A N/A</v>
        <stp/>
        <stp>BDP|16485214954211921515</stp>
        <tr r="G1833" s="2"/>
      </tp>
      <tp t="s">
        <v>#N/A N/A</v>
        <stp/>
        <stp>BDP|16801545575685430449</stp>
        <tr r="D4045" s="2"/>
      </tp>
      <tp t="s">
        <v>#N/A N/A</v>
        <stp/>
        <stp>BDP|17658358840221916437</stp>
        <tr r="A563" s="2"/>
      </tp>
      <tp t="s">
        <v>#N/A N/A</v>
        <stp/>
        <stp>BDP|14109973699107638608</stp>
        <tr r="G3146" s="2"/>
      </tp>
      <tp t="s">
        <v>#N/A N/A</v>
        <stp/>
        <stp>BDP|14045665426173806619</stp>
        <tr r="B1877" s="2"/>
      </tp>
      <tp t="s">
        <v>#N/A N/A</v>
        <stp/>
        <stp>BDP|11393070927471277782</stp>
        <tr r="G1075" s="2"/>
      </tp>
      <tp t="s">
        <v>#N/A N/A</v>
        <stp/>
        <stp>BDP|15145483264242696024</stp>
        <tr r="C3095" s="2"/>
      </tp>
      <tp t="s">
        <v>#N/A N/A</v>
        <stp/>
        <stp>BDP|17835515058461136399</stp>
        <tr r="F3450" s="2"/>
      </tp>
      <tp t="s">
        <v>#N/A N/A</v>
        <stp/>
        <stp>BDP|10949452047750388511</stp>
        <tr r="G4563" s="2"/>
      </tp>
      <tp t="s">
        <v>#N/A N/A</v>
        <stp/>
        <stp>BDP|10563264336854954057</stp>
        <tr r="F1437" s="2"/>
      </tp>
      <tp t="s">
        <v>#N/A N/A</v>
        <stp/>
        <stp>BDP|12426288165717556450</stp>
        <tr r="I49" s="2"/>
      </tp>
      <tp t="s">
        <v>#N/A N/A</v>
        <stp/>
        <stp>BDP|10425735601571727388</stp>
        <tr r="A1637" s="2"/>
      </tp>
      <tp t="s">
        <v>#N/A N/A</v>
        <stp/>
        <stp>BDP|10940259267671306013</stp>
        <tr r="D2263" s="2"/>
      </tp>
      <tp t="s">
        <v>#N/A N/A</v>
        <stp/>
        <stp>BDP|11315295178698282995</stp>
        <tr r="A2882" s="2"/>
      </tp>
      <tp t="s">
        <v>#N/A N/A</v>
        <stp/>
        <stp>BDP|16623815748238699703</stp>
        <tr r="D3150" s="2"/>
      </tp>
      <tp t="s">
        <v>#N/A N/A</v>
        <stp/>
        <stp>BDP|14351781857186799523</stp>
        <tr r="B3075" s="2"/>
      </tp>
      <tp t="s">
        <v>#N/A N/A</v>
        <stp/>
        <stp>BDP|16235671448906059741</stp>
        <tr r="I4150" s="2"/>
      </tp>
      <tp t="s">
        <v>#N/A N/A</v>
        <stp/>
        <stp>BDP|14442097073570002679</stp>
        <tr r="B3135" s="2"/>
      </tp>
      <tp t="s">
        <v>#N/A N/A</v>
        <stp/>
        <stp>BDP|16022523724065964168</stp>
        <tr r="I596" s="2"/>
      </tp>
      <tp t="s">
        <v>#N/A N/A</v>
        <stp/>
        <stp>BDP|14151686201216380126</stp>
        <tr r="H423" s="2"/>
      </tp>
      <tp t="s">
        <v>#N/A N/A</v>
        <stp/>
        <stp>BDP|11736774938337187702</stp>
        <tr r="G4075" s="2"/>
      </tp>
      <tp t="s">
        <v>#N/A N/A</v>
        <stp/>
        <stp>BDP|12720581305390390207</stp>
        <tr r="D4714" s="2"/>
      </tp>
      <tp t="s">
        <v>#N/A N/A</v>
        <stp/>
        <stp>BDP|15683799713760298671</stp>
        <tr r="A2187" s="2"/>
      </tp>
      <tp t="s">
        <v>#N/A N/A</v>
        <stp/>
        <stp>BDP|16444473342140010389</stp>
        <tr r="G445" s="2"/>
      </tp>
      <tp t="s">
        <v>#N/A N/A</v>
        <stp/>
        <stp>BDP|13089677557354901101</stp>
        <tr r="H2052" s="2"/>
      </tp>
      <tp t="s">
        <v>#N/A N/A</v>
        <stp/>
        <stp>BDP|11873420502306283631</stp>
        <tr r="H2884" s="2"/>
      </tp>
      <tp t="s">
        <v>#N/A N/A</v>
        <stp/>
        <stp>BDP|16384958696614133788</stp>
        <tr r="B2267" s="2"/>
      </tp>
      <tp t="s">
        <v>#N/A N/A</v>
        <stp/>
        <stp>BDP|15986707203677671053</stp>
        <tr r="A1034" s="2"/>
      </tp>
      <tp t="s">
        <v>#N/A N/A</v>
        <stp/>
        <stp>BDP|16446277419929748942</stp>
        <tr r="F2838" s="2"/>
      </tp>
      <tp t="s">
        <v>#N/A N/A</v>
        <stp/>
        <stp>BDP|15344914888614526568</stp>
        <tr r="A1066" s="2"/>
      </tp>
      <tp t="s">
        <v>#N/A N/A</v>
        <stp/>
        <stp>BDP|11958241725887222332</stp>
        <tr r="C500" s="2"/>
      </tp>
      <tp t="s">
        <v>#N/A N/A</v>
        <stp/>
        <stp>BDP|17948265512573746233</stp>
        <tr r="C4194" s="2"/>
      </tp>
      <tp t="s">
        <v>#N/A N/A</v>
        <stp/>
        <stp>BDP|11739532733964826669</stp>
        <tr r="B4985" s="2"/>
      </tp>
      <tp t="s">
        <v>#N/A N/A</v>
        <stp/>
        <stp>BDP|10198254354357897514</stp>
        <tr r="D1115" s="2"/>
      </tp>
      <tp t="s">
        <v>#N/A N/A</v>
        <stp/>
        <stp>BDP|10763433284570033990</stp>
        <tr r="D810" s="2"/>
      </tp>
      <tp t="s">
        <v>#N/A N/A</v>
        <stp/>
        <stp>BDP|18129385883541393708</stp>
        <tr r="B3188" s="2"/>
      </tp>
      <tp t="s">
        <v>#N/A N/A</v>
        <stp/>
        <stp>BDP|14674723738220140541</stp>
        <tr r="G1263" s="2"/>
      </tp>
      <tp t="s">
        <v>#N/A N/A</v>
        <stp/>
        <stp>BDP|15686537035825850310</stp>
        <tr r="A1201" s="2"/>
      </tp>
      <tp t="s">
        <v>#N/A N/A</v>
        <stp/>
        <stp>BDP|14241204382463803816</stp>
        <tr r="B2475" s="2"/>
      </tp>
      <tp t="s">
        <v>#N/A N/A</v>
        <stp/>
        <stp>BDP|16962272018146971660</stp>
        <tr r="D2660" s="2"/>
      </tp>
      <tp t="s">
        <v>#N/A N/A</v>
        <stp/>
        <stp>BDP|17991656808262478698</stp>
        <tr r="I1950" s="2"/>
      </tp>
      <tp t="s">
        <v>#N/A N/A</v>
        <stp/>
        <stp>BDP|18411910240259461987</stp>
        <tr r="C4050" s="2"/>
      </tp>
      <tp t="s">
        <v>#N/A N/A</v>
        <stp/>
        <stp>BDP|15863006343110421461</stp>
        <tr r="A2716" s="2"/>
      </tp>
      <tp t="s">
        <v>#N/A N/A</v>
        <stp/>
        <stp>BDP|13567286663301393348</stp>
        <tr r="D1819" s="2"/>
      </tp>
      <tp t="s">
        <v>#N/A N/A</v>
        <stp/>
        <stp>BDP|14543379977504906159</stp>
        <tr r="D2787" s="2"/>
      </tp>
      <tp t="s">
        <v>#N/A N/A</v>
        <stp/>
        <stp>BDP|16618476630484069084</stp>
        <tr r="B2419" s="2"/>
      </tp>
      <tp t="s">
        <v>#N/A N/A</v>
        <stp/>
        <stp>BDP|12074138977353441299</stp>
        <tr r="I1298" s="2"/>
      </tp>
      <tp t="s">
        <v>#N/A N/A</v>
        <stp/>
        <stp>BDP|16231195169583310783</stp>
        <tr r="D2744" s="2"/>
      </tp>
      <tp t="s">
        <v>#N/A N/A</v>
        <stp/>
        <stp>BDP|10506169682919985519</stp>
        <tr r="F3818" s="2"/>
      </tp>
      <tp t="s">
        <v>#N/A N/A</v>
        <stp/>
        <stp>BDP|14982466000860240543</stp>
        <tr r="A3745" s="2"/>
      </tp>
      <tp t="s">
        <v>#N/A N/A</v>
        <stp/>
        <stp>BDP|15252424307793939774</stp>
        <tr r="D377" s="2"/>
      </tp>
      <tp t="s">
        <v>#N/A N/A</v>
        <stp/>
        <stp>BDP|11849109314285067159</stp>
        <tr r="C2310" s="2"/>
      </tp>
      <tp t="s">
        <v>#N/A N/A</v>
        <stp/>
        <stp>BDP|15225918988518298906</stp>
        <tr r="I3977" s="2"/>
      </tp>
      <tp t="s">
        <v>#N/A N/A</v>
        <stp/>
        <stp>BDP|17907913679365862906</stp>
        <tr r="G3252" s="2"/>
      </tp>
      <tp t="s">
        <v>#N/A N/A</v>
        <stp/>
        <stp>BDP|11570979338909060731</stp>
        <tr r="G794" s="2"/>
      </tp>
      <tp t="s">
        <v>#N/A N/A</v>
        <stp/>
        <stp>BDP|17557192215121944392</stp>
        <tr r="H2172" s="2"/>
      </tp>
      <tp t="s">
        <v>#N/A N/A</v>
        <stp/>
        <stp>BDP|17585078178350552566</stp>
        <tr r="G2862" s="2"/>
      </tp>
      <tp t="s">
        <v>#N/A N/A</v>
        <stp/>
        <stp>BDP|11305340976398947817</stp>
        <tr r="H365" s="2"/>
      </tp>
      <tp t="s">
        <v>#N/A N/A</v>
        <stp/>
        <stp>BDP|11205801274882970969</stp>
        <tr r="H942" s="2"/>
      </tp>
      <tp t="s">
        <v>#N/A N/A</v>
        <stp/>
        <stp>BDP|13953694969347251120</stp>
        <tr r="H1654" s="2"/>
      </tp>
      <tp t="s">
        <v>#N/A N/A</v>
        <stp/>
        <stp>BDP|10421726264284260097</stp>
        <tr r="A2539" s="2"/>
      </tp>
      <tp t="s">
        <v>#N/A N/A</v>
        <stp/>
        <stp>BDP|14974517159595119493</stp>
        <tr r="B3222" s="2"/>
      </tp>
      <tp t="s">
        <v>#N/A N/A</v>
        <stp/>
        <stp>BDP|14693207564861364487</stp>
        <tr r="D3463" s="2"/>
      </tp>
      <tp t="s">
        <v>#N/A N/A</v>
        <stp/>
        <stp>BDP|10190194120840242636</stp>
        <tr r="H2573" s="2"/>
      </tp>
      <tp t="s">
        <v>#N/A N/A</v>
        <stp/>
        <stp>BDP|11870728975812009660</stp>
        <tr r="G693" s="2"/>
      </tp>
      <tp t="s">
        <v>#N/A N/A</v>
        <stp/>
        <stp>BDP|15936163760913180476</stp>
        <tr r="G4743" s="2"/>
      </tp>
      <tp t="s">
        <v>#N/A N/A</v>
        <stp/>
        <stp>BDP|10294708825755834563</stp>
        <tr r="B2799" s="2"/>
      </tp>
      <tp t="s">
        <v>#N/A N/A</v>
        <stp/>
        <stp>BDP|10997869517444649876</stp>
        <tr r="F4332" s="2"/>
      </tp>
      <tp t="s">
        <v>#N/A N/A</v>
        <stp/>
        <stp>BDP|17740387017694156406</stp>
        <tr r="B143" s="2"/>
      </tp>
      <tp t="s">
        <v>#N/A N/A</v>
        <stp/>
        <stp>BDP|14289129578803775468</stp>
        <tr r="A1914" s="2"/>
      </tp>
      <tp t="s">
        <v>#N/A N/A</v>
        <stp/>
        <stp>BDP|16669125623224936474</stp>
        <tr r="D2957" s="2"/>
      </tp>
      <tp t="s">
        <v>#N/A N/A</v>
        <stp/>
        <stp>BDP|11357319543515993616</stp>
        <tr r="D4485" s="2"/>
      </tp>
      <tp t="s">
        <v>#N/A N/A</v>
        <stp/>
        <stp>BDP|13174368981948836570</stp>
        <tr r="F3957" s="2"/>
      </tp>
      <tp t="s">
        <v>#N/A N/A</v>
        <stp/>
        <stp>BDP|17242536287166609996</stp>
        <tr r="D2328" s="2"/>
      </tp>
      <tp t="s">
        <v>#N/A N/A</v>
        <stp/>
        <stp>BDP|11558620939572032376</stp>
        <tr r="H1111" s="2"/>
      </tp>
      <tp t="s">
        <v>#N/A N/A</v>
        <stp/>
        <stp>BDP|17112414436160953564</stp>
        <tr r="H3138" s="2"/>
      </tp>
      <tp t="s">
        <v>#N/A N/A</v>
        <stp/>
        <stp>BDP|14951708537932045775</stp>
        <tr r="C4639" s="2"/>
      </tp>
      <tp t="s">
        <v>#N/A N/A</v>
        <stp/>
        <stp>BDP|17565618321426466089</stp>
        <tr r="I2365" s="2"/>
      </tp>
      <tp t="s">
        <v>#N/A N/A</v>
        <stp/>
        <stp>BDP|11668456325512622093</stp>
        <tr r="F539" s="2"/>
      </tp>
      <tp t="s">
        <v>#N/A N/A</v>
        <stp/>
        <stp>BDP|17949492020661815515</stp>
        <tr r="H1872" s="2"/>
      </tp>
      <tp t="s">
        <v>#N/A N/A</v>
        <stp/>
        <stp>BDP|17284819804233768991</stp>
        <tr r="D4020" s="2"/>
      </tp>
      <tp t="s">
        <v>#N/A N/A</v>
        <stp/>
        <stp>BDP|15500080495030607974</stp>
        <tr r="G2754" s="2"/>
      </tp>
      <tp t="s">
        <v>#N/A N/A</v>
        <stp/>
        <stp>BDP|15777289764623090725</stp>
        <tr r="H2181" s="2"/>
      </tp>
      <tp t="s">
        <v>#N/A N/A</v>
        <stp/>
        <stp>BDP|17794426762100821068</stp>
        <tr r="B2669" s="2"/>
      </tp>
      <tp t="s">
        <v>#N/A N/A</v>
        <stp/>
        <stp>BDP|11804252892579345648</stp>
        <tr r="C1815" s="2"/>
      </tp>
      <tp t="s">
        <v>#N/A N/A</v>
        <stp/>
        <stp>BDP|12567411889453302868</stp>
        <tr r="F4813" s="2"/>
      </tp>
      <tp t="s">
        <v>#N/A N/A</v>
        <stp/>
        <stp>BDP|17353621902871966521</stp>
        <tr r="D4098" s="2"/>
      </tp>
      <tp t="s">
        <v>#N/A N/A</v>
        <stp/>
        <stp>BDP|16688583275618574963</stp>
        <tr r="B1596" s="2"/>
      </tp>
      <tp t="s">
        <v>#N/A N/A</v>
        <stp/>
        <stp>BDP|16415118736051974027</stp>
        <tr r="G617" s="2"/>
      </tp>
      <tp t="s">
        <v>#N/A N/A</v>
        <stp/>
        <stp>BDP|11551595905143085211</stp>
        <tr r="H3460" s="2"/>
      </tp>
      <tp t="s">
        <v>#N/A N/A</v>
        <stp/>
        <stp>BDP|14447712145905043783</stp>
        <tr r="C2209" s="2"/>
      </tp>
      <tp t="s">
        <v>#N/A N/A</v>
        <stp/>
        <stp>BDP|17223114018851743342</stp>
        <tr r="A1705" s="2"/>
      </tp>
      <tp t="s">
        <v>#N/A N/A</v>
        <stp/>
        <stp>BDP|17343050612142856148</stp>
        <tr r="B3559" s="2"/>
      </tp>
      <tp t="s">
        <v>#N/A N/A</v>
        <stp/>
        <stp>BDP|17892480626806707299</stp>
        <tr r="H1699" s="2"/>
      </tp>
      <tp t="s">
        <v>#N/A N/A</v>
        <stp/>
        <stp>BDP|10883906645191071957</stp>
        <tr r="F4158" s="2"/>
      </tp>
      <tp t="s">
        <v>#N/A N/A</v>
        <stp/>
        <stp>BDP|18309189797470135551</stp>
        <tr r="F939" s="2"/>
      </tp>
      <tp t="s">
        <v>#N/A N/A</v>
        <stp/>
        <stp>BDP|18403115606878975425</stp>
        <tr r="D1481" s="2"/>
      </tp>
      <tp t="s">
        <v>#N/A N/A</v>
        <stp/>
        <stp>BDP|16643470073407382797</stp>
        <tr r="A4881" s="2"/>
      </tp>
      <tp t="s">
        <v>#N/A N/A</v>
        <stp/>
        <stp>BDP|16952036761106183324</stp>
        <tr r="A2488" s="2"/>
      </tp>
      <tp t="s">
        <v>#N/A N/A</v>
        <stp/>
        <stp>BDP|13766757783381080897</stp>
        <tr r="F107" s="2"/>
      </tp>
      <tp t="s">
        <v>#N/A N/A</v>
        <stp/>
        <stp>BDP|11898052653102664301</stp>
        <tr r="H3531" s="2"/>
      </tp>
      <tp t="s">
        <v>#N/A N/A</v>
        <stp/>
        <stp>BDP|11048771182679579289</stp>
        <tr r="G1780" s="2"/>
      </tp>
      <tp t="s">
        <v>#N/A N/A</v>
        <stp/>
        <stp>BDP|18053635111678934238</stp>
        <tr r="I1009" s="2"/>
      </tp>
      <tp t="s">
        <v>#N/A N/A</v>
        <stp/>
        <stp>BDP|12826874066458063119</stp>
        <tr r="C1313" s="2"/>
      </tp>
      <tp t="s">
        <v>#N/A N/A</v>
        <stp/>
        <stp>BDP|15438318900210843350</stp>
        <tr r="A615" s="2"/>
      </tp>
      <tp t="s">
        <v>#N/A N/A</v>
        <stp/>
        <stp>BDP|17351270199740768928</stp>
        <tr r="D1073" s="2"/>
      </tp>
      <tp t="s">
        <v>#N/A N/A</v>
        <stp/>
        <stp>BDP|14594645003396257186</stp>
        <tr r="B1890" s="2"/>
      </tp>
      <tp t="s">
        <v>#N/A N/A</v>
        <stp/>
        <stp>BDP|12664782052926171356</stp>
        <tr r="B379" s="2"/>
      </tp>
      <tp t="s">
        <v>#N/A N/A</v>
        <stp/>
        <stp>BDP|10156462837507137592</stp>
        <tr r="A1382" s="2"/>
      </tp>
      <tp t="s">
        <v>#N/A N/A</v>
        <stp/>
        <stp>BDP|11763781338003854371</stp>
        <tr r="A2991" s="2"/>
      </tp>
      <tp t="s">
        <v>#N/A N/A</v>
        <stp/>
        <stp>BDP|15115480360716906485</stp>
        <tr r="F741" s="2"/>
      </tp>
      <tp t="s">
        <v>#N/A N/A</v>
        <stp/>
        <stp>BDP|13656880296380102714</stp>
        <tr r="D1090" s="2"/>
      </tp>
      <tp t="s">
        <v>#N/A N/A</v>
        <stp/>
        <stp>BDP|12958872795304745242</stp>
        <tr r="C3281" s="2"/>
      </tp>
      <tp t="s">
        <v>#N/A N/A</v>
        <stp/>
        <stp>BDP|17964372746783611660</stp>
        <tr r="A4098" s="2"/>
      </tp>
      <tp t="s">
        <v>#N/A N/A</v>
        <stp/>
        <stp>BDP|17226585132644377034</stp>
        <tr r="I71" s="2"/>
      </tp>
      <tp t="s">
        <v>#N/A N/A</v>
        <stp/>
        <stp>BDP|18433857449158251922</stp>
        <tr r="G1086" s="2"/>
      </tp>
      <tp t="s">
        <v>#N/A N/A</v>
        <stp/>
        <stp>BDP|11601398194178418679</stp>
        <tr r="F3150" s="2"/>
      </tp>
      <tp t="s">
        <v>#N/A N/A</v>
        <stp/>
        <stp>BDP|11441260873326032795</stp>
        <tr r="D3122" s="2"/>
      </tp>
      <tp t="s">
        <v>#N/A N/A</v>
        <stp/>
        <stp>BDP|14817942791576133744</stp>
        <tr r="B657" s="2"/>
      </tp>
      <tp t="s">
        <v>#N/A N/A</v>
        <stp/>
        <stp>BDP|15628282827064540445</stp>
        <tr r="B2308" s="2"/>
      </tp>
      <tp t="s">
        <v>#N/A N/A</v>
        <stp/>
        <stp>BDP|11135445710101473091</stp>
        <tr r="D4244" s="2"/>
      </tp>
      <tp t="s">
        <v>#N/A N/A</v>
        <stp/>
        <stp>BDP|12227401278231357515</stp>
        <tr r="I2603" s="2"/>
      </tp>
      <tp t="s">
        <v>#N/A N/A</v>
        <stp/>
        <stp>BDP|16179804164089960444</stp>
        <tr r="G2198" s="2"/>
      </tp>
      <tp t="s">
        <v>#N/A N/A</v>
        <stp/>
        <stp>BDP|13727236547462359285</stp>
        <tr r="H103" s="2"/>
      </tp>
      <tp t="s">
        <v>#N/A N/A</v>
        <stp/>
        <stp>BDP|17308770043550624197</stp>
        <tr r="H4081" s="2"/>
      </tp>
      <tp t="s">
        <v>#N/A N/A</v>
        <stp/>
        <stp>BDP|15782181640304330149</stp>
        <tr r="G3058" s="2"/>
      </tp>
      <tp t="s">
        <v>#N/A N/A</v>
        <stp/>
        <stp>BDP|14560492315553741765</stp>
        <tr r="I2007" s="2"/>
      </tp>
      <tp t="s">
        <v>#N/A N/A</v>
        <stp/>
        <stp>BDP|16178561840281609394</stp>
        <tr r="A577" s="2"/>
      </tp>
      <tp t="s">
        <v>#N/A N/A</v>
        <stp/>
        <stp>BDP|10308160136780342783</stp>
        <tr r="F2417" s="2"/>
      </tp>
      <tp t="s">
        <v>#N/A N/A</v>
        <stp/>
        <stp>BDP|12622590004600121226</stp>
        <tr r="B1749" s="2"/>
      </tp>
      <tp t="s">
        <v>#N/A N/A</v>
        <stp/>
        <stp>BDP|11858275565460579073</stp>
        <tr r="B3830" s="2"/>
      </tp>
      <tp t="s">
        <v>#N/A N/A</v>
        <stp/>
        <stp>BDP|13150779059067294355</stp>
        <tr r="G1873" s="2"/>
      </tp>
      <tp t="s">
        <v>#N/A N/A</v>
        <stp/>
        <stp>BDP|15461248108237891585</stp>
        <tr r="G639" s="2"/>
      </tp>
      <tp t="s">
        <v>#N/A N/A</v>
        <stp/>
        <stp>BDP|11487736738104399441</stp>
        <tr r="D940" s="2"/>
      </tp>
      <tp t="s">
        <v>#N/A N/A</v>
        <stp/>
        <stp>BDP|12364383966216649434</stp>
        <tr r="F2157" s="2"/>
      </tp>
      <tp t="s">
        <v>#N/A N/A</v>
        <stp/>
        <stp>BDP|18324886276616213474</stp>
        <tr r="C2324" s="2"/>
      </tp>
      <tp t="s">
        <v>#N/A N/A</v>
        <stp/>
        <stp>BDP|11635297534120734541</stp>
        <tr r="D937" s="2"/>
      </tp>
      <tp t="s">
        <v>#N/A N/A</v>
        <stp/>
        <stp>BDP|11437760616967499585</stp>
        <tr r="F3318" s="2"/>
      </tp>
      <tp t="s">
        <v>#N/A N/A</v>
        <stp/>
        <stp>BDP|10722240535481866566</stp>
        <tr r="H4538" s="2"/>
      </tp>
      <tp t="s">
        <v>#N/A N/A</v>
        <stp/>
        <stp>BDP|17038062223231872152</stp>
        <tr r="I3145" s="2"/>
      </tp>
      <tp t="s">
        <v>#N/A N/A</v>
        <stp/>
        <stp>BDP|11966773125226231712</stp>
        <tr r="B3811" s="2"/>
      </tp>
      <tp t="s">
        <v>#N/A N/A</v>
        <stp/>
        <stp>BDP|15752530262266920573</stp>
        <tr r="F448" s="2"/>
      </tp>
      <tp t="s">
        <v>#N/A N/A</v>
        <stp/>
        <stp>BDP|11093874459970129973</stp>
        <tr r="D4782" s="2"/>
      </tp>
      <tp t="s">
        <v>#N/A N/A</v>
        <stp/>
        <stp>BDP|17776371705809987843</stp>
        <tr r="F1521" s="2"/>
      </tp>
      <tp t="s">
        <v>#N/A N/A</v>
        <stp/>
        <stp>BDP|14286007484808672185</stp>
        <tr r="D290" s="2"/>
      </tp>
      <tp t="s">
        <v>#N/A N/A</v>
        <stp/>
        <stp>BDP|14132811858285961993</stp>
        <tr r="A247" s="2"/>
      </tp>
      <tp t="s">
        <v>#N/A N/A</v>
        <stp/>
        <stp>BDP|12118424056405954340</stp>
        <tr r="C883" s="2"/>
      </tp>
      <tp t="s">
        <v>#N/A N/A</v>
        <stp/>
        <stp>BDP|17621595713341700730</stp>
        <tr r="F1778" s="2"/>
      </tp>
      <tp t="s">
        <v>#N/A N/A</v>
        <stp/>
        <stp>BDP|12484711962170537690</stp>
        <tr r="B1862" s="2"/>
      </tp>
      <tp t="s">
        <v>#N/A N/A</v>
        <stp/>
        <stp>BDP|17054197817023195140</stp>
        <tr r="D3106" s="2"/>
      </tp>
      <tp t="s">
        <v>#N/A N/A</v>
        <stp/>
        <stp>BDP|13493542000462824136</stp>
        <tr r="C60" s="2"/>
      </tp>
      <tp t="s">
        <v>#N/A N/A</v>
        <stp/>
        <stp>BDP|12611781760383590500</stp>
        <tr r="D4996" s="2"/>
      </tp>
      <tp t="s">
        <v>#N/A N/A</v>
        <stp/>
        <stp>BDP|11591819256989912002</stp>
        <tr r="D3177" s="2"/>
      </tp>
      <tp t="s">
        <v>#N/A N/A</v>
        <stp/>
        <stp>BDP|11386386641296601576</stp>
        <tr r="G548" s="2"/>
      </tp>
      <tp t="s">
        <v>#N/A N/A</v>
        <stp/>
        <stp>BDP|18096378138055089843</stp>
        <tr r="B2499" s="2"/>
      </tp>
      <tp t="s">
        <v>#N/A N/A</v>
        <stp/>
        <stp>BDP|14496420832796932067</stp>
        <tr r="H3674" s="2"/>
      </tp>
      <tp t="s">
        <v>#N/A N/A</v>
        <stp/>
        <stp>BDP|17893674379714530783</stp>
        <tr r="C2217" s="2"/>
      </tp>
      <tp t="s">
        <v>#N/A N/A</v>
        <stp/>
        <stp>BDP|14401369399658047301</stp>
        <tr r="C1214" s="2"/>
      </tp>
      <tp t="s">
        <v>#N/A N/A</v>
        <stp/>
        <stp>BDP|13982313711887023328</stp>
        <tr r="I2990" s="2"/>
      </tp>
      <tp t="s">
        <v>#N/A N/A</v>
        <stp/>
        <stp>BDP|17964770888325490895</stp>
        <tr r="F1727" s="2"/>
      </tp>
      <tp t="s">
        <v>#N/A N/A</v>
        <stp/>
        <stp>BDP|14331305547176796087</stp>
        <tr r="I4696" s="2"/>
      </tp>
      <tp t="s">
        <v>#N/A N/A</v>
        <stp/>
        <stp>BDP|13038290477684350769</stp>
        <tr r="G4816" s="2"/>
      </tp>
      <tp t="s">
        <v>#N/A N/A</v>
        <stp/>
        <stp>BDP|17318192821919126811</stp>
        <tr r="I3996" s="2"/>
      </tp>
      <tp t="s">
        <v>#N/A N/A</v>
        <stp/>
        <stp>BDP|14271710739821425454</stp>
        <tr r="G2071" s="2"/>
      </tp>
      <tp t="s">
        <v>#N/A N/A</v>
        <stp/>
        <stp>BDP|18144676394943121180</stp>
        <tr r="G936" s="2"/>
      </tp>
      <tp t="s">
        <v>#N/A N/A</v>
        <stp/>
        <stp>BDP|12743673808014466579</stp>
        <tr r="C3516" s="2"/>
      </tp>
      <tp t="s">
        <v>#N/A N/A</v>
        <stp/>
        <stp>BDP|14178354279867165275</stp>
        <tr r="D2500" s="2"/>
      </tp>
      <tp t="s">
        <v>#N/A N/A</v>
        <stp/>
        <stp>BDP|16104377939900308376</stp>
        <tr r="F2355" s="2"/>
      </tp>
      <tp t="s">
        <v>#N/A N/A</v>
        <stp/>
        <stp>BDP|17627401182876645897</stp>
        <tr r="A4471" s="2"/>
      </tp>
      <tp t="s">
        <v>#N/A N/A</v>
        <stp/>
        <stp>BDP|10290941739458645720</stp>
        <tr r="F3459" s="2"/>
      </tp>
      <tp t="s">
        <v>#N/A N/A</v>
        <stp/>
        <stp>BDP|14146704358805714651</stp>
        <tr r="D960" s="2"/>
      </tp>
      <tp t="s">
        <v>#N/A N/A</v>
        <stp/>
        <stp>BDP|11819721071311544558</stp>
        <tr r="H1750" s="2"/>
      </tp>
      <tp t="s">
        <v>#N/A N/A</v>
        <stp/>
        <stp>BDP|18286150199530238571</stp>
        <tr r="D2213" s="2"/>
      </tp>
      <tp t="s">
        <v>#N/A N/A</v>
        <stp/>
        <stp>BDP|11391783564290208567</stp>
        <tr r="H3126" s="2"/>
      </tp>
      <tp t="s">
        <v>#N/A N/A</v>
        <stp/>
        <stp>BDP|11290605859524238325</stp>
        <tr r="D4912" s="2"/>
      </tp>
      <tp t="s">
        <v>#N/A N/A</v>
        <stp/>
        <stp>BDP|10338151838571618638</stp>
        <tr r="I250" s="2"/>
      </tp>
      <tp t="s">
        <v>#N/A N/A</v>
        <stp/>
        <stp>BDP|16613877770825338993</stp>
        <tr r="A3593" s="2"/>
      </tp>
      <tp t="s">
        <v>#N/A N/A</v>
        <stp/>
        <stp>BDP|13559480484123225908</stp>
        <tr r="D4991" s="2"/>
      </tp>
      <tp t="s">
        <v>#N/A N/A</v>
        <stp/>
        <stp>BDP|15546902406718875108</stp>
        <tr r="C4903" s="2"/>
      </tp>
      <tp t="s">
        <v>#N/A N/A</v>
        <stp/>
        <stp>BDP|15910349636058960890</stp>
        <tr r="B2747" s="2"/>
      </tp>
      <tp t="s">
        <v>#N/A N/A</v>
        <stp/>
        <stp>BDP|15533629563540650094</stp>
        <tr r="H832" s="2"/>
      </tp>
      <tp t="s">
        <v>#N/A N/A</v>
        <stp/>
        <stp>BDP|11028867063702971878</stp>
        <tr r="A826" s="2"/>
      </tp>
      <tp t="s">
        <v>#N/A N/A</v>
        <stp/>
        <stp>BDP|13566372937660871668</stp>
        <tr r="A2280" s="2"/>
      </tp>
      <tp t="s">
        <v>#N/A N/A</v>
        <stp/>
        <stp>BDP|12699567634649840871</stp>
        <tr r="F3139" s="2"/>
      </tp>
      <tp t="s">
        <v>#N/A N/A</v>
        <stp/>
        <stp>BDP|10529277087458656789</stp>
        <tr r="D909" s="2"/>
      </tp>
      <tp t="s">
        <v>#N/A N/A</v>
        <stp/>
        <stp>BDP|15097233542310349690</stp>
        <tr r="D1849" s="2"/>
      </tp>
      <tp t="s">
        <v>#N/A N/A</v>
        <stp/>
        <stp>BDP|13683407167021327590</stp>
        <tr r="I4362" s="2"/>
      </tp>
      <tp t="s">
        <v>#N/A N/A</v>
        <stp/>
        <stp>BDP|13665592392363196973</stp>
        <tr r="C3489" s="2"/>
      </tp>
      <tp t="s">
        <v>#N/A N/A</v>
        <stp/>
        <stp>BDP|15162019593628956111</stp>
        <tr r="G1337" s="2"/>
      </tp>
      <tp t="s">
        <v>#N/A N/A</v>
        <stp/>
        <stp>BDP|17194293617166657723</stp>
        <tr r="D4719" s="2"/>
      </tp>
      <tp t="s">
        <v>#N/A N/A</v>
        <stp/>
        <stp>BDP|10863122270206893592</stp>
        <tr r="F3707" s="2"/>
      </tp>
      <tp t="s">
        <v>#N/A N/A</v>
        <stp/>
        <stp>BDP|10867728313390545375</stp>
        <tr r="G4837" s="2"/>
      </tp>
      <tp t="s">
        <v>#N/A N/A</v>
        <stp/>
        <stp>BDP|16239689463407745456</stp>
        <tr r="C285" s="2"/>
      </tp>
      <tp t="s">
        <v>#N/A N/A</v>
        <stp/>
        <stp>BDP|11768341501946872115</stp>
        <tr r="I1170" s="2"/>
      </tp>
      <tp t="s">
        <v>#N/A N/A</v>
        <stp/>
        <stp>BDP|14017333999449080212</stp>
        <tr r="H2923" s="2"/>
      </tp>
      <tp t="s">
        <v>#N/A N/A</v>
        <stp/>
        <stp>BDP|11311023040163872328</stp>
        <tr r="B4400" s="2"/>
      </tp>
      <tp t="s">
        <v>#N/A N/A</v>
        <stp/>
        <stp>BDP|17512284370875111270</stp>
        <tr r="B342" s="2"/>
      </tp>
      <tp t="s">
        <v>#N/A N/A</v>
        <stp/>
        <stp>BDP|11712348487566661996</stp>
        <tr r="B774" s="2"/>
      </tp>
      <tp t="s">
        <v>#N/A N/A</v>
        <stp/>
        <stp>BDP|16624621362027974448</stp>
        <tr r="A787" s="2"/>
      </tp>
      <tp t="s">
        <v>#N/A N/A</v>
        <stp/>
        <stp>BDP|16443785470652081173</stp>
        <tr r="H228" s="2"/>
      </tp>
      <tp t="s">
        <v>#N/A N/A</v>
        <stp/>
        <stp>BDP|16984508263547269730</stp>
        <tr r="F2562" s="2"/>
      </tp>
      <tp t="s">
        <v>#N/A N/A</v>
        <stp/>
        <stp>BDP|12879370850167552610</stp>
        <tr r="H2029" s="2"/>
      </tp>
      <tp t="s">
        <v>#N/A N/A</v>
        <stp/>
        <stp>BDP|13351165248406517536</stp>
        <tr r="H153" s="2"/>
      </tp>
      <tp t="s">
        <v>#N/A N/A</v>
        <stp/>
        <stp>BDP|16552387596071797878</stp>
        <tr r="A3138" s="2"/>
      </tp>
      <tp t="s">
        <v>#N/A N/A</v>
        <stp/>
        <stp>BDP|14863130150850795574</stp>
        <tr r="D2422" s="2"/>
      </tp>
      <tp t="s">
        <v>#N/A N/A</v>
        <stp/>
        <stp>BDP|14610740218160938781</stp>
        <tr r="I1702" s="2"/>
      </tp>
      <tp t="s">
        <v>#N/A N/A</v>
        <stp/>
        <stp>BDP|17141623425687501183</stp>
        <tr r="F1057" s="2"/>
      </tp>
      <tp t="s">
        <v>#N/A N/A</v>
        <stp/>
        <stp>BDP|16498932818668699326</stp>
        <tr r="A3574" s="2"/>
      </tp>
      <tp t="s">
        <v>#N/A N/A</v>
        <stp/>
        <stp>BDP|16057630480664111990</stp>
        <tr r="A710" s="2"/>
      </tp>
      <tp t="s">
        <v>#N/A N/A</v>
        <stp/>
        <stp>BDP|17198427452644384791</stp>
        <tr r="I1363" s="2"/>
      </tp>
      <tp t="s">
        <v>#N/A N/A</v>
        <stp/>
        <stp>BDP|14864366601692564011</stp>
        <tr r="A3435" s="2"/>
      </tp>
      <tp t="s">
        <v>#N/A N/A</v>
        <stp/>
        <stp>BDP|18401842203773831607</stp>
        <tr r="C3806" s="2"/>
      </tp>
      <tp t="s">
        <v>#N/A N/A</v>
        <stp/>
        <stp>BDP|15963223044183628527</stp>
        <tr r="H4811" s="2"/>
      </tp>
      <tp t="s">
        <v>#N/A N/A</v>
        <stp/>
        <stp>BDP|12325417855415932352</stp>
        <tr r="A2561" s="2"/>
      </tp>
      <tp t="s">
        <v>#N/A N/A</v>
        <stp/>
        <stp>BDP|13146710106095553486</stp>
        <tr r="B3320" s="2"/>
      </tp>
      <tp t="s">
        <v>#N/A N/A</v>
        <stp/>
        <stp>BDP|17201287812739374800</stp>
        <tr r="I4003" s="2"/>
      </tp>
      <tp t="s">
        <v>#N/A N/A</v>
        <stp/>
        <stp>BDP|10176132430183072494</stp>
        <tr r="B2927" s="2"/>
      </tp>
      <tp t="s">
        <v>#N/A N/A</v>
        <stp/>
        <stp>BDP|10242032941641367081</stp>
        <tr r="B497" s="2"/>
      </tp>
      <tp t="s">
        <v>#N/A N/A</v>
        <stp/>
        <stp>BDP|12870532526970087063</stp>
        <tr r="B3758" s="2"/>
      </tp>
      <tp t="s">
        <v>#N/A N/A</v>
        <stp/>
        <stp>BDP|12441082181688359752</stp>
        <tr r="F2352" s="2"/>
      </tp>
      <tp t="s">
        <v>#N/A N/A</v>
        <stp/>
        <stp>BDP|16425072551900961608</stp>
        <tr r="C2104" s="2"/>
      </tp>
      <tp t="s">
        <v>#N/A N/A</v>
        <stp/>
        <stp>BDP|15764083470237131053</stp>
        <tr r="I2332" s="2"/>
      </tp>
      <tp t="s">
        <v>#N/A N/A</v>
        <stp/>
        <stp>BDP|12513178159784186710</stp>
        <tr r="F4045" s="2"/>
      </tp>
      <tp t="s">
        <v>#N/A N/A</v>
        <stp/>
        <stp>BDP|10834829764132049959</stp>
        <tr r="B781" s="2"/>
      </tp>
      <tp t="s">
        <v>#N/A N/A</v>
        <stp/>
        <stp>BDP|10760817588750428512</stp>
        <tr r="B4275" s="2"/>
      </tp>
      <tp t="s">
        <v>#N/A N/A</v>
        <stp/>
        <stp>BDP|17279480675523317275</stp>
        <tr r="G883" s="2"/>
      </tp>
      <tp t="s">
        <v>#N/A N/A</v>
        <stp/>
        <stp>BDP|14639363010242208194</stp>
        <tr r="A4756" s="2"/>
      </tp>
      <tp t="s">
        <v>#N/A N/A</v>
        <stp/>
        <stp>BDP|13869094669385140523</stp>
        <tr r="B1916" s="2"/>
      </tp>
      <tp t="s">
        <v>#N/A N/A</v>
        <stp/>
        <stp>BDP|14010118111605210498</stp>
        <tr r="I4260" s="2"/>
      </tp>
      <tp t="s">
        <v>#N/A N/A</v>
        <stp/>
        <stp>BDP|16063193572127624260</stp>
        <tr r="A724" s="2"/>
      </tp>
      <tp t="s">
        <v>#N/A N/A</v>
        <stp/>
        <stp>BDP|10132364576303288289</stp>
        <tr r="F2926" s="2"/>
      </tp>
      <tp t="s">
        <v>#N/A N/A</v>
        <stp/>
        <stp>BDP|10620496276126679047</stp>
        <tr r="I3940" s="2"/>
      </tp>
      <tp t="s">
        <v>#N/A N/A</v>
        <stp/>
        <stp>BDP|16190786025341713708</stp>
        <tr r="B3733" s="2"/>
      </tp>
      <tp t="s">
        <v>#N/A N/A</v>
        <stp/>
        <stp>BDP|11033383972750809092</stp>
        <tr r="D2068" s="2"/>
      </tp>
      <tp t="s">
        <v>#N/A N/A</v>
        <stp/>
        <stp>BDP|15091688030011323406</stp>
        <tr r="A3291" s="2"/>
      </tp>
      <tp t="s">
        <v>#N/A N/A</v>
        <stp/>
        <stp>BDP|11919855013145490808</stp>
        <tr r="H2250" s="2"/>
      </tp>
      <tp t="s">
        <v>#N/A N/A</v>
        <stp/>
        <stp>BDP|14840372786629229306</stp>
        <tr r="F1184" s="2"/>
      </tp>
      <tp t="s">
        <v>#N/A N/A</v>
        <stp/>
        <stp>BDP|12554731179833790431</stp>
        <tr r="F2336" s="2"/>
      </tp>
      <tp t="s">
        <v>#N/A N/A</v>
        <stp/>
        <stp>BDP|10910284071658857832</stp>
        <tr r="C2212" s="2"/>
      </tp>
      <tp t="s">
        <v>#N/A N/A</v>
        <stp/>
        <stp>BDP|11704274749897447573</stp>
        <tr r="A4510" s="2"/>
      </tp>
      <tp t="s">
        <v>#N/A N/A</v>
        <stp/>
        <stp>BDP|12259409305240976342</stp>
        <tr r="A4111" s="2"/>
      </tp>
      <tp t="s">
        <v>#N/A N/A</v>
        <stp/>
        <stp>BDP|12981455374782732652</stp>
        <tr r="D45" s="2"/>
      </tp>
      <tp t="s">
        <v>#N/A N/A</v>
        <stp/>
        <stp>BDP|16653098228773573286</stp>
        <tr r="H3216" s="2"/>
      </tp>
      <tp t="s">
        <v>#N/A N/A</v>
        <stp/>
        <stp>BDP|11372416039420190307</stp>
        <tr r="D2898" s="2"/>
      </tp>
      <tp t="s">
        <v>#N/A N/A</v>
        <stp/>
        <stp>BDP|11502090191324194960</stp>
        <tr r="G4058" s="2"/>
      </tp>
      <tp t="s">
        <v>#N/A N/A</v>
        <stp/>
        <stp>BDP|16589742193798147593</stp>
        <tr r="D4173" s="2"/>
      </tp>
      <tp t="s">
        <v>#N/A N/A</v>
        <stp/>
        <stp>BDP|11846174236007190120</stp>
        <tr r="I323" s="2"/>
      </tp>
      <tp t="s">
        <v>#N/A N/A</v>
        <stp/>
        <stp>BDP|14235565747275056598</stp>
        <tr r="F2459" s="2"/>
      </tp>
      <tp t="s">
        <v>#N/A N/A</v>
        <stp/>
        <stp>BDP|12590774669184931287</stp>
        <tr r="A820" s="2"/>
      </tp>
      <tp t="s">
        <v>#N/A N/A</v>
        <stp/>
        <stp>BDP|17514957596293846148</stp>
        <tr r="D3410" s="2"/>
      </tp>
      <tp t="s">
        <v>#N/A N/A</v>
        <stp/>
        <stp>BDP|16237291345405490007</stp>
        <tr r="F3234" s="2"/>
      </tp>
      <tp t="s">
        <v>#N/A N/A</v>
        <stp/>
        <stp>BDP|16531154329203493374</stp>
        <tr r="H2320" s="2"/>
      </tp>
      <tp t="s">
        <v>#N/A N/A</v>
        <stp/>
        <stp>BDP|14535250750747388193</stp>
        <tr r="G3235" s="2"/>
      </tp>
      <tp t="s">
        <v>#N/A N/A</v>
        <stp/>
        <stp>BDP|15408438644549873914</stp>
        <tr r="B408" s="2"/>
      </tp>
      <tp t="s">
        <v>#N/A N/A</v>
        <stp/>
        <stp>BDP|11953185973347996514</stp>
        <tr r="I1189" s="2"/>
      </tp>
      <tp t="s">
        <v>#N/A N/A</v>
        <stp/>
        <stp>BDP|16733852228890759972</stp>
        <tr r="C1688" s="2"/>
      </tp>
      <tp t="s">
        <v>#N/A N/A</v>
        <stp/>
        <stp>BDP|17376410966467859768</stp>
        <tr r="G1577" s="2"/>
      </tp>
      <tp t="s">
        <v>#N/A N/A</v>
        <stp/>
        <stp>BDP|12659451218407847599</stp>
        <tr r="F4112" s="2"/>
      </tp>
      <tp t="s">
        <v>#N/A N/A</v>
        <stp/>
        <stp>BDP|17364820028390213819</stp>
        <tr r="B4402" s="2"/>
      </tp>
      <tp t="s">
        <v>#N/A N/A</v>
        <stp/>
        <stp>BDP|16003520999709993683</stp>
        <tr r="C2130" s="2"/>
      </tp>
      <tp t="s">
        <v>#N/A N/A</v>
        <stp/>
        <stp>BDP|11024566318220391072</stp>
        <tr r="A1697" s="2"/>
      </tp>
      <tp t="s">
        <v>#N/A N/A</v>
        <stp/>
        <stp>BDP|17880306656950382472</stp>
        <tr r="A3462" s="2"/>
      </tp>
      <tp t="s">
        <v>#N/A N/A</v>
        <stp/>
        <stp>BDP|13431319378017623515</stp>
        <tr r="B3536" s="2"/>
      </tp>
      <tp t="s">
        <v>#N/A N/A</v>
        <stp/>
        <stp>BDP|12890333604807029353</stp>
        <tr r="B4543" s="2"/>
      </tp>
      <tp t="s">
        <v>#N/A N/A</v>
        <stp/>
        <stp>BDP|14532084151554328053</stp>
        <tr r="G3361" s="2"/>
      </tp>
      <tp t="s">
        <v>#N/A N/A</v>
        <stp/>
        <stp>BDP|15218336725130902175</stp>
        <tr r="I897" s="2"/>
      </tp>
      <tp t="s">
        <v>#N/A N/A</v>
        <stp/>
        <stp>BDP|18230388082891527772</stp>
        <tr r="H4129" s="2"/>
      </tp>
      <tp t="s">
        <v>#N/A N/A</v>
        <stp/>
        <stp>BDP|15908034504193661320</stp>
        <tr r="D2235" s="2"/>
      </tp>
      <tp t="s">
        <v>#N/A N/A</v>
        <stp/>
        <stp>BDP|15896573407573782654</stp>
        <tr r="F2466" s="2"/>
      </tp>
      <tp t="s">
        <v>#N/A N/A</v>
        <stp/>
        <stp>BDP|14224033218311657154</stp>
        <tr r="B4428" s="2"/>
      </tp>
      <tp t="s">
        <v>#N/A N/A</v>
        <stp/>
        <stp>BDP|10015583808483859321</stp>
        <tr r="F1347" s="2"/>
      </tp>
      <tp t="s">
        <v>#N/A N/A</v>
        <stp/>
        <stp>BDP|11503210529284777007</stp>
        <tr r="I3688" s="2"/>
      </tp>
      <tp t="s">
        <v>#N/A N/A</v>
        <stp/>
        <stp>BDP|14890502528541898725</stp>
        <tr r="G3038" s="2"/>
      </tp>
      <tp t="s">
        <v>#N/A N/A</v>
        <stp/>
        <stp>BDP|11919366107736740156</stp>
        <tr r="B1116" s="2"/>
      </tp>
      <tp t="s">
        <v>#N/A N/A</v>
        <stp/>
        <stp>BDP|14805263056672051422</stp>
        <tr r="H1469" s="2"/>
      </tp>
      <tp t="s">
        <v>#N/A N/A</v>
        <stp/>
        <stp>BDP|16419956063309924517</stp>
        <tr r="I1990" s="2"/>
      </tp>
      <tp t="s">
        <v>#N/A N/A</v>
        <stp/>
        <stp>BDP|17345044207922990031</stp>
        <tr r="I2164" s="2"/>
      </tp>
      <tp t="s">
        <v>#N/A N/A</v>
        <stp/>
        <stp>BDP|12161796133152531143</stp>
        <tr r="A2694" s="2"/>
      </tp>
      <tp t="s">
        <v>#N/A N/A</v>
        <stp/>
        <stp>BDP|13895489036568417985</stp>
        <tr r="H4768" s="2"/>
      </tp>
      <tp t="s">
        <v>#N/A N/A</v>
        <stp/>
        <stp>BDP|10637117247335347592</stp>
        <tr r="F1564" s="2"/>
      </tp>
      <tp t="s">
        <v>#N/A N/A</v>
        <stp/>
        <stp>BDP|13599261548429541948</stp>
        <tr r="G544" s="2"/>
      </tp>
      <tp t="s">
        <v>#N/A N/A</v>
        <stp/>
        <stp>BDP|12510687400099414837</stp>
        <tr r="C2064" s="2"/>
      </tp>
      <tp t="s">
        <v>#N/A N/A</v>
        <stp/>
        <stp>BDP|12532310610015741097</stp>
        <tr r="D1860" s="2"/>
      </tp>
      <tp t="s">
        <v>#N/A N/A</v>
        <stp/>
        <stp>BDP|12612270449038771956</stp>
        <tr r="I3584" s="2"/>
      </tp>
      <tp t="s">
        <v>#N/A N/A</v>
        <stp/>
        <stp>BDP|10314781223664022424</stp>
        <tr r="B1330" s="2"/>
      </tp>
      <tp t="s">
        <v>#N/A N/A</v>
        <stp/>
        <stp>BDP|15346190679194164284</stp>
        <tr r="D2400" s="2"/>
      </tp>
      <tp t="s">
        <v>#N/A N/A</v>
        <stp/>
        <stp>BDP|11005854213095832840</stp>
        <tr r="C4950" s="2"/>
      </tp>
      <tp t="s">
        <v>#N/A N/A</v>
        <stp/>
        <stp>BDP|10309150160157552593</stp>
        <tr r="I3640" s="2"/>
      </tp>
      <tp t="s">
        <v>#N/A N/A</v>
        <stp/>
        <stp>BDP|11869100351780319007</stp>
        <tr r="A3474" s="2"/>
      </tp>
      <tp t="s">
        <v>#N/A N/A</v>
        <stp/>
        <stp>BDP|12479765918418682969</stp>
        <tr r="D2891" s="2"/>
      </tp>
      <tp t="s">
        <v>#N/A N/A</v>
        <stp/>
        <stp>BDP|18345707636199718084</stp>
        <tr r="D1376" s="2"/>
      </tp>
      <tp t="s">
        <v>#N/A N/A</v>
        <stp/>
        <stp>BDP|12117481815234170673</stp>
        <tr r="G4954" s="2"/>
      </tp>
      <tp t="s">
        <v>#N/A N/A</v>
        <stp/>
        <stp>BDP|15416205936125104493</stp>
        <tr r="B1074" s="2"/>
      </tp>
      <tp t="s">
        <v>#N/A N/A</v>
        <stp/>
        <stp>BDP|15823430322017318105</stp>
        <tr r="B3430" s="2"/>
      </tp>
      <tp t="s">
        <v>#N/A N/A</v>
        <stp/>
        <stp>BDP|10060782361701119524</stp>
        <tr r="G2455" s="2"/>
      </tp>
      <tp t="s">
        <v>#N/A N/A</v>
        <stp/>
        <stp>BDP|18309406716340750886</stp>
        <tr r="H4916" s="2"/>
      </tp>
      <tp t="s">
        <v>#N/A N/A</v>
        <stp/>
        <stp>BDP|10677192151610111154</stp>
        <tr r="H4063" s="2"/>
      </tp>
      <tp t="s">
        <v>#N/A N/A</v>
        <stp/>
        <stp>BDP|12165693974224303252</stp>
        <tr r="F353" s="2"/>
      </tp>
      <tp t="s">
        <v>#N/A N/A</v>
        <stp/>
        <stp>BDP|12712057168266508751</stp>
        <tr r="F803" s="2"/>
      </tp>
      <tp t="s">
        <v>#N/A N/A</v>
        <stp/>
        <stp>BDP|16461297206142019314</stp>
        <tr r="A3271" s="2"/>
      </tp>
      <tp t="s">
        <v>#N/A N/A</v>
        <stp/>
        <stp>BDP|12580294614481147539</stp>
        <tr r="B3168" s="2"/>
      </tp>
      <tp t="s">
        <v>#N/A N/A</v>
        <stp/>
        <stp>BDP|18024686493410339226</stp>
        <tr r="D915" s="2"/>
      </tp>
      <tp t="s">
        <v>#N/A N/A</v>
        <stp/>
        <stp>BDP|14836920480195021505</stp>
        <tr r="F639" s="2"/>
      </tp>
      <tp t="s">
        <v>#N/A N/A</v>
        <stp/>
        <stp>BDP|16719049104355889656</stp>
        <tr r="B1300" s="2"/>
      </tp>
      <tp t="s">
        <v>#N/A N/A</v>
        <stp/>
        <stp>BDP|16277311249206632262</stp>
        <tr r="A2175" s="2"/>
      </tp>
      <tp t="s">
        <v>#N/A N/A</v>
        <stp/>
        <stp>BDP|14050697561614455564</stp>
        <tr r="B308" s="2"/>
      </tp>
      <tp t="s">
        <v>#N/A N/A</v>
        <stp/>
        <stp>BDP|11040395445566520533</stp>
        <tr r="A2729" s="2"/>
      </tp>
      <tp t="s">
        <v>#N/A N/A</v>
        <stp/>
        <stp>BDP|14666082908668800946</stp>
        <tr r="H5001" s="2"/>
      </tp>
      <tp t="s">
        <v>#N/A N/A</v>
        <stp/>
        <stp>BDP|15032175585530125995</stp>
        <tr r="F4723" s="2"/>
      </tp>
      <tp t="s">
        <v>#N/A N/A</v>
        <stp/>
        <stp>BDP|14540730536403936637</stp>
        <tr r="F1760" s="2"/>
      </tp>
      <tp t="s">
        <v>#N/A N/A</v>
        <stp/>
        <stp>BDP|15099417908106782243</stp>
        <tr r="B3424" s="2"/>
      </tp>
      <tp t="s">
        <v>#N/A N/A</v>
        <stp/>
        <stp>BDP|17453281776743242423</stp>
        <tr r="H112" s="2"/>
      </tp>
      <tp t="s">
        <v>#N/A N/A</v>
        <stp/>
        <stp>BDP|17664643265911918336</stp>
        <tr r="A2769" s="2"/>
      </tp>
      <tp t="s">
        <v>#N/A N/A</v>
        <stp/>
        <stp>BDP|15844905991880504012</stp>
        <tr r="B4077" s="2"/>
      </tp>
      <tp t="s">
        <v>#N/A N/A</v>
        <stp/>
        <stp>BDP|12362969136159615484</stp>
        <tr r="A3629" s="2"/>
      </tp>
      <tp t="s">
        <v>#N/A N/A</v>
        <stp/>
        <stp>BDP|16496390996639751013</stp>
        <tr r="H1258" s="2"/>
      </tp>
      <tp t="s">
        <v>#N/A N/A</v>
        <stp/>
        <stp>BDP|11474325028511680456</stp>
        <tr r="A3519" s="2"/>
      </tp>
      <tp t="s">
        <v>#N/A N/A</v>
        <stp/>
        <stp>BDP|14510768867069008990</stp>
        <tr r="A809" s="2"/>
      </tp>
      <tp t="s">
        <v>#N/A N/A</v>
        <stp/>
        <stp>BDP|10285315672061536097</stp>
        <tr r="C1825" s="2"/>
      </tp>
      <tp t="s">
        <v>#N/A N/A</v>
        <stp/>
        <stp>BDP|13003745470286076098</stp>
        <tr r="G1727" s="2"/>
      </tp>
      <tp t="s">
        <v>#N/A N/A</v>
        <stp/>
        <stp>BDP|16851255752552547679</stp>
        <tr r="I4429" s="2"/>
      </tp>
      <tp t="s">
        <v>#N/A N/A</v>
        <stp/>
        <stp>BDP|12336582864494157038</stp>
        <tr r="F3101" s="2"/>
      </tp>
      <tp t="s">
        <v>#N/A N/A</v>
        <stp/>
        <stp>BDP|15487573712614543091</stp>
        <tr r="A3579" s="2"/>
      </tp>
      <tp t="s">
        <v>#N/A N/A</v>
        <stp/>
        <stp>BDP|10697427864205563285</stp>
        <tr r="D2259" s="2"/>
      </tp>
      <tp t="s">
        <v>#N/A N/A</v>
        <stp/>
        <stp>BDP|16443668182014873954</stp>
        <tr r="G4845" s="2"/>
      </tp>
      <tp t="s">
        <v>#N/A N/A</v>
        <stp/>
        <stp>BDP|11023213434591180492</stp>
        <tr r="G1342" s="2"/>
      </tp>
      <tp t="s">
        <v>#N/A N/A</v>
        <stp/>
        <stp>BDP|14902050523773499060</stp>
        <tr r="F4789" s="2"/>
      </tp>
      <tp t="s">
        <v>#N/A N/A</v>
        <stp/>
        <stp>BDP|14509353406827876531</stp>
        <tr r="D3248" s="2"/>
      </tp>
      <tp t="s">
        <v>#N/A N/A</v>
        <stp/>
        <stp>BDP|17323492993147256869</stp>
        <tr r="I3051" s="2"/>
      </tp>
      <tp t="s">
        <v>#N/A N/A</v>
        <stp/>
        <stp>BDP|15809212982802635804</stp>
        <tr r="D1353" s="2"/>
      </tp>
      <tp t="s">
        <v>#N/A N/A</v>
        <stp/>
        <stp>BDP|18352725729241375968</stp>
        <tr r="I1656" s="2"/>
      </tp>
      <tp t="s">
        <v>#N/A N/A</v>
        <stp/>
        <stp>BDP|12914627842527698227</stp>
        <tr r="B4016" s="2"/>
      </tp>
      <tp t="s">
        <v>#N/A N/A</v>
        <stp/>
        <stp>BDP|13735483205123243158</stp>
        <tr r="C3718" s="2"/>
      </tp>
      <tp t="s">
        <v>#N/A N/A</v>
        <stp/>
        <stp>BDP|16842547979950874101</stp>
        <tr r="C3594" s="2"/>
      </tp>
      <tp t="s">
        <v>#N/A N/A</v>
        <stp/>
        <stp>BDP|11053113299914137840</stp>
        <tr r="H3357" s="2"/>
      </tp>
      <tp t="s">
        <v>#N/A N/A</v>
        <stp/>
        <stp>BDP|16965010337101094122</stp>
        <tr r="C4135" s="2"/>
      </tp>
      <tp t="s">
        <v>#N/A N/A</v>
        <stp/>
        <stp>BDP|13759216562237870515</stp>
        <tr r="I3955" s="2"/>
      </tp>
      <tp t="s">
        <v>#N/A N/A</v>
        <stp/>
        <stp>BDP|16839531751554152761</stp>
        <tr r="D3712" s="2"/>
      </tp>
      <tp t="s">
        <v>#N/A N/A</v>
        <stp/>
        <stp>BDP|15651073915304060590</stp>
        <tr r="B3243" s="2"/>
      </tp>
      <tp t="s">
        <v>#N/A N/A</v>
        <stp/>
        <stp>BDP|14582582237534396345</stp>
        <tr r="B1022" s="2"/>
      </tp>
      <tp t="s">
        <v>#N/A N/A</v>
        <stp/>
        <stp>BDP|15636286441525637340</stp>
        <tr r="A2028" s="2"/>
      </tp>
      <tp t="s">
        <v>#N/A N/A</v>
        <stp/>
        <stp>BDP|15267154888669474061</stp>
        <tr r="F1755" s="2"/>
      </tp>
      <tp t="s">
        <v>#N/A N/A</v>
        <stp/>
        <stp>BDP|12091648878504956283</stp>
        <tr r="F1465" s="2"/>
      </tp>
      <tp t="s">
        <v>#N/A N/A</v>
        <stp/>
        <stp>BDP|18146072372693967907</stp>
        <tr r="D1880" s="2"/>
      </tp>
      <tp t="s">
        <v>#N/A N/A</v>
        <stp/>
        <stp>BDP|17276621151468564995</stp>
        <tr r="H1419" s="2"/>
      </tp>
      <tp t="s">
        <v>#N/A N/A</v>
        <stp/>
        <stp>BDP|11167615319002348177</stp>
        <tr r="A4327" s="2"/>
      </tp>
      <tp t="s">
        <v>#N/A N/A</v>
        <stp/>
        <stp>BDP|18070970422386156091</stp>
        <tr r="D1654" s="2"/>
      </tp>
      <tp t="s">
        <v>#N/A N/A</v>
        <stp/>
        <stp>BDP|14097588540028605831</stp>
        <tr r="F4796" s="2"/>
      </tp>
      <tp t="s">
        <v>#N/A N/A</v>
        <stp/>
        <stp>BDP|14921402041156103741</stp>
        <tr r="G4513" s="2"/>
      </tp>
      <tp t="s">
        <v>#N/A N/A</v>
        <stp/>
        <stp>BDP|17792194966253789627</stp>
        <tr r="B2043" s="2"/>
      </tp>
      <tp t="s">
        <v>#N/A N/A</v>
        <stp/>
        <stp>BDP|12143373557938965958</stp>
        <tr r="F3585" s="2"/>
      </tp>
      <tp t="s">
        <v>#N/A N/A</v>
        <stp/>
        <stp>BDP|11079185632681574723</stp>
        <tr r="F1787" s="2"/>
      </tp>
      <tp t="s">
        <v>#N/A N/A</v>
        <stp/>
        <stp>BDP|15047503615526060284</stp>
        <tr r="B1230" s="2"/>
      </tp>
      <tp t="s">
        <v>#N/A N/A</v>
        <stp/>
        <stp>BDP|10800406280430113943</stp>
        <tr r="B73" s="2"/>
      </tp>
      <tp t="s">
        <v>#N/A N/A</v>
        <stp/>
        <stp>BDP|10761176828106256073</stp>
        <tr r="A41" s="2"/>
      </tp>
      <tp t="s">
        <v>#N/A N/A</v>
        <stp/>
        <stp>BDP|12237533923031843173</stp>
        <tr r="H4180" s="2"/>
      </tp>
      <tp t="s">
        <v>#N/A N/A</v>
        <stp/>
        <stp>BDP|13937599325948849900</stp>
        <tr r="G2049" s="2"/>
      </tp>
      <tp t="s">
        <v>#N/A N/A</v>
        <stp/>
        <stp>BDP|18068882127392015521</stp>
        <tr r="B4767" s="2"/>
      </tp>
      <tp t="s">
        <v>#N/A N/A</v>
        <stp/>
        <stp>BDP|10045238492566879848</stp>
        <tr r="G3390" s="2"/>
      </tp>
      <tp t="s">
        <v>#N/A N/A</v>
        <stp/>
        <stp>BDP|12523484063635619057</stp>
        <tr r="B4793" s="2"/>
      </tp>
      <tp t="s">
        <v>#N/A N/A</v>
        <stp/>
        <stp>BDP|16864556735472631731</stp>
        <tr r="G2514" s="2"/>
      </tp>
      <tp t="s">
        <v>#N/A N/A</v>
        <stp/>
        <stp>BDP|15701902878299121734</stp>
        <tr r="B560" s="2"/>
      </tp>
      <tp t="s">
        <v>#N/A N/A</v>
        <stp/>
        <stp>BDP|10221549168694429279</stp>
        <tr r="B4707" s="2"/>
      </tp>
      <tp t="s">
        <v>#N/A N/A</v>
        <stp/>
        <stp>BDP|14970598041342934259</stp>
        <tr r="D1075" s="2"/>
      </tp>
      <tp t="s">
        <v>#N/A N/A</v>
        <stp/>
        <stp>BDP|17012363099149256100</stp>
        <tr r="I4389" s="2"/>
      </tp>
      <tp t="s">
        <v>#N/A N/A</v>
        <stp/>
        <stp>BDP|14976799768947469714</stp>
        <tr r="D1857" s="2"/>
      </tp>
      <tp t="s">
        <v>#N/A N/A</v>
        <stp/>
        <stp>BDP|10534172141681634181</stp>
        <tr r="I80" s="2"/>
      </tp>
      <tp t="s">
        <v>#N/A N/A</v>
        <stp/>
        <stp>BDP|15737716872675922504</stp>
        <tr r="G1386" s="2"/>
      </tp>
      <tp t="s">
        <v>#N/A N/A</v>
        <stp/>
        <stp>BDP|12903147383327726943</stp>
        <tr r="C2662" s="2"/>
      </tp>
      <tp t="s">
        <v>#N/A N/A</v>
        <stp/>
        <stp>BDP|16016736674545946633</stp>
        <tr r="F307" s="2"/>
      </tp>
      <tp t="s">
        <v>#N/A N/A</v>
        <stp/>
        <stp>BDP|13642416428893076329</stp>
        <tr r="B82" s="2"/>
      </tp>
      <tp t="s">
        <v>#N/A N/A</v>
        <stp/>
        <stp>BDP|15822362316054265672</stp>
        <tr r="H948" s="2"/>
      </tp>
      <tp t="s">
        <v>#N/A N/A</v>
        <stp/>
        <stp>BDP|13500365222724573391</stp>
        <tr r="G3858" s="2"/>
      </tp>
      <tp t="s">
        <v>#N/A N/A</v>
        <stp/>
        <stp>BDP|16616056408256135572</stp>
        <tr r="C3141" s="2"/>
      </tp>
      <tp t="s">
        <v>#N/A N/A</v>
        <stp/>
        <stp>BDP|17905289059490547512</stp>
        <tr r="A3010" s="2"/>
      </tp>
      <tp t="s">
        <v>#N/A N/A</v>
        <stp/>
        <stp>BDP|14034007073075691396</stp>
        <tr r="D1762" s="2"/>
      </tp>
      <tp t="s">
        <v>#N/A N/A</v>
        <stp/>
        <stp>BDP|13264920658998632226</stp>
        <tr r="D4699" s="2"/>
      </tp>
      <tp t="s">
        <v>#N/A N/A</v>
        <stp/>
        <stp>BDP|15867341434895753530</stp>
        <tr r="A3125" s="2"/>
      </tp>
      <tp t="s">
        <v>#N/A N/A</v>
        <stp/>
        <stp>BDP|16977912523888071070</stp>
        <tr r="B1237" s="2"/>
      </tp>
      <tp t="s">
        <v>#N/A N/A</v>
        <stp/>
        <stp>BDP|13906226134743799442</stp>
        <tr r="C2642" s="2"/>
      </tp>
      <tp t="s">
        <v>#N/A N/A</v>
        <stp/>
        <stp>BDP|12179701316807359681</stp>
        <tr r="I3714" s="2"/>
      </tp>
      <tp t="s">
        <v>#N/A N/A</v>
        <stp/>
        <stp>BDP|13954533930343154379</stp>
        <tr r="I2564" s="2"/>
      </tp>
      <tp t="s">
        <v>#N/A N/A</v>
        <stp/>
        <stp>BDP|12988475608752964135</stp>
        <tr r="B4530" s="2"/>
      </tp>
      <tp t="s">
        <v>#N/A N/A</v>
        <stp/>
        <stp>BDP|10834474316870279071</stp>
        <tr r="F3037" s="2"/>
      </tp>
      <tp t="s">
        <v>#N/A N/A</v>
        <stp/>
        <stp>BDP|12950595827731973129</stp>
        <tr r="F2513" s="2"/>
      </tp>
      <tp t="s">
        <v>#N/A N/A</v>
        <stp/>
        <stp>BDP|16851913982016681417</stp>
        <tr r="C326" s="2"/>
      </tp>
      <tp t="s">
        <v>#N/A N/A</v>
        <stp/>
        <stp>BDP|13138250350305892401</stp>
        <tr r="F1139" s="2"/>
      </tp>
      <tp t="s">
        <v>#N/A N/A</v>
        <stp/>
        <stp>BDP|14773922089396190617</stp>
        <tr r="D3407" s="2"/>
      </tp>
      <tp t="s">
        <v>#N/A N/A</v>
        <stp/>
        <stp>BDP|16984343672280610750</stp>
        <tr r="G712" s="2"/>
      </tp>
      <tp t="s">
        <v>#N/A N/A</v>
        <stp/>
        <stp>BDP|12338631653485882176</stp>
        <tr r="A847" s="2"/>
      </tp>
      <tp t="s">
        <v>#N/A N/A</v>
        <stp/>
        <stp>BDP|14838210735611689165</stp>
        <tr r="F3449" s="2"/>
      </tp>
      <tp t="s">
        <v>#N/A N/A</v>
        <stp/>
        <stp>BDP|11343980009294879969</stp>
        <tr r="I483" s="2"/>
      </tp>
      <tp t="s">
        <v>#N/A N/A</v>
        <stp/>
        <stp>BDP|15738700478274409479</stp>
        <tr r="I3659" s="2"/>
      </tp>
      <tp t="s">
        <v>#N/A N/A</v>
        <stp/>
        <stp>BDP|12068024605550203798</stp>
        <tr r="A50" s="2"/>
      </tp>
      <tp t="s">
        <v>#N/A N/A</v>
        <stp/>
        <stp>BDP|13944633783848462016</stp>
        <tr r="F1163" s="2"/>
      </tp>
      <tp t="s">
        <v>#N/A N/A</v>
        <stp/>
        <stp>BDP|10528409944664821150</stp>
        <tr r="A1104" s="2"/>
      </tp>
      <tp t="s">
        <v>#N/A N/A</v>
        <stp/>
        <stp>BDP|17815380959327140348</stp>
        <tr r="H1156" s="2"/>
      </tp>
      <tp t="s">
        <v>#N/A N/A</v>
        <stp/>
        <stp>BDP|17692222711148804914</stp>
        <tr r="C4322" s="2"/>
      </tp>
      <tp t="s">
        <v>#N/A N/A</v>
        <stp/>
        <stp>BDP|14336156043561864518</stp>
        <tr r="D2419" s="2"/>
      </tp>
      <tp t="s">
        <v>#N/A N/A</v>
        <stp/>
        <stp>BDP|13336083263177362779</stp>
        <tr r="F1966" s="2"/>
      </tp>
      <tp t="s">
        <v>#N/A N/A</v>
        <stp/>
        <stp>BDP|11436878118725166864</stp>
        <tr r="D935" s="2"/>
      </tp>
      <tp t="s">
        <v>#N/A N/A</v>
        <stp/>
        <stp>BDP|12097583742124551230</stp>
        <tr r="G3070" s="2"/>
      </tp>
      <tp t="s">
        <v>#N/A N/A</v>
        <stp/>
        <stp>BDP|13092510807031855221</stp>
        <tr r="A2713" s="2"/>
      </tp>
      <tp t="s">
        <v>#N/A N/A</v>
        <stp/>
        <stp>BDP|13915813666699703159</stp>
        <tr r="I3463" s="2"/>
      </tp>
      <tp t="s">
        <v>#N/A N/A</v>
        <stp/>
        <stp>BDP|15709461256407992621</stp>
        <tr r="G3371" s="2"/>
      </tp>
      <tp t="s">
        <v>#N/A N/A</v>
        <stp/>
        <stp>BDP|10850119261652745033</stp>
        <tr r="B3809" s="2"/>
      </tp>
      <tp t="s">
        <v>#N/A N/A</v>
        <stp/>
        <stp>BDP|18422464864806227980</stp>
        <tr r="C1624" s="2"/>
      </tp>
      <tp t="s">
        <v>#N/A N/A</v>
        <stp/>
        <stp>BDP|14270545532566137198</stp>
        <tr r="I2039" s="2"/>
      </tp>
      <tp t="s">
        <v>#N/A N/A</v>
        <stp/>
        <stp>BDP|12162769435407917476</stp>
        <tr r="D667" s="2"/>
      </tp>
      <tp t="s">
        <v>#N/A N/A</v>
        <stp/>
        <stp>BDP|10289097625977367013</stp>
        <tr r="A1178" s="2"/>
      </tp>
      <tp t="s">
        <v>#N/A N/A</v>
        <stp/>
        <stp>BDP|12161923380606959065</stp>
        <tr r="D652" s="2"/>
      </tp>
      <tp t="s">
        <v>#N/A N/A</v>
        <stp/>
        <stp>BDP|13624538839814576456</stp>
        <tr r="G1076" s="2"/>
      </tp>
      <tp t="s">
        <v>#N/A N/A</v>
        <stp/>
        <stp>BDP|14059682068117863643</stp>
        <tr r="G4417" s="2"/>
      </tp>
      <tp t="s">
        <v>#N/A N/A</v>
        <stp/>
        <stp>BDP|17337314557384141083</stp>
        <tr r="G406" s="2"/>
      </tp>
      <tp t="s">
        <v>#N/A N/A</v>
        <stp/>
        <stp>BDP|11029492944020176404</stp>
        <tr r="I4193" s="2"/>
      </tp>
      <tp t="s">
        <v>#N/A N/A</v>
        <stp/>
        <stp>BDP|12709196903931240738</stp>
        <tr r="B4136" s="2"/>
      </tp>
      <tp t="s">
        <v>#N/A N/A</v>
        <stp/>
        <stp>BDP|11067370656251509386</stp>
        <tr r="F2169" s="2"/>
      </tp>
      <tp t="s">
        <v>#N/A N/A</v>
        <stp/>
        <stp>BDP|12514646007837998634</stp>
        <tr r="B1519" s="2"/>
      </tp>
      <tp t="s">
        <v>#N/A N/A</v>
        <stp/>
        <stp>BDP|12749446773411946550</stp>
        <tr r="D1864" s="2"/>
      </tp>
      <tp t="s">
        <v>#N/A N/A</v>
        <stp/>
        <stp>BDP|17734455465110279092</stp>
        <tr r="H3162" s="2"/>
      </tp>
      <tp t="s">
        <v>#N/A N/A</v>
        <stp/>
        <stp>BDP|15379237133321941065</stp>
        <tr r="A492" s="2"/>
      </tp>
      <tp t="s">
        <v>#N/A N/A</v>
        <stp/>
        <stp>BDP|14539124249362249602</stp>
        <tr r="H2675" s="2"/>
      </tp>
      <tp t="s">
        <v>#N/A N/A</v>
        <stp/>
        <stp>BDP|17913617831300042750</stp>
        <tr r="G3215" s="2"/>
      </tp>
      <tp t="s">
        <v>#N/A N/A</v>
        <stp/>
        <stp>BDP|13359597521071733000</stp>
        <tr r="A1325" s="2"/>
      </tp>
      <tp t="s">
        <v>#N/A N/A</v>
        <stp/>
        <stp>BDP|13606490523106721672</stp>
        <tr r="D4610" s="2"/>
      </tp>
      <tp t="s">
        <v>#N/A N/A</v>
        <stp/>
        <stp>BDP|17568045709112732031</stp>
        <tr r="H4931" s="2"/>
      </tp>
      <tp t="s">
        <v>#N/A N/A</v>
        <stp/>
        <stp>BDP|15529620318524376300</stp>
        <tr r="F3208" s="2"/>
      </tp>
      <tp t="s">
        <v>#N/A N/A</v>
        <stp/>
        <stp>BDP|12321330930735431286</stp>
        <tr r="A4209" s="2"/>
      </tp>
      <tp t="s">
        <v>#N/A N/A</v>
        <stp/>
        <stp>BDP|17075767122650875701</stp>
        <tr r="D4621" s="2"/>
      </tp>
      <tp t="s">
        <v>#N/A N/A</v>
        <stp/>
        <stp>BDP|15542004162326260095</stp>
        <tr r="F2334" s="2"/>
      </tp>
      <tp t="s">
        <v>#N/A N/A</v>
        <stp/>
        <stp>BDP|16332095244257505074</stp>
        <tr r="H1690" s="2"/>
      </tp>
      <tp t="s">
        <v>#N/A N/A</v>
        <stp/>
        <stp>BDP|10657042665403953026</stp>
        <tr r="A500" s="2"/>
      </tp>
      <tp t="s">
        <v>#N/A N/A</v>
        <stp/>
        <stp>BDP|16165846909739246224</stp>
        <tr r="I254" s="2"/>
      </tp>
      <tp t="s">
        <v>#N/A N/A</v>
        <stp/>
        <stp>BDP|16869706591708194549</stp>
        <tr r="I1127" s="2"/>
      </tp>
      <tp t="s">
        <v>#N/A N/A</v>
        <stp/>
        <stp>BDP|11984774546883113452</stp>
        <tr r="I3013" s="2"/>
      </tp>
      <tp t="s">
        <v>#N/A N/A</v>
        <stp/>
        <stp>BDP|14519456675430076293</stp>
        <tr r="F2951" s="2"/>
      </tp>
      <tp t="s">
        <v>#N/A N/A</v>
        <stp/>
        <stp>BDP|17769213571382983529</stp>
        <tr r="I1815" s="2"/>
      </tp>
      <tp t="s">
        <v>#N/A N/A</v>
        <stp/>
        <stp>BDP|14852268404973710012</stp>
        <tr r="H4263" s="2"/>
      </tp>
      <tp t="s">
        <v>#N/A N/A</v>
        <stp/>
        <stp>BDP|15027450866792968065</stp>
        <tr r="A4201" s="2"/>
      </tp>
      <tp t="s">
        <v>#N/A N/A</v>
        <stp/>
        <stp>BDP|16572930734441668883</stp>
        <tr r="H4265" s="2"/>
      </tp>
      <tp t="s">
        <v>#N/A N/A</v>
        <stp/>
        <stp>BDP|10783533302653231388</stp>
        <tr r="A4771" s="2"/>
      </tp>
      <tp t="s">
        <v>#N/A N/A</v>
        <stp/>
        <stp>BDP|10793446207778870909</stp>
        <tr r="H3314" s="2"/>
      </tp>
      <tp t="s">
        <v>#N/A N/A</v>
        <stp/>
        <stp>BDP|11182989591744455005</stp>
        <tr r="B4791" s="2"/>
      </tp>
      <tp t="s">
        <v>#N/A N/A</v>
        <stp/>
        <stp>BDP|14516080332534704642</stp>
        <tr r="G1195" s="2"/>
      </tp>
      <tp t="s">
        <v>#N/A N/A</v>
        <stp/>
        <stp>BDP|18344336644872897805</stp>
        <tr r="D4374" s="2"/>
      </tp>
      <tp t="s">
        <v>#N/A N/A</v>
        <stp/>
        <stp>BDP|13437162327426169386</stp>
        <tr r="B528" s="2"/>
      </tp>
      <tp t="s">
        <v>#N/A N/A</v>
        <stp/>
        <stp>BDP|15501701457525752794</stp>
        <tr r="D3633" s="2"/>
      </tp>
      <tp t="s">
        <v>#N/A N/A</v>
        <stp/>
        <stp>BDP|15158771538632001626</stp>
        <tr r="I1575" s="2"/>
      </tp>
      <tp t="s">
        <v>#N/A N/A</v>
        <stp/>
        <stp>BDP|17809111334435431552</stp>
        <tr r="F1411" s="2"/>
      </tp>
      <tp t="s">
        <v>#N/A N/A</v>
        <stp/>
        <stp>BDP|17167084417611569276</stp>
        <tr r="F4379" s="2"/>
      </tp>
      <tp t="s">
        <v>#N/A N/A</v>
        <stp/>
        <stp>BDP|10563858689885127040</stp>
        <tr r="H3262" s="2"/>
      </tp>
      <tp t="s">
        <v>#N/A N/A</v>
        <stp/>
        <stp>BDP|12065847986203936474</stp>
        <tr r="A2026" s="2"/>
      </tp>
      <tp t="s">
        <v>#N/A N/A</v>
        <stp/>
        <stp>BDP|10356630032101882168</stp>
        <tr r="D71" s="2"/>
      </tp>
      <tp t="s">
        <v>#N/A N/A</v>
        <stp/>
        <stp>BDP|12149414928740013142</stp>
        <tr r="B3170" s="2"/>
      </tp>
      <tp t="s">
        <v>#N/A N/A</v>
        <stp/>
        <stp>BDP|12244346623684059295</stp>
        <tr r="I673" s="2"/>
      </tp>
      <tp t="s">
        <v>#N/A N/A</v>
        <stp/>
        <stp>BDP|13357360874686805457</stp>
        <tr r="D494" s="2"/>
      </tp>
      <tp t="s">
        <v>#N/A N/A</v>
        <stp/>
        <stp>BDP|12385393614051139403</stp>
        <tr r="I606" s="2"/>
      </tp>
      <tp t="s">
        <v>#N/A N/A</v>
        <stp/>
        <stp>BDP|13818426247934247201</stp>
        <tr r="I2691" s="2"/>
      </tp>
      <tp t="s">
        <v>#N/A N/A</v>
        <stp/>
        <stp>BDP|16783288511505398527</stp>
        <tr r="A2614" s="2"/>
      </tp>
      <tp t="s">
        <v>#N/A N/A</v>
        <stp/>
        <stp>BDP|11768788438524039483</stp>
        <tr r="B4646" s="2"/>
      </tp>
      <tp t="s">
        <v>#N/A N/A</v>
        <stp/>
        <stp>BDP|10234703210862959147</stp>
        <tr r="D1757" s="2"/>
      </tp>
      <tp t="s">
        <v>#N/A N/A</v>
        <stp/>
        <stp>BDP|17472048729989255949</stp>
        <tr r="G1215" s="2"/>
      </tp>
      <tp t="s">
        <v>#N/A N/A</v>
        <stp/>
        <stp>BDP|12831274145863576202</stp>
        <tr r="H3948" s="2"/>
      </tp>
      <tp t="s">
        <v>#N/A N/A</v>
        <stp/>
        <stp>BDP|11631619301194099698</stp>
        <tr r="A3752" s="2"/>
      </tp>
      <tp t="s">
        <v>#N/A N/A</v>
        <stp/>
        <stp>BDP|16056058008441119231</stp>
        <tr r="I852" s="2"/>
      </tp>
      <tp t="s">
        <v>#N/A N/A</v>
        <stp/>
        <stp>BDP|13464797174445650309</stp>
        <tr r="H3427" s="2"/>
      </tp>
      <tp t="s">
        <v>#N/A N/A</v>
        <stp/>
        <stp>BDP|13998726540144161150</stp>
        <tr r="G188" s="2"/>
      </tp>
      <tp t="s">
        <v>#N/A N/A</v>
        <stp/>
        <stp>BDP|17851596603960944746</stp>
        <tr r="F142" s="2"/>
      </tp>
      <tp t="s">
        <v>#N/A N/A</v>
        <stp/>
        <stp>BDP|14141305045936884038</stp>
        <tr r="I3919" s="2"/>
      </tp>
      <tp t="s">
        <v>#N/A N/A</v>
        <stp/>
        <stp>BDP|14904761324585249168</stp>
        <tr r="D1369" s="2"/>
      </tp>
      <tp t="s">
        <v>#N/A N/A</v>
        <stp/>
        <stp>BDP|17951054018071296290</stp>
        <tr r="D2609" s="2"/>
      </tp>
      <tp t="s">
        <v>#N/A N/A</v>
        <stp/>
        <stp>BDP|15361784208150884743</stp>
        <tr r="A4179" s="2"/>
      </tp>
      <tp t="s">
        <v>#N/A N/A</v>
        <stp/>
        <stp>BDP|10318341368581629169</stp>
        <tr r="B2065" s="2"/>
      </tp>
      <tp t="s">
        <v>#N/A N/A</v>
        <stp/>
        <stp>BDP|13694758547025972028</stp>
        <tr r="G4672" s="2"/>
      </tp>
      <tp t="s">
        <v>#N/A N/A</v>
        <stp/>
        <stp>BDP|11463372101964464395</stp>
        <tr r="I4016" s="2"/>
      </tp>
      <tp t="s">
        <v>#N/A N/A</v>
        <stp/>
        <stp>BDP|14955224624896419746</stp>
        <tr r="F1249" s="2"/>
      </tp>
      <tp t="s">
        <v>#N/A N/A</v>
        <stp/>
        <stp>BDP|12266581140962728421</stp>
        <tr r="C2401" s="2"/>
      </tp>
      <tp t="s">
        <v>#N/A N/A</v>
        <stp/>
        <stp>BDP|16464864583634716798</stp>
        <tr r="A3081" s="2"/>
      </tp>
      <tp t="s">
        <v>#N/A N/A</v>
        <stp/>
        <stp>BDP|16534861599882429015</stp>
        <tr r="G309" s="2"/>
      </tp>
      <tp t="s">
        <v>#N/A N/A</v>
        <stp/>
        <stp>BDP|11945861282961372516</stp>
        <tr r="G1571" s="2"/>
      </tp>
      <tp t="s">
        <v>#N/A N/A</v>
        <stp/>
        <stp>BDP|16155093912017380562</stp>
        <tr r="F1543" s="2"/>
      </tp>
      <tp t="s">
        <v>#N/A N/A</v>
        <stp/>
        <stp>BDP|13991372211672051604</stp>
        <tr r="I641" s="2"/>
      </tp>
      <tp t="s">
        <v>#N/A N/A</v>
        <stp/>
        <stp>BDP|14264551317275907069</stp>
        <tr r="A1828" s="2"/>
      </tp>
      <tp t="s">
        <v>#N/A N/A</v>
        <stp/>
        <stp>BDP|15344486731983209477</stp>
        <tr r="B4717" s="2"/>
      </tp>
      <tp t="s">
        <v>#N/A N/A</v>
        <stp/>
        <stp>BDP|16448319357701959443</stp>
        <tr r="H1136" s="2"/>
      </tp>
      <tp t="s">
        <v>#N/A N/A</v>
        <stp/>
        <stp>BDP|11075516279086413033</stp>
        <tr r="H4145" s="2"/>
      </tp>
      <tp t="s">
        <v>#N/A N/A</v>
        <stp/>
        <stp>BDP|15240597175475369722</stp>
        <tr r="C3192" s="2"/>
      </tp>
      <tp t="s">
        <v>#N/A N/A</v>
        <stp/>
        <stp>BDP|15627935349445649854</stp>
        <tr r="I145" s="2"/>
      </tp>
      <tp t="s">
        <v>#N/A N/A</v>
        <stp/>
        <stp>BDP|15302427738542286549</stp>
        <tr r="D412" s="2"/>
      </tp>
      <tp t="s">
        <v>#N/A N/A</v>
        <stp/>
        <stp>BDP|10193277679182282225</stp>
        <tr r="C4460" s="2"/>
      </tp>
      <tp t="s">
        <v>#N/A N/A</v>
        <stp/>
        <stp>BDP|17639846848628736622</stp>
        <tr r="C2270" s="2"/>
      </tp>
      <tp t="s">
        <v>#N/A N/A</v>
        <stp/>
        <stp>BDP|14454458438664201249</stp>
        <tr r="G4811" s="2"/>
      </tp>
      <tp t="s">
        <v>#N/A N/A</v>
        <stp/>
        <stp>BDP|11655988580133685676</stp>
        <tr r="G332" s="2"/>
      </tp>
      <tp t="s">
        <v>#N/A N/A</v>
        <stp/>
        <stp>BDP|15681666645725224789</stp>
        <tr r="H2713" s="2"/>
      </tp>
      <tp t="s">
        <v>#N/A N/A</v>
        <stp/>
        <stp>BDP|18414062478238631230</stp>
        <tr r="H3863" s="2"/>
      </tp>
      <tp t="s">
        <v>#N/A N/A</v>
        <stp/>
        <stp>BDP|13130120323092931761</stp>
        <tr r="C2426" s="2"/>
      </tp>
      <tp t="s">
        <v>#N/A N/A</v>
        <stp/>
        <stp>BDP|16549953487257813505</stp>
        <tr r="C4505" s="2"/>
      </tp>
      <tp t="s">
        <v>#N/A N/A</v>
        <stp/>
        <stp>BDP|12866976543119548364</stp>
        <tr r="F4363" s="2"/>
      </tp>
      <tp t="s">
        <v>#N/A N/A</v>
        <stp/>
        <stp>BDP|13677191235004512006</stp>
        <tr r="A4898" s="2"/>
      </tp>
      <tp t="s">
        <v>#N/A N/A</v>
        <stp/>
        <stp>BDP|16005747359870267108</stp>
        <tr r="G4448" s="2"/>
      </tp>
      <tp t="s">
        <v>#N/A N/A</v>
        <stp/>
        <stp>BDP|17094583614195436378</stp>
        <tr r="G1462" s="2"/>
      </tp>
      <tp t="s">
        <v>#N/A N/A</v>
        <stp/>
        <stp>BDP|12858782599651396858</stp>
        <tr r="H1724" s="2"/>
      </tp>
      <tp t="s">
        <v>#N/A N/A</v>
        <stp/>
        <stp>BDP|12756299594818549400</stp>
        <tr r="C1659" s="2"/>
      </tp>
      <tp t="s">
        <v>#N/A N/A</v>
        <stp/>
        <stp>BDP|11132615817380944311</stp>
        <tr r="F4356" s="2"/>
      </tp>
      <tp t="s">
        <v>#N/A N/A</v>
        <stp/>
        <stp>BDP|15734290062367184328</stp>
        <tr r="I2984" s="2"/>
      </tp>
      <tp t="s">
        <v>#N/A N/A</v>
        <stp/>
        <stp>BDP|11615125689658755557</stp>
        <tr r="G155" s="2"/>
      </tp>
      <tp t="s">
        <v>#N/A N/A</v>
        <stp/>
        <stp>BDP|15200593654031117112</stp>
        <tr r="C1095" s="2"/>
      </tp>
      <tp t="s">
        <v>#N/A N/A</v>
        <stp/>
        <stp>BDP|13658535915495674794</stp>
        <tr r="D4741" s="2"/>
      </tp>
      <tp t="s">
        <v>#N/A N/A</v>
        <stp/>
        <stp>BDP|10257090464441338235</stp>
        <tr r="I1346" s="2"/>
      </tp>
      <tp t="s">
        <v>#N/A N/A</v>
        <stp/>
        <stp>BDP|14591351018797391441</stp>
        <tr r="A1791" s="2"/>
      </tp>
      <tp t="s">
        <v>#N/A N/A</v>
        <stp/>
        <stp>BDP|14622132880318843020</stp>
        <tr r="D4645" s="2"/>
      </tp>
      <tp t="s">
        <v>#N/A N/A</v>
        <stp/>
        <stp>BDP|15682427241577242789</stp>
        <tr r="D3000" s="2"/>
      </tp>
      <tp t="s">
        <v>#N/A N/A</v>
        <stp/>
        <stp>BDP|11931069891788185502</stp>
        <tr r="C3619" s="2"/>
      </tp>
      <tp t="s">
        <v>#N/A N/A</v>
        <stp/>
        <stp>BDP|15549684784118258643</stp>
        <tr r="C2680" s="2"/>
      </tp>
      <tp t="s">
        <v>#N/A N/A</v>
        <stp/>
        <stp>BDP|17807483167141864103</stp>
        <tr r="H1878" s="2"/>
      </tp>
      <tp t="s">
        <v>#N/A N/A</v>
        <stp/>
        <stp>BDP|10163052317941895543</stp>
        <tr r="B2526" s="2"/>
      </tp>
      <tp t="s">
        <v>#N/A N/A</v>
        <stp/>
        <stp>BDP|15625480266345173761</stp>
        <tr r="H3652" s="2"/>
      </tp>
      <tp t="s">
        <v>#N/A N/A</v>
        <stp/>
        <stp>BDP|12949176904480247674</stp>
        <tr r="A3891" s="2"/>
      </tp>
      <tp t="s">
        <v>#N/A N/A</v>
        <stp/>
        <stp>BDP|17970521663086141764</stp>
        <tr r="I2647" s="2"/>
      </tp>
      <tp t="s">
        <v>#N/A N/A</v>
        <stp/>
        <stp>BDP|12230932884013241583</stp>
        <tr r="F3751" s="2"/>
      </tp>
      <tp t="s">
        <v>#N/A N/A</v>
        <stp/>
        <stp>BDP|14254328738818648917</stp>
        <tr r="G4738" s="2"/>
      </tp>
      <tp t="s">
        <v>#N/A N/A</v>
        <stp/>
        <stp>BDP|15670105359792265626</stp>
        <tr r="A3678" s="2"/>
      </tp>
      <tp t="s">
        <v>#N/A N/A</v>
        <stp/>
        <stp>BDP|16416498643415098611</stp>
        <tr r="D938" s="2"/>
      </tp>
      <tp t="s">
        <v>#N/A N/A</v>
        <stp/>
        <stp>BDP|10211382873674404520</stp>
        <tr r="G2089" s="2"/>
      </tp>
      <tp t="s">
        <v>#N/A N/A</v>
        <stp/>
        <stp>BDP|11710815289704744072</stp>
        <tr r="G1267" s="2"/>
      </tp>
      <tp t="s">
        <v>#N/A N/A</v>
        <stp/>
        <stp>BDP|13999781220586792591</stp>
        <tr r="H2419" s="2"/>
      </tp>
      <tp t="s">
        <v>#N/A N/A</v>
        <stp/>
        <stp>BDP|15984374940445998284</stp>
        <tr r="H3416" s="2"/>
      </tp>
      <tp t="s">
        <v>#N/A N/A</v>
        <stp/>
        <stp>BDP|13913453269614363097</stp>
        <tr r="B4315" s="2"/>
      </tp>
      <tp t="s">
        <v>#N/A N/A</v>
        <stp/>
        <stp>BDP|17873561122672478773</stp>
        <tr r="G1123" s="2"/>
      </tp>
      <tp t="s">
        <v>#N/A N/A</v>
        <stp/>
        <stp>BDP|13872524043395470223</stp>
        <tr r="H3924" s="2"/>
      </tp>
      <tp t="s">
        <v>#N/A N/A</v>
        <stp/>
        <stp>BDP|17753216239335173613</stp>
        <tr r="H1039" s="2"/>
      </tp>
      <tp t="s">
        <v>#N/A N/A</v>
        <stp/>
        <stp>BDP|12098520699088295364</stp>
        <tr r="G2698" s="2"/>
      </tp>
      <tp t="s">
        <v>#N/A N/A</v>
        <stp/>
        <stp>BDP|10550681874387322351</stp>
        <tr r="F3616" s="2"/>
      </tp>
      <tp t="s">
        <v>#N/A N/A</v>
        <stp/>
        <stp>BDP|14551677815017896110</stp>
        <tr r="C2151" s="2"/>
      </tp>
      <tp t="s">
        <v>#N/A N/A</v>
        <stp/>
        <stp>BDP|15221537263157488487</stp>
        <tr r="B817" s="2"/>
      </tp>
      <tp t="s">
        <v>#N/A N/A</v>
        <stp/>
        <stp>BDP|11742968887053816606</stp>
        <tr r="B1800" s="2"/>
      </tp>
      <tp t="s">
        <v>#N/A N/A</v>
        <stp/>
        <stp>BDP|18217793915902237923</stp>
        <tr r="I804" s="2"/>
      </tp>
      <tp t="s">
        <v>#N/A N/A</v>
        <stp/>
        <stp>BDP|15062678257487613480</stp>
        <tr r="I4019" s="2"/>
      </tp>
      <tp t="s">
        <v>#N/A N/A</v>
        <stp/>
        <stp>BDP|15676130859940154431</stp>
        <tr r="G688" s="2"/>
      </tp>
      <tp t="s">
        <v>#N/A N/A</v>
        <stp/>
        <stp>BDP|13982758672112034408</stp>
        <tr r="C2050" s="2"/>
      </tp>
      <tp t="s">
        <v>#N/A N/A</v>
        <stp/>
        <stp>BDP|10185222938542757623</stp>
        <tr r="H634" s="2"/>
      </tp>
      <tp t="s">
        <v>#N/A N/A</v>
        <stp/>
        <stp>BDP|18414420187461649098</stp>
        <tr r="H3548" s="2"/>
      </tp>
      <tp t="s">
        <v>#N/A N/A</v>
        <stp/>
        <stp>BDP|11460622193632385983</stp>
        <tr r="H3393" s="2"/>
      </tp>
      <tp t="s">
        <v>#N/A N/A</v>
        <stp/>
        <stp>BDP|16464518719726291109</stp>
        <tr r="B4634" s="2"/>
      </tp>
      <tp t="s">
        <v>#N/A N/A</v>
        <stp/>
        <stp>BDP|17396799887269198422</stp>
        <tr r="D1199" s="2"/>
      </tp>
      <tp t="s">
        <v>#N/A N/A</v>
        <stp/>
        <stp>BDP|10193798061127483331</stp>
        <tr r="A4978" s="2"/>
      </tp>
      <tp t="s">
        <v>#N/A N/A</v>
        <stp/>
        <stp>BDP|15094656602176030095</stp>
        <tr r="B1948" s="2"/>
      </tp>
      <tp t="s">
        <v>#N/A N/A</v>
        <stp/>
        <stp>BDP|17963991494765984730</stp>
        <tr r="A3072" s="2"/>
      </tp>
      <tp t="s">
        <v>#N/A N/A</v>
        <stp/>
        <stp>BDP|11543253357283948009</stp>
        <tr r="F2559" s="2"/>
      </tp>
      <tp t="s">
        <v>#N/A N/A</v>
        <stp/>
        <stp>BDP|14227414606703369688</stp>
        <tr r="D1716" s="2"/>
      </tp>
      <tp t="s">
        <v>#N/A N/A</v>
        <stp/>
        <stp>BDP|10381374193416004997</stp>
        <tr r="A632" s="2"/>
      </tp>
      <tp t="s">
        <v>#N/A N/A</v>
        <stp/>
        <stp>BDP|15653958529572036944</stp>
        <tr r="I2027" s="2"/>
      </tp>
      <tp t="s">
        <v>#N/A N/A</v>
        <stp/>
        <stp>BDP|11007399610312660413</stp>
        <tr r="F2188" s="2"/>
      </tp>
      <tp t="s">
        <v>#N/A N/A</v>
        <stp/>
        <stp>BDP|10230373529260681445</stp>
        <tr r="B2555" s="2"/>
      </tp>
      <tp t="s">
        <v>#N/A N/A</v>
        <stp/>
        <stp>BDP|15668243482188926279</stp>
        <tr r="B2172" s="2"/>
      </tp>
      <tp t="s">
        <v>#N/A N/A</v>
        <stp/>
        <stp>BDP|12099656464156695199</stp>
        <tr r="H1455" s="2"/>
      </tp>
      <tp t="s">
        <v>#N/A N/A</v>
        <stp/>
        <stp>BDP|16679202238491489347</stp>
        <tr r="A2881" s="2"/>
      </tp>
      <tp t="s">
        <v>#N/A N/A</v>
        <stp/>
        <stp>BDP|10945485926104193784</stp>
        <tr r="G3748" s="2"/>
      </tp>
      <tp t="s">
        <v>#N/A N/A</v>
        <stp/>
        <stp>BDP|17534964923020691983</stp>
        <tr r="D1422" s="2"/>
      </tp>
      <tp t="s">
        <v>#N/A N/A</v>
        <stp/>
        <stp>BDP|15081298866457985381</stp>
        <tr r="I461" s="2"/>
      </tp>
      <tp t="s">
        <v>#N/A N/A</v>
        <stp/>
        <stp>BDP|12869946070019442069</stp>
        <tr r="B1082" s="2"/>
      </tp>
      <tp t="s">
        <v>#N/A N/A</v>
        <stp/>
        <stp>BDP|11956533332817210543</stp>
        <tr r="D2518" s="2"/>
      </tp>
      <tp t="s">
        <v>#N/A N/A</v>
        <stp/>
        <stp>BDP|11682806798503313636</stp>
        <tr r="D3673" s="2"/>
      </tp>
      <tp t="s">
        <v>#N/A N/A</v>
        <stp/>
        <stp>BDP|13006760713389915921</stp>
        <tr r="D3750" s="2"/>
      </tp>
      <tp t="s">
        <v>#N/A N/A</v>
        <stp/>
        <stp>BDP|13991617000160199075</stp>
        <tr r="C4282" s="2"/>
      </tp>
      <tp t="s">
        <v>#N/A N/A</v>
        <stp/>
        <stp>BDP|14342070072293825507</stp>
        <tr r="F4405" s="2"/>
      </tp>
      <tp t="s">
        <v>#N/A N/A</v>
        <stp/>
        <stp>BDP|14971700477058639967</stp>
        <tr r="D1506" s="2"/>
      </tp>
      <tp t="s">
        <v>#N/A N/A</v>
        <stp/>
        <stp>BDP|13142055983387078996</stp>
        <tr r="D4594" s="2"/>
      </tp>
      <tp t="s">
        <v>#N/A N/A</v>
        <stp/>
        <stp>BDP|15196868687312636282</stp>
        <tr r="H476" s="2"/>
      </tp>
      <tp t="s">
        <v>#N/A N/A</v>
        <stp/>
        <stp>BDP|13337465430603255296</stp>
        <tr r="B4047" s="2"/>
      </tp>
      <tp t="s">
        <v>#N/A N/A</v>
        <stp/>
        <stp>BDP|17606092832562425377</stp>
        <tr r="C455" s="2"/>
      </tp>
      <tp t="s">
        <v>#N/A N/A</v>
        <stp/>
        <stp>BDP|16929495409202523525</stp>
        <tr r="C4424" s="2"/>
      </tp>
      <tp t="s">
        <v>#N/A N/A</v>
        <stp/>
        <stp>BDP|12851118277880973190</stp>
        <tr r="G2927" s="2"/>
      </tp>
      <tp t="s">
        <v>#N/A N/A</v>
        <stp/>
        <stp>BDP|14602184933163007037</stp>
        <tr r="G975" s="2"/>
      </tp>
      <tp t="s">
        <v>#N/A N/A</v>
        <stp/>
        <stp>BDP|12558404857764435287</stp>
        <tr r="F2055" s="2"/>
      </tp>
      <tp t="s">
        <v>#N/A N/A</v>
        <stp/>
        <stp>BDP|17491462447107387580</stp>
        <tr r="H3716" s="2"/>
      </tp>
      <tp t="s">
        <v>#N/A N/A</v>
        <stp/>
        <stp>BDP|10945363918783069497</stp>
        <tr r="A2091" s="2"/>
      </tp>
      <tp t="s">
        <v>#N/A N/A</v>
        <stp/>
        <stp>BDP|17136382255157291308</stp>
        <tr r="F2555" s="2"/>
      </tp>
      <tp t="s">
        <v>#N/A N/A</v>
        <stp/>
        <stp>BDP|14225835894995377588</stp>
        <tr r="F3903" s="2"/>
      </tp>
      <tp t="s">
        <v>#N/A N/A</v>
        <stp/>
        <stp>BDP|14271842809139156001</stp>
        <tr r="I2734" s="2"/>
      </tp>
      <tp t="s">
        <v>#N/A N/A</v>
        <stp/>
        <stp>BDP|14816945843354035814</stp>
        <tr r="G3291" s="2"/>
      </tp>
      <tp t="s">
        <v>#N/A N/A</v>
        <stp/>
        <stp>BDP|17935833937129150024</stp>
        <tr r="G4810" s="2"/>
      </tp>
      <tp t="s">
        <v>#N/A N/A</v>
        <stp/>
        <stp>BDP|10111365702590944625</stp>
        <tr r="G4906" s="2"/>
      </tp>
      <tp t="s">
        <v>#N/A N/A</v>
        <stp/>
        <stp>BDP|16478293953641030501</stp>
        <tr r="G3575" s="2"/>
      </tp>
      <tp t="s">
        <v>#N/A N/A</v>
        <stp/>
        <stp>BDP|16223035029913074269</stp>
        <tr r="H3249" s="2"/>
      </tp>
      <tp t="s">
        <v>#N/A N/A</v>
        <stp/>
        <stp>BDP|13253574123716931715</stp>
        <tr r="I321" s="2"/>
      </tp>
      <tp t="s">
        <v>#N/A N/A</v>
        <stp/>
        <stp>BDP|13512055748772305054</stp>
        <tr r="C3703" s="2"/>
      </tp>
      <tp t="s">
        <v>#N/A N/A</v>
        <stp/>
        <stp>BDP|16130310596470925912</stp>
        <tr r="B1306" s="2"/>
      </tp>
      <tp t="s">
        <v>#N/A N/A</v>
        <stp/>
        <stp>BDP|14481218414427731580</stp>
        <tr r="G2838" s="2"/>
      </tp>
      <tp t="s">
        <v>#N/A N/A</v>
        <stp/>
        <stp>BDP|17150444629764720053</stp>
        <tr r="G1682" s="2"/>
      </tp>
      <tp t="s">
        <v>#N/A N/A</v>
        <stp/>
        <stp>BDP|11456106569250545362</stp>
        <tr r="I4743" s="2"/>
      </tp>
      <tp t="s">
        <v>#N/A N/A</v>
        <stp/>
        <stp>BDP|17509597016196303071</stp>
        <tr r="F230" s="2"/>
      </tp>
      <tp t="s">
        <v>#N/A N/A</v>
        <stp/>
        <stp>BDP|14438172215237904615</stp>
        <tr r="I2688" s="2"/>
      </tp>
      <tp t="s">
        <v>#N/A N/A</v>
        <stp/>
        <stp>BDP|14208562969582045035</stp>
        <tr r="H2758" s="2"/>
      </tp>
      <tp t="s">
        <v>#N/A N/A</v>
        <stp/>
        <stp>BDP|11438358472119595985</stp>
        <tr r="B807" s="2"/>
      </tp>
      <tp t="s">
        <v>#N/A N/A</v>
        <stp/>
        <stp>BDP|15921652919542916522</stp>
        <tr r="I221" s="2"/>
      </tp>
      <tp t="s">
        <v>#N/A N/A</v>
        <stp/>
        <stp>BDP|17507298031344592764</stp>
        <tr r="I4970" s="2"/>
      </tp>
      <tp t="s">
        <v>#N/A N/A</v>
        <stp/>
        <stp>BDP|13792789601411637061</stp>
        <tr r="I414" s="2"/>
      </tp>
      <tp t="s">
        <v>#N/A N/A</v>
        <stp/>
        <stp>BDP|15699436408865217113</stp>
        <tr r="C3390" s="2"/>
      </tp>
      <tp t="s">
        <v>#N/A N/A</v>
        <stp/>
        <stp>BDP|15751423801402945633</stp>
        <tr r="B4912" s="2"/>
      </tp>
      <tp t="s">
        <v>#N/A N/A</v>
        <stp/>
        <stp>BDP|16709000232438977826</stp>
        <tr r="B629" s="2"/>
      </tp>
      <tp t="s">
        <v>#N/A N/A</v>
        <stp/>
        <stp>BDP|18006371196427784088</stp>
        <tr r="G1646" s="2"/>
      </tp>
      <tp t="s">
        <v>#N/A N/A</v>
        <stp/>
        <stp>BDP|15251752153501252382</stp>
        <tr r="B4975" s="2"/>
      </tp>
      <tp t="s">
        <v>#N/A N/A</v>
        <stp/>
        <stp>BDP|13672894434079131444</stp>
        <tr r="G2870" s="2"/>
      </tp>
      <tp t="s">
        <v>#N/A N/A</v>
        <stp/>
        <stp>BDP|15386677540663119143</stp>
        <tr r="H1184" s="2"/>
      </tp>
      <tp t="s">
        <v>#N/A N/A</v>
        <stp/>
        <stp>BDP|10123031472981221333</stp>
        <tr r="C3955" s="2"/>
      </tp>
      <tp t="s">
        <v>#N/A N/A</v>
        <stp/>
        <stp>BDP|16848703134477887050</stp>
        <tr r="G4662" s="2"/>
      </tp>
      <tp t="s">
        <v>#N/A N/A</v>
        <stp/>
        <stp>BDP|17276243223555189752</stp>
        <tr r="C4040" s="2"/>
      </tp>
      <tp t="s">
        <v>#N/A N/A</v>
        <stp/>
        <stp>BDP|14875492823827544062</stp>
        <tr r="A1767" s="2"/>
      </tp>
      <tp t="s">
        <v>#N/A N/A</v>
        <stp/>
        <stp>BDP|14379361045197645178</stp>
        <tr r="B3687" s="2"/>
      </tp>
      <tp t="s">
        <v>#N/A N/A</v>
        <stp/>
        <stp>BDP|17227206200813771340</stp>
        <tr r="H4518" s="2"/>
      </tp>
      <tp t="s">
        <v>#N/A N/A</v>
        <stp/>
        <stp>BDP|18201214752713700978</stp>
        <tr r="B1276" s="2"/>
      </tp>
      <tp t="s">
        <v>#N/A N/A</v>
        <stp/>
        <stp>BDP|10213846985832509774</stp>
        <tr r="I2130" s="2"/>
      </tp>
      <tp t="s">
        <v>#N/A N/A</v>
        <stp/>
        <stp>BDP|15259539024733775436</stp>
        <tr r="I4846" s="2"/>
      </tp>
      <tp t="s">
        <v>#N/A N/A</v>
        <stp/>
        <stp>BDP|16133138271562202704</stp>
        <tr r="B2522" s="2"/>
      </tp>
      <tp t="s">
        <v>#N/A N/A</v>
        <stp/>
        <stp>BDP|15241929185509716833</stp>
        <tr r="C1568" s="2"/>
      </tp>
      <tp t="s">
        <v>#N/A N/A</v>
        <stp/>
        <stp>BDP|14564350562391269519</stp>
        <tr r="A4616" s="2"/>
      </tp>
      <tp t="s">
        <v>#N/A N/A</v>
        <stp/>
        <stp>BDP|14677365642161394700</stp>
        <tr r="B91" s="2"/>
      </tp>
      <tp t="s">
        <v>#N/A N/A</v>
        <stp/>
        <stp>BDP|10592246633765790148</stp>
        <tr r="I88" s="2"/>
      </tp>
      <tp t="s">
        <v>#N/A N/A</v>
        <stp/>
        <stp>BDP|14037763554622167128</stp>
        <tr r="B3136" s="2"/>
      </tp>
      <tp t="s">
        <v>#N/A N/A</v>
        <stp/>
        <stp>BDP|18189238443593092804</stp>
        <tr r="F2811" s="2"/>
      </tp>
      <tp t="s">
        <v>#N/A N/A</v>
        <stp/>
        <stp>BDP|16281206117602461206</stp>
        <tr r="B2892" s="2"/>
      </tp>
      <tp t="s">
        <v>#N/A N/A</v>
        <stp/>
        <stp>BDP|13289326326380412734</stp>
        <tr r="F3466" s="2"/>
      </tp>
      <tp t="s">
        <v>#N/A N/A</v>
        <stp/>
        <stp>BDP|15358523676361481322</stp>
        <tr r="H3632" s="2"/>
      </tp>
      <tp t="s">
        <v>#N/A N/A</v>
        <stp/>
        <stp>BDP|11519719333678585839</stp>
        <tr r="G4245" s="2"/>
      </tp>
      <tp t="s">
        <v>#N/A N/A</v>
        <stp/>
        <stp>BDP|10776111341934055465</stp>
        <tr r="C2476" s="2"/>
      </tp>
      <tp t="s">
        <v>#N/A N/A</v>
        <stp/>
        <stp>BDP|11858337039801707544</stp>
        <tr r="D2971" s="2"/>
      </tp>
      <tp t="s">
        <v>#N/A N/A</v>
        <stp/>
        <stp>BDP|15355738564366569706</stp>
        <tr r="I3270" s="2"/>
      </tp>
      <tp t="s">
        <v>#N/A N/A</v>
        <stp/>
        <stp>BDP|14768304793853642830</stp>
        <tr r="B1744" s="2"/>
      </tp>
      <tp t="s">
        <v>#N/A N/A</v>
        <stp/>
        <stp>BDP|12039361706723298732</stp>
        <tr r="F67" s="2"/>
      </tp>
      <tp t="s">
        <v>#N/A N/A</v>
        <stp/>
        <stp>BDP|13805748078786209071</stp>
        <tr r="A1764" s="2"/>
      </tp>
      <tp t="s">
        <v>#N/A N/A</v>
        <stp/>
        <stp>BDP|17012556405546996185</stp>
        <tr r="I1268" s="2"/>
      </tp>
      <tp t="s">
        <v>#N/A N/A</v>
        <stp/>
        <stp>BDP|12909156959850243364</stp>
        <tr r="B2573" s="2"/>
      </tp>
      <tp t="s">
        <v>#N/A N/A</v>
        <stp/>
        <stp>BDP|12025577033856776727</stp>
        <tr r="I116" s="2"/>
      </tp>
      <tp t="s">
        <v>#N/A N/A</v>
        <stp/>
        <stp>BDP|12651608104709701847</stp>
        <tr r="B3727" s="2"/>
      </tp>
      <tp t="s">
        <v>#N/A N/A</v>
        <stp/>
        <stp>BDP|11872857187936373283</stp>
        <tr r="H2238" s="2"/>
      </tp>
      <tp t="s">
        <v>#N/A N/A</v>
        <stp/>
        <stp>BDP|14184879340785782802</stp>
        <tr r="D3542" s="2"/>
      </tp>
      <tp t="s">
        <v>#N/A N/A</v>
        <stp/>
        <stp>BDP|15408208759316852142</stp>
        <tr r="G2122" s="2"/>
      </tp>
      <tp t="s">
        <v>#N/A N/A</v>
        <stp/>
        <stp>BDP|15597087778493435405</stp>
        <tr r="C2143" s="2"/>
      </tp>
      <tp t="s">
        <v>#N/A N/A</v>
        <stp/>
        <stp>BDP|11045559819245466595</stp>
        <tr r="G2042" s="2"/>
      </tp>
      <tp t="s">
        <v>#N/A N/A</v>
        <stp/>
        <stp>BDP|10240333271240983181</stp>
        <tr r="B4432" s="2"/>
      </tp>
      <tp t="s">
        <v>#N/A N/A</v>
        <stp/>
        <stp>BDP|13532311439606480080</stp>
        <tr r="D1832" s="2"/>
      </tp>
      <tp t="s">
        <v>#N/A N/A</v>
        <stp/>
        <stp>BDP|15255607743532590052</stp>
        <tr r="C2474" s="2"/>
      </tp>
      <tp t="s">
        <v>#N/A N/A</v>
        <stp/>
        <stp>BDP|18283910611765688054</stp>
        <tr r="A4902" s="2"/>
      </tp>
      <tp t="s">
        <v>#N/A N/A</v>
        <stp/>
        <stp>BDP|13555211433445641207</stp>
        <tr r="G108" s="2"/>
      </tp>
      <tp t="s">
        <v>#N/A N/A</v>
        <stp/>
        <stp>BDP|12312274479934893646</stp>
        <tr r="D1609" s="2"/>
      </tp>
      <tp t="s">
        <v>#N/A N/A</v>
        <stp/>
        <stp>BDP|17392048575502076730</stp>
        <tr r="B3832" s="2"/>
      </tp>
      <tp t="s">
        <v>#N/A N/A</v>
        <stp/>
        <stp>BDP|17022470912183263466</stp>
        <tr r="I4430" s="2"/>
      </tp>
      <tp t="s">
        <v>#N/A N/A</v>
        <stp/>
        <stp>BDP|14652554504664033067</stp>
        <tr r="A2016" s="2"/>
      </tp>
      <tp t="s">
        <v>#N/A N/A</v>
        <stp/>
        <stp>BDP|12224090270498332897</stp>
        <tr r="B1787" s="2"/>
      </tp>
      <tp t="s">
        <v>#N/A N/A</v>
        <stp/>
        <stp>BDP|14013551465022600072</stp>
        <tr r="D1219" s="2"/>
      </tp>
      <tp t="s">
        <v>#N/A N/A</v>
        <stp/>
        <stp>BDP|13708002450686723514</stp>
        <tr r="F2398" s="2"/>
      </tp>
      <tp t="s">
        <v>#N/A N/A</v>
        <stp/>
        <stp>BDP|11598049867563434134</stp>
        <tr r="C1419" s="2"/>
      </tp>
      <tp t="s">
        <v>#N/A N/A</v>
        <stp/>
        <stp>BDP|15990377949272143579</stp>
        <tr r="F3669" s="2"/>
      </tp>
      <tp t="s">
        <v>#N/A N/A</v>
        <stp/>
        <stp>BDP|17037257363483337542</stp>
        <tr r="A4204" s="2"/>
      </tp>
      <tp t="s">
        <v>#N/A N/A</v>
        <stp/>
        <stp>BDP|10564153702502106621</stp>
        <tr r="H2283" s="2"/>
      </tp>
      <tp t="s">
        <v>#N/A N/A</v>
        <stp/>
        <stp>BDP|12137741514423445243</stp>
        <tr r="B107" s="2"/>
      </tp>
      <tp t="s">
        <v>#N/A N/A</v>
        <stp/>
        <stp>BDP|13614341832517349120</stp>
        <tr r="G3607" s="2"/>
      </tp>
      <tp t="s">
        <v>#N/A N/A</v>
        <stp/>
        <stp>BDP|15115766216006113017</stp>
        <tr r="B2674" s="2"/>
      </tp>
      <tp t="s">
        <v>#N/A N/A</v>
        <stp/>
        <stp>BDP|16306172035616801785</stp>
        <tr r="B3928" s="2"/>
      </tp>
      <tp t="s">
        <v>#N/A N/A</v>
        <stp/>
        <stp>BDP|12809348404513082795</stp>
        <tr r="I647" s="2"/>
      </tp>
      <tp t="s">
        <v>#N/A N/A</v>
        <stp/>
        <stp>BDP|12288561123900341054</stp>
        <tr r="G3506" s="2"/>
      </tp>
      <tp t="s">
        <v>#N/A N/A</v>
        <stp/>
        <stp>BDP|13615156262960179119</stp>
        <tr r="A4644" s="2"/>
      </tp>
      <tp t="s">
        <v>#N/A N/A</v>
        <stp/>
        <stp>BDP|12764766202044089428</stp>
        <tr r="A3956" s="2"/>
      </tp>
      <tp t="s">
        <v>#N/A N/A</v>
        <stp/>
        <stp>BDP|11305425251355966080</stp>
        <tr r="A1938" s="2"/>
      </tp>
      <tp t="s">
        <v>#N/A N/A</v>
        <stp/>
        <stp>BDP|16753399782300583887</stp>
        <tr r="B1984" s="2"/>
      </tp>
      <tp t="s">
        <v>#N/A N/A</v>
        <stp/>
        <stp>BDP|12202666220793478016</stp>
        <tr r="I2670" s="2"/>
      </tp>
      <tp t="s">
        <v>#N/A N/A</v>
        <stp/>
        <stp>BDP|10835501565723532596</stp>
        <tr r="B386" s="2"/>
      </tp>
      <tp t="s">
        <v>#N/A N/A</v>
        <stp/>
        <stp>BDP|11394884383032898613</stp>
        <tr r="D1200" s="2"/>
      </tp>
      <tp t="s">
        <v>#N/A N/A</v>
        <stp/>
        <stp>BDP|17036493849173317127</stp>
        <tr r="A4377" s="2"/>
      </tp>
      <tp t="s">
        <v>#N/A N/A</v>
        <stp/>
        <stp>BDP|14263030395901718929</stp>
        <tr r="H4254" s="2"/>
      </tp>
      <tp t="s">
        <v>#N/A N/A</v>
        <stp/>
        <stp>BDP|15646121458664461092</stp>
        <tr r="C2062" s="2"/>
      </tp>
      <tp t="s">
        <v>#N/A N/A</v>
        <stp/>
        <stp>BDP|13972296201035724174</stp>
        <tr r="C3361" s="2"/>
      </tp>
      <tp t="s">
        <v>#N/A N/A</v>
        <stp/>
        <stp>BDP|18380494017539464188</stp>
        <tr r="C3770" s="2"/>
      </tp>
      <tp t="s">
        <v>#N/A N/A</v>
        <stp/>
        <stp>BDP|11803445809793034346</stp>
        <tr r="C3469" s="2"/>
      </tp>
      <tp t="s">
        <v>#N/A N/A</v>
        <stp/>
        <stp>BDP|10332041521071722607</stp>
        <tr r="G3527" s="2"/>
      </tp>
      <tp t="s">
        <v>#N/A N/A</v>
        <stp/>
        <stp>BDP|11428122506205904084</stp>
        <tr r="B1174" s="2"/>
      </tp>
      <tp t="s">
        <v>#N/A N/A</v>
        <stp/>
        <stp>BDP|15624407767032838080</stp>
        <tr r="H3765" s="2"/>
      </tp>
      <tp t="s">
        <v>#N/A N/A</v>
        <stp/>
        <stp>BDP|15874395277554226053</stp>
        <tr r="I293" s="2"/>
      </tp>
      <tp t="s">
        <v>#N/A N/A</v>
        <stp/>
        <stp>BDP|16853442764126992709</stp>
        <tr r="I4110" s="2"/>
      </tp>
      <tp t="s">
        <v>#N/A N/A</v>
        <stp/>
        <stp>BDP|10096216022547584274</stp>
        <tr r="I1461" s="2"/>
      </tp>
      <tp t="s">
        <v>#N/A N/A</v>
        <stp/>
        <stp>BDP|16222457342067404403</stp>
        <tr r="I3487" s="2"/>
      </tp>
      <tp t="s">
        <v>#N/A N/A</v>
        <stp/>
        <stp>BDP|12764759291100094921</stp>
        <tr r="B1480" s="2"/>
      </tp>
      <tp t="s">
        <v>#N/A N/A</v>
        <stp/>
        <stp>BDP|13612573857252043471</stp>
        <tr r="A1521" s="2"/>
      </tp>
      <tp t="s">
        <v>#N/A N/A</v>
        <stp/>
        <stp>BDP|14641625127700125531</stp>
        <tr r="G4051" s="2"/>
      </tp>
      <tp t="s">
        <v>#N/A N/A</v>
        <stp/>
        <stp>BDP|12772967919897893814</stp>
        <tr r="H3605" s="2"/>
      </tp>
      <tp t="s">
        <v>#N/A N/A</v>
        <stp/>
        <stp>BDP|13461892252618810366</stp>
        <tr r="F1676" s="2"/>
      </tp>
      <tp t="s">
        <v>#N/A N/A</v>
        <stp/>
        <stp>BDP|18314630980336202536</stp>
        <tr r="D1750" s="2"/>
      </tp>
      <tp t="s">
        <v>#N/A N/A</v>
        <stp/>
        <stp>BDP|15533159971166383037</stp>
        <tr r="A3922" s="2"/>
      </tp>
      <tp t="s">
        <v>#N/A N/A</v>
        <stp/>
        <stp>BDP|13184721986429501019</stp>
        <tr r="A2198" s="2"/>
      </tp>
      <tp t="s">
        <v>#N/A N/A</v>
        <stp/>
        <stp>BDP|12659573667372741605</stp>
        <tr r="B106" s="2"/>
      </tp>
      <tp t="s">
        <v>#N/A N/A</v>
        <stp/>
        <stp>BDP|12298253051043464338</stp>
        <tr r="I3665" s="2"/>
      </tp>
      <tp t="s">
        <v>#N/A N/A</v>
        <stp/>
        <stp>BDP|14988307838119034809</stp>
        <tr r="B2525" s="2"/>
      </tp>
      <tp t="s">
        <v>#N/A N/A</v>
        <stp/>
        <stp>BDP|14972285273521374504</stp>
        <tr r="F131" s="2"/>
      </tp>
      <tp t="s">
        <v>#N/A N/A</v>
        <stp/>
        <stp>BDP|10724866133318365605</stp>
        <tr r="C4813" s="2"/>
      </tp>
      <tp t="s">
        <v>#N/A N/A</v>
        <stp/>
        <stp>BDP|12994014565789825853</stp>
        <tr r="H4243" s="2"/>
      </tp>
      <tp t="s">
        <v>#N/A N/A</v>
        <stp/>
        <stp>BDP|16765241952127881395</stp>
        <tr r="C1487" s="2"/>
      </tp>
      <tp t="s">
        <v>#N/A N/A</v>
        <stp/>
        <stp>BDP|12902533809905573766</stp>
        <tr r="C41" s="2"/>
      </tp>
      <tp t="s">
        <v>#N/A N/A</v>
        <stp/>
        <stp>BDP|13889682361410573642</stp>
        <tr r="G3704" s="2"/>
      </tp>
      <tp t="s">
        <v>#N/A N/A</v>
        <stp/>
        <stp>BDP|12764388402536464296</stp>
        <tr r="G2843" s="2"/>
      </tp>
      <tp t="s">
        <v>#N/A N/A</v>
        <stp/>
        <stp>BDP|17562364321924494769</stp>
        <tr r="B1957" s="2"/>
      </tp>
      <tp t="s">
        <v>#N/A N/A</v>
        <stp/>
        <stp>BDP|13082945679208822056</stp>
        <tr r="F2823" s="2"/>
      </tp>
      <tp t="s">
        <v>#N/A N/A</v>
        <stp/>
        <stp>BDP|13031512661940017503</stp>
        <tr r="I2919" s="2"/>
      </tp>
      <tp t="s">
        <v>#N/A N/A</v>
        <stp/>
        <stp>BDP|17382344220413045076</stp>
        <tr r="I2954" s="2"/>
      </tp>
      <tp t="s">
        <v>#N/A N/A</v>
        <stp/>
        <stp>BDP|16398192860326200282</stp>
        <tr r="H3076" s="2"/>
      </tp>
      <tp t="s">
        <v>#N/A N/A</v>
        <stp/>
        <stp>BDP|10326199533381963607</stp>
        <tr r="B3856" s="2"/>
      </tp>
      <tp t="s">
        <v>#N/A N/A</v>
        <stp/>
        <stp>BDP|16814543950432485187</stp>
        <tr r="A3712" s="2"/>
      </tp>
      <tp t="s">
        <v>#N/A N/A</v>
        <stp/>
        <stp>BDP|12872433418967330507</stp>
        <tr r="A2899" s="2"/>
      </tp>
      <tp t="s">
        <v>#N/A N/A</v>
        <stp/>
        <stp>BDP|15389572249189573885</stp>
        <tr r="H1586" s="2"/>
      </tp>
      <tp t="s">
        <v>#N/A N/A</v>
        <stp/>
        <stp>BDP|16262164463830240456</stp>
        <tr r="I3775" s="2"/>
      </tp>
      <tp t="s">
        <v>#N/A N/A</v>
        <stp/>
        <stp>BDP|11510142789849907413</stp>
        <tr r="H3239" s="2"/>
      </tp>
      <tp t="s">
        <v>#N/A N/A</v>
        <stp/>
        <stp>BDP|14053629460332173330</stp>
        <tr r="A4090" s="2"/>
      </tp>
      <tp t="s">
        <v>#N/A N/A</v>
        <stp/>
        <stp>BDP|12738639719868594884</stp>
        <tr r="G2077" s="2"/>
      </tp>
      <tp t="s">
        <v>#N/A N/A</v>
        <stp/>
        <stp>BDP|11257553271982591439</stp>
        <tr r="F1888" s="2"/>
      </tp>
      <tp t="s">
        <v>#N/A N/A</v>
        <stp/>
        <stp>BDP|15533136406696442748</stp>
        <tr r="G4825" s="2"/>
      </tp>
      <tp t="s">
        <v>#N/A N/A</v>
        <stp/>
        <stp>BDP|18294239892046073039</stp>
        <tr r="H3203" s="2"/>
      </tp>
      <tp t="s">
        <v>#N/A N/A</v>
        <stp/>
        <stp>BDP|12523738773005212275</stp>
        <tr r="I730" s="2"/>
      </tp>
      <tp t="s">
        <v>#N/A N/A</v>
        <stp/>
        <stp>BDP|10811476003578578998</stp>
        <tr r="C2347" s="2"/>
      </tp>
      <tp t="s">
        <v>#N/A N/A</v>
        <stp/>
        <stp>BDP|14155661766192085310</stp>
        <tr r="C2486" s="2"/>
      </tp>
      <tp t="s">
        <v>#N/A N/A</v>
        <stp/>
        <stp>BDP|13911598217415651715</stp>
        <tr r="G4226" s="2"/>
      </tp>
      <tp t="s">
        <v>#N/A N/A</v>
        <stp/>
        <stp>BDP|13544751660540644769</stp>
        <tr r="H3449" s="2"/>
      </tp>
      <tp t="s">
        <v>#N/A N/A</v>
        <stp/>
        <stp>BDP|10380374975633841292</stp>
        <tr r="B373" s="2"/>
      </tp>
      <tp t="s">
        <v>#N/A N/A</v>
        <stp/>
        <stp>BDP|14448202803456280556</stp>
        <tr r="F2780" s="2"/>
      </tp>
      <tp t="s">
        <v>#N/A N/A</v>
        <stp/>
        <stp>BDP|17919208719119258821</stp>
        <tr r="F2995" s="2"/>
      </tp>
      <tp t="s">
        <v>#N/A N/A</v>
        <stp/>
        <stp>BDP|11697866985273488719</stp>
        <tr r="C2024" s="2"/>
      </tp>
      <tp t="s">
        <v>#N/A N/A</v>
        <stp/>
        <stp>BDP|10616458226017305465</stp>
        <tr r="D2705" s="2"/>
      </tp>
      <tp t="s">
        <v>#N/A N/A</v>
        <stp/>
        <stp>BDP|14088257374097721361</stp>
        <tr r="H2567" s="2"/>
      </tp>
      <tp t="s">
        <v>#N/A N/A</v>
        <stp/>
        <stp>BDP|11273257824614166023</stp>
        <tr r="C3847" s="2"/>
      </tp>
      <tp t="s">
        <v>#N/A N/A</v>
        <stp/>
        <stp>BDP|13750720924760310320</stp>
        <tr r="H3701" s="2"/>
      </tp>
      <tp t="s">
        <v>#N/A N/A</v>
        <stp/>
        <stp>BDP|17384561553881712313</stp>
        <tr r="B57" s="2"/>
      </tp>
      <tp t="s">
        <v>#N/A N/A</v>
        <stp/>
        <stp>BDP|12915163153511410285</stp>
        <tr r="H2413" s="2"/>
      </tp>
      <tp t="s">
        <v>#N/A N/A</v>
        <stp/>
        <stp>BDP|10616515343406052246</stp>
        <tr r="C2874" s="2"/>
      </tp>
      <tp t="s">
        <v>#N/A N/A</v>
        <stp/>
        <stp>BDP|16091946905488817299</stp>
        <tr r="H2145" s="2"/>
      </tp>
      <tp t="s">
        <v>#N/A N/A</v>
        <stp/>
        <stp>BDP|12083146202064495224</stp>
        <tr r="H3479" s="2"/>
      </tp>
      <tp t="s">
        <v>#N/A N/A</v>
        <stp/>
        <stp>BDP|15403275903171202326</stp>
        <tr r="G1466" s="2"/>
      </tp>
      <tp t="s">
        <v>#N/A N/A</v>
        <stp/>
        <stp>BDP|14775666967674075562</stp>
        <tr r="C4641" s="2"/>
      </tp>
      <tp t="s">
        <v>#N/A N/A</v>
        <stp/>
        <stp>BDP|13025514145017734037</stp>
        <tr r="G297" s="2"/>
      </tp>
      <tp t="s">
        <v>#N/A N/A</v>
        <stp/>
        <stp>BDP|13711905399562856466</stp>
        <tr r="C279" s="2"/>
      </tp>
      <tp t="s">
        <v>#N/A N/A</v>
        <stp/>
        <stp>BDP|12913763980908737089</stp>
        <tr r="F47" s="2"/>
      </tp>
      <tp t="s">
        <v>#N/A N/A</v>
        <stp/>
        <stp>BDP|17481048103580521267</stp>
        <tr r="I3464" s="2"/>
      </tp>
      <tp t="s">
        <v>#N/A N/A</v>
        <stp/>
        <stp>BDP|12726130834294932193</stp>
        <tr r="I2410" s="2"/>
      </tp>
      <tp t="s">
        <v>#N/A N/A</v>
        <stp/>
        <stp>BDP|10012076786564804992</stp>
        <tr r="D4130" s="2"/>
      </tp>
      <tp t="s">
        <v>#N/A N/A</v>
        <stp/>
        <stp>BDP|11741962791047933395</stp>
        <tr r="A4863" s="2"/>
      </tp>
      <tp t="s">
        <v>#N/A N/A</v>
        <stp/>
        <stp>BDP|12536088434883128781</stp>
        <tr r="A2290" s="2"/>
      </tp>
      <tp t="s">
        <v>#N/A N/A</v>
        <stp/>
        <stp>BDP|11641781575332289699</stp>
        <tr r="D4337" s="2"/>
      </tp>
      <tp t="s">
        <v>#N/A N/A</v>
        <stp/>
        <stp>BDP|17840309149917144207</stp>
        <tr r="B3996" s="2"/>
      </tp>
      <tp t="s">
        <v>#N/A N/A</v>
        <stp/>
        <stp>BDP|18055109055459574008</stp>
        <tr r="C3936" s="2"/>
      </tp>
      <tp t="s">
        <v>#N/A N/A</v>
        <stp/>
        <stp>BDP|16927235615608926864</stp>
        <tr r="H2948" s="2"/>
      </tp>
      <tp t="s">
        <v>#N/A N/A</v>
        <stp/>
        <stp>BDP|12723480076655030190</stp>
        <tr r="G1311" s="2"/>
      </tp>
      <tp t="s">
        <v>#N/A N/A</v>
        <stp/>
        <stp>BDP|16640489302034880342</stp>
        <tr r="B580" s="2"/>
      </tp>
      <tp t="s">
        <v>#N/A N/A</v>
        <stp/>
        <stp>BDP|17722934085013811090</stp>
        <tr r="B3194" s="2"/>
      </tp>
      <tp t="s">
        <v>#N/A N/A</v>
        <stp/>
        <stp>BDP|18104809436057098176</stp>
        <tr r="F2655" s="2"/>
      </tp>
      <tp t="s">
        <v>#N/A N/A</v>
        <stp/>
        <stp>BDP|13816853734044810915</stp>
        <tr r="H512" s="2"/>
      </tp>
      <tp t="s">
        <v>#N/A N/A</v>
        <stp/>
        <stp>BDP|15238425915306735320</stp>
        <tr r="G4532" s="2"/>
      </tp>
      <tp t="s">
        <v>#N/A N/A</v>
        <stp/>
        <stp>BDP|15669802752704239966</stp>
        <tr r="F4301" s="2"/>
      </tp>
      <tp t="s">
        <v>#N/A N/A</v>
        <stp/>
        <stp>BDP|10122610048215163290</stp>
        <tr r="H2706" s="2"/>
      </tp>
      <tp t="s">
        <v>#N/A N/A</v>
        <stp/>
        <stp>BDP|11698269828391835505</stp>
        <tr r="B4117" s="2"/>
      </tp>
      <tp t="s">
        <v>#N/A N/A</v>
        <stp/>
        <stp>BDP|12187668602505475417</stp>
        <tr r="A318" s="2"/>
      </tp>
      <tp t="s">
        <v>#N/A N/A</v>
        <stp/>
        <stp>BDP|12304524620464370422</stp>
        <tr r="A192" s="2"/>
      </tp>
      <tp t="s">
        <v>#N/A N/A</v>
        <stp/>
        <stp>BDP|13040384018747153317</stp>
        <tr r="C1843" s="2"/>
      </tp>
      <tp t="s">
        <v>#N/A N/A</v>
        <stp/>
        <stp>BDP|15466597828613619433</stp>
        <tr r="I2030" s="2"/>
      </tp>
      <tp t="s">
        <v>#N/A N/A</v>
        <stp/>
        <stp>BDP|12563968209946844826</stp>
        <tr r="D3638" s="2"/>
      </tp>
      <tp t="s">
        <v>#N/A N/A</v>
        <stp/>
        <stp>BDP|14807026569255175226</stp>
        <tr r="A1838" s="2"/>
      </tp>
      <tp t="s">
        <v>#N/A N/A</v>
        <stp/>
        <stp>BDP|16909347148357560306</stp>
        <tr r="H181" s="2"/>
      </tp>
      <tp t="s">
        <v>#N/A N/A</v>
        <stp/>
        <stp>BDP|16061334219134939534</stp>
        <tr r="F4673" s="2"/>
      </tp>
      <tp t="s">
        <v>#N/A N/A</v>
        <stp/>
        <stp>BDP|13191298747662835270</stp>
        <tr r="H4697" s="2"/>
      </tp>
      <tp t="s">
        <v>#N/A N/A</v>
        <stp/>
        <stp>BDP|11824185727140723700</stp>
        <tr r="D2358" s="2"/>
      </tp>
      <tp t="s">
        <v>#N/A N/A</v>
        <stp/>
        <stp>BDP|16500016280122421901</stp>
        <tr r="G365" s="2"/>
      </tp>
      <tp t="s">
        <v>#N/A N/A</v>
        <stp/>
        <stp>BDP|15661715056675054714</stp>
        <tr r="F2908" s="2"/>
      </tp>
      <tp t="s">
        <v>#N/A N/A</v>
        <stp/>
        <stp>BDP|16297447170474393457</stp>
        <tr r="G1000" s="2"/>
      </tp>
      <tp t="s">
        <v>#N/A N/A</v>
        <stp/>
        <stp>BDP|11759401554514127118</stp>
        <tr r="I3574" s="2"/>
      </tp>
      <tp t="s">
        <v>#N/A N/A</v>
        <stp/>
        <stp>BDP|13749418755136247122</stp>
        <tr r="D4811" s="2"/>
      </tp>
      <tp t="s">
        <v>#N/A N/A</v>
        <stp/>
        <stp>BDP|12370298432167267193</stp>
        <tr r="B2244" s="2"/>
      </tp>
      <tp t="s">
        <v>#N/A N/A</v>
        <stp/>
        <stp>BDP|16650771122573724578</stp>
        <tr r="A2205" s="2"/>
      </tp>
      <tp t="s">
        <v>#N/A N/A</v>
        <stp/>
        <stp>BDP|15097622741297065505</stp>
        <tr r="I559" s="2"/>
      </tp>
      <tp t="s">
        <v>#N/A N/A</v>
        <stp/>
        <stp>BDP|16286890946136655986</stp>
        <tr r="C4623" s="2"/>
      </tp>
      <tp t="s">
        <v>#N/A N/A</v>
        <stp/>
        <stp>BDP|14613125711574734518</stp>
        <tr r="H156" s="2"/>
      </tp>
      <tp t="s">
        <v>#N/A N/A</v>
        <stp/>
        <stp>BDP|10804712810810833320</stp>
        <tr r="H1944" s="2"/>
      </tp>
      <tp t="s">
        <v>#N/A N/A</v>
        <stp/>
        <stp>BDP|15954236129643358339</stp>
        <tr r="H1323" s="2"/>
      </tp>
      <tp t="s">
        <v>#N/A N/A</v>
        <stp/>
        <stp>BDP|16932677428555692231</stp>
        <tr r="H3814" s="2"/>
      </tp>
      <tp t="s">
        <v>#N/A N/A</v>
        <stp/>
        <stp>BDP|18006331992971430663</stp>
        <tr r="H1049" s="2"/>
      </tp>
      <tp t="s">
        <v>#N/A N/A</v>
        <stp/>
        <stp>BDP|15966423857160693195</stp>
        <tr r="B3692" s="2"/>
      </tp>
      <tp t="s">
        <v>#N/A N/A</v>
        <stp/>
        <stp>BDP|16713416812230453638</stp>
        <tr r="G2479" s="2"/>
      </tp>
      <tp t="s">
        <v>#N/A N/A</v>
        <stp/>
        <stp>BDP|13482555176564554015</stp>
        <tr r="A2222" s="2"/>
      </tp>
      <tp t="s">
        <v>#N/A N/A</v>
        <stp/>
        <stp>BDP|18381573187428772870</stp>
        <tr r="G4425" s="2"/>
      </tp>
      <tp t="s">
        <v>#N/A N/A</v>
        <stp/>
        <stp>BDP|13522811380483616519</stp>
        <tr r="B4238" s="2"/>
      </tp>
      <tp t="s">
        <v>#N/A N/A</v>
        <stp/>
        <stp>BDP|10091652054824196235</stp>
        <tr r="H1088" s="2"/>
      </tp>
      <tp t="s">
        <v>#N/A N/A</v>
        <stp/>
        <stp>BDP|12957934446218783284</stp>
        <tr r="I4664" s="2"/>
      </tp>
      <tp t="s">
        <v>#N/A N/A</v>
        <stp/>
        <stp>BDP|13126503787858055353</stp>
        <tr r="C258" s="2"/>
      </tp>
      <tp t="s">
        <v>#N/A N/A</v>
        <stp/>
        <stp>BDP|17397657497254775954</stp>
        <tr r="B4856" s="2"/>
      </tp>
      <tp t="s">
        <v>#N/A N/A</v>
        <stp/>
        <stp>BDP|18407530753928320544</stp>
        <tr r="A372" s="2"/>
      </tp>
      <tp t="s">
        <v>#N/A N/A</v>
        <stp/>
        <stp>BDP|11481225755191835281</stp>
        <tr r="F605" s="2"/>
      </tp>
      <tp t="s">
        <v>#N/A N/A</v>
        <stp/>
        <stp>BDP|15321314197723573938</stp>
        <tr r="D3048" s="2"/>
      </tp>
      <tp t="s">
        <v>#N/A N/A</v>
        <stp/>
        <stp>BDP|15391607126652004666</stp>
        <tr r="H3472" s="2"/>
      </tp>
      <tp t="s">
        <v>#N/A N/A</v>
        <stp/>
        <stp>BDP|13987322726175925277</stp>
        <tr r="B3753" s="2"/>
      </tp>
      <tp t="s">
        <v>#N/A N/A</v>
        <stp/>
        <stp>BDP|17325606946967797719</stp>
        <tr r="B1251" s="2"/>
      </tp>
      <tp t="s">
        <v>#N/A N/A</v>
        <stp/>
        <stp>BDP|11419444643911412540</stp>
        <tr r="A3350" s="2"/>
      </tp>
      <tp t="s">
        <v>#N/A N/A</v>
        <stp/>
        <stp>BDP|14820746559996724512</stp>
        <tr r="C3089" s="2"/>
      </tp>
      <tp t="s">
        <v>#N/A N/A</v>
        <stp/>
        <stp>BDP|15637555217151284552</stp>
        <tr r="H2500" s="2"/>
      </tp>
      <tp t="s">
        <v>#N/A N/A</v>
        <stp/>
        <stp>BDP|13052335696748486422</stp>
        <tr r="B4849" s="2"/>
      </tp>
      <tp t="s">
        <v>#N/A N/A</v>
        <stp/>
        <stp>BDP|13326067360341727119</stp>
        <tr r="A3878" s="2"/>
      </tp>
      <tp t="s">
        <v>#N/A N/A</v>
        <stp/>
        <stp>BDP|11386006839850192783</stp>
        <tr r="B3059" s="2"/>
      </tp>
      <tp t="s">
        <v>#N/A N/A</v>
        <stp/>
        <stp>BDP|15116221034883164252</stp>
        <tr r="C4960" s="2"/>
      </tp>
      <tp t="s">
        <v>#N/A N/A</v>
        <stp/>
        <stp>BDP|13620910696925571370</stp>
        <tr r="C2482" s="2"/>
      </tp>
      <tp t="s">
        <v>#N/A N/A</v>
        <stp/>
        <stp>BDP|10695335336252025700</stp>
        <tr r="H2345" s="2"/>
      </tp>
      <tp t="s">
        <v>#N/A N/A</v>
        <stp/>
        <stp>BDP|12312978218529661696</stp>
        <tr r="G272" s="2"/>
      </tp>
      <tp t="s">
        <v>#N/A N/A</v>
        <stp/>
        <stp>BDP|16759208400695126455</stp>
        <tr r="I3712" s="2"/>
      </tp>
      <tp t="s">
        <v>#N/A N/A</v>
        <stp/>
        <stp>BDP|15418311759516672091</stp>
        <tr r="G4652" s="2"/>
      </tp>
      <tp t="s">
        <v>#N/A N/A</v>
        <stp/>
        <stp>BDP|13778064240714602647</stp>
        <tr r="H3817" s="2"/>
      </tp>
      <tp t="s">
        <v>#N/A N/A</v>
        <stp/>
        <stp>BDP|15141679504554228239</stp>
        <tr r="G2699" s="2"/>
      </tp>
      <tp t="s">
        <v>#N/A N/A</v>
        <stp/>
        <stp>BDP|15349917632009174327</stp>
        <tr r="G1399" s="2"/>
      </tp>
      <tp t="s">
        <v>#N/A N/A</v>
        <stp/>
        <stp>BDP|14741056887890705919</stp>
        <tr r="F4734" s="2"/>
      </tp>
      <tp t="s">
        <v>#N/A N/A</v>
        <stp/>
        <stp>BDP|13444198210764714299</stp>
        <tr r="C3512" s="2"/>
      </tp>
      <tp t="s">
        <v>#N/A N/A</v>
        <stp/>
        <stp>BDP|17406434860186302676</stp>
        <tr r="H2699" s="2"/>
      </tp>
      <tp t="s">
        <v>#N/A N/A</v>
        <stp/>
        <stp>BDP|10797176747738432808</stp>
        <tr r="F1470" s="2"/>
      </tp>
      <tp t="s">
        <v>#N/A N/A</v>
        <stp/>
        <stp>BDP|10109767805327273530</stp>
        <tr r="C3838" s="2"/>
      </tp>
      <tp t="s">
        <v>#N/A N/A</v>
        <stp/>
        <stp>BDP|10205278661821172064</stp>
        <tr r="D4661" s="2"/>
      </tp>
      <tp t="s">
        <v>#N/A N/A</v>
        <stp/>
        <stp>BDP|13646120101935496227</stp>
        <tr r="C3400" s="2"/>
      </tp>
      <tp t="s">
        <v>#N/A N/A</v>
        <stp/>
        <stp>BDP|17576571717424721213</stp>
        <tr r="I4280" s="2"/>
      </tp>
      <tp t="s">
        <v>#N/A N/A</v>
        <stp/>
        <stp>BDP|13057181166096863750</stp>
        <tr r="G1672" s="2"/>
      </tp>
      <tp t="s">
        <v>#N/A N/A</v>
        <stp/>
        <stp>BDP|14725533353199040846</stp>
        <tr r="F26" s="2"/>
      </tp>
      <tp t="s">
        <v>#N/A N/A</v>
        <stp/>
        <stp>BDP|11154317758482941020</stp>
        <tr r="B2996" s="2"/>
      </tp>
      <tp t="s">
        <v>#N/A N/A</v>
        <stp/>
        <stp>BDP|13664211311623761625</stp>
        <tr r="I557" s="2"/>
      </tp>
      <tp t="s">
        <v>#N/A N/A</v>
        <stp/>
        <stp>BDP|14717597274561834212</stp>
        <tr r="A789" s="2"/>
      </tp>
      <tp t="s">
        <v>#N/A N/A</v>
        <stp/>
        <stp>BDP|10554285648753171072</stp>
        <tr r="I343" s="2"/>
      </tp>
      <tp t="s">
        <v>#N/A N/A</v>
        <stp/>
        <stp>BDP|10554343902081655761</stp>
        <tr r="A4536" s="2"/>
      </tp>
      <tp t="s">
        <v>#N/A N/A</v>
        <stp/>
        <stp>BDP|10823798164870709413</stp>
        <tr r="C2996" s="2"/>
      </tp>
      <tp t="s">
        <v>#N/A N/A</v>
        <stp/>
        <stp>BDP|10949795750361321601</stp>
        <tr r="A3568" s="2"/>
      </tp>
      <tp t="s">
        <v>#N/A N/A</v>
        <stp/>
        <stp>BDP|11418482467157920111</stp>
        <tr r="H4423" s="2"/>
      </tp>
      <tp t="s">
        <v>#N/A N/A</v>
        <stp/>
        <stp>BDP|13306856140472728821</stp>
        <tr r="G317" s="2"/>
      </tp>
      <tp t="s">
        <v>#N/A N/A</v>
        <stp/>
        <stp>BDP|16714704702004169072</stp>
        <tr r="B4471" s="2"/>
      </tp>
      <tp t="s">
        <v>#N/A N/A</v>
        <stp/>
        <stp>BDP|11196255118273674498</stp>
        <tr r="H1526" s="2"/>
      </tp>
      <tp t="s">
        <v>#N/A N/A</v>
        <stp/>
        <stp>BDP|18273538380844333415</stp>
        <tr r="G3616" s="2"/>
      </tp>
      <tp t="s">
        <v>#N/A N/A</v>
        <stp/>
        <stp>BDP|15337707495626250876</stp>
        <tr r="G2886" s="2"/>
      </tp>
      <tp t="s">
        <v>#N/A N/A</v>
        <stp/>
        <stp>BDP|13200833364739710114</stp>
        <tr r="H1207" s="2"/>
      </tp>
      <tp t="s">
        <v>#N/A N/A</v>
        <stp/>
        <stp>BDP|13322336832241633775</stp>
        <tr r="F1965" s="2"/>
      </tp>
      <tp t="s">
        <v>#N/A N/A</v>
        <stp/>
        <stp>BDP|16729257941675818082</stp>
        <tr r="G3565" s="2"/>
      </tp>
      <tp t="s">
        <v>#N/A N/A</v>
        <stp/>
        <stp>BDP|10679398614646005189</stp>
        <tr r="D1783" s="2"/>
      </tp>
      <tp t="s">
        <v>#N/A N/A</v>
        <stp/>
        <stp>BDP|13659247835291743634</stp>
        <tr r="I2943" s="2"/>
      </tp>
      <tp t="s">
        <v>#N/A N/A</v>
        <stp/>
        <stp>BDP|14382719934122292779</stp>
        <tr r="H4954" s="2"/>
      </tp>
      <tp t="s">
        <v>#N/A N/A</v>
        <stp/>
        <stp>BDP|17032833298320937310</stp>
        <tr r="G1445" s="2"/>
      </tp>
      <tp t="s">
        <v>#N/A N/A</v>
        <stp/>
        <stp>BDP|13060302072106737466</stp>
        <tr r="F2390" s="2"/>
      </tp>
      <tp t="s">
        <v>#N/A N/A</v>
        <stp/>
        <stp>BDP|18263256885721449653</stp>
        <tr r="A3284" s="2"/>
      </tp>
      <tp t="s">
        <v>#N/A N/A</v>
        <stp/>
        <stp>BDP|15989091341194000028</stp>
        <tr r="I1951" s="2"/>
      </tp>
      <tp t="s">
        <v>#N/A N/A</v>
        <stp/>
        <stp>BDP|14628772628883994731</stp>
        <tr r="A148" s="2"/>
      </tp>
      <tp t="s">
        <v>#N/A N/A</v>
        <stp/>
        <stp>BDP|12138549737073654278</stp>
        <tr r="F4870" s="2"/>
      </tp>
      <tp t="s">
        <v>#N/A N/A</v>
        <stp/>
        <stp>BDP|12170210317551419504</stp>
        <tr r="C4203" s="2"/>
      </tp>
      <tp t="s">
        <v>#N/A N/A</v>
        <stp/>
        <stp>BDP|17729158768585899011</stp>
        <tr r="A3290" s="2"/>
      </tp>
      <tp t="s">
        <v>#N/A N/A</v>
        <stp/>
        <stp>BDP|11588696849883101571</stp>
        <tr r="F2571" s="2"/>
      </tp>
      <tp t="s">
        <v>#N/A N/A</v>
        <stp/>
        <stp>BDP|14945967522889853369</stp>
        <tr r="B3276" s="2"/>
      </tp>
      <tp t="s">
        <v>#N/A N/A</v>
        <stp/>
        <stp>BDP|18236267971020608803</stp>
        <tr r="D3355" s="2"/>
      </tp>
      <tp t="s">
        <v>#N/A N/A</v>
        <stp/>
        <stp>BDP|10123144501302652617</stp>
        <tr r="F250" s="2"/>
      </tp>
      <tp t="s">
        <v>#N/A N/A</v>
        <stp/>
        <stp>BDP|17492607757921241024</stp>
        <tr r="C4606" s="2"/>
      </tp>
      <tp t="s">
        <v>#N/A N/A</v>
        <stp/>
        <stp>BDP|14300667882947311879</stp>
        <tr r="F3819" s="2"/>
      </tp>
      <tp t="s">
        <v>#N/A N/A</v>
        <stp/>
        <stp>BDP|12493356807255336168</stp>
        <tr r="A1261" s="2"/>
      </tp>
      <tp t="s">
        <v>#N/A N/A</v>
        <stp/>
        <stp>BDP|10380915904665358968</stp>
        <tr r="A3931" s="2"/>
      </tp>
      <tp t="s">
        <v>#N/A N/A</v>
        <stp/>
        <stp>BDP|11787059728391124785</stp>
        <tr r="G950" s="2"/>
      </tp>
      <tp t="s">
        <v>#N/A N/A</v>
        <stp/>
        <stp>BDP|10297785977387889262</stp>
        <tr r="A2833" s="2"/>
      </tp>
      <tp t="s">
        <v>#N/A N/A</v>
        <stp/>
        <stp>BDP|17622509066804225514</stp>
        <tr r="F356" s="2"/>
      </tp>
      <tp t="s">
        <v>#N/A N/A</v>
        <stp/>
        <stp>BDP|16129922885021065353</stp>
        <tr r="A1773" s="2"/>
      </tp>
      <tp t="s">
        <v>#N/A N/A</v>
        <stp/>
        <stp>BDP|15591369085432772926</stp>
        <tr r="G1484" s="2"/>
      </tp>
      <tp t="s">
        <v>#N/A N/A</v>
        <stp/>
        <stp>BDP|10362427782158124116</stp>
        <tr r="F93" s="2"/>
      </tp>
      <tp t="s">
        <v>#N/A N/A</v>
        <stp/>
        <stp>BDP|15671414700251605525</stp>
        <tr r="I4853" s="2"/>
      </tp>
      <tp t="s">
        <v>#N/A N/A</v>
        <stp/>
        <stp>BDP|12290871243849164242</stp>
        <tr r="F4514" s="2"/>
      </tp>
      <tp t="s">
        <v>#N/A N/A</v>
        <stp/>
        <stp>BDP|16759536467961816190</stp>
        <tr r="D329" s="2"/>
      </tp>
      <tp t="s">
        <v>#N/A N/A</v>
        <stp/>
        <stp>BDP|17134241220664664619</stp>
        <tr r="A4919" s="2"/>
      </tp>
      <tp t="s">
        <v>#N/A N/A</v>
        <stp/>
        <stp>BDP|16065409681197168823</stp>
        <tr r="H137" s="2"/>
      </tp>
      <tp t="s">
        <v>#N/A N/A</v>
        <stp/>
        <stp>BDP|14739264656021593704</stp>
        <tr r="G3397" s="2"/>
      </tp>
      <tp t="s">
        <v>#N/A N/A</v>
        <stp/>
        <stp>BDP|12449269809723993609</stp>
        <tr r="F2109" s="2"/>
      </tp>
      <tp t="s">
        <v>#N/A N/A</v>
        <stp/>
        <stp>BDP|17667059929589126992</stp>
        <tr r="C3633" s="2"/>
      </tp>
      <tp t="s">
        <v>#N/A N/A</v>
        <stp/>
        <stp>BDP|15449464576234023769</stp>
        <tr r="H2914" s="2"/>
      </tp>
      <tp t="s">
        <v>#N/A N/A</v>
        <stp/>
        <stp>BDP|12017322806932204643</stp>
        <tr r="C4323" s="2"/>
      </tp>
      <tp t="s">
        <v>#N/A N/A</v>
        <stp/>
        <stp>BDP|14903609806063485498</stp>
        <tr r="A4873" s="2"/>
      </tp>
      <tp t="s">
        <v>#N/A N/A</v>
        <stp/>
        <stp>BDP|15836431958219906889</stp>
        <tr r="D269" s="2"/>
      </tp>
      <tp t="s">
        <v>#N/A N/A</v>
        <stp/>
        <stp>BDP|11505873199967159286</stp>
        <tr r="G2708" s="2"/>
      </tp>
      <tp t="s">
        <v>#N/A N/A</v>
        <stp/>
        <stp>BDP|14765329700251320346</stp>
        <tr r="F902" s="2"/>
      </tp>
      <tp t="s">
        <v>#N/A N/A</v>
        <stp/>
        <stp>BDP|11613353663755781454</stp>
        <tr r="C3274" s="2"/>
      </tp>
      <tp t="s">
        <v>#N/A N/A</v>
        <stp/>
        <stp>BDP|12351552716076380516</stp>
        <tr r="F2402" s="2"/>
      </tp>
      <tp t="s">
        <v>#N/A N/A</v>
        <stp/>
        <stp>BDP|13795357236652432422</stp>
        <tr r="A860" s="2"/>
      </tp>
      <tp t="s">
        <v>#N/A N/A</v>
        <stp/>
        <stp>BDP|14798123004032158226</stp>
        <tr r="H196" s="2"/>
      </tp>
      <tp t="s">
        <v>#N/A N/A</v>
        <stp/>
        <stp>BDP|12082663454381274527</stp>
        <tr r="H1366" s="2"/>
      </tp>
      <tp t="s">
        <v>#N/A N/A</v>
        <stp/>
        <stp>BDP|13713058563091035132</stp>
        <tr r="A3919" s="2"/>
      </tp>
      <tp t="s">
        <v>#N/A N/A</v>
        <stp/>
        <stp>BDP|12523430552634482224</stp>
        <tr r="C3352" s="2"/>
      </tp>
      <tp t="s">
        <v>#N/A N/A</v>
        <stp/>
        <stp>BDP|15002549373651332364</stp>
        <tr r="F945" s="2"/>
      </tp>
      <tp t="s">
        <v>#N/A N/A</v>
        <stp/>
        <stp>BDP|13004356412617192341</stp>
        <tr r="F2373" s="2"/>
      </tp>
      <tp t="s">
        <v>#N/A N/A</v>
        <stp/>
        <stp>BDP|16643061036390685021</stp>
        <tr r="D4622" s="2"/>
      </tp>
      <tp t="s">
        <v>#N/A N/A</v>
        <stp/>
        <stp>BDP|16789879125819733005</stp>
        <tr r="F35" s="2"/>
      </tp>
      <tp t="s">
        <v>#N/A N/A</v>
        <stp/>
        <stp>BDP|11614072073674282722</stp>
        <tr r="D3865" s="2"/>
      </tp>
      <tp t="s">
        <v>#N/A N/A</v>
        <stp/>
        <stp>BDP|13506261761193098106</stp>
        <tr r="H3656" s="2"/>
      </tp>
      <tp t="s">
        <v>#N/A N/A</v>
        <stp/>
        <stp>BDP|17082298848017566368</stp>
        <tr r="D4735" s="2"/>
      </tp>
      <tp t="s">
        <v>#N/A N/A</v>
        <stp/>
        <stp>BDP|14002309276794597119</stp>
        <tr r="H779" s="2"/>
      </tp>
      <tp t="s">
        <v>#N/A N/A</v>
        <stp/>
        <stp>BDP|15981531815334441090</stp>
        <tr r="B4019" s="2"/>
      </tp>
      <tp t="s">
        <v>#N/A N/A</v>
        <stp/>
        <stp>BDP|14655872071426055828</stp>
        <tr r="H1001" s="2"/>
      </tp>
      <tp t="s">
        <v>#N/A N/A</v>
        <stp/>
        <stp>BDP|12461558931178641946</stp>
        <tr r="I1585" s="2"/>
      </tp>
      <tp t="s">
        <v>#N/A N/A</v>
        <stp/>
        <stp>BDP|16797166434582463331</stp>
        <tr r="G2622" s="2"/>
      </tp>
      <tp t="s">
        <v>#N/A N/A</v>
        <stp/>
        <stp>BDP|12584303113283426606</stp>
        <tr r="I1635" s="2"/>
      </tp>
      <tp t="s">
        <v>#N/A N/A</v>
        <stp/>
        <stp>BDP|13550555679632394682</stp>
        <tr r="A2496" s="2"/>
      </tp>
      <tp t="s">
        <v>#N/A N/A</v>
        <stp/>
        <stp>BDP|12806063449650718328</stp>
        <tr r="H4649" s="2"/>
      </tp>
      <tp t="s">
        <v>#N/A N/A</v>
        <stp/>
        <stp>BDP|12785250072452459065</stp>
        <tr r="C4637" s="2"/>
      </tp>
      <tp t="s">
        <v>#N/A N/A</v>
        <stp/>
        <stp>BDP|14373556244873226327</stp>
        <tr r="A597" s="2"/>
      </tp>
      <tp t="s">
        <v>#N/A N/A</v>
        <stp/>
        <stp>BDP|12997518419303160028</stp>
        <tr r="H204" s="2"/>
      </tp>
      <tp t="s">
        <v>#N/A N/A</v>
        <stp/>
        <stp>BDP|10525853993612523646</stp>
        <tr r="G1435" s="2"/>
      </tp>
      <tp t="s">
        <v>#N/A N/A</v>
        <stp/>
        <stp>BDP|16968648004103891635</stp>
        <tr r="F4837" s="2"/>
      </tp>
      <tp t="s">
        <v>#N/A N/A</v>
        <stp/>
        <stp>BDP|14775067067182678525</stp>
        <tr r="D4877" s="2"/>
      </tp>
      <tp t="s">
        <v>#N/A N/A</v>
        <stp/>
        <stp>BDP|15841955993716448681</stp>
        <tr r="I3507" s="2"/>
      </tp>
      <tp t="s">
        <v>#N/A N/A</v>
        <stp/>
        <stp>BDP|11312206179105841401</stp>
        <tr r="C3638" s="2"/>
      </tp>
      <tp t="s">
        <v>#N/A N/A</v>
        <stp/>
        <stp>BDP|10762740973362121735</stp>
        <tr r="I2516" s="2"/>
      </tp>
      <tp t="s">
        <v>#N/A N/A</v>
        <stp/>
        <stp>BDP|16805741151999992863</stp>
        <tr r="D641" s="2"/>
      </tp>
      <tp t="s">
        <v>#N/A N/A</v>
        <stp/>
        <stp>BDP|15295504841901569040</stp>
        <tr r="F1520" s="2"/>
      </tp>
      <tp t="s">
        <v>#N/A N/A</v>
        <stp/>
        <stp>BDP|15993257089812703804</stp>
        <tr r="G396" s="2"/>
      </tp>
      <tp t="s">
        <v>#N/A N/A</v>
        <stp/>
        <stp>BDP|12884478220331595088</stp>
        <tr r="D2254" s="2"/>
      </tp>
      <tp t="s">
        <v>#N/A N/A</v>
        <stp/>
        <stp>BDP|17883984490665592771</stp>
        <tr r="A3718" s="2"/>
      </tp>
      <tp t="s">
        <v>#N/A N/A</v>
        <stp/>
        <stp>BDP|14236231315430144270</stp>
        <tr r="G2726" s="2"/>
      </tp>
      <tp t="s">
        <v>#N/A N/A</v>
        <stp/>
        <stp>BDP|15574891791694717580</stp>
        <tr r="H4992" s="2"/>
      </tp>
      <tp t="s">
        <v>#N/A N/A</v>
        <stp/>
        <stp>BDP|16233623922006497148</stp>
        <tr r="I4450" s="2"/>
      </tp>
      <tp t="s">
        <v>#N/A N/A</v>
        <stp/>
        <stp>BDP|12274999488272098414</stp>
        <tr r="G885" s="2"/>
      </tp>
      <tp t="s">
        <v>#N/A N/A</v>
        <stp/>
        <stp>BDP|11123797365372929765</stp>
        <tr r="B2653" s="2"/>
      </tp>
      <tp t="s">
        <v>#N/A N/A</v>
        <stp/>
        <stp>BDP|12351582769590921491</stp>
        <tr r="F449" s="2"/>
      </tp>
      <tp t="s">
        <v>#N/A N/A</v>
        <stp/>
        <stp>BDP|17329023183219902392</stp>
        <tr r="H2714" s="2"/>
      </tp>
      <tp t="s">
        <v>#N/A N/A</v>
        <stp/>
        <stp>BDP|17865430423481202583</stp>
        <tr r="H4385" s="2"/>
      </tp>
      <tp t="s">
        <v>#N/A N/A</v>
        <stp/>
        <stp>BDP|11794059776226544537</stp>
        <tr r="H4019" s="2"/>
      </tp>
      <tp t="s">
        <v>#N/A N/A</v>
        <stp/>
        <stp>BDP|16754356668643933517</stp>
        <tr r="G1529" s="2"/>
      </tp>
      <tp t="s">
        <v>#N/A N/A</v>
        <stp/>
        <stp>BDP|12613561651230421771</stp>
        <tr r="C2156" s="2"/>
      </tp>
      <tp t="s">
        <v>#N/A N/A</v>
        <stp/>
        <stp>BDP|16689801428290583992</stp>
        <tr r="H3373" s="2"/>
      </tp>
      <tp t="s">
        <v>#N/A N/A</v>
        <stp/>
        <stp>BDP|10639397899158302774</stp>
        <tr r="B4659" s="2"/>
      </tp>
      <tp t="s">
        <v>#N/A N/A</v>
        <stp/>
        <stp>BDP|16780788168954489611</stp>
        <tr r="A27" s="2"/>
      </tp>
      <tp t="s">
        <v>#N/A N/A</v>
        <stp/>
        <stp>BDP|15248674408020981668</stp>
        <tr r="D3270" s="2"/>
      </tp>
      <tp t="s">
        <v>#N/A N/A</v>
        <stp/>
        <stp>BDP|15662247794819000249</stp>
        <tr r="H2997" s="2"/>
      </tp>
      <tp t="s">
        <v>#N/A N/A</v>
        <stp/>
        <stp>BDP|15042989788447217608</stp>
        <tr r="I2551" s="2"/>
      </tp>
      <tp t="s">
        <v>#N/A N/A</v>
        <stp/>
        <stp>BDP|15686348781992808999</stp>
        <tr r="C175" s="2"/>
      </tp>
      <tp t="s">
        <v>#N/A N/A</v>
        <stp/>
        <stp>BDP|11520502822694212777</stp>
        <tr r="H284" s="2"/>
      </tp>
      <tp t="s">
        <v>#N/A N/A</v>
        <stp/>
        <stp>BDP|13126389359185192534</stp>
        <tr r="A3709" s="2"/>
      </tp>
      <tp t="s">
        <v>#N/A N/A</v>
        <stp/>
        <stp>BDP|13824121965754431590</stp>
        <tr r="H4570" s="2"/>
      </tp>
      <tp t="s">
        <v>#N/A N/A</v>
        <stp/>
        <stp>BDP|17100222183058764053</stp>
        <tr r="C1412" s="2"/>
      </tp>
      <tp t="s">
        <v>#N/A N/A</v>
        <stp/>
        <stp>BDP|13895527576013993770</stp>
        <tr r="A3707" s="2"/>
      </tp>
      <tp t="s">
        <v>#N/A N/A</v>
        <stp/>
        <stp>BDP|13232357460231296279</stp>
        <tr r="G3501" s="2"/>
      </tp>
      <tp t="s">
        <v>#N/A N/A</v>
        <stp/>
        <stp>BDP|13684715091060691822</stp>
        <tr r="C46" s="2"/>
      </tp>
      <tp t="s">
        <v>#N/A N/A</v>
        <stp/>
        <stp>BDP|14176054972670726632</stp>
        <tr r="F2879" s="2"/>
      </tp>
      <tp t="s">
        <v>#N/A N/A</v>
        <stp/>
        <stp>BDP|10531215986338303730</stp>
        <tr r="F2356" s="2"/>
      </tp>
      <tp t="s">
        <v>#N/A N/A</v>
        <stp/>
        <stp>BDP|13315468935946560773</stp>
        <tr r="A3204" s="2"/>
      </tp>
      <tp t="s">
        <v>#N/A N/A</v>
        <stp/>
        <stp>BDP|12414016736614754061</stp>
        <tr r="F3135" s="2"/>
      </tp>
      <tp t="s">
        <v>#N/A N/A</v>
        <stp/>
        <stp>BDP|13745804271730555917</stp>
        <tr r="G3241" s="2"/>
      </tp>
      <tp t="s">
        <v>#N/A N/A</v>
        <stp/>
        <stp>BDP|13833725104204863547</stp>
        <tr r="H2121" s="2"/>
      </tp>
      <tp t="s">
        <v>#N/A N/A</v>
        <stp/>
        <stp>BDP|17851066253761934662</stp>
        <tr r="A300" s="2"/>
      </tp>
      <tp t="s">
        <v>#N/A N/A</v>
        <stp/>
        <stp>BDP|18281596272518863738</stp>
        <tr r="C1179" s="2"/>
      </tp>
      <tp t="s">
        <v>#N/A N/A</v>
        <stp/>
        <stp>BDP|17174335255773053755</stp>
        <tr r="I4173" s="2"/>
      </tp>
      <tp t="s">
        <v>#N/A N/A</v>
        <stp/>
        <stp>BDP|17652875365485506930</stp>
        <tr r="H184" s="2"/>
      </tp>
      <tp t="s">
        <v>#N/A N/A</v>
        <stp/>
        <stp>BDP|12404086997456961800</stp>
        <tr r="B4586" s="2"/>
      </tp>
      <tp t="s">
        <v>#N/A N/A</v>
        <stp/>
        <stp>BDP|12237547240137654124</stp>
        <tr r="F4649" s="2"/>
      </tp>
      <tp t="s">
        <v>#N/A N/A</v>
        <stp/>
        <stp>BDP|12536219244034369567</stp>
        <tr r="D4301" s="2"/>
      </tp>
      <tp t="s">
        <v>#N/A N/A</v>
        <stp/>
        <stp>BDP|11329611133856664726</stp>
        <tr r="F3765" s="2"/>
      </tp>
      <tp t="s">
        <v>#N/A N/A</v>
        <stp/>
        <stp>BDP|15458545727605590275</stp>
        <tr r="G4674" s="2"/>
      </tp>
      <tp t="s">
        <v>#N/A N/A</v>
        <stp/>
        <stp>BDP|12641347947162804288</stp>
        <tr r="H126" s="2"/>
      </tp>
      <tp t="s">
        <v>#N/A N/A</v>
        <stp/>
        <stp>BDP|16292367362113125527</stp>
        <tr r="B1143" s="2"/>
      </tp>
      <tp t="s">
        <v>#N/A N/A</v>
        <stp/>
        <stp>BDP|13323044724446101278</stp>
        <tr r="C1515" s="2"/>
      </tp>
      <tp t="s">
        <v>#N/A N/A</v>
        <stp/>
        <stp>BDP|18291451169327220893</stp>
        <tr r="A4433" s="2"/>
      </tp>
      <tp t="s">
        <v>#N/A N/A</v>
        <stp/>
        <stp>BDP|12084796148285702135</stp>
        <tr r="H1471" s="2"/>
      </tp>
      <tp t="s">
        <v>#N/A N/A</v>
        <stp/>
        <stp>BDP|16087432963747015655</stp>
        <tr r="A98" s="2"/>
      </tp>
      <tp t="s">
        <v>#N/A N/A</v>
        <stp/>
        <stp>BDP|11590183579255174706</stp>
        <tr r="A2695" s="2"/>
      </tp>
      <tp t="s">
        <v>#N/A N/A</v>
        <stp/>
        <stp>BDP|17048432705217598164</stp>
        <tr r="H2332" s="2"/>
      </tp>
      <tp t="s">
        <v>#N/A N/A</v>
        <stp/>
        <stp>BDP|17167208464042121415</stp>
        <tr r="C1584" s="2"/>
      </tp>
      <tp t="s">
        <v>#N/A N/A</v>
        <stp/>
        <stp>BDP|16374169274063339675</stp>
        <tr r="I213" s="2"/>
      </tp>
      <tp t="s">
        <v>#N/A N/A</v>
        <stp/>
        <stp>BDP|13890110837315803132</stp>
        <tr r="F210" s="2"/>
      </tp>
      <tp t="s">
        <v>#N/A N/A</v>
        <stp/>
        <stp>BDP|14842305859176118159</stp>
        <tr r="I437" s="2"/>
      </tp>
      <tp t="s">
        <v>#N/A N/A</v>
        <stp/>
        <stp>BDP|16958746629895067315</stp>
        <tr r="F997" s="2"/>
      </tp>
      <tp t="s">
        <v>#N/A N/A</v>
        <stp/>
        <stp>BDP|12102884415546180881</stp>
        <tr r="I540" s="2"/>
      </tp>
      <tp t="s">
        <v>#N/A N/A</v>
        <stp/>
        <stp>BDP|15741296624198982864</stp>
        <tr r="B4146" s="2"/>
      </tp>
      <tp t="s">
        <v>#N/A N/A</v>
        <stp/>
        <stp>BDP|17410625020271509769</stp>
        <tr r="B3823" s="2"/>
      </tp>
      <tp t="s">
        <v>#N/A N/A</v>
        <stp/>
        <stp>BDP|12423431060847255201</stp>
        <tr r="A1313" s="2"/>
      </tp>
      <tp t="s">
        <v>#N/A N/A</v>
        <stp/>
        <stp>BDP|16913233781209898067</stp>
        <tr r="I4084" s="2"/>
      </tp>
      <tp t="s">
        <v>#N/A N/A</v>
        <stp/>
        <stp>BDP|13067418303026692419</stp>
        <tr r="C2455" s="2"/>
      </tp>
      <tp t="s">
        <v>#N/A N/A</v>
        <stp/>
        <stp>BDP|16310927980482491005</stp>
        <tr r="B1621" s="2"/>
      </tp>
      <tp t="s">
        <v>#N/A N/A</v>
        <stp/>
        <stp>BDP|11822387370225510508</stp>
        <tr r="F2354" s="2"/>
      </tp>
      <tp t="s">
        <v>#N/A N/A</v>
        <stp/>
        <stp>BDP|10346625931950758023</stp>
        <tr r="A1063" s="2"/>
      </tp>
      <tp t="s">
        <v>#N/A N/A</v>
        <stp/>
        <stp>BDP|13622650366736020009</stp>
        <tr r="G2951" s="2"/>
      </tp>
      <tp t="s">
        <v>#N/A N/A</v>
        <stp/>
        <stp>BDP|15293036976621406664</stp>
        <tr r="I733" s="2"/>
      </tp>
      <tp t="s">
        <v>#N/A N/A</v>
        <stp/>
        <stp>BDP|14085210172910743418</stp>
        <tr r="H2047" s="2"/>
      </tp>
      <tp t="s">
        <v>#N/A N/A</v>
        <stp/>
        <stp>BDP|16167841299556983407</stp>
        <tr r="I1471" s="2"/>
      </tp>
      <tp t="s">
        <v>#N/A N/A</v>
        <stp/>
        <stp>BDP|17794008334169053868</stp>
        <tr r="D3229" s="2"/>
      </tp>
      <tp t="s">
        <v>#N/A N/A</v>
        <stp/>
        <stp>BDP|12279051765694398545</stp>
        <tr r="B4729" s="2"/>
      </tp>
      <tp t="s">
        <v>#N/A N/A</v>
        <stp/>
        <stp>BDP|16605419214107549130</stp>
        <tr r="D2974" s="2"/>
      </tp>
      <tp t="s">
        <v>#N/A N/A</v>
        <stp/>
        <stp>BDP|10179983679962308961</stp>
        <tr r="A4140" s="2"/>
      </tp>
      <tp t="s">
        <v>#N/A N/A</v>
        <stp/>
        <stp>BDP|10256028505073754674</stp>
        <tr r="D2159" s="2"/>
      </tp>
      <tp t="s">
        <v>#N/A N/A</v>
        <stp/>
        <stp>BDP|16318603816972545653</stp>
        <tr r="D1931" s="2"/>
      </tp>
      <tp t="s">
        <v>#N/A N/A</v>
        <stp/>
        <stp>BDP|16581012735980782038</stp>
        <tr r="F4613" s="2"/>
      </tp>
      <tp t="s">
        <v>#N/A N/A</v>
        <stp/>
        <stp>BDP|11050645041576336035</stp>
        <tr r="C4447" s="2"/>
      </tp>
      <tp t="s">
        <v>#N/A N/A</v>
        <stp/>
        <stp>BDP|12519215420090246733</stp>
        <tr r="I3997" s="2"/>
      </tp>
      <tp t="s">
        <v>#N/A N/A</v>
        <stp/>
        <stp>BDP|14436237571081462570</stp>
        <tr r="F3706" s="2"/>
      </tp>
      <tp t="s">
        <v>#N/A N/A</v>
        <stp/>
        <stp>BDP|16078062850112668450</stp>
        <tr r="D1680" s="2"/>
      </tp>
      <tp t="s">
        <v>#N/A N/A</v>
        <stp/>
        <stp>BDP|17333836114098311326</stp>
        <tr r="F1633" s="2"/>
      </tp>
      <tp t="s">
        <v>#N/A N/A</v>
        <stp/>
        <stp>BDP|12296811386947525051</stp>
        <tr r="G1419" s="2"/>
      </tp>
      <tp t="s">
        <v>#N/A N/A</v>
        <stp/>
        <stp>BDP|15132027032305735636</stp>
        <tr r="A4116" s="2"/>
      </tp>
      <tp t="s">
        <v>#N/A N/A</v>
        <stp/>
        <stp>BDP|17810741376231697399</stp>
        <tr r="D2360" s="2"/>
      </tp>
      <tp t="s">
        <v>#N/A N/A</v>
        <stp/>
        <stp>BDP|16042885735411047983</stp>
        <tr r="D2228" s="2"/>
      </tp>
      <tp t="s">
        <v>#N/A N/A</v>
        <stp/>
        <stp>BDP|14019076600943284207</stp>
        <tr r="D2694" s="2"/>
      </tp>
      <tp t="s">
        <v>#N/A N/A</v>
        <stp/>
        <stp>BDP|14048055600282939391</stp>
        <tr r="F3976" s="2"/>
      </tp>
      <tp t="s">
        <v>#N/A N/A</v>
        <stp/>
        <stp>BDP|14880359903591959320</stp>
        <tr r="G20" s="2"/>
      </tp>
      <tp t="s">
        <v>#N/A N/A</v>
        <stp/>
        <stp>BDP|16061855141707839896</stp>
        <tr r="D3912" s="2"/>
      </tp>
      <tp t="s">
        <v>#N/A N/A</v>
        <stp/>
        <stp>BDP|10065452303814642559</stp>
        <tr r="D4270" s="2"/>
      </tp>
      <tp t="s">
        <v>#N/A N/A</v>
        <stp/>
        <stp>BDP|12304520018366444586</stp>
        <tr r="H945" s="2"/>
      </tp>
      <tp t="s">
        <v>#N/A N/A</v>
        <stp/>
        <stp>BDP|18320432020113591809</stp>
        <tr r="G3823" s="2"/>
      </tp>
      <tp t="s">
        <v>#N/A N/A</v>
        <stp/>
        <stp>BDP|12732222195369517502</stp>
        <tr r="A91" s="2"/>
      </tp>
      <tp t="s">
        <v>#N/A N/A</v>
        <stp/>
        <stp>BDP|18150518390372699337</stp>
        <tr r="C1900" s="2"/>
      </tp>
      <tp t="s">
        <v>#N/A N/A</v>
        <stp/>
        <stp>BDP|12168023702651134650</stp>
        <tr r="I2211" s="2"/>
      </tp>
      <tp t="s">
        <v>#N/A N/A</v>
        <stp/>
        <stp>BDP|12900365426484442285</stp>
        <tr r="B54" s="2"/>
      </tp>
      <tp t="s">
        <v>#N/A N/A</v>
        <stp/>
        <stp>BDP|10332415804060776141</stp>
        <tr r="C2182" s="2"/>
      </tp>
      <tp t="s">
        <v>#N/A N/A</v>
        <stp/>
        <stp>BDP|14036246992819184325</stp>
        <tr r="I3223" s="2"/>
      </tp>
      <tp t="s">
        <v>#N/A N/A</v>
        <stp/>
        <stp>BDP|12002037420424271144</stp>
        <tr r="F2307" s="2"/>
      </tp>
      <tp t="s">
        <v>#N/A N/A</v>
        <stp/>
        <stp>BDP|17150112676041634554</stp>
        <tr r="C4300" s="2"/>
      </tp>
      <tp t="s">
        <v>#N/A N/A</v>
        <stp/>
        <stp>BDP|12530860115109031731</stp>
        <tr r="F831" s="2"/>
      </tp>
      <tp t="s">
        <v>#N/A N/A</v>
        <stp/>
        <stp>BDP|15980504661971871252</stp>
        <tr r="A4273" s="2"/>
      </tp>
      <tp t="s">
        <v>#N/A N/A</v>
        <stp/>
        <stp>BDP|13966398126507334008</stp>
        <tr r="F3094" s="2"/>
      </tp>
      <tp t="s">
        <v>#N/A N/A</v>
        <stp/>
        <stp>BDP|15234076360661822781</stp>
        <tr r="D3571" s="2"/>
      </tp>
      <tp t="s">
        <v>#N/A N/A</v>
        <stp/>
        <stp>BDP|17762542967378571947</stp>
        <tr r="H2534" s="2"/>
      </tp>
      <tp t="s">
        <v>#N/A N/A</v>
        <stp/>
        <stp>BDP|18360766386697661507</stp>
        <tr r="B1123" s="2"/>
      </tp>
      <tp t="s">
        <v>#N/A N/A</v>
        <stp/>
        <stp>BDP|15551632825841287540</stp>
        <tr r="I783" s="2"/>
      </tp>
      <tp t="s">
        <v>#N/A N/A</v>
        <stp/>
        <stp>BDP|17542912848059859614</stp>
        <tr r="H3200" s="2"/>
      </tp>
      <tp t="s">
        <v>#N/A N/A</v>
        <stp/>
        <stp>BDP|17442859385842718062</stp>
        <tr r="H1119" s="2"/>
      </tp>
      <tp t="s">
        <v>#N/A N/A</v>
        <stp/>
        <stp>BDP|17010740425185216267</stp>
        <tr r="C2469" s="2"/>
      </tp>
      <tp t="s">
        <v>#N/A N/A</v>
        <stp/>
        <stp>BDP|13408963675911149938</stp>
        <tr r="G2390" s="2"/>
      </tp>
      <tp t="s">
        <v>#N/A N/A</v>
        <stp/>
        <stp>BDP|16697612168721897223</stp>
        <tr r="C818" s="2"/>
      </tp>
      <tp t="s">
        <v>#N/A N/A</v>
        <stp/>
        <stp>BDP|11541034381464311810</stp>
        <tr r="A3246" s="2"/>
      </tp>
      <tp t="s">
        <v>#N/A N/A</v>
        <stp/>
        <stp>BDP|11613706584633122866</stp>
        <tr r="B4598" s="2"/>
      </tp>
      <tp t="s">
        <v>#N/A N/A</v>
        <stp/>
        <stp>BDP|14615915163648521645</stp>
        <tr r="D787" s="2"/>
      </tp>
      <tp t="s">
        <v>#N/A N/A</v>
        <stp/>
        <stp>BDP|11388166892368485460</stp>
        <tr r="B4050" s="2"/>
      </tp>
      <tp t="s">
        <v>#N/A N/A</v>
        <stp/>
        <stp>BDP|11471519016498587836</stp>
        <tr r="I2163" s="2"/>
      </tp>
      <tp t="s">
        <v>#N/A N/A</v>
        <stp/>
        <stp>BDP|10316608323332468318</stp>
        <tr r="I1754" s="2"/>
      </tp>
      <tp t="s">
        <v>#N/A N/A</v>
        <stp/>
        <stp>BDP|13464081936203644695</stp>
        <tr r="B4156" s="2"/>
      </tp>
      <tp t="s">
        <v>#N/A N/A</v>
        <stp/>
        <stp>BDP|10382720855904700365</stp>
        <tr r="D620" s="2"/>
      </tp>
      <tp t="s">
        <v>#N/A N/A</v>
        <stp/>
        <stp>BDP|16636016494489320357</stp>
        <tr r="G1409" s="2"/>
      </tp>
      <tp t="s">
        <v>#N/A N/A</v>
        <stp/>
        <stp>BDP|13532593441625142296</stp>
        <tr r="H3521" s="2"/>
      </tp>
      <tp t="s">
        <v>#N/A N/A</v>
        <stp/>
        <stp>BDP|16364453745305205642</stp>
        <tr r="C1003" s="2"/>
      </tp>
      <tp t="s">
        <v>#N/A N/A</v>
        <stp/>
        <stp>BDP|15638687975335921471</stp>
        <tr r="F226" s="2"/>
      </tp>
      <tp t="s">
        <v>#N/A N/A</v>
        <stp/>
        <stp>BDP|17521521572656783679</stp>
        <tr r="C3772" s="2"/>
      </tp>
      <tp t="s">
        <v>#N/A N/A</v>
        <stp/>
        <stp>BDP|13132153000773099405</stp>
        <tr r="G1268" s="2"/>
      </tp>
      <tp t="s">
        <v>#N/A N/A</v>
        <stp/>
        <stp>BDP|16990992882654623604</stp>
        <tr r="B929" s="2"/>
      </tp>
      <tp t="s">
        <v>#N/A N/A</v>
        <stp/>
        <stp>BDP|11999044444367932746</stp>
        <tr r="A1499" s="2"/>
      </tp>
      <tp t="s">
        <v>#N/A N/A</v>
        <stp/>
        <stp>BDP|11030090413473752699</stp>
        <tr r="F3824" s="2"/>
      </tp>
      <tp t="s">
        <v>#N/A N/A</v>
        <stp/>
        <stp>BDP|16285019445207790051</stp>
        <tr r="H972" s="2"/>
      </tp>
      <tp t="s">
        <v>#N/A N/A</v>
        <stp/>
        <stp>BDP|13187573423712331324</stp>
        <tr r="C2755" s="2"/>
      </tp>
      <tp t="s">
        <v>#N/A N/A</v>
        <stp/>
        <stp>BDP|13381253040391050127</stp>
        <tr r="D4239" s="2"/>
      </tp>
      <tp t="s">
        <v>#N/A N/A</v>
        <stp/>
        <stp>BDP|16193605032231625716</stp>
        <tr r="I2306" s="2"/>
      </tp>
      <tp t="s">
        <v>#N/A N/A</v>
        <stp/>
        <stp>BDP|10397148577900376375</stp>
        <tr r="G1481" s="2"/>
      </tp>
      <tp t="s">
        <v>#N/A N/A</v>
        <stp/>
        <stp>BDP|12013503325771193106</stp>
        <tr r="G41" s="2"/>
      </tp>
      <tp t="s">
        <v>#N/A N/A</v>
        <stp/>
        <stp>BDP|12336286630176970069</stp>
        <tr r="D4629" s="2"/>
      </tp>
      <tp t="s">
        <v>#N/A N/A</v>
        <stp/>
        <stp>BDP|14873446878232489041</stp>
        <tr r="H223" s="2"/>
      </tp>
      <tp t="s">
        <v>#N/A N/A</v>
        <stp/>
        <stp>BDP|16933859528641608865</stp>
        <tr r="F4991" s="2"/>
      </tp>
      <tp t="s">
        <v>#N/A N/A</v>
        <stp/>
        <stp>BDP|16375508022626011251</stp>
        <tr r="H3117" s="2"/>
      </tp>
      <tp t="s">
        <v>#N/A N/A</v>
        <stp/>
        <stp>BDP|15175199711463834350</stp>
        <tr r="A2377" s="2"/>
      </tp>
      <tp t="s">
        <v>#N/A N/A</v>
        <stp/>
        <stp>BDP|11162194368253587011</stp>
        <tr r="H1618" s="2"/>
      </tp>
      <tp t="s">
        <v>#N/A N/A</v>
        <stp/>
        <stp>BDP|17884417685698009680</stp>
        <tr r="A1084" s="2"/>
      </tp>
      <tp t="s">
        <v>#N/A N/A</v>
        <stp/>
        <stp>BDP|12622780689671149928</stp>
        <tr r="A2718" s="2"/>
      </tp>
      <tp t="s">
        <v>#N/A N/A</v>
        <stp/>
        <stp>BDP|13845255242944922422</stp>
        <tr r="A2988" s="2"/>
      </tp>
      <tp t="s">
        <v>#N/A N/A</v>
        <stp/>
        <stp>BDP|13516225835744354359</stp>
        <tr r="D2185" s="2"/>
      </tp>
      <tp t="s">
        <v>#N/A N/A</v>
        <stp/>
        <stp>BDP|10238621290222360879</stp>
        <tr r="I719" s="2"/>
      </tp>
      <tp t="s">
        <v>#N/A N/A</v>
        <stp/>
        <stp>BDP|12423748961747516103</stp>
        <tr r="B671" s="2"/>
      </tp>
      <tp t="s">
        <v>#N/A N/A</v>
        <stp/>
        <stp>BDP|13401256784495755968</stp>
        <tr r="F920" s="2"/>
      </tp>
      <tp t="s">
        <v>#N/A N/A</v>
        <stp/>
        <stp>BDP|11246658904722609014</stp>
        <tr r="A2052" s="2"/>
      </tp>
      <tp t="s">
        <v>#N/A N/A</v>
        <stp/>
        <stp>BDP|11295107022002262567</stp>
        <tr r="D2029" s="2"/>
      </tp>
      <tp t="s">
        <v>#N/A N/A</v>
        <stp/>
        <stp>BDP|13782992152512005880</stp>
        <tr r="I2016" s="2"/>
      </tp>
      <tp t="s">
        <v>#N/A N/A</v>
        <stp/>
        <stp>BDP|15597156078886419089</stp>
        <tr r="B1429" s="2"/>
      </tp>
      <tp t="s">
        <v>#N/A N/A</v>
        <stp/>
        <stp>BDP|12152660385019291043</stp>
        <tr r="B4651" s="2"/>
      </tp>
      <tp t="s">
        <v>#N/A N/A</v>
        <stp/>
        <stp>BDP|14721888390669354986</stp>
        <tr r="H1611" s="2"/>
      </tp>
      <tp t="s">
        <v>#N/A N/A</v>
        <stp/>
        <stp>BDP|10010264834186432228</stp>
        <tr r="B2710" s="2"/>
      </tp>
      <tp t="s">
        <v>#N/A N/A</v>
        <stp/>
        <stp>BDP|16205642313156741268</stp>
        <tr r="G519" s="2"/>
      </tp>
      <tp t="s">
        <v>#N/A N/A</v>
        <stp/>
        <stp>BDP|13005752701140858188</stp>
        <tr r="C2177" s="2"/>
      </tp>
      <tp t="s">
        <v>#N/A N/A</v>
        <stp/>
        <stp>BDP|14698604352496914496</stp>
        <tr r="B1929" s="2"/>
      </tp>
      <tp t="s">
        <v>#N/A N/A</v>
        <stp/>
        <stp>BDP|17668445843985041753</stp>
        <tr r="D3053" s="2"/>
      </tp>
      <tp t="s">
        <v>#N/A N/A</v>
        <stp/>
        <stp>BDP|10004967962102736878</stp>
        <tr r="C307" s="2"/>
      </tp>
      <tp t="s">
        <v>#N/A N/A</v>
        <stp/>
        <stp>BDP|12132894427145987823</stp>
        <tr r="B4341" s="2"/>
      </tp>
      <tp t="s">
        <v>#N/A N/A</v>
        <stp/>
        <stp>BDP|17872775006826555382</stp>
        <tr r="G3477" s="2"/>
      </tp>
      <tp t="s">
        <v>#N/A N/A</v>
        <stp/>
        <stp>BDP|15284543723567717062</stp>
        <tr r="D363" s="2"/>
      </tp>
      <tp t="s">
        <v>#N/A N/A</v>
        <stp/>
        <stp>BDP|12499715310200503142</stp>
        <tr r="B1676" s="2"/>
      </tp>
      <tp t="s">
        <v>#N/A N/A</v>
        <stp/>
        <stp>BDP|17419134302205031618</stp>
        <tr r="B1853" s="2"/>
      </tp>
      <tp t="s">
        <v>#N/A N/A</v>
        <stp/>
        <stp>BDP|15662048015503728245</stp>
        <tr r="I3731" s="2"/>
      </tp>
      <tp t="s">
        <v>#N/A N/A</v>
        <stp/>
        <stp>BDP|17073803254386699962</stp>
        <tr r="G1006" s="2"/>
      </tp>
      <tp t="s">
        <v>#N/A N/A</v>
        <stp/>
        <stp>BDP|15712378835334616478</stp>
        <tr r="D2543" s="2"/>
      </tp>
      <tp t="s">
        <v>#N/A N/A</v>
        <stp/>
        <stp>BDP|16263093834329332986</stp>
        <tr r="C1348" s="2"/>
      </tp>
      <tp t="s">
        <v>#N/A N/A</v>
        <stp/>
        <stp>BDP|13213879374730585904</stp>
        <tr r="G1023" s="2"/>
      </tp>
      <tp t="s">
        <v>#N/A N/A</v>
        <stp/>
        <stp>BDP|11660770522462422333</stp>
        <tr r="D1827" s="2"/>
      </tp>
      <tp t="s">
        <v>#N/A N/A</v>
        <stp/>
        <stp>BDP|10374595300274843467</stp>
        <tr r="F3987" s="2"/>
      </tp>
      <tp t="s">
        <v>#N/A N/A</v>
        <stp/>
        <stp>BDP|16509110364160052446</stp>
        <tr r="F2698" s="2"/>
      </tp>
      <tp t="s">
        <v>#N/A N/A</v>
        <stp/>
        <stp>BDP|16848547387219634790</stp>
        <tr r="C4190" s="2"/>
      </tp>
      <tp t="s">
        <v>#N/A N/A</v>
        <stp/>
        <stp>BDP|17710349232474770629</stp>
        <tr r="B353" s="2"/>
      </tp>
      <tp t="s">
        <v>#N/A N/A</v>
        <stp/>
        <stp>BDP|11812495378513931440</stp>
        <tr r="H3776" s="2"/>
      </tp>
      <tp t="s">
        <v>#N/A N/A</v>
        <stp/>
        <stp>BDP|12732412632274831482</stp>
        <tr r="A1001" s="2"/>
      </tp>
      <tp t="s">
        <v>#N/A N/A</v>
        <stp/>
        <stp>BDP|17910091330190767136</stp>
        <tr r="H2967" s="2"/>
      </tp>
      <tp t="s">
        <v>#N/A N/A</v>
        <stp/>
        <stp>BDP|13533361934525354303</stp>
        <tr r="A1360" s="2"/>
      </tp>
      <tp t="s">
        <v>#N/A N/A</v>
        <stp/>
        <stp>BDP|17668520517176133065</stp>
        <tr r="C4959" s="2"/>
      </tp>
      <tp t="s">
        <v>#N/A N/A</v>
        <stp/>
        <stp>BDP|13875758400905122485</stp>
        <tr r="D1952" s="2"/>
      </tp>
      <tp t="s">
        <v>#N/A N/A</v>
        <stp/>
        <stp>BDP|15894257793908222385</stp>
        <tr r="D3350" s="2"/>
      </tp>
      <tp t="s">
        <v>#N/A N/A</v>
        <stp/>
        <stp>BDP|12908435830712862264</stp>
        <tr r="A4051" s="2"/>
      </tp>
      <tp t="s">
        <v>#N/A N/A</v>
        <stp/>
        <stp>BDP|13263571367796407327</stp>
        <tr r="C4636" s="2"/>
      </tp>
      <tp t="s">
        <v>#N/A N/A</v>
        <stp/>
        <stp>BDP|16748196262430917410</stp>
        <tr r="I2212" s="2"/>
      </tp>
      <tp t="s">
        <v>#N/A N/A</v>
        <stp/>
        <stp>BDP|10332673644940088746</stp>
        <tr r="G3351" s="2"/>
      </tp>
      <tp t="s">
        <v>#N/A N/A</v>
        <stp/>
        <stp>BDP|10611474670293378567</stp>
        <tr r="F1970" s="2"/>
      </tp>
      <tp t="s">
        <v>#N/A N/A</v>
        <stp/>
        <stp>BDP|15596414386405093967</stp>
        <tr r="A4243" s="2"/>
      </tp>
      <tp t="s">
        <v>#N/A N/A</v>
        <stp/>
        <stp>BDP|12914582724711712162</stp>
        <tr r="F2167" s="2"/>
      </tp>
      <tp t="s">
        <v>#N/A N/A</v>
        <stp/>
        <stp>BDP|16842861898015617742</stp>
        <tr r="F809" s="2"/>
      </tp>
      <tp t="s">
        <v>#N/A N/A</v>
        <stp/>
        <stp>BDP|11098967791511585565</stp>
        <tr r="I4914" s="2"/>
      </tp>
      <tp t="s">
        <v>#N/A N/A</v>
        <stp/>
        <stp>BDP|13317432065871154508</stp>
        <tr r="G2051" s="2"/>
      </tp>
      <tp t="s">
        <v>#N/A N/A</v>
        <stp/>
        <stp>BDP|12458587079847570248</stp>
        <tr r="H187" s="2"/>
      </tp>
      <tp t="s">
        <v>#N/A N/A</v>
        <stp/>
        <stp>BDP|14406080508091855080</stp>
        <tr r="C1152" s="2"/>
      </tp>
      <tp t="s">
        <v>#N/A N/A</v>
        <stp/>
        <stp>BDP|10853164060897381594</stp>
        <tr r="B2248" s="2"/>
      </tp>
      <tp t="s">
        <v>#N/A N/A</v>
        <stp/>
        <stp>BDP|10110779602104892685</stp>
        <tr r="C2326" s="2"/>
      </tp>
      <tp t="s">
        <v>#N/A N/A</v>
        <stp/>
        <stp>BDP|14894278466430857555</stp>
        <tr r="C2111" s="2"/>
      </tp>
      <tp t="s">
        <v>#N/A N/A</v>
        <stp/>
        <stp>BDP|16169019913551571328</stp>
        <tr r="B1705" s="2"/>
      </tp>
      <tp t="s">
        <v>#N/A N/A</v>
        <stp/>
        <stp>BDP|16743267914756133603</stp>
        <tr r="A3961" s="2"/>
      </tp>
      <tp t="s">
        <v>#N/A N/A</v>
        <stp/>
        <stp>BDP|18144609792777288556</stp>
        <tr r="C2505" s="2"/>
      </tp>
      <tp t="s">
        <v>#N/A N/A</v>
        <stp/>
        <stp>BDP|13834096453182570137</stp>
        <tr r="D1317" s="2"/>
      </tp>
      <tp t="s">
        <v>#N/A N/A</v>
        <stp/>
        <stp>BDP|14379039354860758477</stp>
        <tr r="B1797" s="2"/>
      </tp>
      <tp t="s">
        <v>#N/A N/A</v>
        <stp/>
        <stp>BDP|16023461415437205153</stp>
        <tr r="D4188" s="2"/>
      </tp>
      <tp t="s">
        <v>#N/A N/A</v>
        <stp/>
        <stp>BDP|11321408964116130013</stp>
        <tr r="B3494" s="2"/>
      </tp>
      <tp t="s">
        <v>#N/A N/A</v>
        <stp/>
        <stp>BDP|10213876996504510018</stp>
        <tr r="D1978" s="2"/>
      </tp>
      <tp t="s">
        <v>#N/A N/A</v>
        <stp/>
        <stp>BDP|15838387977584394032</stp>
        <tr r="I3117" s="2"/>
      </tp>
      <tp t="s">
        <v>#N/A N/A</v>
        <stp/>
        <stp>BDP|11479138559355050593</stp>
        <tr r="I980" s="2"/>
      </tp>
      <tp t="s">
        <v>#N/A N/A</v>
        <stp/>
        <stp>BDP|15105063451195799061</stp>
        <tr r="D599" s="2"/>
      </tp>
      <tp t="s">
        <v>#N/A N/A</v>
        <stp/>
        <stp>BDP|16226702623885308352</stp>
        <tr r="G1361" s="2"/>
      </tp>
      <tp t="s">
        <v>#N/A N/A</v>
        <stp/>
        <stp>BDP|10869803541299686085</stp>
        <tr r="F2897" s="2"/>
      </tp>
      <tp t="s">
        <v>#N/A N/A</v>
        <stp/>
        <stp>BDP|14043782519640320758</stp>
        <tr r="B973" s="2"/>
      </tp>
      <tp t="s">
        <v>#N/A N/A</v>
        <stp/>
        <stp>BDP|13837813542502948858</stp>
        <tr r="I864" s="2"/>
      </tp>
      <tp t="s">
        <v>#N/A N/A</v>
        <stp/>
        <stp>BDP|15081000869685627385</stp>
        <tr r="H1451" s="2"/>
      </tp>
      <tp t="s">
        <v>#N/A N/A</v>
        <stp/>
        <stp>BDP|13434931771038220039</stp>
        <tr r="D2001" s="2"/>
      </tp>
      <tp t="s">
        <v>#N/A N/A</v>
        <stp/>
        <stp>BDP|14568552900957464332</stp>
        <tr r="D4863" s="2"/>
      </tp>
      <tp t="s">
        <v>#N/A N/A</v>
        <stp/>
        <stp>BDP|13587955494196015035</stp>
        <tr r="C4757" s="2"/>
      </tp>
      <tp t="s">
        <v>#N/A N/A</v>
        <stp/>
        <stp>BDP|10675621366210089554</stp>
        <tr r="H3500" s="2"/>
      </tp>
      <tp t="s">
        <v>#N/A N/A</v>
        <stp/>
        <stp>BDP|11000171905591798425</stp>
        <tr r="H1984" s="2"/>
      </tp>
      <tp t="s">
        <v>#N/A N/A</v>
        <stp/>
        <stp>BDP|11246212053595438638</stp>
        <tr r="A1603" s="2"/>
      </tp>
      <tp t="s">
        <v>#N/A N/A</v>
        <stp/>
        <stp>BDP|14177725534970972594</stp>
        <tr r="G644" s="2"/>
      </tp>
      <tp t="s">
        <v>#N/A N/A</v>
        <stp/>
        <stp>BDP|16488905457987042848</stp>
        <tr r="A1436" s="2"/>
      </tp>
      <tp t="s">
        <v>#N/A N/A</v>
        <stp/>
        <stp>BDP|11478315732096494243</stp>
        <tr r="H853" s="2"/>
      </tp>
      <tp t="s">
        <v>#N/A N/A</v>
        <stp/>
        <stp>BDP|18337905885028212438</stp>
        <tr r="F1865" s="2"/>
      </tp>
      <tp t="s">
        <v>#N/A N/A</v>
        <stp/>
        <stp>BDP|15400342266427619278</stp>
        <tr r="F2243" s="2"/>
      </tp>
      <tp t="s">
        <v>#N/A N/A</v>
        <stp/>
        <stp>BDP|14434883669939774651</stp>
        <tr r="H3082" s="2"/>
      </tp>
      <tp t="s">
        <v>#N/A N/A</v>
        <stp/>
        <stp>BDP|17054418224834380012</stp>
        <tr r="C349" s="2"/>
      </tp>
      <tp t="s">
        <v>#N/A N/A</v>
        <stp/>
        <stp>BDP|10737642612513487123</stp>
        <tr r="B3011" s="2"/>
      </tp>
      <tp t="s">
        <v>#N/A N/A</v>
        <stp/>
        <stp>BDP|14294795598268690728</stp>
        <tr r="H3356" s="2"/>
      </tp>
      <tp t="s">
        <v>#N/A N/A</v>
        <stp/>
        <stp>BDP|14913045565724744388</stp>
        <tr r="D827" s="2"/>
      </tp>
      <tp t="s">
        <v>#N/A N/A</v>
        <stp/>
        <stp>BDP|10239869333607539950</stp>
        <tr r="A3602" s="2"/>
      </tp>
      <tp t="s">
        <v>#N/A N/A</v>
        <stp/>
        <stp>BDP|12260684773195982375</stp>
        <tr r="I3904" s="2"/>
      </tp>
      <tp t="s">
        <v>#N/A N/A</v>
        <stp/>
        <stp>BDP|10998530670001540683</stp>
        <tr r="D1904" s="2"/>
      </tp>
      <tp t="s">
        <v>#N/A N/A</v>
        <stp/>
        <stp>BDP|15809362453622995433</stp>
        <tr r="B2246" s="2"/>
      </tp>
      <tp t="s">
        <v>#N/A N/A</v>
        <stp/>
        <stp>BDP|14405452155412114229</stp>
        <tr r="C2851" s="2"/>
      </tp>
      <tp t="s">
        <v>#N/A N/A</v>
        <stp/>
        <stp>BDP|15705539755110022064</stp>
        <tr r="D552" s="2"/>
      </tp>
      <tp t="s">
        <v>#N/A N/A</v>
        <stp/>
        <stp>BDP|16337341910461718079</stp>
        <tr r="D1250" s="2"/>
      </tp>
      <tp t="s">
        <v>#N/A N/A</v>
        <stp/>
        <stp>BDP|15635575308866623382</stp>
        <tr r="I4990" s="2"/>
      </tp>
      <tp t="s">
        <v>#N/A N/A</v>
        <stp/>
        <stp>BDP|16204404213801615703</stp>
        <tr r="G4602" s="2"/>
      </tp>
      <tp t="s">
        <v>#N/A N/A</v>
        <stp/>
        <stp>BDP|16235435645872557165</stp>
        <tr r="H3198" s="2"/>
      </tp>
      <tp t="s">
        <v>#N/A N/A</v>
        <stp/>
        <stp>BDP|18258201774760894897</stp>
        <tr r="H1089" s="2"/>
      </tp>
      <tp t="s">
        <v>#N/A N/A</v>
        <stp/>
        <stp>BDP|11490579854354061008</stp>
        <tr r="D571" s="2"/>
      </tp>
      <tp t="s">
        <v>#N/A N/A</v>
        <stp/>
        <stp>BDP|10391730341020679603</stp>
        <tr r="I2768" s="2"/>
      </tp>
      <tp t="s">
        <v>#N/A N/A</v>
        <stp/>
        <stp>BDP|12825667689250523958</stp>
        <tr r="G751" s="2"/>
      </tp>
      <tp t="s">
        <v>#N/A N/A</v>
        <stp/>
        <stp>BDP|12872157647621522389</stp>
        <tr r="G4248" s="2"/>
      </tp>
      <tp t="s">
        <v>#N/A N/A</v>
        <stp/>
        <stp>BDP|18431701184722685010</stp>
        <tr r="B1623" s="2"/>
      </tp>
      <tp t="s">
        <v>#N/A N/A</v>
        <stp/>
        <stp>BDP|10332243450481388331</stp>
        <tr r="F891" s="2"/>
      </tp>
      <tp t="s">
        <v>#N/A N/A</v>
        <stp/>
        <stp>BDP|11083900625166075923</stp>
        <tr r="F3665" s="2"/>
      </tp>
      <tp t="s">
        <v>#N/A N/A</v>
        <stp/>
        <stp>BDP|12685136755550341342</stp>
        <tr r="C4753" s="2"/>
      </tp>
      <tp t="s">
        <v>#N/A N/A</v>
        <stp/>
        <stp>BDP|17424828058979070699</stp>
        <tr r="F2786" s="2"/>
      </tp>
      <tp t="s">
        <v>#N/A N/A</v>
        <stp/>
        <stp>BDP|10626314830337012208</stp>
        <tr r="A2292" s="2"/>
      </tp>
      <tp t="s">
        <v>#N/A N/A</v>
        <stp/>
        <stp>BDP|13186015162445264573</stp>
        <tr r="F2069" s="2"/>
      </tp>
      <tp t="s">
        <v>#N/A N/A</v>
        <stp/>
        <stp>BDP|12542233432215201319</stp>
        <tr r="A690" s="2"/>
      </tp>
      <tp t="s">
        <v>#N/A N/A</v>
        <stp/>
        <stp>BDP|14024942615769382053</stp>
        <tr r="A3671" s="2"/>
      </tp>
      <tp t="s">
        <v>#N/A N/A</v>
        <stp/>
        <stp>BDP|14399123702773139352</stp>
        <tr r="G2548" s="2"/>
      </tp>
      <tp t="s">
        <v>#N/A N/A</v>
        <stp/>
        <stp>BDP|15539861880603183350</stp>
        <tr r="B2030" s="2"/>
      </tp>
      <tp t="s">
        <v>#N/A N/A</v>
        <stp/>
        <stp>BDP|14339602495207286938</stp>
        <tr r="G3071" s="2"/>
      </tp>
      <tp t="s">
        <v>#N/A N/A</v>
        <stp/>
        <stp>BDP|13528929447443192865</stp>
        <tr r="D4683" s="2"/>
      </tp>
      <tp t="s">
        <v>#N/A N/A</v>
        <stp/>
        <stp>BDP|17763011257877443028</stp>
        <tr r="D1554" s="2"/>
      </tp>
      <tp t="s">
        <v>#N/A N/A</v>
        <stp/>
        <stp>BDP|12503032436635502127</stp>
        <tr r="G4391" s="2"/>
      </tp>
      <tp t="s">
        <v>#N/A N/A</v>
        <stp/>
        <stp>BDP|13978574236505878572</stp>
        <tr r="A1270" s="2"/>
      </tp>
      <tp t="s">
        <v>#N/A N/A</v>
        <stp/>
        <stp>BDP|15810850964667651980</stp>
        <tr r="G2380" s="2"/>
      </tp>
      <tp t="s">
        <v>#N/A N/A</v>
        <stp/>
        <stp>BDP|12872562645642829443</stp>
        <tr r="C2352" s="2"/>
      </tp>
      <tp t="s">
        <v>#N/A N/A</v>
        <stp/>
        <stp>BDP|13214343961826706578</stp>
        <tr r="A4623" s="2"/>
      </tp>
      <tp t="s">
        <v>#N/A N/A</v>
        <stp/>
        <stp>BDP|13117350828400864731</stp>
        <tr r="G2898" s="2"/>
      </tp>
      <tp t="s">
        <v>#N/A N/A</v>
        <stp/>
        <stp>BDP|17665130940640652747</stp>
        <tr r="A4988" s="2"/>
      </tp>
      <tp t="s">
        <v>#N/A N/A</v>
        <stp/>
        <stp>BDP|17996437046594298690</stp>
        <tr r="H4500" s="2"/>
      </tp>
      <tp t="s">
        <v>#N/A N/A</v>
        <stp/>
        <stp>BDP|16452084511222975036</stp>
        <tr r="B422" s="2"/>
      </tp>
      <tp t="s">
        <v>#N/A N/A</v>
        <stp/>
        <stp>BDP|13585756587830961992</stp>
        <tr r="C1837" s="2"/>
      </tp>
      <tp t="s">
        <v>#N/A N/A</v>
        <stp/>
        <stp>BDP|17083310444925798059</stp>
        <tr r="D1428" s="2"/>
      </tp>
      <tp t="s">
        <v>#N/A N/A</v>
        <stp/>
        <stp>BDP|12551997432294920903</stp>
        <tr r="F1435" s="2"/>
      </tp>
      <tp t="s">
        <v>#N/A N/A</v>
        <stp/>
        <stp>BDP|14231273391682465871</stp>
        <tr r="B3658" s="2"/>
      </tp>
      <tp t="s">
        <v>#N/A N/A</v>
        <stp/>
        <stp>BDP|12602480980168076397</stp>
        <tr r="G714" s="2"/>
      </tp>
      <tp t="s">
        <v>#N/A N/A</v>
        <stp/>
        <stp>BDP|17295834885804336607</stp>
        <tr r="G1228" s="2"/>
      </tp>
      <tp t="s">
        <v>#N/A N/A</v>
        <stp/>
        <stp>BDP|13989192742880302363</stp>
        <tr r="A4320" s="2"/>
      </tp>
      <tp t="s">
        <v>#N/A N/A</v>
        <stp/>
        <stp>BDP|15544834024822391860</stp>
        <tr r="F2221" s="2"/>
      </tp>
      <tp t="s">
        <v>#N/A N/A</v>
        <stp/>
        <stp>BDP|16689760954933415271</stp>
        <tr r="B4173" s="2"/>
      </tp>
      <tp t="s">
        <v>#N/A N/A</v>
        <stp/>
        <stp>BDP|17632621320456065031</stp>
        <tr r="F3777" s="2"/>
      </tp>
      <tp t="s">
        <v>#N/A N/A</v>
        <stp/>
        <stp>BDP|12625852355152713861</stp>
        <tr r="B3066" s="2"/>
      </tp>
      <tp t="s">
        <v>#N/A N/A</v>
        <stp/>
        <stp>BDP|10560358032424680133</stp>
        <tr r="F1428" s="2"/>
      </tp>
      <tp t="s">
        <v>#N/A N/A</v>
        <stp/>
        <stp>BDP|13733166456480232222</stp>
        <tr r="C4467" s="2"/>
      </tp>
      <tp t="s">
        <v>#N/A N/A</v>
        <stp/>
        <stp>BDP|10663812937017717905</stp>
        <tr r="A1486" s="2"/>
      </tp>
      <tp t="s">
        <v>#N/A N/A</v>
        <stp/>
        <stp>BDP|16813790462665460701</stp>
        <tr r="D1950" s="2"/>
      </tp>
      <tp t="s">
        <v>#N/A N/A</v>
        <stp/>
        <stp>BDP|10695404016255780507</stp>
        <tr r="D4546" s="2"/>
      </tp>
      <tp t="s">
        <v>#N/A N/A</v>
        <stp/>
        <stp>BDP|11973878212839860431</stp>
        <tr r="F3447" s="2"/>
      </tp>
      <tp t="s">
        <v>#N/A N/A</v>
        <stp/>
        <stp>BDP|11768009072436746558</stp>
        <tr r="H3998" s="2"/>
      </tp>
      <tp t="s">
        <v>#N/A N/A</v>
        <stp/>
        <stp>BDP|12716446808340516392</stp>
        <tr r="A2670" s="2"/>
      </tp>
      <tp t="s">
        <v>#N/A N/A</v>
        <stp/>
        <stp>BDP|10769776960036749203</stp>
        <tr r="I1931" s="2"/>
      </tp>
      <tp t="s">
        <v>#N/A N/A</v>
        <stp/>
        <stp>BDP|12913080643786308561</stp>
        <tr r="C2147" s="2"/>
      </tp>
      <tp t="s">
        <v>#N/A N/A</v>
        <stp/>
        <stp>BDP|10075733353976725108</stp>
        <tr r="C662" s="2"/>
      </tp>
      <tp t="s">
        <v>#N/A N/A</v>
        <stp/>
        <stp>BDP|16615188622066391687</stp>
        <tr r="F333" s="2"/>
      </tp>
      <tp t="s">
        <v>#N/A N/A</v>
        <stp/>
        <stp>BDP|13657052987366239810</stp>
        <tr r="G697" s="2"/>
      </tp>
      <tp t="s">
        <v>#N/A N/A</v>
        <stp/>
        <stp>BDP|17021044562967183300</stp>
        <tr r="G2158" s="2"/>
      </tp>
      <tp t="s">
        <v>#N/A N/A</v>
        <stp/>
        <stp>BDP|12705644766452448562</stp>
        <tr r="I3121" s="2"/>
      </tp>
      <tp t="s">
        <v>#N/A N/A</v>
        <stp/>
        <stp>BDP|10038663711393113114</stp>
        <tr r="F4586" s="2"/>
      </tp>
      <tp t="s">
        <v>#N/A N/A</v>
        <stp/>
        <stp>BDP|13141449433420870198</stp>
        <tr r="F3509" s="2"/>
      </tp>
      <tp t="s">
        <v>#N/A N/A</v>
        <stp/>
        <stp>BDP|14486650669623912269</stp>
        <tr r="F4393" s="2"/>
      </tp>
      <tp t="s">
        <v>#N/A N/A</v>
        <stp/>
        <stp>BDP|10897678422549225880</stp>
        <tr r="D2489" s="2"/>
      </tp>
      <tp t="s">
        <v>#N/A N/A</v>
        <stp/>
        <stp>BDP|14456567149781482188</stp>
        <tr r="D4118" s="2"/>
      </tp>
      <tp t="s">
        <v>#N/A N/A</v>
        <stp/>
        <stp>BDP|15114565642678069921</stp>
        <tr r="H1074" s="2"/>
      </tp>
      <tp t="s">
        <v>#N/A N/A</v>
        <stp/>
        <stp>BDP|16577244050526339250</stp>
        <tr r="C1726" s="2"/>
      </tp>
      <tp t="s">
        <v>#N/A N/A</v>
        <stp/>
        <stp>BDP|12589707842063599753</stp>
        <tr r="F2827" s="2"/>
      </tp>
      <tp t="s">
        <v>#N/A N/A</v>
        <stp/>
        <stp>BDP|16842533904414142292</stp>
        <tr r="I3155" s="2"/>
      </tp>
      <tp t="s">
        <v>#N/A N/A</v>
        <stp/>
        <stp>BDP|17490138625245619437</stp>
        <tr r="I1645" s="2"/>
      </tp>
      <tp t="s">
        <v>#N/A N/A</v>
        <stp/>
        <stp>BDP|13327469504025775719</stp>
        <tr r="H2317" s="2"/>
      </tp>
      <tp t="s">
        <v>#N/A N/A</v>
        <stp/>
        <stp>BDP|12607493434428835841</stp>
        <tr r="H1488" s="2"/>
      </tp>
      <tp t="s">
        <v>#N/A N/A</v>
        <stp/>
        <stp>BDP|17396327011063136368</stp>
        <tr r="F980" s="2"/>
      </tp>
      <tp t="s">
        <v>#N/A N/A</v>
        <stp/>
        <stp>BDP|17891183023237594614</stp>
        <tr r="B222" s="2"/>
      </tp>
      <tp t="s">
        <v>#N/A N/A</v>
        <stp/>
        <stp>BDP|10717375174403068232</stp>
        <tr r="F2214" s="2"/>
      </tp>
      <tp t="s">
        <v>#N/A N/A</v>
        <stp/>
        <stp>BDP|15667575917576703262</stp>
        <tr r="B3591" s="2"/>
      </tp>
      <tp t="s">
        <v>#N/A N/A</v>
        <stp/>
        <stp>BDP|17123782386029155491</stp>
        <tr r="F3656" s="2"/>
      </tp>
      <tp t="s">
        <v>#N/A N/A</v>
        <stp/>
        <stp>BDP|15732753364036552741</stp>
        <tr r="I3300" s="2"/>
      </tp>
      <tp t="s">
        <v>#N/A N/A</v>
        <stp/>
        <stp>BDP|16019564160799271931</stp>
        <tr r="B3932" s="2"/>
      </tp>
      <tp t="s">
        <v>#N/A N/A</v>
        <stp/>
        <stp>BDP|16825085913594327674</stp>
        <tr r="F1191" s="2"/>
      </tp>
      <tp t="s">
        <v>#N/A N/A</v>
        <stp/>
        <stp>BDP|17453614896825347866</stp>
        <tr r="B2434" s="2"/>
      </tp>
      <tp t="s">
        <v>#N/A N/A</v>
        <stp/>
        <stp>BDP|18074408305308539165</stp>
        <tr r="A2254" s="2"/>
      </tp>
      <tp t="s">
        <v>#N/A N/A</v>
        <stp/>
        <stp>BDP|15793453846864114439</stp>
        <tr r="F777" s="2"/>
      </tp>
      <tp t="s">
        <v>#N/A N/A</v>
        <stp/>
        <stp>BDP|17993382832425000755</stp>
        <tr r="G126" s="2"/>
      </tp>
      <tp t="s">
        <v>#N/A N/A</v>
        <stp/>
        <stp>BDP|10374392070880559192</stp>
        <tr r="C2590" s="2"/>
      </tp>
      <tp t="s">
        <v>#N/A N/A</v>
        <stp/>
        <stp>BDP|13848605305480364089</stp>
        <tr r="G2525" s="2"/>
      </tp>
      <tp t="s">
        <v>#N/A N/A</v>
        <stp/>
        <stp>BDP|14169370334940758130</stp>
        <tr r="I4660" s="2"/>
      </tp>
      <tp t="s">
        <v>#N/A N/A</v>
        <stp/>
        <stp>BDP|14201444051759682971</stp>
        <tr r="B4364" s="2"/>
      </tp>
      <tp t="s">
        <v>#N/A N/A</v>
        <stp/>
        <stp>BDP|14273338120950151069</stp>
        <tr r="H1112" s="2"/>
      </tp>
      <tp t="s">
        <v>#N/A N/A</v>
        <stp/>
        <stp>BDP|15666584969542489155</stp>
        <tr r="D141" s="2"/>
      </tp>
      <tp t="s">
        <v>#N/A N/A</v>
        <stp/>
        <stp>BDP|11318467721885478760</stp>
        <tr r="C2750" s="2"/>
      </tp>
      <tp t="s">
        <v>#N/A N/A</v>
        <stp/>
        <stp>BDP|15239773657806356474</stp>
        <tr r="I4921" s="2"/>
      </tp>
      <tp t="s">
        <v>#N/A N/A</v>
        <stp/>
        <stp>BDP|11713962572612752829</stp>
        <tr r="B2631" s="2"/>
      </tp>
      <tp t="s">
        <v>#N/A N/A</v>
        <stp/>
        <stp>BDP|10041077443333101239</stp>
        <tr r="H3446" s="2"/>
      </tp>
      <tp t="s">
        <v>#N/A N/A</v>
        <stp/>
        <stp>BDP|13404211413316696362</stp>
        <tr r="F4039" s="2"/>
      </tp>
      <tp t="s">
        <v>#N/A N/A</v>
        <stp/>
        <stp>BDP|17138171584953545817</stp>
        <tr r="A3849" s="2"/>
      </tp>
      <tp t="s">
        <v>#N/A N/A</v>
        <stp/>
        <stp>BDP|10880594912363763221</stp>
        <tr r="A1570" s="2"/>
      </tp>
      <tp t="s">
        <v>#N/A N/A</v>
        <stp/>
        <stp>BDP|14582500889619234585</stp>
        <tr r="B3326" s="2"/>
      </tp>
      <tp t="s">
        <v>#N/A N/A</v>
        <stp/>
        <stp>BDP|17098148179405840139</stp>
        <tr r="A4416" s="2"/>
      </tp>
      <tp t="s">
        <v>#N/A N/A</v>
        <stp/>
        <stp>BDP|10500931731507346828</stp>
        <tr r="I4345" s="2"/>
      </tp>
      <tp t="s">
        <v>#N/A N/A</v>
        <stp/>
        <stp>BDP|12360360403621197511</stp>
        <tr r="D3438" s="2"/>
      </tp>
      <tp t="s">
        <v>#N/A N/A</v>
        <stp/>
        <stp>BDP|13228970875079586132</stp>
        <tr r="H4559" s="2"/>
      </tp>
      <tp t="s">
        <v>#N/A N/A</v>
        <stp/>
        <stp>BDP|16575075863491597427</stp>
        <tr r="A1443" s="2"/>
      </tp>
      <tp t="s">
        <v>#N/A N/A</v>
        <stp/>
        <stp>BDP|10199284270359856974</stp>
        <tr r="F1776" s="2"/>
      </tp>
      <tp t="s">
        <v>#N/A N/A</v>
        <stp/>
        <stp>BDP|14939895286756675769</stp>
        <tr r="H3285" s="2"/>
      </tp>
      <tp t="s">
        <v>#N/A N/A</v>
        <stp/>
        <stp>BDP|18247494432893621995</stp>
        <tr r="C1135" s="2"/>
      </tp>
      <tp t="s">
        <v>#N/A N/A</v>
        <stp/>
        <stp>BDP|13532358315325564161</stp>
        <tr r="G2703" s="2"/>
      </tp>
      <tp t="s">
        <v>#N/A N/A</v>
        <stp/>
        <stp>BDP|12622936694624146369</stp>
        <tr r="G4215" s="2"/>
      </tp>
      <tp t="s">
        <v>#N/A N/A</v>
        <stp/>
        <stp>BDP|12652137580259570768</stp>
        <tr r="B92" s="2"/>
      </tp>
      <tp t="s">
        <v>#N/A N/A</v>
        <stp/>
        <stp>BDP|14714769395778242704</stp>
        <tr r="I1984" s="2"/>
      </tp>
      <tp t="s">
        <v>#N/A N/A</v>
        <stp/>
        <stp>BDP|11218966037916344864</stp>
        <tr r="C4956" s="2"/>
      </tp>
      <tp t="s">
        <v>#N/A N/A</v>
        <stp/>
        <stp>BDP|17291781830612842444</stp>
        <tr r="I4775" s="2"/>
      </tp>
      <tp t="s">
        <v>#N/A N/A</v>
        <stp/>
        <stp>BDP|15000744450501193336</stp>
        <tr r="I3376" s="2"/>
      </tp>
      <tp t="s">
        <v>#N/A N/A</v>
        <stp/>
        <stp>BDP|15297726172743121354</stp>
        <tr r="B4290" s="2"/>
      </tp>
      <tp t="s">
        <v>#N/A N/A</v>
        <stp/>
        <stp>BDP|17987920338308660030</stp>
        <tr r="D1154" s="2"/>
      </tp>
      <tp t="s">
        <v>#N/A N/A</v>
        <stp/>
        <stp>BDP|10207204808581580694</stp>
        <tr r="C4594" s="2"/>
      </tp>
      <tp t="s">
        <v>#N/A N/A</v>
        <stp/>
        <stp>BDP|15261636405857077122</stp>
        <tr r="F3181" s="2"/>
      </tp>
      <tp t="s">
        <v>#N/A N/A</v>
        <stp/>
        <stp>BDP|15874969462399278687</stp>
        <tr r="B2882" s="2"/>
      </tp>
      <tp t="s">
        <v>#N/A N/A</v>
        <stp/>
        <stp>BDP|14734382105974811644</stp>
        <tr r="B3956" s="2"/>
      </tp>
      <tp t="s">
        <v>#N/A N/A</v>
        <stp/>
        <stp>BDP|14863209357294863217</stp>
        <tr r="H2378" s="2"/>
      </tp>
      <tp t="s">
        <v>#N/A N/A</v>
        <stp/>
        <stp>BDP|11145235447952033037</stp>
        <tr r="G466" s="2"/>
      </tp>
      <tp t="s">
        <v>#N/A N/A</v>
        <stp/>
        <stp>BDP|11950902189530270549</stp>
        <tr r="C288" s="2"/>
      </tp>
      <tp t="s">
        <v>#N/A N/A</v>
        <stp/>
        <stp>BDP|18380343396047605017</stp>
        <tr r="I1884" s="2"/>
      </tp>
      <tp t="s">
        <v>#N/A N/A</v>
        <stp/>
        <stp>BDP|17793148077065359117</stp>
        <tr r="G2420" s="2"/>
      </tp>
      <tp t="s">
        <v>#N/A N/A</v>
        <stp/>
        <stp>BDP|12661602163706098139</stp>
        <tr r="F472" s="2"/>
      </tp>
      <tp t="s">
        <v>#N/A N/A</v>
        <stp/>
        <stp>BDP|14555306377813091641</stp>
        <tr r="A1867" s="2"/>
      </tp>
      <tp t="s">
        <v>#N/A N/A</v>
        <stp/>
        <stp>BDP|16993888581367696408</stp>
        <tr r="F1530" s="2"/>
      </tp>
      <tp t="s">
        <v>#N/A N/A</v>
        <stp/>
        <stp>BDP|10134492871941828779</stp>
        <tr r="A1865" s="2"/>
      </tp>
      <tp t="s">
        <v>#N/A N/A</v>
        <stp/>
        <stp>BDP|16369589509405590310</stp>
        <tr r="F3415" s="2"/>
      </tp>
      <tp t="s">
        <v>#N/A N/A</v>
        <stp/>
        <stp>BDP|18047930381724059844</stp>
        <tr r="D366" s="2"/>
      </tp>
      <tp t="s">
        <v>#N/A N/A</v>
        <stp/>
        <stp>BDP|11348157387239700403</stp>
        <tr r="F3062" s="2"/>
      </tp>
      <tp t="s">
        <v>#N/A N/A</v>
        <stp/>
        <stp>BDP|15497329410686623466</stp>
        <tr r="C86" s="2"/>
      </tp>
      <tp t="s">
        <v>#N/A N/A</v>
        <stp/>
        <stp>BDP|12312591524150049087</stp>
        <tr r="A590" s="2"/>
      </tp>
      <tp t="s">
        <v>#N/A N/A</v>
        <stp/>
        <stp>BDP|12455513337706463705</stp>
        <tr r="A3450" s="2"/>
      </tp>
      <tp t="s">
        <v>#N/A N/A</v>
        <stp/>
        <stp>BDP|16094576135957075243</stp>
        <tr r="C3165" s="2"/>
      </tp>
      <tp t="s">
        <v>#N/A N/A</v>
        <stp/>
        <stp>BDP|16885051958901669757</stp>
        <tr r="F3659" s="2"/>
      </tp>
      <tp t="s">
        <v>#N/A N/A</v>
        <stp/>
        <stp>BDP|13880288057328606972</stp>
        <tr r="F2395" s="2"/>
      </tp>
      <tp t="s">
        <v>#N/A N/A</v>
        <stp/>
        <stp>BDP|12045074368359902802</stp>
        <tr r="D3989" s="2"/>
      </tp>
      <tp t="s">
        <v>#N/A N/A</v>
        <stp/>
        <stp>BDP|13247741640911188414</stp>
        <tr r="F1984" s="2"/>
      </tp>
      <tp t="s">
        <v>#N/A N/A</v>
        <stp/>
        <stp>BDP|11510590812941085187</stp>
        <tr r="C4733" s="2"/>
      </tp>
      <tp t="s">
        <v>#N/A N/A</v>
        <stp/>
        <stp>BDP|10587905789692342698</stp>
        <tr r="F934" s="2"/>
      </tp>
      <tp t="s">
        <v>#N/A N/A</v>
        <stp/>
        <stp>BDP|14655588481185983903</stp>
        <tr r="B2273" s="2"/>
      </tp>
      <tp t="s">
        <v>#N/A N/A</v>
        <stp/>
        <stp>BDP|14077912538262851975</stp>
        <tr r="D3666" s="2"/>
      </tp>
      <tp t="s">
        <v>#N/A N/A</v>
        <stp/>
        <stp>BDP|11737267411256071166</stp>
        <tr r="D4137" s="2"/>
      </tp>
      <tp t="s">
        <v>#N/A N/A</v>
        <stp/>
        <stp>BDP|10720689271477195391</stp>
        <tr r="G4576" s="2"/>
      </tp>
      <tp t="s">
        <v>#N/A N/A</v>
        <stp/>
        <stp>BDP|14548368516841556267</stp>
        <tr r="H260" s="2"/>
      </tp>
      <tp t="s">
        <v>#N/A N/A</v>
        <stp/>
        <stp>BDP|17465975698441943345</stp>
        <tr r="C4609" s="2"/>
      </tp>
      <tp t="s">
        <v>#N/A N/A</v>
        <stp/>
        <stp>BDP|17608545941767456411</stp>
        <tr r="G3847" s="2"/>
      </tp>
      <tp t="s">
        <v>#N/A N/A</v>
        <stp/>
        <stp>BDP|16846453707437552090</stp>
        <tr r="H2331" s="2"/>
      </tp>
      <tp t="s">
        <v>#N/A N/A</v>
        <stp/>
        <stp>BDP|17459483519383424471</stp>
        <tr r="C1259" s="2"/>
      </tp>
      <tp t="s">
        <v>#N/A N/A</v>
        <stp/>
        <stp>BDP|15215750810227832195</stp>
        <tr r="G3862" s="2"/>
      </tp>
      <tp t="s">
        <v>#N/A N/A</v>
        <stp/>
        <stp>BDP|11406210950626704543</stp>
        <tr r="H3453" s="2"/>
      </tp>
      <tp t="s">
        <v>#N/A N/A</v>
        <stp/>
        <stp>BDP|16305044322090436172</stp>
        <tr r="H4318" s="2"/>
      </tp>
      <tp t="s">
        <v>#N/A N/A</v>
        <stp/>
        <stp>BDP|10132195999649504425</stp>
        <tr r="G1553" s="2"/>
      </tp>
      <tp t="s">
        <v>#N/A N/A</v>
        <stp/>
        <stp>BDP|11498166854037732779</stp>
        <tr r="B4674" s="2"/>
      </tp>
      <tp t="s">
        <v>#N/A N/A</v>
        <stp/>
        <stp>BDP|16660221373217263136</stp>
        <tr r="B4781" s="2"/>
      </tp>
      <tp t="s">
        <v>#N/A N/A</v>
        <stp/>
        <stp>BDP|12672531500443121125</stp>
        <tr r="H845" s="2"/>
      </tp>
      <tp t="s">
        <v>#N/A N/A</v>
        <stp/>
        <stp>BDP|14589323886449588323</stp>
        <tr r="G3794" s="2"/>
      </tp>
      <tp t="s">
        <v>#N/A N/A</v>
        <stp/>
        <stp>BDP|18438746421300171865</stp>
        <tr r="F428" s="2"/>
      </tp>
      <tp t="s">
        <v>#N/A N/A</v>
        <stp/>
        <stp>BDP|12171853622475728876</stp>
        <tr r="B1606" s="2"/>
      </tp>
      <tp t="s">
        <v>#N/A N/A</v>
        <stp/>
        <stp>BDP|11054906629146933965</stp>
        <tr r="G3022" s="2"/>
      </tp>
      <tp t="s">
        <v>#N/A N/A</v>
        <stp/>
        <stp>BDP|16145249203808943995</stp>
        <tr r="B1129" s="2"/>
      </tp>
      <tp t="s">
        <v>#N/A N/A</v>
        <stp/>
        <stp>BDP|16868619468620488335</stp>
        <tr r="D4993" s="2"/>
      </tp>
    </main>
    <main first="bofaddin.rtdserver">
      <tp t="s">
        <v>#N/A N/A</v>
        <stp/>
        <stp>BDP|1853814200375382</stp>
        <tr r="D4013" s="2"/>
      </tp>
      <tp t="s">
        <v>#N/A N/A</v>
        <stp/>
        <stp>BDP|4369480328734909</stp>
        <tr r="G2202" s="2"/>
      </tp>
      <tp t="s">
        <v>#N/A N/A</v>
        <stp/>
        <stp>BDP|2388794324355496</stp>
        <tr r="H4753" s="2"/>
      </tp>
      <tp t="s">
        <v>#N/A N/A</v>
        <stp/>
        <stp>BDP|4439181860934722</stp>
        <tr r="D1417" s="2"/>
      </tp>
      <tp t="s">
        <v>#N/A N/A</v>
        <stp/>
        <stp>BDP|9778655872679846</stp>
        <tr r="G3772" s="2"/>
      </tp>
      <tp t="s">
        <v>#N/A N/A</v>
        <stp/>
        <stp>BDP|5168285807495765</stp>
        <tr r="A2078" s="2"/>
      </tp>
      <tp t="s">
        <v>#N/A N/A</v>
        <stp/>
        <stp>BDP|3953338597324070</stp>
        <tr r="I2678" s="2"/>
      </tp>
      <tp t="s">
        <v>#N/A N/A</v>
        <stp/>
        <stp>BDP|9988265972395012</stp>
        <tr r="A3466" s="2"/>
      </tp>
      <tp t="s">
        <v>#N/A N/A</v>
        <stp/>
        <stp>BDP|3328025708366462</stp>
        <tr r="F3713" s="2"/>
      </tp>
      <tp t="s">
        <v>#N/A N/A</v>
        <stp/>
        <stp>BDP|3316086291540899</stp>
        <tr r="D3430" s="2"/>
      </tp>
      <tp t="s">
        <v>#N/A N/A</v>
        <stp/>
        <stp>BDP|8705987234808888</stp>
        <tr r="A4451" s="2"/>
      </tp>
      <tp t="s">
        <v>#N/A N/A</v>
        <stp/>
        <stp>BDP|8436558748224861</stp>
        <tr r="G898" s="2"/>
      </tp>
      <tp t="s">
        <v>#N/A N/A</v>
        <stp/>
        <stp>BDP|7363206351460351</stp>
        <tr r="G4053" s="2"/>
      </tp>
      <tp t="s">
        <v>#N/A N/A</v>
        <stp/>
        <stp>BDP|6349232222399496</stp>
        <tr r="G2474" s="2"/>
      </tp>
      <tp t="s">
        <v>#N/A N/A</v>
        <stp/>
        <stp>BDP|5322552591771163</stp>
        <tr r="C3377" s="2"/>
      </tp>
      <tp t="s">
        <v>#N/A N/A</v>
        <stp/>
        <stp>BDP|7096242425508666</stp>
        <tr r="H4078" s="2"/>
      </tp>
      <tp t="s">
        <v>#N/A N/A</v>
        <stp/>
        <stp>BDP|5930171669822018</stp>
        <tr r="H3985" s="2"/>
      </tp>
      <tp t="s">
        <v>#N/A N/A</v>
        <stp/>
        <stp>BDP|4484497791893971</stp>
        <tr r="I3925" s="2"/>
      </tp>
      <tp t="s">
        <v>#N/A N/A</v>
        <stp/>
        <stp>BDP|6850983942514711</stp>
        <tr r="G2170" s="2"/>
      </tp>
      <tp t="s">
        <v>#N/A N/A</v>
        <stp/>
        <stp>BDP|6142759187450852515</stp>
        <tr r="B418" s="2"/>
      </tp>
      <tp t="s">
        <v>#N/A N/A</v>
        <stp/>
        <stp>BDP|6694184479764462895</stp>
        <tr r="F868" s="2"/>
      </tp>
      <tp t="s">
        <v>#N/A N/A</v>
        <stp/>
        <stp>BDP|6041934319844213620</stp>
        <tr r="D2890" s="2"/>
      </tp>
      <tp t="s">
        <v>#N/A N/A</v>
        <stp/>
        <stp>BDP|3122394830398485764</stp>
        <tr r="A2381" s="2"/>
      </tp>
      <tp t="s">
        <v>#N/A N/A</v>
        <stp/>
        <stp>BDP|9832367395578698771</stp>
        <tr r="F2828" s="2"/>
      </tp>
      <tp t="s">
        <v>#N/A N/A</v>
        <stp/>
        <stp>BDP|1940096524447767898</stp>
        <tr r="C3070" s="2"/>
      </tp>
      <tp t="s">
        <v>#N/A N/A</v>
        <stp/>
        <stp>BDP|7692891547891008628</stp>
        <tr r="I1073" s="2"/>
      </tp>
      <tp t="s">
        <v>#N/A N/A</v>
        <stp/>
        <stp>BDP|3625767849785598963</stp>
        <tr r="C1793" s="2"/>
      </tp>
      <tp t="s">
        <v>#N/A N/A</v>
        <stp/>
        <stp>BDP|9753285653934660604</stp>
        <tr r="A4837" s="2"/>
      </tp>
      <tp t="s">
        <v>#N/A N/A</v>
        <stp/>
        <stp>BDP|8395963653140420882</stp>
        <tr r="I4723" s="2"/>
      </tp>
      <tp t="s">
        <v>#N/A N/A</v>
        <stp/>
        <stp>BDP|1412884757685988581</stp>
        <tr r="I2041" s="2"/>
      </tp>
      <tp t="s">
        <v>#N/A N/A</v>
        <stp/>
        <stp>BDP|1046144348260411829</stp>
        <tr r="D753" s="2"/>
      </tp>
      <tp t="s">
        <v>#N/A N/A</v>
        <stp/>
        <stp>BDP|2901473847968462676</stp>
        <tr r="B2562" s="2"/>
      </tp>
      <tp t="s">
        <v>#N/A N/A</v>
        <stp/>
        <stp>BDP|1307990975861456217</stp>
        <tr r="I4790" s="2"/>
      </tp>
      <tp t="s">
        <v>#N/A N/A</v>
        <stp/>
        <stp>BDP|3937244694322069638</stp>
        <tr r="D3029" s="2"/>
      </tp>
      <tp t="s">
        <v>#N/A N/A</v>
        <stp/>
        <stp>BDP|9330607183829909236</stp>
        <tr r="C1717" s="2"/>
      </tp>
      <tp t="s">
        <v>#N/A N/A</v>
        <stp/>
        <stp>BDP|4806155065867698849</stp>
        <tr r="D3326" s="2"/>
      </tp>
      <tp t="s">
        <v>#N/A N/A</v>
        <stp/>
        <stp>BDP|9259848877432238897</stp>
        <tr r="H3587" s="2"/>
      </tp>
      <tp t="s">
        <v>#N/A N/A</v>
        <stp/>
        <stp>BDP|5493351788243015137</stp>
        <tr r="A2897" s="2"/>
      </tp>
      <tp t="s">
        <v>#N/A N/A</v>
        <stp/>
        <stp>BDP|9997565212027204650</stp>
        <tr r="G1663" s="2"/>
      </tp>
      <tp t="s">
        <v>#N/A N/A</v>
        <stp/>
        <stp>BDP|5699687421119201473</stp>
        <tr r="D223" s="2"/>
      </tp>
      <tp t="s">
        <v>#N/A N/A</v>
        <stp/>
        <stp>BDP|5552878094118589098</stp>
        <tr r="F2142" s="2"/>
      </tp>
      <tp t="s">
        <v>#N/A N/A</v>
        <stp/>
        <stp>BDP|5340194412308390115</stp>
        <tr r="C4672" s="2"/>
      </tp>
      <tp t="s">
        <v>#N/A N/A</v>
        <stp/>
        <stp>BDP|4366682610239286631</stp>
        <tr r="F2247" s="2"/>
      </tp>
      <tp t="s">
        <v>#N/A N/A</v>
        <stp/>
        <stp>BDP|9806637279767991316</stp>
        <tr r="G816" s="2"/>
      </tp>
      <tp t="s">
        <v>#N/A N/A</v>
        <stp/>
        <stp>BDP|8554625679853428605</stp>
        <tr r="B4755" s="2"/>
      </tp>
      <tp t="s">
        <v>#N/A N/A</v>
        <stp/>
        <stp>BDP|7859029624450462901</stp>
        <tr r="F649" s="2"/>
      </tp>
      <tp t="s">
        <v>#N/A N/A</v>
        <stp/>
        <stp>BDP|4083827059595161003</stp>
        <tr r="B1467" s="2"/>
      </tp>
      <tp t="s">
        <v>#N/A N/A</v>
        <stp/>
        <stp>BDP|8750678908046211402</stp>
        <tr r="D2747" s="2"/>
      </tp>
      <tp t="s">
        <v>#N/A N/A</v>
        <stp/>
        <stp>BDP|7817161891025250674</stp>
        <tr r="D3827" s="2"/>
      </tp>
      <tp t="s">
        <v>#N/A N/A</v>
        <stp/>
        <stp>BDP|2782069082086902000</stp>
        <tr r="C1961" s="2"/>
      </tp>
      <tp t="s">
        <v>#N/A N/A</v>
        <stp/>
        <stp>BDP|7558944448412225416</stp>
        <tr r="D401" s="2"/>
      </tp>
      <tp t="s">
        <v>#N/A N/A</v>
        <stp/>
        <stp>BDP|7428803176560109494</stp>
        <tr r="D166" s="2"/>
      </tp>
      <tp t="s">
        <v>#N/A N/A</v>
        <stp/>
        <stp>BDP|7952671759329557182</stp>
        <tr r="H2851" s="2"/>
      </tp>
      <tp t="s">
        <v>#N/A N/A</v>
        <stp/>
        <stp>BDP|8235966426448854704</stp>
        <tr r="D2048" s="2"/>
      </tp>
      <tp t="s">
        <v>#N/A N/A</v>
        <stp/>
        <stp>BDP|6265560542659866246</stp>
        <tr r="G1281" s="2"/>
      </tp>
      <tp t="s">
        <v>#N/A N/A</v>
        <stp/>
        <stp>BDP|1926526481669600961</stp>
        <tr r="B4930" s="2"/>
      </tp>
      <tp t="s">
        <v>#N/A N/A</v>
        <stp/>
        <stp>BDP|9266673227880968118</stp>
        <tr r="G4067" s="2"/>
      </tp>
      <tp t="s">
        <v>#N/A N/A</v>
        <stp/>
        <stp>BDP|6661054192354970725</stp>
        <tr r="D336" s="2"/>
      </tp>
      <tp t="s">
        <v>#N/A N/A</v>
        <stp/>
        <stp>BDP|8902193161230815333</stp>
        <tr r="D1292" s="2"/>
      </tp>
      <tp t="s">
        <v>#N/A N/A</v>
        <stp/>
        <stp>BDP|6355575469158366144</stp>
        <tr r="D237" s="2"/>
      </tp>
      <tp t="s">
        <v>#N/A N/A</v>
        <stp/>
        <stp>BDP|6818340034352148834</stp>
        <tr r="D304" s="2"/>
      </tp>
      <tp t="s">
        <v>#N/A N/A</v>
        <stp/>
        <stp>BDP|7872930611801453248</stp>
        <tr r="I4132" s="2"/>
      </tp>
      <tp t="s">
        <v>#N/A N/A</v>
        <stp/>
        <stp>BDP|2022553329768736117</stp>
        <tr r="H3791" s="2"/>
      </tp>
      <tp t="s">
        <v>#N/A N/A</v>
        <stp/>
        <stp>BDP|4463273171505163894</stp>
        <tr r="F2481" s="2"/>
      </tp>
      <tp t="s">
        <v>#N/A N/A</v>
        <stp/>
        <stp>BDP|9975771095168352320</stp>
        <tr r="F3521" s="2"/>
      </tp>
      <tp t="s">
        <v>#N/A N/A</v>
        <stp/>
        <stp>BDP|2273017070460127984</stp>
        <tr r="B2285" s="2"/>
      </tp>
      <tp t="s">
        <v>#N/A N/A</v>
        <stp/>
        <stp>BDP|7190894127969204876</stp>
        <tr r="G2324" s="2"/>
      </tp>
      <tp t="s">
        <v>#N/A N/A</v>
        <stp/>
        <stp>BDP|5490472989886208321</stp>
        <tr r="F1549" s="2"/>
      </tp>
      <tp t="s">
        <v>#N/A N/A</v>
        <stp/>
        <stp>BDP|9371053457386864633</stp>
        <tr r="G1930" s="2"/>
      </tp>
      <tp t="s">
        <v>#N/A N/A</v>
        <stp/>
        <stp>BDP|4065716884040743786</stp>
        <tr r="D4796" s="2"/>
      </tp>
      <tp t="s">
        <v>#N/A N/A</v>
        <stp/>
        <stp>BDP|4331183230312066810</stp>
        <tr r="F4964" s="2"/>
      </tp>
      <tp t="s">
        <v>#N/A N/A</v>
        <stp/>
        <stp>BDP|3805215188505851030</stp>
        <tr r="A2647" s="2"/>
      </tp>
      <tp t="s">
        <v>#N/A N/A</v>
        <stp/>
        <stp>BDP|7637812267331956432</stp>
        <tr r="I2100" s="2"/>
      </tp>
      <tp t="s">
        <v>#N/A N/A</v>
        <stp/>
        <stp>BDP|7879432644299436211</stp>
        <tr r="A2355" s="2"/>
      </tp>
      <tp t="s">
        <v>#N/A N/A</v>
        <stp/>
        <stp>BDP|9812360676112255300</stp>
        <tr r="D3976" s="2"/>
      </tp>
      <tp t="s">
        <v>#N/A N/A</v>
        <stp/>
        <stp>BDP|9608855585004405180</stp>
        <tr r="D458" s="2"/>
      </tp>
      <tp t="s">
        <v>#N/A N/A</v>
        <stp/>
        <stp>BDP|4053946080211738897</stp>
        <tr r="A54" s="2"/>
      </tp>
      <tp t="s">
        <v>#N/A N/A</v>
        <stp/>
        <stp>BDP|5515832807115811437</stp>
        <tr r="I2579" s="2"/>
      </tp>
      <tp t="s">
        <v>#N/A N/A</v>
        <stp/>
        <stp>BDP|4494745791724886234</stp>
        <tr r="G3542" s="2"/>
      </tp>
      <tp t="s">
        <v>#N/A N/A</v>
        <stp/>
        <stp>BDP|7539867128581661070</stp>
        <tr r="D3649" s="2"/>
      </tp>
      <tp t="s">
        <v>#N/A N/A</v>
        <stp/>
        <stp>BDP|2572711339293056976</stp>
        <tr r="C3135" s="2"/>
      </tp>
      <tp t="s">
        <v>#N/A N/A</v>
        <stp/>
        <stp>BDP|6919126691720404247</stp>
        <tr r="B1781" s="2"/>
      </tp>
      <tp t="s">
        <v>#N/A N/A</v>
        <stp/>
        <stp>BDP|2380995773817106723</stp>
        <tr r="C1893" s="2"/>
      </tp>
      <tp t="s">
        <v>#N/A N/A</v>
        <stp/>
        <stp>BDP|6302913374806981255</stp>
        <tr r="A4366" s="2"/>
      </tp>
      <tp t="s">
        <v>#N/A N/A</v>
        <stp/>
        <stp>BDP|2204585358716807804</stp>
        <tr r="A4164" s="2"/>
      </tp>
      <tp t="s">
        <v>#N/A N/A</v>
        <stp/>
        <stp>BDP|6192907529621399008</stp>
        <tr r="C4458" s="2"/>
      </tp>
      <tp t="s">
        <v>#N/A N/A</v>
        <stp/>
        <stp>BDP|6902750574599390305</stp>
        <tr r="H1790" s="2"/>
      </tp>
      <tp t="s">
        <v>#N/A N/A</v>
        <stp/>
        <stp>BDP|9242295926305432028</stp>
        <tr r="D4686" s="2"/>
      </tp>
      <tp t="s">
        <v>#N/A N/A</v>
        <stp/>
        <stp>BDP|4522555310594832838</stp>
        <tr r="D2102" s="2"/>
      </tp>
      <tp t="s">
        <v>#N/A N/A</v>
        <stp/>
        <stp>BDP|3122878027577802227</stp>
        <tr r="F962" s="2"/>
      </tp>
      <tp t="s">
        <v>#N/A N/A</v>
        <stp/>
        <stp>BDP|4355955154562983605</stp>
        <tr r="H2757" s="2"/>
      </tp>
      <tp t="s">
        <v>#N/A N/A</v>
        <stp/>
        <stp>BDP|5813607045998648303</stp>
        <tr r="H4904" s="2"/>
      </tp>
      <tp t="s">
        <v>#N/A N/A</v>
        <stp/>
        <stp>BDP|7036530838635180815</stp>
        <tr r="F345" s="2"/>
      </tp>
      <tp t="s">
        <v>#N/A N/A</v>
        <stp/>
        <stp>BDP|1786791985822504059</stp>
        <tr r="C2076" s="2"/>
      </tp>
      <tp t="s">
        <v>#N/A N/A</v>
        <stp/>
        <stp>BDP|6272924738932692258</stp>
        <tr r="G4493" s="2"/>
      </tp>
      <tp t="s">
        <v>#N/A N/A</v>
        <stp/>
        <stp>BDP|4555837209805362577</stp>
        <tr r="B1025" s="2"/>
      </tp>
      <tp t="s">
        <v>#N/A N/A</v>
        <stp/>
        <stp>BDP|4656941029715710679</stp>
        <tr r="I257" s="2"/>
      </tp>
      <tp t="s">
        <v>#N/A N/A</v>
        <stp/>
        <stp>BDP|8465269317494913371</stp>
        <tr r="G3012" s="2"/>
      </tp>
      <tp t="s">
        <v>#N/A N/A</v>
        <stp/>
        <stp>BDP|8287586932803343109</stp>
        <tr r="I1606" s="2"/>
      </tp>
      <tp t="s">
        <v>#N/A N/A</v>
        <stp/>
        <stp>BDP|4679788086945797244</stp>
        <tr r="D4007" s="2"/>
      </tp>
      <tp t="s">
        <v>#N/A N/A</v>
        <stp/>
        <stp>BDP|6790142473185367987</stp>
        <tr r="B4643" s="2"/>
      </tp>
      <tp t="s">
        <v>#N/A N/A</v>
        <stp/>
        <stp>BDP|2111382190855561177</stp>
        <tr r="C888" s="2"/>
      </tp>
      <tp t="s">
        <v>#N/A N/A</v>
        <stp/>
        <stp>BDP|4213704994584993243</stp>
        <tr r="F1875" s="2"/>
      </tp>
      <tp t="s">
        <v>#N/A N/A</v>
        <stp/>
        <stp>BDP|1830474122868325357</stp>
        <tr r="I2360" s="2"/>
      </tp>
      <tp t="s">
        <v>#N/A N/A</v>
        <stp/>
        <stp>BDP|8525671825237882743</stp>
        <tr r="A2112" s="2"/>
      </tp>
      <tp t="s">
        <v>#N/A N/A</v>
        <stp/>
        <stp>BDP|6899270148418950452</stp>
        <tr r="I564" s="2"/>
      </tp>
      <tp t="s">
        <v>#N/A N/A</v>
        <stp/>
        <stp>BDP|7384744338176445904</stp>
        <tr r="B704" s="2"/>
      </tp>
      <tp t="s">
        <v>#N/A N/A</v>
        <stp/>
        <stp>BDP|1626559258784518951</stp>
        <tr r="A1961" s="2"/>
      </tp>
      <tp t="s">
        <v>#N/A N/A</v>
        <stp/>
        <stp>BDP|8938016730692764549</stp>
        <tr r="I1496" s="2"/>
      </tp>
      <tp t="s">
        <v>#N/A N/A</v>
        <stp/>
        <stp>BDP|4203839410594895529</stp>
        <tr r="A1774" s="2"/>
      </tp>
      <tp t="s">
        <v>#N/A N/A</v>
        <stp/>
        <stp>BDP|3989505978968283583</stp>
        <tr r="I3031" s="2"/>
      </tp>
      <tp t="s">
        <v>#N/A N/A</v>
        <stp/>
        <stp>BDP|7918448892523653526</stp>
        <tr r="I3446" s="2"/>
      </tp>
      <tp t="s">
        <v>#N/A N/A</v>
        <stp/>
        <stp>BDP|8916228541062056013</stp>
        <tr r="D3011" s="2"/>
      </tp>
      <tp t="s">
        <v>#N/A N/A</v>
        <stp/>
        <stp>BDP|4298185499176926610</stp>
        <tr r="H946" s="2"/>
      </tp>
      <tp t="s">
        <v>#N/A N/A</v>
        <stp/>
        <stp>BDP|5459468458068841096</stp>
        <tr r="I2931" s="2"/>
      </tp>
      <tp t="s">
        <v>#N/A N/A</v>
        <stp/>
        <stp>BDP|8302908329818084716</stp>
        <tr r="H633" s="2"/>
      </tp>
      <tp t="s">
        <v>#N/A N/A</v>
        <stp/>
        <stp>BDP|1997732500449298338</stp>
        <tr r="F521" s="2"/>
      </tp>
      <tp t="s">
        <v>#N/A N/A</v>
        <stp/>
        <stp>BDP|3086378518395692824</stp>
        <tr r="A1078" s="2"/>
      </tp>
      <tp t="s">
        <v>#N/A N/A</v>
        <stp/>
        <stp>BDP|4834384698526388404</stp>
        <tr r="F2519" s="2"/>
      </tp>
      <tp t="s">
        <v>#N/A N/A</v>
        <stp/>
        <stp>BDP|8086516129552048131</stp>
        <tr r="G984" s="2"/>
      </tp>
      <tp t="s">
        <v>#N/A N/A</v>
        <stp/>
        <stp>BDP|2708614649048131459</stp>
        <tr r="I2321" s="2"/>
      </tp>
      <tp t="s">
        <v>#N/A N/A</v>
        <stp/>
        <stp>BDP|8004741113014833643</stp>
        <tr r="F2037" s="2"/>
      </tp>
      <tp t="s">
        <v>#N/A N/A</v>
        <stp/>
        <stp>BDP|2167182963198457151</stp>
        <tr r="I756" s="2"/>
      </tp>
      <tp t="s">
        <v>#N/A N/A</v>
        <stp/>
        <stp>BDP|6074909204940741382</stp>
        <tr r="G808" s="2"/>
      </tp>
      <tp t="s">
        <v>#N/A N/A</v>
        <stp/>
        <stp>BDP|8431251114757960073</stp>
        <tr r="F3296" s="2"/>
      </tp>
      <tp t="s">
        <v>#N/A N/A</v>
        <stp/>
        <stp>BDP|7565599188722604498</stp>
        <tr r="H4496" s="2"/>
      </tp>
      <tp t="s">
        <v>#N/A N/A</v>
        <stp/>
        <stp>BDP|7134077048386430914</stp>
        <tr r="D3313" s="2"/>
      </tp>
      <tp t="s">
        <v>#N/A N/A</v>
        <stp/>
        <stp>BDP|7153085883511257230</stp>
        <tr r="F1717" s="2"/>
      </tp>
      <tp t="s">
        <v>#N/A N/A</v>
        <stp/>
        <stp>BDP|8719140529142452555</stp>
        <tr r="A1568" s="2"/>
      </tp>
      <tp t="s">
        <v>#N/A N/A</v>
        <stp/>
        <stp>BDP|2645775191712360283</stp>
        <tr r="F4285" s="2"/>
      </tp>
      <tp t="s">
        <v>#N/A N/A</v>
        <stp/>
        <stp>BDP|7458796487986381221</stp>
        <tr r="I3097" s="2"/>
      </tp>
      <tp t="s">
        <v>#N/A N/A</v>
        <stp/>
        <stp>BDP|7375000477758807473</stp>
        <tr r="C491" s="2"/>
      </tp>
      <tp t="s">
        <v>#N/A N/A</v>
        <stp/>
        <stp>BDP|3372605088426969793</stp>
        <tr r="G3034" s="2"/>
      </tp>
      <tp t="s">
        <v>#N/A N/A</v>
        <stp/>
        <stp>BDP|3087842162833841254</stp>
        <tr r="F1258" s="2"/>
      </tp>
      <tp t="s">
        <v>#N/A N/A</v>
        <stp/>
        <stp>BDP|9998667097678636259</stp>
        <tr r="I1592" s="2"/>
      </tp>
      <tp t="s">
        <v>#N/A N/A</v>
        <stp/>
        <stp>BDP|3157320692122339795</stp>
        <tr r="G2734" s="2"/>
      </tp>
      <tp t="s">
        <v>#N/A N/A</v>
        <stp/>
        <stp>BDP|4653021527253923911</stp>
        <tr r="D2824" s="2"/>
      </tp>
      <tp t="s">
        <v>#N/A N/A</v>
        <stp/>
        <stp>BDP|3018382016508033550</stp>
        <tr r="C2216" s="2"/>
      </tp>
      <tp t="s">
        <v>#N/A N/A</v>
        <stp/>
        <stp>BDP|9762382867672079231</stp>
        <tr r="D2258" s="2"/>
      </tp>
      <tp t="s">
        <v>#N/A N/A</v>
        <stp/>
        <stp>BDP|3466431711028411292</stp>
        <tr r="I1788" s="2"/>
      </tp>
      <tp t="s">
        <v>#N/A N/A</v>
        <stp/>
        <stp>BDP|4323084097179412831</stp>
        <tr r="A4899" s="2"/>
      </tp>
      <tp t="s">
        <v>#N/A N/A</v>
        <stp/>
        <stp>BDP|9122393662633540344</stp>
        <tr r="B1660" s="2"/>
      </tp>
      <tp t="s">
        <v>#N/A N/A</v>
        <stp/>
        <stp>BDP|8218015274090550396</stp>
        <tr r="B2887" s="2"/>
      </tp>
      <tp t="s">
        <v>#N/A N/A</v>
        <stp/>
        <stp>BDP|7120282806290155951</stp>
        <tr r="I4310" s="2"/>
      </tp>
      <tp t="s">
        <v>#N/A N/A</v>
        <stp/>
        <stp>BDP|1343873823233518492</stp>
        <tr r="C635" s="2"/>
      </tp>
      <tp t="s">
        <v>#N/A N/A</v>
        <stp/>
        <stp>BDP|3907674336719367303</stp>
        <tr r="A889" s="2"/>
      </tp>
      <tp t="s">
        <v>#N/A N/A</v>
        <stp/>
        <stp>BDP|7861246726648471357</stp>
        <tr r="C1079" s="2"/>
      </tp>
      <tp t="s">
        <v>#N/A N/A</v>
        <stp/>
        <stp>BDP|1325534097996905759</stp>
        <tr r="D3272" s="2"/>
      </tp>
      <tp t="s">
        <v>#N/A N/A</v>
        <stp/>
        <stp>BDP|2093970479094295476</stp>
        <tr r="C1299" s="2"/>
      </tp>
      <tp t="s">
        <v>#N/A N/A</v>
        <stp/>
        <stp>BDP|6052734678952375806</stp>
        <tr r="C791" s="2"/>
      </tp>
      <tp t="s">
        <v>#N/A N/A</v>
        <stp/>
        <stp>BDP|1590787984402348027</stp>
        <tr r="A3532" s="2"/>
      </tp>
      <tp t="s">
        <v>#N/A N/A</v>
        <stp/>
        <stp>BDP|5995760135024698949</stp>
        <tr r="H2633" s="2"/>
      </tp>
      <tp t="s">
        <v>#N/A N/A</v>
        <stp/>
        <stp>BDP|4806928654160679407</stp>
        <tr r="D4799" s="2"/>
      </tp>
      <tp t="s">
        <v>#N/A N/A</v>
        <stp/>
        <stp>BDP|1147688327299614006</stp>
        <tr r="G707" s="2"/>
      </tp>
      <tp t="s">
        <v>#N/A N/A</v>
        <stp/>
        <stp>BDP|8395196167230602335</stp>
        <tr r="H4195" s="2"/>
      </tp>
      <tp t="s">
        <v>#N/A N/A</v>
        <stp/>
        <stp>BDP|1537191536836342916</stp>
        <tr r="D3145" s="2"/>
      </tp>
      <tp t="s">
        <v>#N/A N/A</v>
        <stp/>
        <stp>BDP|1323708359358779756</stp>
        <tr r="I2070" s="2"/>
      </tp>
      <tp t="s">
        <v>#N/A N/A</v>
        <stp/>
        <stp>BDP|4793993155274363005</stp>
        <tr r="G1202" s="2"/>
      </tp>
      <tp t="s">
        <v>#N/A N/A</v>
        <stp/>
        <stp>BDP|3309565654137878819</stp>
        <tr r="B2626" s="2"/>
      </tp>
      <tp t="s">
        <v>#N/A N/A</v>
        <stp/>
        <stp>BDP|3323478511383808953</stp>
        <tr r="G263" s="2"/>
      </tp>
      <tp t="s">
        <v>#N/A N/A</v>
        <stp/>
        <stp>BDP|9861463041135463038</stp>
        <tr r="G2304" s="2"/>
      </tp>
      <tp t="s">
        <v>#N/A N/A</v>
        <stp/>
        <stp>BDP|6574192780871648223</stp>
        <tr r="H427" s="2"/>
      </tp>
      <tp t="s">
        <v>#N/A N/A</v>
        <stp/>
        <stp>BDP|6487973603477958410</stp>
        <tr r="I4800" s="2"/>
      </tp>
      <tp t="s">
        <v>#N/A N/A</v>
        <stp/>
        <stp>BDP|5991356497181410272</stp>
        <tr r="C1881" s="2"/>
      </tp>
      <tp t="s">
        <v>#N/A N/A</v>
        <stp/>
        <stp>BDP|8691907039956295852</stp>
        <tr r="H4440" s="2"/>
      </tp>
      <tp t="s">
        <v>#N/A N/A</v>
        <stp/>
        <stp>BDP|7178089450957990982</stp>
        <tr r="G3426" s="2"/>
      </tp>
      <tp t="s">
        <v>#N/A N/A</v>
        <stp/>
        <stp>BDP|5113537295817715280</stp>
        <tr r="G4400" s="2"/>
      </tp>
      <tp t="s">
        <v>#N/A N/A</v>
        <stp/>
        <stp>BDP|9443614759822567411</stp>
        <tr r="C823" s="2"/>
      </tp>
      <tp t="s">
        <v>#N/A N/A</v>
        <stp/>
        <stp>BDP|4882882830642157196</stp>
        <tr r="G1911" s="2"/>
      </tp>
      <tp t="s">
        <v>#N/A N/A</v>
        <stp/>
        <stp>BDP|6751970974021830549</stp>
        <tr r="H734" s="2"/>
      </tp>
      <tp t="s">
        <v>#N/A N/A</v>
        <stp/>
        <stp>BDP|1098443474287150993</stp>
        <tr r="G1886" s="2"/>
      </tp>
      <tp t="s">
        <v>#N/A N/A</v>
        <stp/>
        <stp>BDP|8514716259173697531</stp>
        <tr r="I3437" s="2"/>
      </tp>
      <tp t="s">
        <v>#N/A N/A</v>
        <stp/>
        <stp>BDP|6822229703749571145</stp>
        <tr r="G1986" s="2"/>
      </tp>
      <tp t="s">
        <v>#N/A N/A</v>
        <stp/>
        <stp>BDP|5011026098453647349</stp>
        <tr r="D2276" s="2"/>
      </tp>
      <tp t="s">
        <v>#N/A N/A</v>
        <stp/>
        <stp>BDP|6689675591494110199</stp>
        <tr r="I400" s="2"/>
      </tp>
      <tp t="s">
        <v>#N/A N/A</v>
        <stp/>
        <stp>BDP|5184014320063880805</stp>
        <tr r="A3405" s="2"/>
      </tp>
      <tp t="s">
        <v>#N/A N/A</v>
        <stp/>
        <stp>BDP|7038889364814239160</stp>
        <tr r="D3193" s="2"/>
      </tp>
      <tp t="s">
        <v>#N/A N/A</v>
        <stp/>
        <stp>BDP|8568014820537449182</stp>
        <tr r="I69" s="2"/>
      </tp>
      <tp t="s">
        <v>#N/A N/A</v>
        <stp/>
        <stp>BDP|1724415008988379159</stp>
        <tr r="D2990" s="2"/>
      </tp>
      <tp t="s">
        <v>#N/A N/A</v>
        <stp/>
        <stp>BDP|4271847691170666997</stp>
        <tr r="A3216" s="2"/>
      </tp>
      <tp t="s">
        <v>#N/A N/A</v>
        <stp/>
        <stp>BDP|4867360580243231047</stp>
        <tr r="I1562" s="2"/>
      </tp>
      <tp t="s">
        <v>#N/A N/A</v>
        <stp/>
        <stp>BDP|5274919341375889125</stp>
        <tr r="A3659" s="2"/>
      </tp>
      <tp t="s">
        <v>#N/A N/A</v>
        <stp/>
        <stp>BDP|4028991062976125128</stp>
        <tr r="C4734" s="2"/>
      </tp>
      <tp t="s">
        <v>#N/A N/A</v>
        <stp/>
        <stp>BDP|8896235433264083105</stp>
        <tr r="I1152" s="2"/>
      </tp>
      <tp t="s">
        <v>#N/A N/A</v>
        <stp/>
        <stp>BDP|9204715546057546182</stp>
        <tr r="F625" s="2"/>
      </tp>
      <tp t="s">
        <v>#N/A N/A</v>
        <stp/>
        <stp>BDP|5582110405691054998</stp>
        <tr r="G956" s="2"/>
      </tp>
      <tp t="s">
        <v>#N/A N/A</v>
        <stp/>
        <stp>BDP|1060584066937684901</stp>
        <tr r="B1398" s="2"/>
      </tp>
      <tp t="s">
        <v>#N/A N/A</v>
        <stp/>
        <stp>BDP|1830374591055113274</stp>
        <tr r="I1683" s="2"/>
      </tp>
      <tp t="s">
        <v>#N/A N/A</v>
        <stp/>
        <stp>BDP|2429179686954560386</stp>
        <tr r="F1945" s="2"/>
      </tp>
      <tp t="s">
        <v>#N/A N/A</v>
        <stp/>
        <stp>BDP|8837575961121066663</stp>
        <tr r="I1282" s="2"/>
      </tp>
      <tp t="s">
        <v>#N/A N/A</v>
        <stp/>
        <stp>BDP|4871030704261276957</stp>
        <tr r="D4773" s="2"/>
      </tp>
      <tp t="s">
        <v>#N/A N/A</v>
        <stp/>
        <stp>BDP|8744271511780164781</stp>
        <tr r="C1665" s="2"/>
      </tp>
      <tp t="s">
        <v>#N/A N/A</v>
        <stp/>
        <stp>BDP|7755498399086811079</stp>
        <tr r="A3024" s="2"/>
      </tp>
      <tp t="s">
        <v>#N/A N/A</v>
        <stp/>
        <stp>BDP|6275088348648994634</stp>
        <tr r="I1035" s="2"/>
      </tp>
      <tp t="s">
        <v>#N/A N/A</v>
        <stp/>
        <stp>BDP|5227923128515426742</stp>
        <tr r="D3735" s="2"/>
      </tp>
      <tp t="s">
        <v>#N/A N/A</v>
        <stp/>
        <stp>BDP|1529001124697892818</stp>
        <tr r="D2356" s="2"/>
      </tp>
      <tp t="s">
        <v>#N/A N/A</v>
        <stp/>
        <stp>BDP|2859551992772659012</stp>
        <tr r="D3942" s="2"/>
      </tp>
      <tp t="s">
        <v>#N/A N/A</v>
        <stp/>
        <stp>BDP|5639934511743906254</stp>
        <tr r="B3749" s="2"/>
      </tp>
      <tp t="s">
        <v>#N/A N/A</v>
        <stp/>
        <stp>BDP|4826744769619519085</stp>
        <tr r="C2399" s="2"/>
      </tp>
      <tp t="s">
        <v>#N/A N/A</v>
        <stp/>
        <stp>BDP|5829201147656129960</stp>
        <tr r="C2489" s="2"/>
      </tp>
      <tp t="s">
        <v>#N/A N/A</v>
        <stp/>
        <stp>BDP|3801707511369232030</stp>
        <tr r="F3661" s="2"/>
      </tp>
      <tp t="s">
        <v>#N/A N/A</v>
        <stp/>
        <stp>BDP|9213577739104057745</stp>
        <tr r="G1859" s="2"/>
      </tp>
      <tp t="s">
        <v>#N/A N/A</v>
        <stp/>
        <stp>BDP|5568145521978883205</stp>
        <tr r="G2735" s="2"/>
      </tp>
      <tp t="s">
        <v>#N/A N/A</v>
        <stp/>
        <stp>BDP|8388715353451195787</stp>
        <tr r="F2160" s="2"/>
      </tp>
      <tp t="s">
        <v>#N/A N/A</v>
        <stp/>
        <stp>BDP|5474860142977193291</stp>
        <tr r="I868" s="2"/>
      </tp>
      <tp t="s">
        <v>#N/A N/A</v>
        <stp/>
        <stp>BDP|4934665593430259761</stp>
        <tr r="B2786" s="2"/>
      </tp>
      <tp t="s">
        <v>#N/A N/A</v>
        <stp/>
        <stp>BDP|8467197646448442968</stp>
        <tr r="A2191" s="2"/>
      </tp>
      <tp t="s">
        <v>#N/A N/A</v>
        <stp/>
        <stp>BDP|4305584193810435456</stp>
        <tr r="C2885" s="2"/>
      </tp>
      <tp t="s">
        <v>#N/A N/A</v>
        <stp/>
        <stp>BDP|9028353516832393599</stp>
        <tr r="G815" s="2"/>
      </tp>
      <tp t="s">
        <v>#N/A N/A</v>
        <stp/>
        <stp>BDP|9992985652878954139</stp>
        <tr r="B2080" s="2"/>
      </tp>
      <tp t="s">
        <v>#N/A N/A</v>
        <stp/>
        <stp>BDP|2080734787479851855</stp>
        <tr r="A3079" s="2"/>
      </tp>
      <tp t="s">
        <v>#N/A N/A</v>
        <stp/>
        <stp>BDP|7988475130019636516</stp>
        <tr r="H1398" s="2"/>
      </tp>
      <tp t="s">
        <v>#N/A N/A</v>
        <stp/>
        <stp>BDP|3570728595638937921</stp>
        <tr r="D3531" s="2"/>
      </tp>
      <tp t="s">
        <v>#N/A N/A</v>
        <stp/>
        <stp>BDP|1095684610749954384</stp>
        <tr r="F1079" s="2"/>
      </tp>
      <tp t="s">
        <v>#N/A N/A</v>
        <stp/>
        <stp>BDP|1755653678639098532</stp>
        <tr r="B3697" s="2"/>
      </tp>
      <tp t="s">
        <v>#N/A N/A</v>
        <stp/>
        <stp>BDP|6654013936289080086</stp>
        <tr r="C7" s="2"/>
      </tp>
      <tp t="s">
        <v>#N/A N/A</v>
        <stp/>
        <stp>BDP|6135627296883572691</stp>
        <tr r="D2385" s="2"/>
      </tp>
      <tp t="s">
        <v>#N/A N/A</v>
        <stp/>
        <stp>BDP|8861930204895522836</stp>
        <tr r="F2350" s="2"/>
      </tp>
      <tp t="s">
        <v>#N/A N/A</v>
        <stp/>
        <stp>BDP|9980845355691640975</stp>
        <tr r="D829" s="2"/>
      </tp>
      <tp t="s">
        <v>#N/A N/A</v>
        <stp/>
        <stp>BDP|9344180662971525352</stp>
        <tr r="C4402" s="2"/>
      </tp>
      <tp t="s">
        <v>#N/A N/A</v>
        <stp/>
        <stp>BDP|3847614710899844181</stp>
        <tr r="D1278" s="2"/>
      </tp>
      <tp t="s">
        <v>#N/A N/A</v>
        <stp/>
        <stp>BDP|4417382126920009937</stp>
        <tr r="A670" s="2"/>
      </tp>
      <tp t="s">
        <v>#N/A N/A</v>
        <stp/>
        <stp>BDP|1000596193399513869</stp>
        <tr r="D1461" s="2"/>
      </tp>
      <tp t="s">
        <v>#N/A N/A</v>
        <stp/>
        <stp>BDP|2135108486043930474</stp>
        <tr r="D404" s="2"/>
      </tp>
      <tp t="s">
        <v>#N/A N/A</v>
        <stp/>
        <stp>BDP|5334381607652017859</stp>
        <tr r="D2885" s="2"/>
      </tp>
      <tp t="s">
        <v>#N/A N/A</v>
        <stp/>
        <stp>BDP|9575189863041254357</stp>
        <tr r="F2233" s="2"/>
      </tp>
      <tp t="s">
        <v>#N/A N/A</v>
        <stp/>
        <stp>BDP|4103708999637427150</stp>
        <tr r="C3354" s="2"/>
      </tp>
      <tp t="s">
        <v>#N/A N/A</v>
        <stp/>
        <stp>BDP|5993977107726018604</stp>
        <tr r="B2940" s="2"/>
      </tp>
      <tp t="s">
        <v>#N/A N/A</v>
        <stp/>
        <stp>BDP|5926168792434491508</stp>
        <tr r="G3793" s="2"/>
      </tp>
      <tp t="s">
        <v>#N/A N/A</v>
        <stp/>
        <stp>BDP|9159527069210373608</stp>
        <tr r="H3051" s="2"/>
      </tp>
      <tp t="s">
        <v>#N/A N/A</v>
        <stp/>
        <stp>BDP|7323491483441815688</stp>
        <tr r="G4069" s="2"/>
      </tp>
      <tp t="s">
        <v>#N/A N/A</v>
        <stp/>
        <stp>BDP|9098951318618029542</stp>
        <tr r="G864" s="2"/>
      </tp>
      <tp t="s">
        <v>#N/A N/A</v>
        <stp/>
        <stp>BDP|4986344414933628969</stp>
        <tr r="D53" s="2"/>
      </tp>
      <tp t="s">
        <v>#N/A N/A</v>
        <stp/>
        <stp>BDP|2927553771478121456</stp>
        <tr r="H3152" s="2"/>
      </tp>
      <tp t="s">
        <v>#N/A N/A</v>
        <stp/>
        <stp>BDP|2247802716831493696</stp>
        <tr r="F2235" s="2"/>
      </tp>
      <tp t="s">
        <v>#N/A N/A</v>
        <stp/>
        <stp>BDP|1528232889615010266</stp>
        <tr r="H406" s="2"/>
      </tp>
      <tp t="s">
        <v>#N/A N/A</v>
        <stp/>
        <stp>BDP|2698984920891429436</stp>
        <tr r="I3419" s="2"/>
      </tp>
      <tp t="s">
        <v>#N/A N/A</v>
        <stp/>
        <stp>BDP|5894256584243998095</stp>
        <tr r="B2367" s="2"/>
      </tp>
      <tp t="s">
        <v>#N/A N/A</v>
        <stp/>
        <stp>BDP|8638400299340783919</stp>
        <tr r="F749" s="2"/>
      </tp>
      <tp t="s">
        <v>#N/A N/A</v>
        <stp/>
        <stp>BDP|1277967570663460090</stp>
        <tr r="B4927" s="2"/>
      </tp>
      <tp t="s">
        <v>#N/A N/A</v>
        <stp/>
        <stp>BDP|9263891715789229552</stp>
        <tr r="G3717" s="2"/>
      </tp>
      <tp t="s">
        <v>#N/A N/A</v>
        <stp/>
        <stp>BDP|5156381865495225972</stp>
        <tr r="B3481" s="2"/>
      </tp>
      <tp t="s">
        <v>#N/A N/A</v>
        <stp/>
        <stp>BDP|1445880245291730075</stp>
        <tr r="I3489" s="2"/>
      </tp>
      <tp t="s">
        <v>#N/A N/A</v>
        <stp/>
        <stp>BDP|4979825214911494022</stp>
        <tr r="D1493" s="2"/>
      </tp>
      <tp t="s">
        <v>#N/A N/A</v>
        <stp/>
        <stp>BDP|6764682666423531950</stp>
        <tr r="G2631" s="2"/>
      </tp>
      <tp t="s">
        <v>#N/A N/A</v>
        <stp/>
        <stp>BDP|4590851242451888537</stp>
        <tr r="I992" s="2"/>
      </tp>
      <tp t="s">
        <v>#N/A N/A</v>
        <stp/>
        <stp>BDP|5306083413341962984</stp>
        <tr r="F12" s="2"/>
      </tp>
      <tp t="s">
        <v>#N/A N/A</v>
        <stp/>
        <stp>BDP|8539566275491757786</stp>
        <tr r="F4644" s="2"/>
      </tp>
      <tp t="s">
        <v>#N/A N/A</v>
        <stp/>
        <stp>BDP|6937649525936216830</stp>
        <tr r="H4473" s="2"/>
      </tp>
      <tp t="s">
        <v>#N/A N/A</v>
        <stp/>
        <stp>BDP|8344287773328876995</stp>
        <tr r="I2104" s="2"/>
      </tp>
      <tp t="s">
        <v>#N/A N/A</v>
        <stp/>
        <stp>BDP|3934013809398069787</stp>
        <tr r="G3653" s="2"/>
      </tp>
      <tp t="s">
        <v>#N/A N/A</v>
        <stp/>
        <stp>BDP|9150219659970348233</stp>
        <tr r="A3414" s="2"/>
      </tp>
      <tp t="s">
        <v>#N/A N/A</v>
        <stp/>
        <stp>BDP|4871051958048966552</stp>
        <tr r="B187" s="2"/>
      </tp>
      <tp t="s">
        <v>#N/A N/A</v>
        <stp/>
        <stp>BDP|9750041441477929620</stp>
        <tr r="F1324" s="2"/>
      </tp>
      <tp t="s">
        <v>#N/A N/A</v>
        <stp/>
        <stp>BDP|7843080357617612986</stp>
        <tr r="D4003" s="2"/>
      </tp>
      <tp t="s">
        <v>#N/A N/A</v>
        <stp/>
        <stp>BDP|8348795537081659121</stp>
        <tr r="I3173" s="2"/>
      </tp>
      <tp t="s">
        <v>#N/A N/A</v>
        <stp/>
        <stp>BDP|6127993592962248818</stp>
        <tr r="H3964" s="2"/>
      </tp>
      <tp t="s">
        <v>#N/A N/A</v>
        <stp/>
        <stp>BDP|9925078921426383152</stp>
        <tr r="H625" s="2"/>
      </tp>
      <tp t="s">
        <v>#N/A N/A</v>
        <stp/>
        <stp>BDP|8659473236864733799</stp>
        <tr r="H4692" s="2"/>
      </tp>
      <tp t="s">
        <v>#N/A N/A</v>
        <stp/>
        <stp>BDP|2119483185670260276</stp>
        <tr r="A1917" s="2"/>
      </tp>
      <tp t="s">
        <v>#N/A N/A</v>
        <stp/>
        <stp>BDP|7923978877722696760</stp>
        <tr r="G1385" s="2"/>
      </tp>
      <tp t="s">
        <v>#N/A N/A</v>
        <stp/>
        <stp>BDP|8066586332282039036</stp>
        <tr r="F4081" s="2"/>
      </tp>
      <tp t="s">
        <v>#N/A N/A</v>
        <stp/>
        <stp>BDP|3057171598505074261</stp>
        <tr r="A4576" s="2"/>
      </tp>
      <tp t="s">
        <v>#N/A N/A</v>
        <stp/>
        <stp>BDP|1874945540978456819</stp>
        <tr r="A4024" s="2"/>
      </tp>
      <tp t="s">
        <v>#N/A N/A</v>
        <stp/>
        <stp>BDP|2361647731559821271</stp>
        <tr r="G723" s="2"/>
      </tp>
      <tp t="s">
        <v>#N/A N/A</v>
        <stp/>
        <stp>BDP|3855508225010324878</stp>
        <tr r="B911" s="2"/>
      </tp>
      <tp t="s">
        <v>#N/A N/A</v>
        <stp/>
        <stp>BDP|9654586636647925480</stp>
        <tr r="C3906" s="2"/>
      </tp>
      <tp t="s">
        <v>#N/A N/A</v>
        <stp/>
        <stp>BDP|9778147749979575969</stp>
        <tr r="A36" s="2"/>
      </tp>
      <tp t="s">
        <v>#N/A N/A</v>
        <stp/>
        <stp>BDP|8999745002912656107</stp>
        <tr r="F2202" s="2"/>
      </tp>
      <tp t="s">
        <v>#N/A N/A</v>
        <stp/>
        <stp>BDP|2358984498416964834</stp>
        <tr r="H1926" s="2"/>
      </tp>
      <tp t="s">
        <v>#N/A N/A</v>
        <stp/>
        <stp>BDP|1139015454179471197</stp>
        <tr r="C2809" s="2"/>
      </tp>
      <tp t="s">
        <v>#N/A N/A</v>
        <stp/>
        <stp>BDP|9212142618711302442</stp>
        <tr r="C4530" s="2"/>
      </tp>
      <tp t="s">
        <v>#N/A N/A</v>
        <stp/>
        <stp>BDP|3862320774639236255</stp>
        <tr r="D1911" s="2"/>
      </tp>
      <tp t="s">
        <v>#N/A N/A</v>
        <stp/>
        <stp>BDP|8422878295051947468</stp>
        <tr r="B4928" s="2"/>
      </tp>
      <tp t="s">
        <v>#N/A N/A</v>
        <stp/>
        <stp>BDP|1306630498360947281</stp>
        <tr r="C3762" s="2"/>
      </tp>
      <tp t="s">
        <v>#N/A N/A</v>
        <stp/>
        <stp>BDP|7031438236774888842</stp>
        <tr r="A2952" s="2"/>
      </tp>
      <tp t="s">
        <v>#N/A N/A</v>
        <stp/>
        <stp>BDP|4130543549129398011</stp>
        <tr r="A754" s="2"/>
      </tp>
      <tp t="s">
        <v>#N/A N/A</v>
        <stp/>
        <stp>BDP|6138495614608211708</stp>
        <tr r="B3006" s="2"/>
      </tp>
      <tp t="s">
        <v>#N/A N/A</v>
        <stp/>
        <stp>BDP|5166827279026590010</stp>
        <tr r="B59" s="2"/>
      </tp>
      <tp t="s">
        <v>#N/A N/A</v>
        <stp/>
        <stp>BDP|9630268778307510731</stp>
        <tr r="I3831" s="2"/>
      </tp>
      <tp t="s">
        <v>#N/A N/A</v>
        <stp/>
        <stp>BDP|9803371833806139332</stp>
        <tr r="I7" s="2"/>
      </tp>
      <tp t="s">
        <v>#N/A N/A</v>
        <stp/>
        <stp>BDP|7567200648844328904</stp>
        <tr r="I2342" s="2"/>
      </tp>
      <tp t="s">
        <v>#N/A N/A</v>
        <stp/>
        <stp>BDP|1499132948620228837</stp>
        <tr r="G3298" s="2"/>
      </tp>
      <tp t="s">
        <v>#N/A N/A</v>
        <stp/>
        <stp>BDP|1288301088473507516</stp>
        <tr r="D3937" s="2"/>
      </tp>
      <tp t="s">
        <v>#N/A N/A</v>
        <stp/>
        <stp>BDP|2204791019191897942</stp>
        <tr r="H4638" s="2"/>
      </tp>
      <tp t="s">
        <v>#N/A N/A</v>
        <stp/>
        <stp>BDP|7690816401552865106</stp>
        <tr r="C3007" s="2"/>
      </tp>
      <tp t="s">
        <v>#N/A N/A</v>
        <stp/>
        <stp>BDP|5122382302429163348</stp>
        <tr r="C3678" s="2"/>
      </tp>
      <tp t="s">
        <v>#N/A N/A</v>
        <stp/>
        <stp>BDP|7359630540961658883</stp>
        <tr r="H1637" s="2"/>
      </tp>
      <tp t="s">
        <v>#N/A N/A</v>
        <stp/>
        <stp>BDP|8995270044412038044</stp>
        <tr r="H1621" s="2"/>
      </tp>
      <tp t="s">
        <v>#N/A N/A</v>
        <stp/>
        <stp>BDP|4900375081480380323</stp>
        <tr r="D2859" s="2"/>
      </tp>
      <tp t="s">
        <v>#N/A N/A</v>
        <stp/>
        <stp>BDP|5612538849078717052</stp>
        <tr r="H4988" s="2"/>
      </tp>
      <tp t="s">
        <v>#N/A N/A</v>
        <stp/>
        <stp>BDP|4222891064807524144</stp>
        <tr r="I3307" s="2"/>
      </tp>
      <tp t="s">
        <v>#N/A N/A</v>
        <stp/>
        <stp>BDP|4099085590832411328</stp>
        <tr r="F571" s="2"/>
      </tp>
      <tp t="s">
        <v>#N/A N/A</v>
        <stp/>
        <stp>BDP|2806914471580445028</stp>
        <tr r="F1706" s="2"/>
      </tp>
      <tp t="s">
        <v>#N/A N/A</v>
        <stp/>
        <stp>BDP|6271268998269334813</stp>
        <tr r="H2841" s="2"/>
      </tp>
      <tp t="s">
        <v>#N/A N/A</v>
        <stp/>
        <stp>BDP|9710009338741052716</stp>
        <tr r="C4473" s="2"/>
      </tp>
      <tp t="s">
        <v>#N/A N/A</v>
        <stp/>
        <stp>BDP|9806329665640756066</stp>
        <tr r="H1201" s="2"/>
      </tp>
      <tp t="s">
        <v>#N/A N/A</v>
        <stp/>
        <stp>BDP|7495974408667028555</stp>
        <tr r="F2053" s="2"/>
      </tp>
      <tp t="s">
        <v>#N/A N/A</v>
        <stp/>
        <stp>BDP|8978823370172694930</stp>
        <tr r="I2594" s="2"/>
      </tp>
      <tp t="s">
        <v>#N/A N/A</v>
        <stp/>
        <stp>BDP|1664337759808425364</stp>
        <tr r="B564" s="2"/>
      </tp>
      <tp t="s">
        <v>#N/A N/A</v>
        <stp/>
        <stp>BDP|1396421098072772200</stp>
        <tr r="F310" s="2"/>
      </tp>
      <tp t="s">
        <v>#N/A N/A</v>
        <stp/>
        <stp>BDP|5948398571088666595</stp>
        <tr r="A1964" s="2"/>
      </tp>
      <tp t="s">
        <v>#N/A N/A</v>
        <stp/>
        <stp>BDP|7133361880821916104</stp>
        <tr r="H2323" s="2"/>
      </tp>
      <tp t="s">
        <v>#N/A N/A</v>
        <stp/>
        <stp>BDP|8775047093994853963</stp>
        <tr r="F4983" s="2"/>
      </tp>
      <tp t="s">
        <v>#N/A N/A</v>
        <stp/>
        <stp>BDP|3397237600795671881</stp>
        <tr r="B1791" s="2"/>
      </tp>
      <tp t="s">
        <v>#N/A N/A</v>
        <stp/>
        <stp>BDP|2802278977459218243</stp>
        <tr r="A514" s="2"/>
      </tp>
      <tp t="s">
        <v>#N/A N/A</v>
        <stp/>
        <stp>BDP|5183999845236497274</stp>
        <tr r="D4413" s="2"/>
      </tp>
      <tp t="s">
        <v>#N/A N/A</v>
        <stp/>
        <stp>BDP|8155353249887762449</stp>
        <tr r="H1490" s="2"/>
      </tp>
      <tp t="s">
        <v>#N/A N/A</v>
        <stp/>
        <stp>BDP|7978301187919666968</stp>
        <tr r="H4118" s="2"/>
      </tp>
      <tp t="s">
        <v>#N/A N/A</v>
        <stp/>
        <stp>BDP|1628596962179069732</stp>
        <tr r="G1526" s="2"/>
      </tp>
      <tp t="s">
        <v>#N/A N/A</v>
        <stp/>
        <stp>BDP|9660596118402865312</stp>
        <tr r="G1380" s="2"/>
      </tp>
      <tp t="s">
        <v>#N/A N/A</v>
        <stp/>
        <stp>BDP|5009050770517948921</stp>
        <tr r="C575" s="2"/>
      </tp>
      <tp t="s">
        <v>#N/A N/A</v>
        <stp/>
        <stp>BDP|7736493127265300842</stp>
        <tr r="C1653" s="2"/>
      </tp>
      <tp t="s">
        <v>#N/A N/A</v>
        <stp/>
        <stp>BDP|8765546909566673722</stp>
        <tr r="I4417" s="2"/>
      </tp>
      <tp t="s">
        <v>#N/A N/A</v>
        <stp/>
        <stp>BDP|1124217243742558987</stp>
        <tr r="H464" s="2"/>
      </tp>
      <tp t="s">
        <v>#N/A N/A</v>
        <stp/>
        <stp>BDP|5547045140508842572</stp>
        <tr r="C4451" s="2"/>
      </tp>
      <tp t="s">
        <v>#N/A N/A</v>
        <stp/>
        <stp>BDP|1011743231920900929</stp>
        <tr r="C3142" s="2"/>
      </tp>
      <tp t="s">
        <v>#N/A N/A</v>
        <stp/>
        <stp>BDP|8840539275432633468</stp>
        <tr r="B3553" s="2"/>
      </tp>
      <tp t="s">
        <v>#N/A N/A</v>
        <stp/>
        <stp>BDP|9270635879372762615</stp>
        <tr r="F4085" s="2"/>
      </tp>
      <tp t="s">
        <v>#N/A N/A</v>
        <stp/>
        <stp>BDP|4097866764077982152</stp>
        <tr r="F1490" s="2"/>
      </tp>
      <tp t="s">
        <v>#N/A N/A</v>
        <stp/>
        <stp>BDP|4773608588753845599</stp>
        <tr r="G4465" s="2"/>
      </tp>
      <tp t="s">
        <v>#N/A N/A</v>
        <stp/>
        <stp>BDP|8735872984766356296</stp>
        <tr r="F3439" s="2"/>
      </tp>
      <tp t="s">
        <v>#N/A N/A</v>
        <stp/>
        <stp>BDP|3830735440068359466</stp>
        <tr r="D4170" s="2"/>
      </tp>
      <tp t="s">
        <v>#N/A N/A</v>
        <stp/>
        <stp>BDP|6862477092663020431</stp>
        <tr r="G3286" s="2"/>
      </tp>
      <tp t="s">
        <v>#N/A N/A</v>
        <stp/>
        <stp>BDP|8774774723267922647</stp>
        <tr r="A322" s="2"/>
      </tp>
      <tp t="s">
        <v>#N/A N/A</v>
        <stp/>
        <stp>BDP|4301949411937028786</stp>
        <tr r="A461" s="2"/>
      </tp>
      <tp t="s">
        <v>#N/A N/A</v>
        <stp/>
        <stp>BDP|3027940543520818212</stp>
        <tr r="H381" s="2"/>
      </tp>
      <tp t="s">
        <v>#N/A N/A</v>
        <stp/>
        <stp>BDP|2096156792451943708</stp>
        <tr r="I3009" s="2"/>
      </tp>
      <tp t="s">
        <v>#N/A N/A</v>
        <stp/>
        <stp>BDP|6056488290806630100</stp>
        <tr r="C663" s="2"/>
      </tp>
      <tp t="s">
        <v>#N/A N/A</v>
        <stp/>
        <stp>BDP|7167894474815583174</stp>
        <tr r="B4048" s="2"/>
      </tp>
      <tp t="s">
        <v>#N/A N/A</v>
        <stp/>
        <stp>BDP|5376897955596114202</stp>
        <tr r="B3452" s="2"/>
      </tp>
      <tp t="s">
        <v>#N/A N/A</v>
        <stp/>
        <stp>BDP|8905127604683438654</stp>
        <tr r="H780" s="2"/>
      </tp>
      <tp t="s">
        <v>#N/A N/A</v>
        <stp/>
        <stp>BDP|6553085864579124561</stp>
        <tr r="B4201" s="2"/>
      </tp>
      <tp t="s">
        <v>#N/A N/A</v>
        <stp/>
        <stp>BDP|8426183292935960987</stp>
        <tr r="C2387" s="2"/>
      </tp>
      <tp t="s">
        <v>#N/A N/A</v>
        <stp/>
        <stp>BDP|7155290130202293856</stp>
        <tr r="C3575" s="2"/>
      </tp>
      <tp t="s">
        <v>#N/A N/A</v>
        <stp/>
        <stp>BDP|8585846237619941604</stp>
        <tr r="A4336" s="2"/>
      </tp>
      <tp t="s">
        <v>#N/A N/A</v>
        <stp/>
        <stp>BDP|9555197526453095557</stp>
        <tr r="I3546" s="2"/>
      </tp>
      <tp t="s">
        <v>#N/A N/A</v>
        <stp/>
        <stp>BDP|7090320081722943252</stp>
        <tr r="G1308" s="2"/>
      </tp>
      <tp t="s">
        <v>#N/A N/A</v>
        <stp/>
        <stp>BDP|4755437676622596986</stp>
        <tr r="G4395" s="2"/>
      </tp>
      <tp t="s">
        <v>#N/A N/A</v>
        <stp/>
        <stp>BDP|9897603607084149715</stp>
        <tr r="I4453" s="2"/>
      </tp>
      <tp t="s">
        <v>#N/A N/A</v>
        <stp/>
        <stp>BDP|4433011241828263496</stp>
        <tr r="I4659" s="2"/>
      </tp>
      <tp t="s">
        <v>#N/A N/A</v>
        <stp/>
        <stp>BDP|5829961917888528933</stp>
        <tr r="C2117" s="2"/>
      </tp>
      <tp t="s">
        <v>#N/A N/A</v>
        <stp/>
        <stp>BDP|7303555749058279228</stp>
        <tr r="I4810" s="2"/>
      </tp>
      <tp t="s">
        <v>#N/A N/A</v>
        <stp/>
        <stp>BDP|5093867215204911450</stp>
        <tr r="F137" s="2"/>
      </tp>
      <tp t="s">
        <v>#N/A N/A</v>
        <stp/>
        <stp>BDP|9306839090605737181</stp>
        <tr r="H4336" s="2"/>
      </tp>
      <tp t="s">
        <v>#N/A N/A</v>
        <stp/>
        <stp>BDP|4528719988055128224</stp>
        <tr r="I2886" s="2"/>
      </tp>
      <tp t="s">
        <v>#N/A N/A</v>
        <stp/>
        <stp>BDP|2973875727010578439</stp>
        <tr r="H1841" s="2"/>
      </tp>
      <tp t="s">
        <v>#N/A N/A</v>
        <stp/>
        <stp>BDP|3985780917091941803</stp>
        <tr r="D1686" s="2"/>
      </tp>
      <tp t="s">
        <v>#N/A N/A</v>
        <stp/>
        <stp>BDP|2516442331800609994</stp>
        <tr r="A2003" s="2"/>
      </tp>
      <tp t="s">
        <v>#N/A N/A</v>
        <stp/>
        <stp>BDP|1403064689813129651</stp>
        <tr r="G1910" s="2"/>
      </tp>
      <tp t="s">
        <v>#N/A N/A</v>
        <stp/>
        <stp>BDP|1241463895975916570</stp>
        <tr r="C616" s="2"/>
      </tp>
      <tp t="s">
        <v>#N/A N/A</v>
        <stp/>
        <stp>BDP|7504573301798922658</stp>
        <tr r="A526" s="2"/>
      </tp>
      <tp t="s">
        <v>#N/A N/A</v>
        <stp/>
        <stp>BDP|5029808072902993444</stp>
        <tr r="A4442" s="2"/>
      </tp>
      <tp t="s">
        <v>#N/A N/A</v>
        <stp/>
        <stp>BDP|9867768109286964414</stp>
        <tr r="C3881" s="2"/>
      </tp>
      <tp t="s">
        <v>#N/A N/A</v>
        <stp/>
        <stp>BDP|3241962848814453675</stp>
        <tr r="A3595" s="2"/>
      </tp>
      <tp t="s">
        <v>#N/A N/A</v>
        <stp/>
        <stp>BDP|3894860381217623868</stp>
        <tr r="A805" s="2"/>
      </tp>
      <tp t="s">
        <v>#N/A N/A</v>
        <stp/>
        <stp>BDP|7608769814079900428</stp>
        <tr r="B3909" s="2"/>
      </tp>
      <tp t="s">
        <v>#N/A N/A</v>
        <stp/>
        <stp>BDP|1377652828970299935</stp>
        <tr r="B551" s="2"/>
      </tp>
      <tp t="s">
        <v>#N/A N/A</v>
        <stp/>
        <stp>BDP|6504447757119023294</stp>
        <tr r="H1692" s="2"/>
      </tp>
      <tp t="s">
        <v>#N/A N/A</v>
        <stp/>
        <stp>BDP|8597157348517137668</stp>
        <tr r="B4053" s="2"/>
      </tp>
      <tp t="s">
        <v>#N/A N/A</v>
        <stp/>
        <stp>BDP|6515633831396827903</stp>
        <tr r="B650" s="2"/>
      </tp>
      <tp t="s">
        <v>#N/A N/A</v>
        <stp/>
        <stp>BDP|1285881571897567517</stp>
        <tr r="B3182" s="2"/>
      </tp>
      <tp t="s">
        <v>#N/A N/A</v>
        <stp/>
        <stp>BDP|8801066244454162447</stp>
        <tr r="I3347" s="2"/>
      </tp>
      <tp t="s">
        <v>#N/A N/A</v>
        <stp/>
        <stp>BDP|1901746140028374612</stp>
        <tr r="G1227" s="2"/>
      </tp>
      <tp t="s">
        <v>#N/A N/A</v>
        <stp/>
        <stp>BDP|6920812100125063774</stp>
        <tr r="B2612" s="2"/>
      </tp>
      <tp t="s">
        <v>#N/A N/A</v>
        <stp/>
        <stp>BDP|6243816473523614695</stp>
        <tr r="C3922" s="2"/>
      </tp>
      <tp t="s">
        <v>#N/A N/A</v>
        <stp/>
        <stp>BDP|7680110998883863085</stp>
        <tr r="H2875" s="2"/>
      </tp>
      <tp t="s">
        <v>#N/A N/A</v>
        <stp/>
        <stp>BDP|7323081211962604839</stp>
        <tr r="C1608" s="2"/>
      </tp>
      <tp t="s">
        <v>#N/A N/A</v>
        <stp/>
        <stp>BDP|2999094791857740092</stp>
        <tr r="I4496" s="2"/>
      </tp>
      <tp t="s">
        <v>#N/A N/A</v>
        <stp/>
        <stp>BDP|1311263570479267182</stp>
        <tr r="A4099" s="2"/>
      </tp>
      <tp t="s">
        <v>#N/A N/A</v>
        <stp/>
        <stp>BDP|2090721498320402019</stp>
        <tr r="G4386" s="2"/>
      </tp>
      <tp t="s">
        <v>#N/A N/A</v>
        <stp/>
        <stp>BDP|4294317389891109244</stp>
        <tr r="A3373" s="2"/>
      </tp>
      <tp t="s">
        <v>#N/A N/A</v>
        <stp/>
        <stp>BDP|2854740550694560867</stp>
        <tr r="C3856" s="2"/>
      </tp>
      <tp t="s">
        <v>#N/A N/A</v>
        <stp/>
        <stp>BDP|9058665229825220428</stp>
        <tr r="C2503" s="2"/>
      </tp>
      <tp t="s">
        <v>#N/A N/A</v>
        <stp/>
        <stp>BDP|3968879953734587675</stp>
        <tr r="F23" s="2"/>
      </tp>
      <tp t="s">
        <v>#N/A N/A</v>
        <stp/>
        <stp>BDP|6149358919931036923</stp>
        <tr r="F4676" s="2"/>
      </tp>
      <tp t="s">
        <v>#N/A N/A</v>
        <stp/>
        <stp>BDP|9929106041778610817</stp>
        <tr r="A3669" s="2"/>
      </tp>
      <tp t="s">
        <v>#N/A N/A</v>
        <stp/>
        <stp>BDP|5524992813019337836</stp>
        <tr r="F2538" s="2"/>
      </tp>
      <tp t="s">
        <v>#N/A N/A</v>
        <stp/>
        <stp>BDP|8757281272160208100</stp>
        <tr r="F3756" s="2"/>
      </tp>
      <tp t="s">
        <v>#N/A N/A</v>
        <stp/>
        <stp>BDP|4662341346469813636</stp>
        <tr r="G4239" s="2"/>
      </tp>
      <tp t="s">
        <v>#N/A N/A</v>
        <stp/>
        <stp>BDP|6244801398218256376</stp>
        <tr r="I1596" s="2"/>
      </tp>
      <tp t="s">
        <v>#N/A N/A</v>
        <stp/>
        <stp>BDP|5540069979927786928</stp>
        <tr r="C2838" s="2"/>
      </tp>
      <tp t="s">
        <v>#N/A N/A</v>
        <stp/>
        <stp>BDP|9561692901305726651</stp>
        <tr r="H2384" s="2"/>
      </tp>
      <tp t="s">
        <v>#N/A N/A</v>
        <stp/>
        <stp>BDP|5502136889428521854</stp>
        <tr r="C1458" s="2"/>
      </tp>
      <tp t="s">
        <v>#N/A N/A</v>
        <stp/>
        <stp>BDP|8348171447700946152</stp>
        <tr r="A4374" s="2"/>
      </tp>
      <tp t="s">
        <v>#N/A N/A</v>
        <stp/>
        <stp>BDP|1981932376417088432</stp>
        <tr r="G4187" s="2"/>
      </tp>
      <tp t="s">
        <v>#N/A N/A</v>
        <stp/>
        <stp>BDP|1660226245022757992</stp>
        <tr r="G1349" s="2"/>
      </tp>
      <tp t="s">
        <v>#N/A N/A</v>
        <stp/>
        <stp>BDP|5513814930482272091</stp>
        <tr r="C1874" s="2"/>
      </tp>
      <tp t="s">
        <v>#N/A N/A</v>
        <stp/>
        <stp>BDP|9802924047828121039</stp>
        <tr r="I571" s="2"/>
      </tp>
      <tp t="s">
        <v>#N/A N/A</v>
        <stp/>
        <stp>BDP|6430021905133523996</stp>
        <tr r="B3039" s="2"/>
      </tp>
      <tp t="s">
        <v>#N/A N/A</v>
        <stp/>
        <stp>BDP|9888699340600620782</stp>
        <tr r="B39" s="2"/>
      </tp>
      <tp t="s">
        <v>#N/A N/A</v>
        <stp/>
        <stp>BDP|7831174681962714069</stp>
        <tr r="F3825" s="2"/>
      </tp>
      <tp t="s">
        <v>#N/A N/A</v>
        <stp/>
        <stp>BDP|3911918562002673238</stp>
        <tr r="C1317" s="2"/>
      </tp>
      <tp t="s">
        <v>#N/A N/A</v>
        <stp/>
        <stp>BDP|7812680935788830623</stp>
        <tr r="C486" s="2"/>
      </tp>
      <tp t="s">
        <v>#N/A N/A</v>
        <stp/>
        <stp>BDP|6299931944842218587</stp>
        <tr r="B3656" s="2"/>
      </tp>
      <tp t="s">
        <v>#N/A N/A</v>
        <stp/>
        <stp>BDP|9869616317152923085</stp>
        <tr r="C4205" s="2"/>
      </tp>
      <tp t="s">
        <v>#N/A N/A</v>
        <stp/>
        <stp>BDP|4896469583735348115</stp>
        <tr r="H2897" s="2"/>
      </tp>
      <tp t="s">
        <v>#N/A N/A</v>
        <stp/>
        <stp>BDP|5479090630122074827</stp>
        <tr r="F4380" s="2"/>
      </tp>
      <tp t="s">
        <v>#N/A N/A</v>
        <stp/>
        <stp>BDP|5950621082125678204</stp>
        <tr r="G1980" s="2"/>
      </tp>
      <tp t="s">
        <v>#N/A N/A</v>
        <stp/>
        <stp>BDP|1204771074725990846</stp>
        <tr r="D1815" s="2"/>
      </tp>
      <tp t="s">
        <v>#N/A N/A</v>
        <stp/>
        <stp>BDP|8033692781902435802</stp>
        <tr r="B4557" s="2"/>
      </tp>
      <tp t="s">
        <v>#N/A N/A</v>
        <stp/>
        <stp>BDP|1957028902325031854</stp>
        <tr r="A4285" s="2"/>
      </tp>
      <tp t="s">
        <v>#N/A N/A</v>
        <stp/>
        <stp>BDP|5882907942136010266</stp>
        <tr r="D1581" s="2"/>
      </tp>
      <tp t="s">
        <v>#N/A N/A</v>
        <stp/>
        <stp>BDP|3801958719142965517</stp>
        <tr r="D2219" s="2"/>
      </tp>
      <tp t="s">
        <v>#N/A N/A</v>
        <stp/>
        <stp>BDP|9342986582234514009</stp>
        <tr r="D2783" s="2"/>
      </tp>
      <tp t="s">
        <v>#N/A N/A</v>
        <stp/>
        <stp>BDP|7316589984151208711</stp>
        <tr r="H2400" s="2"/>
      </tp>
      <tp t="s">
        <v>#N/A N/A</v>
        <stp/>
        <stp>BDP|3777648694192874231</stp>
        <tr r="G1433" s="2"/>
      </tp>
      <tp t="s">
        <v>#N/A N/A</v>
        <stp/>
        <stp>BDP|8759633118312496144</stp>
        <tr r="G3526" s="2"/>
      </tp>
      <tp t="s">
        <v>#N/A N/A</v>
        <stp/>
        <stp>BDP|1402997926322280454</stp>
        <tr r="C909" s="2"/>
      </tp>
      <tp t="s">
        <v>#N/A N/A</v>
        <stp/>
        <stp>BDP|2732093209538994626</stp>
        <tr r="G3960" s="2"/>
      </tp>
      <tp t="s">
        <v>#N/A N/A</v>
        <stp/>
        <stp>BDP|5130852516775745598</stp>
        <tr r="G1902" s="2"/>
      </tp>
      <tp t="s">
        <v>#N/A N/A</v>
        <stp/>
        <stp>BDP|2991188097442265489</stp>
        <tr r="D2154" s="2"/>
      </tp>
      <tp t="s">
        <v>#N/A N/A</v>
        <stp/>
        <stp>BDP|1164644509052098901</stp>
        <tr r="G4944" s="2"/>
      </tp>
      <tp t="s">
        <v>#N/A N/A</v>
        <stp/>
        <stp>BDP|2986107482171168662</stp>
        <tr r="F4371" s="2"/>
      </tp>
      <tp t="s">
        <v>#N/A N/A</v>
        <stp/>
        <stp>BDP|4562873669565038379</stp>
        <tr r="F3463" s="2"/>
      </tp>
      <tp t="s">
        <v>#N/A N/A</v>
        <stp/>
        <stp>BDP|2927111115028768668</stp>
        <tr r="D866" s="2"/>
      </tp>
      <tp t="s">
        <v>#N/A N/A</v>
        <stp/>
        <stp>BDP|7689227128923786873</stp>
        <tr r="H2703" s="2"/>
      </tp>
      <tp t="s">
        <v>#N/A N/A</v>
        <stp/>
        <stp>BDP|7849751286971225553</stp>
        <tr r="B71" s="2"/>
      </tp>
      <tp t="s">
        <v>#N/A N/A</v>
        <stp/>
        <stp>BDP|5871933827254037608</stp>
        <tr r="H4975" s="2"/>
      </tp>
      <tp t="s">
        <v>#N/A N/A</v>
        <stp/>
        <stp>BDP|2684998677575698520</stp>
        <tr r="C4679" s="2"/>
      </tp>
      <tp t="s">
        <v>#N/A N/A</v>
        <stp/>
        <stp>BDP|3589059088573783430</stp>
        <tr r="H2151" s="2"/>
      </tp>
      <tp t="s">
        <v>#N/A N/A</v>
        <stp/>
        <stp>BDP|4760514390641223589</stp>
        <tr r="D604" s="2"/>
      </tp>
      <tp t="s">
        <v>#N/A N/A</v>
        <stp/>
        <stp>BDP|5184699578709401189</stp>
        <tr r="G4301" s="2"/>
      </tp>
      <tp t="s">
        <v>#N/A N/A</v>
        <stp/>
        <stp>BDP|5917351504328340278</stp>
        <tr r="F442" s="2"/>
      </tp>
      <tp t="s">
        <v>#N/A N/A</v>
        <stp/>
        <stp>BDP|9986602430736229670</stp>
        <tr r="G3952" s="2"/>
      </tp>
      <tp t="s">
        <v>#N/A N/A</v>
        <stp/>
        <stp>BDP|6042950124544983548</stp>
        <tr r="G897" s="2"/>
      </tp>
      <tp t="s">
        <v>#N/A N/A</v>
        <stp/>
        <stp>BDP|5971916307502615254</stp>
        <tr r="C4824" s="2"/>
      </tp>
      <tp t="s">
        <v>#N/A N/A</v>
        <stp/>
        <stp>BDP|3826750416101733801</stp>
        <tr r="A207" s="2"/>
      </tp>
      <tp t="s">
        <v>#N/A N/A</v>
        <stp/>
        <stp>BDP|8665327358104107611</stp>
        <tr r="I284" s="2"/>
      </tp>
      <tp t="s">
        <v>#N/A N/A</v>
        <stp/>
        <stp>BDP|9736876005278079591</stp>
        <tr r="A316" s="2"/>
      </tp>
      <tp t="s">
        <v>#N/A N/A</v>
        <stp/>
        <stp>BDP|1893899043610639184</stp>
        <tr r="C3787" s="2"/>
      </tp>
      <tp t="s">
        <v>#N/A N/A</v>
        <stp/>
        <stp>BDP|1697546626812042883</stp>
        <tr r="A3651" s="2"/>
      </tp>
      <tp t="s">
        <v>#N/A N/A</v>
        <stp/>
        <stp>BDP|7269520001589944744</stp>
        <tr r="C1329" s="2"/>
      </tp>
      <tp t="s">
        <v>#N/A N/A</v>
        <stp/>
        <stp>BDP|9291769493312912921</stp>
        <tr r="F3731" s="2"/>
      </tp>
      <tp t="s">
        <v>#N/A N/A</v>
        <stp/>
        <stp>BDP|8517938576423862948</stp>
        <tr r="A2133" s="2"/>
      </tp>
      <tp t="s">
        <v>#N/A N/A</v>
        <stp/>
        <stp>BDP|1500185332769266617</stp>
        <tr r="A1186" s="2"/>
      </tp>
      <tp t="s">
        <v>#N/A N/A</v>
        <stp/>
        <stp>BDP|5305550519099027431</stp>
        <tr r="A4251" s="2"/>
      </tp>
      <tp t="s">
        <v>#N/A N/A</v>
        <stp/>
        <stp>BDP|6124555886450832763</stp>
        <tr r="I519" s="2"/>
      </tp>
      <tp t="s">
        <v>#N/A N/A</v>
        <stp/>
        <stp>BDP|8020715061443970656</stp>
        <tr r="I4236" s="2"/>
      </tp>
      <tp t="s">
        <v>#N/A N/A</v>
        <stp/>
        <stp>BDP|8990022407355936199</stp>
        <tr r="I3936" s="2"/>
      </tp>
      <tp t="s">
        <v>#N/A N/A</v>
        <stp/>
        <stp>BDP|3921558102938643245</stp>
        <tr r="B4480" s="2"/>
      </tp>
      <tp t="s">
        <v>#N/A N/A</v>
        <stp/>
        <stp>BDP|6188421882116421098</stp>
        <tr r="H3400" s="2"/>
      </tp>
      <tp t="s">
        <v>#N/A N/A</v>
        <stp/>
        <stp>BDP|4172056039129531241</stp>
        <tr r="H4983" s="2"/>
      </tp>
      <tp t="s">
        <v>#N/A N/A</v>
        <stp/>
        <stp>BDP|4513981473764320217</stp>
        <tr r="B4485" s="2"/>
      </tp>
      <tp t="s">
        <v>#N/A N/A</v>
        <stp/>
        <stp>BDP|8634752448493258452</stp>
        <tr r="H1829" s="2"/>
      </tp>
      <tp t="s">
        <v>#N/A N/A</v>
        <stp/>
        <stp>BDP|9054815430279884758</stp>
        <tr r="I4438" s="2"/>
      </tp>
      <tp t="s">
        <v>#N/A N/A</v>
        <stp/>
        <stp>BDP|3809532798600830375</stp>
        <tr r="D3665" s="2"/>
      </tp>
      <tp t="s">
        <v>#N/A N/A</v>
        <stp/>
        <stp>BDP|3749840397226937817</stp>
        <tr r="F3164" s="2"/>
      </tp>
      <tp t="s">
        <v>#N/A N/A</v>
        <stp/>
        <stp>BDP|9458993512368414576</stp>
        <tr r="F1097" s="2"/>
      </tp>
      <tp t="s">
        <v>#N/A N/A</v>
        <stp/>
        <stp>BDP|9366428225970970314</stp>
        <tr r="A2905" s="2"/>
      </tp>
      <tp t="s">
        <v>#N/A N/A</v>
        <stp/>
        <stp>BDP|6075905901654940744</stp>
        <tr r="G4385" s="2"/>
      </tp>
      <tp t="s">
        <v>#N/A N/A</v>
        <stp/>
        <stp>BDP|1840820419334630093</stp>
        <tr r="H2406" s="2"/>
      </tp>
      <tp t="s">
        <v>#N/A N/A</v>
        <stp/>
        <stp>BDP|5105444672449867331</stp>
        <tr r="H3920" s="2"/>
      </tp>
      <tp t="s">
        <v>#N/A N/A</v>
        <stp/>
        <stp>BDP|8378153854372907270</stp>
        <tr r="D4407" s="2"/>
      </tp>
      <tp t="s">
        <v>#N/A N/A</v>
        <stp/>
        <stp>BDP|8195352629974806195</stp>
        <tr r="I3960" s="2"/>
      </tp>
      <tp t="s">
        <v>#N/A N/A</v>
        <stp/>
        <stp>BDP|2419263095170945520</stp>
        <tr r="H4652" s="2"/>
      </tp>
      <tp t="s">
        <v>#N/A N/A</v>
        <stp/>
        <stp>BDP|3530347089490272460</stp>
        <tr r="B1986" s="2"/>
      </tp>
      <tp t="s">
        <v>#N/A N/A</v>
        <stp/>
        <stp>BDP|9125474249150596568</stp>
        <tr r="I411" s="2"/>
      </tp>
      <tp t="s">
        <v>#N/A N/A</v>
        <stp/>
        <stp>BDP|3828416374225779967</stp>
        <tr r="C2022" s="2"/>
      </tp>
      <tp t="s">
        <v>#N/A N/A</v>
        <stp/>
        <stp>BDP|6814755582401770441</stp>
        <tr r="A2100" s="2"/>
      </tp>
      <tp t="s">
        <v>#N/A N/A</v>
        <stp/>
        <stp>BDP|8997567203457667675</stp>
        <tr r="F1981" s="2"/>
      </tp>
      <tp t="s">
        <v>#N/A N/A</v>
        <stp/>
        <stp>BDP|6569872549412384451</stp>
        <tr r="F629" s="2"/>
      </tp>
      <tp t="s">
        <v>#N/A N/A</v>
        <stp/>
        <stp>BDP|6656826236761748089</stp>
        <tr r="D3508" s="2"/>
      </tp>
      <tp t="s">
        <v>#N/A N/A</v>
        <stp/>
        <stp>BDP|1273619716559977314</stp>
        <tr r="G1864" s="2"/>
      </tp>
      <tp t="s">
        <v>#N/A N/A</v>
        <stp/>
        <stp>BDP|2254912329871676410</stp>
        <tr r="B4380" s="2"/>
      </tp>
      <tp t="s">
        <v>#N/A N/A</v>
        <stp/>
        <stp>BDP|8725268590307896848</stp>
        <tr r="A2983" s="2"/>
      </tp>
      <tp t="s">
        <v>#N/A N/A</v>
        <stp/>
        <stp>BDP|4551277686642087097</stp>
        <tr r="H653" s="2"/>
      </tp>
      <tp t="s">
        <v>#N/A N/A</v>
        <stp/>
        <stp>BDP|2523412869075032908</stp>
        <tr r="G2057" s="2"/>
      </tp>
      <tp t="s">
        <v>#N/A N/A</v>
        <stp/>
        <stp>BDP|5025321879125016868</stp>
        <tr r="G2300" s="2"/>
      </tp>
      <tp t="s">
        <v>#N/A N/A</v>
        <stp/>
        <stp>BDP|5324398605209737351</stp>
        <tr r="A774" s="2"/>
      </tp>
      <tp t="s">
        <v>#N/A N/A</v>
        <stp/>
        <stp>BDP|2440885363820475063</stp>
        <tr r="I2972" s="2"/>
      </tp>
      <tp t="s">
        <v>#N/A N/A</v>
        <stp/>
        <stp>BDP|9845966707618514419</stp>
        <tr r="H484" s="2"/>
      </tp>
      <tp t="s">
        <v>#N/A N/A</v>
        <stp/>
        <stp>BDP|3405781891499397830</stp>
        <tr r="I4801" s="2"/>
      </tp>
      <tp t="s">
        <v>#N/A N/A</v>
        <stp/>
        <stp>BDP|1893704112698342343</stp>
        <tr r="H897" s="2"/>
      </tp>
      <tp t="s">
        <v>#N/A N/A</v>
        <stp/>
        <stp>BDP|2862666427972356873</stp>
        <tr r="F335" s="2"/>
      </tp>
      <tp t="s">
        <v>#N/A N/A</v>
        <stp/>
        <stp>BDP|1437118699033446651</stp>
        <tr r="G2834" s="2"/>
      </tp>
      <tp t="s">
        <v>#N/A N/A</v>
        <stp/>
        <stp>BDP|6779856406956845412</stp>
        <tr r="B3713" s="2"/>
      </tp>
      <tp t="s">
        <v>#N/A N/A</v>
        <stp/>
        <stp>BDP|3259712507209834118</stp>
        <tr r="G1057" s="2"/>
      </tp>
      <tp t="s">
        <v>#N/A N/A</v>
        <stp/>
        <stp>BDP|1812944644715154546</stp>
        <tr r="I3773" s="2"/>
      </tp>
      <tp t="s">
        <v>#N/A N/A</v>
        <stp/>
        <stp>BDP|3821602094170185008</stp>
        <tr r="B1375" s="2"/>
      </tp>
      <tp t="s">
        <v>#N/A N/A</v>
        <stp/>
        <stp>BDP|4429036108178412065</stp>
        <tr r="I1982" s="2"/>
      </tp>
      <tp t="s">
        <v>#N/A N/A</v>
        <stp/>
        <stp>BDP|6612422502626230896</stp>
        <tr r="H2389" s="2"/>
      </tp>
      <tp t="s">
        <v>#N/A N/A</v>
        <stp/>
        <stp>BDP|2863767080453440271</stp>
        <tr r="B4702" s="2"/>
      </tp>
      <tp t="s">
        <v>#N/A N/A</v>
        <stp/>
        <stp>BDP|1561994789149973514</stp>
        <tr r="G3263" s="2"/>
      </tp>
      <tp t="s">
        <v>#N/A N/A</v>
        <stp/>
        <stp>BDP|9857253244526716532</stp>
        <tr r="A3423" s="2"/>
      </tp>
      <tp t="s">
        <v>#N/A N/A</v>
        <stp/>
        <stp>BDP|8547624908276757457</stp>
        <tr r="A2807" s="2"/>
      </tp>
      <tp t="s">
        <v>#N/A N/A</v>
        <stp/>
        <stp>BDP|9516156940655834552</stp>
        <tr r="A105" s="2"/>
      </tp>
      <tp t="s">
        <v>#N/A N/A</v>
        <stp/>
        <stp>BDP|2905643571297733862</stp>
        <tr r="F4802" s="2"/>
      </tp>
      <tp t="s">
        <v>#N/A N/A</v>
        <stp/>
        <stp>BDP|2175242015459474495</stp>
        <tr r="H4290" s="2"/>
      </tp>
      <tp t="s">
        <v>#N/A N/A</v>
        <stp/>
        <stp>BDP|7832938623346085653</stp>
        <tr r="D489" s="2"/>
      </tp>
      <tp t="s">
        <v>#N/A N/A</v>
        <stp/>
        <stp>BDP|6916328637943973984</stp>
        <tr r="D185" s="2"/>
      </tp>
      <tp t="s">
        <v>#N/A N/A</v>
        <stp/>
        <stp>BDP|4345342218209257302</stp>
        <tr r="G3256" s="2"/>
      </tp>
      <tp t="s">
        <v>#N/A N/A</v>
        <stp/>
        <stp>BDP|7771797590707519265</stp>
        <tr r="F1117" s="2"/>
      </tp>
      <tp t="s">
        <v>#N/A N/A</v>
        <stp/>
        <stp>BDP|9268096116416777270</stp>
        <tr r="I4982" s="2"/>
      </tp>
      <tp t="s">
        <v>#N/A N/A</v>
        <stp/>
        <stp>BDP|7165012721590515992</stp>
        <tr r="G2675" s="2"/>
      </tp>
      <tp t="s">
        <v>#N/A N/A</v>
        <stp/>
        <stp>BDP|9842376535786020375</stp>
        <tr r="G2805" s="2"/>
      </tp>
      <tp t="s">
        <v>#N/A N/A</v>
        <stp/>
        <stp>BDP|5762215677289875544</stp>
        <tr r="H4238" s="2"/>
      </tp>
      <tp t="s">
        <v>#N/A N/A</v>
        <stp/>
        <stp>BDP|1536995292344606950</stp>
        <tr r="B2121" s="2"/>
      </tp>
      <tp t="s">
        <v>#N/A N/A</v>
        <stp/>
        <stp>BDP|9947924510608335550</stp>
        <tr r="B1063" s="2"/>
      </tp>
      <tp t="s">
        <v>#N/A N/A</v>
        <stp/>
        <stp>BDP|5431764398044515323</stp>
        <tr r="F731" s="2"/>
      </tp>
      <tp t="s">
        <v>#N/A N/A</v>
        <stp/>
        <stp>BDP|5823764675719517035</stp>
        <tr r="B1474" s="2"/>
      </tp>
      <tp t="s">
        <v>#N/A N/A</v>
        <stp/>
        <stp>BDP|1862278794610089665</stp>
        <tr r="A3377" s="2"/>
      </tp>
      <tp t="s">
        <v>#N/A N/A</v>
        <stp/>
        <stp>BDP|5663787498024808334</stp>
        <tr r="F61" s="2"/>
      </tp>
      <tp t="s">
        <v>#N/A N/A</v>
        <stp/>
        <stp>BDP|3354579379808309531</stp>
        <tr r="B199" s="2"/>
      </tp>
      <tp t="s">
        <v>#N/A N/A</v>
        <stp/>
        <stp>BDP|8814903986554066134</stp>
        <tr r="F3052" s="2"/>
      </tp>
      <tp t="s">
        <v>#N/A N/A</v>
        <stp/>
        <stp>BDP|1527043935546991808</stp>
        <tr r="D2012" s="2"/>
      </tp>
      <tp t="s">
        <v>#N/A N/A</v>
        <stp/>
        <stp>BDP|2534177503548937756</stp>
        <tr r="H302" s="2"/>
      </tp>
      <tp t="s">
        <v>#N/A N/A</v>
        <stp/>
        <stp>BDP|3755808362120109198</stp>
        <tr r="B1459" s="2"/>
      </tp>
      <tp t="s">
        <v>#N/A N/A</v>
        <stp/>
        <stp>BDP|8095447398878534142</stp>
        <tr r="A3545" s="2"/>
      </tp>
      <tp t="s">
        <v>#N/A N/A</v>
        <stp/>
        <stp>BDP|7531902118623104010</stp>
        <tr r="D3466" s="2"/>
      </tp>
      <tp t="s">
        <v>#N/A N/A</v>
        <stp/>
        <stp>BDP|8231813192761591499</stp>
        <tr r="G2953" s="2"/>
      </tp>
      <tp t="s">
        <v>#N/A N/A</v>
        <stp/>
        <stp>BDP|8920975604074386948</stp>
        <tr r="B443" s="2"/>
      </tp>
      <tp t="s">
        <v>#N/A N/A</v>
        <stp/>
        <stp>BDP|5696006478887630953</stp>
        <tr r="B879" s="2"/>
      </tp>
      <tp t="s">
        <v>#N/A N/A</v>
        <stp/>
        <stp>BDP|8300134862225815671</stp>
        <tr r="F3512" s="2"/>
      </tp>
      <tp t="s">
        <v>#N/A N/A</v>
        <stp/>
        <stp>BDP|8946413556280671554</stp>
        <tr r="F1874" s="2"/>
      </tp>
      <tp t="s">
        <v>#N/A N/A</v>
        <stp/>
        <stp>BDP|6538085281705741763</stp>
        <tr r="G2141" s="2"/>
      </tp>
      <tp t="s">
        <v>#N/A N/A</v>
        <stp/>
        <stp>BDP|1144141472213397867</stp>
        <tr r="B4527" s="2"/>
      </tp>
      <tp t="s">
        <v>#N/A N/A</v>
        <stp/>
        <stp>BDP|8515529528456539586</stp>
        <tr r="G3035" s="2"/>
      </tp>
      <tp t="s">
        <v>#N/A N/A</v>
        <stp/>
        <stp>BDP|7068863514855111715</stp>
        <tr r="B217" s="2"/>
      </tp>
      <tp t="s">
        <v>#N/A N/A</v>
        <stp/>
        <stp>BDP|2309956547857233414</stp>
        <tr r="I2153" s="2"/>
      </tp>
      <tp t="s">
        <v>#N/A N/A</v>
        <stp/>
        <stp>BDP|6349139023958896194</stp>
        <tr r="A3550" s="2"/>
      </tp>
      <tp t="s">
        <v>#N/A N/A</v>
        <stp/>
        <stp>BDP|9636572552815706061</stp>
        <tr r="D1567" s="2"/>
      </tp>
      <tp t="s">
        <v>#N/A N/A</v>
        <stp/>
        <stp>BDP|1091734220361927984</stp>
        <tr r="B4155" s="2"/>
      </tp>
      <tp t="s">
        <v>#N/A N/A</v>
        <stp/>
        <stp>BDP|3123528182326643455</stp>
        <tr r="I1911" s="2"/>
      </tp>
      <tp t="s">
        <v>#N/A N/A</v>
        <stp/>
        <stp>BDP|3353839884778040767</stp>
        <tr r="H4813" s="2"/>
      </tp>
      <tp t="s">
        <v>#N/A N/A</v>
        <stp/>
        <stp>BDP|9210759660310328461</stp>
        <tr r="F4083" s="2"/>
      </tp>
      <tp t="s">
        <v>#N/A N/A</v>
        <stp/>
        <stp>BDP|1164708115452404921</stp>
        <tr r="F1754" s="2"/>
      </tp>
      <tp t="s">
        <v>#N/A N/A</v>
        <stp/>
        <stp>BDP|9626561101721773148</stp>
        <tr r="D4589" s="2"/>
      </tp>
      <tp t="s">
        <v>#N/A N/A</v>
        <stp/>
        <stp>BDP|3755975621071594562</stp>
        <tr r="D4708" s="2"/>
      </tp>
      <tp t="s">
        <v>#N/A N/A</v>
        <stp/>
        <stp>BDP|8069909371042452871</stp>
        <tr r="I749" s="2"/>
      </tp>
      <tp t="s">
        <v>#N/A N/A</v>
        <stp/>
        <stp>BDP|1079780547719925749</stp>
        <tr r="H4874" s="2"/>
      </tp>
      <tp t="s">
        <v>#N/A N/A</v>
        <stp/>
        <stp>BDP|7645547781572041418</stp>
        <tr r="I3126" s="2"/>
      </tp>
      <tp t="s">
        <v>#N/A N/A</v>
        <stp/>
        <stp>BDP|4700861652660390524</stp>
        <tr r="B2145" s="2"/>
      </tp>
      <tp t="s">
        <v>#N/A N/A</v>
        <stp/>
        <stp>BDP|2216763798830801060</stp>
        <tr r="D1458" s="2"/>
      </tp>
      <tp t="s">
        <v>#N/A N/A</v>
        <stp/>
        <stp>BDP|5361341947289069729</stp>
        <tr r="C489" s="2"/>
      </tp>
      <tp t="s">
        <v>#N/A N/A</v>
        <stp/>
        <stp>BDP|5686806310283738332</stp>
        <tr r="D3291" s="2"/>
      </tp>
      <tp t="s">
        <v>#N/A N/A</v>
        <stp/>
        <stp>BDP|1106593109849301106</stp>
        <tr r="B1893" s="2"/>
      </tp>
      <tp t="s">
        <v>#N/A N/A</v>
        <stp/>
        <stp>BDP|9102961992393790606</stp>
        <tr r="D3322" s="2"/>
      </tp>
      <tp t="s">
        <v>#N/A N/A</v>
        <stp/>
        <stp>BDP|1458872051822770275</stp>
        <tr r="F3703" s="2"/>
      </tp>
      <tp t="s">
        <v>#N/A N/A</v>
        <stp/>
        <stp>BDP|7663987044412194490</stp>
        <tr r="H2744" s="2"/>
      </tp>
      <tp t="s">
        <v>#N/A N/A</v>
        <stp/>
        <stp>BDP|9842639073385239181</stp>
        <tr r="B1392" s="2"/>
      </tp>
      <tp t="s">
        <v>#N/A N/A</v>
        <stp/>
        <stp>BDP|1583078434486084840</stp>
        <tr r="A3986" s="2"/>
      </tp>
      <tp t="s">
        <v>#N/A N/A</v>
        <stp/>
        <stp>BDP|5585654023069176404</stp>
        <tr r="D2023" s="2"/>
      </tp>
      <tp t="s">
        <v>#N/A N/A</v>
        <stp/>
        <stp>BDP|1655623711828067277</stp>
        <tr r="C1955" s="2"/>
      </tp>
      <tp t="s">
        <v>#N/A N/A</v>
        <stp/>
        <stp>BDP|9097081144102861360</stp>
        <tr r="B2361" s="2"/>
      </tp>
      <tp t="s">
        <v>#N/A N/A</v>
        <stp/>
        <stp>BDP|2077787588180180136</stp>
        <tr r="H4854" s="2"/>
      </tp>
      <tp t="s">
        <v>#N/A N/A</v>
        <stp/>
        <stp>BDP|8067132521644952399</stp>
        <tr r="C2880" s="2"/>
      </tp>
      <tp t="s">
        <v>#N/A N/A</v>
        <stp/>
        <stp>BDP|4069718952533642971</stp>
        <tr r="C3731" s="2"/>
      </tp>
      <tp t="s">
        <v>#N/A N/A</v>
        <stp/>
        <stp>BDP|6469180276928014480</stp>
        <tr r="A4528" s="2"/>
      </tp>
      <tp t="s">
        <v>#N/A N/A</v>
        <stp/>
        <stp>BDP|8112709520427548666</stp>
        <tr r="A1174" s="2"/>
      </tp>
      <tp t="s">
        <v>#N/A N/A</v>
        <stp/>
        <stp>BDP|8792481340102939644</stp>
        <tr r="D1873" s="2"/>
      </tp>
      <tp t="s">
        <v>#N/A N/A</v>
        <stp/>
        <stp>BDP|3420976266286080670</stp>
        <tr r="B1315" s="2"/>
      </tp>
      <tp t="s">
        <v>#N/A N/A</v>
        <stp/>
        <stp>BDP|4715474117074299972</stp>
        <tr r="D3286" s="2"/>
      </tp>
      <tp t="s">
        <v>#N/A N/A</v>
        <stp/>
        <stp>BDP|7569911201767428533</stp>
        <tr r="D3835" s="2"/>
      </tp>
      <tp t="s">
        <v>#N/A N/A</v>
        <stp/>
        <stp>BDP|5694824466831404644</stp>
        <tr r="C4610" s="2"/>
      </tp>
      <tp t="s">
        <v>#N/A N/A</v>
        <stp/>
        <stp>BDP|9086176975843767071</stp>
        <tr r="H565" s="2"/>
      </tp>
      <tp t="s">
        <v>#N/A N/A</v>
        <stp/>
        <stp>BDP|9224438571392395411</stp>
        <tr r="F1303" s="2"/>
      </tp>
      <tp t="s">
        <v>#N/A N/A</v>
        <stp/>
        <stp>BDP|6694423006026588853</stp>
        <tr r="D2665" s="2"/>
      </tp>
      <tp t="s">
        <v>#N/A N/A</v>
        <stp/>
        <stp>BDP|8121551416139868985</stp>
        <tr r="F337" s="2"/>
      </tp>
      <tp t="s">
        <v>#N/A N/A</v>
        <stp/>
        <stp>BDP|1969044091243772796</stp>
        <tr r="B2037" s="2"/>
      </tp>
      <tp t="s">
        <v>#N/A N/A</v>
        <stp/>
        <stp>BDP|4002431280797463351</stp>
        <tr r="B4135" s="2"/>
      </tp>
      <tp t="s">
        <v>#N/A N/A</v>
        <stp/>
        <stp>BDP|3403950985766647802</stp>
        <tr r="C3125" s="2"/>
      </tp>
      <tp t="s">
        <v>#N/A N/A</v>
        <stp/>
        <stp>BDP|5277469395984039034</stp>
        <tr r="I2082" s="2"/>
      </tp>
      <tp t="s">
        <v>#N/A N/A</v>
        <stp/>
        <stp>BDP|8263822926698156657</stp>
        <tr r="A2010" s="2"/>
      </tp>
      <tp t="s">
        <v>#N/A N/A</v>
        <stp/>
        <stp>BDP|9339351230080475505</stp>
        <tr r="A75" s="2"/>
      </tp>
      <tp t="s">
        <v>#N/A N/A</v>
        <stp/>
        <stp>BDP|1536303809267679985</stp>
        <tr r="F3126" s="2"/>
      </tp>
      <tp t="s">
        <v>#N/A N/A</v>
        <stp/>
        <stp>BDP|6116973071880291473</stp>
        <tr r="H2243" s="2"/>
      </tp>
      <tp t="s">
        <v>#N/A N/A</v>
        <stp/>
        <stp>BDP|2743161042862181906</stp>
        <tr r="D210" s="2"/>
      </tp>
      <tp t="s">
        <v>#N/A N/A</v>
        <stp/>
        <stp>BDP|7809946345732979425</stp>
        <tr r="D1704" s="2"/>
      </tp>
      <tp t="s">
        <v>#N/A N/A</v>
        <stp/>
        <stp>BDP|3444210784501422470</stp>
        <tr r="A96" s="2"/>
      </tp>
      <tp t="s">
        <v>#N/A N/A</v>
        <stp/>
        <stp>BDP|4163023189578147897</stp>
        <tr r="I1722" s="2"/>
      </tp>
      <tp t="s">
        <v>#N/A N/A</v>
        <stp/>
        <stp>BDP|5671907680138669024</stp>
        <tr r="D2717" s="2"/>
      </tp>
      <tp t="s">
        <v>#N/A N/A</v>
        <stp/>
        <stp>BDP|7413195387785890709</stp>
        <tr r="G488" s="2"/>
      </tp>
      <tp t="s">
        <v>#N/A N/A</v>
        <stp/>
        <stp>BDP|3049007781572040531</stp>
        <tr r="H4390" s="2"/>
      </tp>
      <tp t="s">
        <v>#N/A N/A</v>
        <stp/>
        <stp>BDP|7290654875012980896</stp>
        <tr r="B3806" s="2"/>
      </tp>
      <tp t="s">
        <v>#N/A N/A</v>
        <stp/>
        <stp>BDP|5749743021344157812</stp>
        <tr r="G789" s="2"/>
      </tp>
      <tp t="s">
        <v>#N/A N/A</v>
        <stp/>
        <stp>BDP|1452807202687379276</stp>
        <tr r="A3717" s="2"/>
      </tp>
      <tp t="s">
        <v>#N/A N/A</v>
        <stp/>
        <stp>BDP|9913481471213067521</stp>
        <tr r="C2531" s="2"/>
      </tp>
      <tp t="s">
        <v>#N/A N/A</v>
        <stp/>
        <stp>BDP|6034801471224530166</stp>
        <tr r="I5" s="2"/>
      </tp>
      <tp t="s">
        <v>#N/A N/A</v>
        <stp/>
        <stp>BDP|8053277396326750941</stp>
        <tr r="B1224" s="2"/>
      </tp>
      <tp t="s">
        <v>#N/A N/A</v>
        <stp/>
        <stp>BDP|1057719388294330688</stp>
        <tr r="D3227" s="2"/>
      </tp>
      <tp t="s">
        <v>#N/A N/A</v>
        <stp/>
        <stp>BDP|8474585568675148275</stp>
        <tr r="F1812" s="2"/>
      </tp>
      <tp t="s">
        <v>#N/A N/A</v>
        <stp/>
        <stp>BDP|2182697996644856549</stp>
        <tr r="G2310" s="2"/>
      </tp>
      <tp t="s">
        <v>#N/A N/A</v>
        <stp/>
        <stp>BDP|2273517862574627952</stp>
        <tr r="A1982" s="2"/>
      </tp>
      <tp t="s">
        <v>#N/A N/A</v>
        <stp/>
        <stp>BDP|8573376816040179672</stp>
        <tr r="B2128" s="2"/>
      </tp>
      <tp t="s">
        <v>#N/A N/A</v>
        <stp/>
        <stp>BDP|4756964218275911526</stp>
        <tr r="I181" s="2"/>
      </tp>
      <tp t="s">
        <v>#N/A N/A</v>
        <stp/>
        <stp>BDP|5734789009938644623</stp>
        <tr r="B2466" s="2"/>
      </tp>
      <tp t="s">
        <v>#N/A N/A</v>
        <stp/>
        <stp>BDP|5969990116995332478</stp>
        <tr r="A1595" s="2"/>
      </tp>
      <tp t="s">
        <v>#N/A N/A</v>
        <stp/>
        <stp>BDP|9944705176787465294</stp>
        <tr r="B1281" s="2"/>
      </tp>
      <tp t="s">
        <v>#N/A N/A</v>
        <stp/>
        <stp>BDP|8134510075050228655</stp>
        <tr r="B3855" s="2"/>
      </tp>
      <tp t="s">
        <v>#N/A N/A</v>
        <stp/>
        <stp>BDP|7694338887123018306</stp>
        <tr r="H3728" s="2"/>
      </tp>
      <tp t="s">
        <v>#N/A N/A</v>
        <stp/>
        <stp>BDP|6984879709832180046</stp>
        <tr r="H950" s="2"/>
      </tp>
      <tp t="s">
        <v>#N/A N/A</v>
        <stp/>
        <stp>BDP|6006009394573423029</stp>
        <tr r="F1678" s="2"/>
      </tp>
      <tp t="s">
        <v>#N/A N/A</v>
        <stp/>
        <stp>BDP|1046530002328208010</stp>
        <tr r="A1932" s="2"/>
      </tp>
      <tp t="s">
        <v>#N/A N/A</v>
        <stp/>
        <stp>BDP|3598495279895217953</stp>
        <tr r="F2816" s="2"/>
      </tp>
      <tp t="s">
        <v>#N/A N/A</v>
        <stp/>
        <stp>BDP|9714354210236255124</stp>
        <tr r="H3348" s="2"/>
      </tp>
      <tp t="s">
        <v>#N/A N/A</v>
        <stp/>
        <stp>BDP|5895368349529075755</stp>
        <tr r="B3763" s="2"/>
      </tp>
      <tp t="s">
        <v>#N/A N/A</v>
        <stp/>
        <stp>BDP|4713953803110306105</stp>
        <tr r="B322" s="2"/>
      </tp>
      <tp t="s">
        <v>#N/A N/A</v>
        <stp/>
        <stp>BDP|8542791709713568022</stp>
        <tr r="A376" s="2"/>
      </tp>
      <tp t="s">
        <v>#N/A N/A</v>
        <stp/>
        <stp>BDP|8812265451792829148</stp>
        <tr r="D677" s="2"/>
      </tp>
      <tp t="s">
        <v>#N/A N/A</v>
        <stp/>
        <stp>BDP|3446521521950711834</stp>
        <tr r="H2196" s="2"/>
      </tp>
      <tp t="s">
        <v>#N/A N/A</v>
        <stp/>
        <stp>BDP|1847054159949753105</stp>
        <tr r="A2432" s="2"/>
      </tp>
      <tp t="s">
        <v>#N/A N/A</v>
        <stp/>
        <stp>BDP|5933579772258630392</stp>
        <tr r="B2414" s="2"/>
      </tp>
      <tp t="s">
        <v>#N/A N/A</v>
        <stp/>
        <stp>BDP|6263565089602652589</stp>
        <tr r="C4066" s="2"/>
      </tp>
      <tp t="s">
        <v>#N/A N/A</v>
        <stp/>
        <stp>BDP|1770065352050539858</stp>
        <tr r="C3419" s="2"/>
      </tp>
      <tp t="s">
        <v>#N/A N/A</v>
        <stp/>
        <stp>BDP|2048904071870657044</stp>
        <tr r="A2208" s="2"/>
      </tp>
      <tp t="s">
        <v>#N/A N/A</v>
        <stp/>
        <stp>BDP|6240510012337066929</stp>
        <tr r="F1017" s="2"/>
      </tp>
      <tp t="s">
        <v>#N/A N/A</v>
        <stp/>
        <stp>BDP|8831031739007026018</stp>
        <tr r="I2525" s="2"/>
      </tp>
      <tp t="s">
        <v>#N/A N/A</v>
        <stp/>
        <stp>BDP|1906112480025228198</stp>
        <tr r="I4224" s="2"/>
      </tp>
      <tp t="s">
        <v>#N/A N/A</v>
        <stp/>
        <stp>BDP|6745429547533407953</stp>
        <tr r="H4107" s="2"/>
      </tp>
      <tp t="s">
        <v>#N/A N/A</v>
        <stp/>
        <stp>BDP|3541707585878096839</stp>
        <tr r="D1997" s="2"/>
      </tp>
      <tp t="s">
        <v>#N/A N/A</v>
        <stp/>
        <stp>BDP|8166568684830053908</stp>
        <tr r="D4256" s="2"/>
      </tp>
      <tp t="s">
        <v>#N/A N/A</v>
        <stp/>
        <stp>BDP|3029230145908634133</stp>
        <tr r="D2791" s="2"/>
      </tp>
      <tp t="s">
        <v>#N/A N/A</v>
        <stp/>
        <stp>BDP|8728828114704141932</stp>
        <tr r="B3332" s="2"/>
      </tp>
      <tp t="s">
        <v>#N/A N/A</v>
        <stp/>
        <stp>BDP|9799767321641076134</stp>
        <tr r="B841" s="2"/>
      </tp>
      <tp t="s">
        <v>#N/A N/A</v>
        <stp/>
        <stp>BDP|1033040741889248045</stp>
        <tr r="I4408" s="2"/>
      </tp>
      <tp t="s">
        <v>#N/A N/A</v>
        <stp/>
        <stp>BDP|9852916250510883924</stp>
        <tr r="G2489" s="2"/>
      </tp>
      <tp t="s">
        <v>#N/A N/A</v>
        <stp/>
        <stp>BDP|7978128949448758664</stp>
        <tr r="I4015" s="2"/>
      </tp>
      <tp t="s">
        <v>#N/A N/A</v>
        <stp/>
        <stp>BDP|4749332721121698803</stp>
        <tr r="B3859" s="2"/>
      </tp>
      <tp t="s">
        <v>#N/A N/A</v>
        <stp/>
        <stp>BDP|5583244991396056437</stp>
        <tr r="I3023" s="2"/>
      </tp>
      <tp t="s">
        <v>#N/A N/A</v>
        <stp/>
        <stp>BDP|6687721536256126804</stp>
        <tr r="I1370" s="2"/>
      </tp>
      <tp t="s">
        <v>#N/A N/A</v>
        <stp/>
        <stp>BDP|8469369560546644773</stp>
        <tr r="A2525" s="2"/>
      </tp>
      <tp t="s">
        <v>#N/A N/A</v>
        <stp/>
        <stp>BDP|6790204799002998349</stp>
        <tr r="G3060" s="2"/>
      </tp>
      <tp t="s">
        <v>#N/A N/A</v>
        <stp/>
        <stp>BDP|6741364943885539846</stp>
        <tr r="A2864" s="2"/>
      </tp>
      <tp t="s">
        <v>#N/A N/A</v>
        <stp/>
        <stp>BDP|2329653399598504998</stp>
        <tr r="A1882" s="2"/>
      </tp>
      <tp t="s">
        <v>#N/A N/A</v>
        <stp/>
        <stp>BDP|8059730625303598203</stp>
        <tr r="F1179" s="2"/>
      </tp>
      <tp t="s">
        <v>#N/A N/A</v>
        <stp/>
        <stp>BDP|3503379092443705641</stp>
        <tr r="A1776" s="2"/>
      </tp>
      <tp t="s">
        <v>#N/A N/A</v>
        <stp/>
        <stp>BDP|8994389370965303515</stp>
        <tr r="B4536" s="2"/>
      </tp>
      <tp t="s">
        <v>#N/A N/A</v>
        <stp/>
        <stp>BDP|7918532199353380434</stp>
        <tr r="A2611" s="2"/>
      </tp>
      <tp t="s">
        <v>#N/A N/A</v>
        <stp/>
        <stp>BDP|2533879384896282876</stp>
        <tr r="C628" s="2"/>
      </tp>
      <tp t="s">
        <v>#N/A N/A</v>
        <stp/>
        <stp>BDP|2258769247645543851</stp>
        <tr r="B3557" s="2"/>
      </tp>
      <tp t="s">
        <v>#N/A N/A</v>
        <stp/>
        <stp>BDP|3642524258856931965</stp>
        <tr r="G3484" s="2"/>
      </tp>
      <tp t="s">
        <v>#N/A N/A</v>
        <stp/>
        <stp>BDP|5066098994888712899</stp>
        <tr r="I3284" s="2"/>
      </tp>
      <tp t="s">
        <v>#N/A N/A</v>
        <stp/>
        <stp>BDP|9124244028667987276</stp>
        <tr r="H4716" s="2"/>
      </tp>
      <tp t="s">
        <v>#N/A N/A</v>
        <stp/>
        <stp>BDP|1346723286861560317</stp>
        <tr r="A3578" s="2"/>
      </tp>
      <tp t="s">
        <v>#N/A N/A</v>
        <stp/>
        <stp>BDP|3590052992720807692</stp>
        <tr r="H2220" s="2"/>
      </tp>
      <tp t="s">
        <v>#N/A N/A</v>
        <stp/>
        <stp>BDP|7611538557233728867</stp>
        <tr r="A2106" s="2"/>
      </tp>
      <tp t="s">
        <v>#N/A N/A</v>
        <stp/>
        <stp>BDP|9989585257571344462</stp>
        <tr r="D1519" s="2"/>
      </tp>
      <tp t="s">
        <v>#N/A N/A</v>
        <stp/>
        <stp>BDP|8713842714874009945</stp>
        <tr r="D830" s="2"/>
      </tp>
      <tp t="s">
        <v>#N/A N/A</v>
        <stp/>
        <stp>BDP|5288558392933423625</stp>
        <tr r="G4109" s="2"/>
      </tp>
      <tp t="s">
        <v>#N/A N/A</v>
        <stp/>
        <stp>BDP|8025254621015465131</stp>
        <tr r="G3947" s="2"/>
      </tp>
      <tp t="s">
        <v>#N/A N/A</v>
        <stp/>
        <stp>BDP|8840425223021990339</stp>
        <tr r="B319" s="2"/>
      </tp>
      <tp t="s">
        <v>#N/A N/A</v>
        <stp/>
        <stp>BDP|9619702131191039040</stp>
        <tr r="B1914" s="2"/>
      </tp>
      <tp t="s">
        <v>#N/A N/A</v>
        <stp/>
        <stp>BDP|3067506261995014928</stp>
        <tr r="A1639" s="2"/>
      </tp>
      <tp t="s">
        <v>#N/A N/A</v>
        <stp/>
        <stp>BDP|9469466132731253312</stp>
        <tr r="B2571" s="2"/>
      </tp>
      <tp t="s">
        <v>#N/A N/A</v>
        <stp/>
        <stp>BDP|3011916785659577725</stp>
        <tr r="C3706" s="2"/>
      </tp>
      <tp t="s">
        <v>#N/A N/A</v>
        <stp/>
        <stp>BDP|3527604711350060870</stp>
        <tr r="H3653" s="2"/>
      </tp>
      <tp t="s">
        <v>#N/A N/A</v>
        <stp/>
        <stp>BDP|9327645194513612960</stp>
        <tr r="A4296" s="2"/>
      </tp>
      <tp t="s">
        <v>#N/A N/A</v>
        <stp/>
        <stp>BDP|4590633696912081538</stp>
        <tr r="F2252" s="2"/>
      </tp>
      <tp t="s">
        <v>#N/A N/A</v>
        <stp/>
        <stp>BDP|8145918367838542313</stp>
        <tr r="I3239" s="2"/>
      </tp>
      <tp t="s">
        <v>#N/A N/A</v>
        <stp/>
        <stp>BDP|8774732950337739106</stp>
        <tr r="D503" s="2"/>
      </tp>
      <tp t="s">
        <v>#N/A N/A</v>
        <stp/>
        <stp>BDP|6437131786164687748</stp>
        <tr r="I3127" s="2"/>
      </tp>
      <tp t="s">
        <v>#N/A N/A</v>
        <stp/>
        <stp>BDP|7026812456522321474</stp>
        <tr r="C1698" s="2"/>
      </tp>
      <tp t="s">
        <v>#N/A N/A</v>
        <stp/>
        <stp>BDP|1849072790550598499</stp>
        <tr r="G1613" s="2"/>
      </tp>
      <tp t="s">
        <v>#N/A N/A</v>
        <stp/>
        <stp>BDP|6935559788011680611</stp>
        <tr r="H4529" s="2"/>
      </tp>
      <tp t="s">
        <v>#N/A N/A</v>
        <stp/>
        <stp>BDP|1672871553629269935</stp>
        <tr r="I2552" s="2"/>
      </tp>
      <tp t="s">
        <v>#N/A N/A</v>
        <stp/>
        <stp>BDP|8437213776789877883</stp>
        <tr r="H3105" s="2"/>
      </tp>
      <tp t="s">
        <v>#N/A N/A</v>
        <stp/>
        <stp>BDP|8148173317360277400</stp>
        <tr r="C1018" s="2"/>
      </tp>
      <tp t="s">
        <v>#N/A N/A</v>
        <stp/>
        <stp>BDP|4897123277926813860</stp>
        <tr r="D1058" s="2"/>
      </tp>
      <tp t="s">
        <v>#N/A N/A</v>
        <stp/>
        <stp>BDP|9871081371832197035</stp>
        <tr r="H221" s="2"/>
      </tp>
      <tp t="s">
        <v>#N/A N/A</v>
        <stp/>
        <stp>BDP|3536906414651750654</stp>
        <tr r="B599" s="2"/>
      </tp>
      <tp t="s">
        <v>#N/A N/A</v>
        <stp/>
        <stp>BDP|7186954052527584003</stp>
        <tr r="H3481" s="2"/>
      </tp>
      <tp t="s">
        <v>#N/A N/A</v>
        <stp/>
        <stp>BDP|2255983629437621262</stp>
        <tr r="C2791" s="2"/>
      </tp>
      <tp t="s">
        <v>#N/A N/A</v>
        <stp/>
        <stp>BDP|2435611793446504704</stp>
        <tr r="H2114" s="2"/>
      </tp>
      <tp t="s">
        <v>#N/A N/A</v>
        <stp/>
        <stp>BDP|4805546586530151584</stp>
        <tr r="H862" s="2"/>
      </tp>
      <tp t="s">
        <v>#N/A N/A</v>
        <stp/>
        <stp>BDP|8688885904394045898</stp>
        <tr r="G4639" s="2"/>
      </tp>
      <tp t="s">
        <v>#N/A N/A</v>
        <stp/>
        <stp>BDP|1775869662081243228</stp>
        <tr r="D4494" s="2"/>
      </tp>
      <tp t="s">
        <v>#N/A N/A</v>
        <stp/>
        <stp>BDP|8789379171101062124</stp>
        <tr r="D3191" s="2"/>
      </tp>
      <tp t="s">
        <v>#N/A N/A</v>
        <stp/>
        <stp>BDP|5673359414852737930</stp>
        <tr r="I4736" s="2"/>
      </tp>
      <tp t="s">
        <v>#N/A N/A</v>
        <stp/>
        <stp>BDP|1604756586312336053</stp>
        <tr r="H2746" s="2"/>
      </tp>
      <tp t="s">
        <v>#N/A N/A</v>
        <stp/>
        <stp>BDP|9324362540634132670</stp>
        <tr r="I3656" s="2"/>
      </tp>
      <tp t="s">
        <v>#N/A N/A</v>
        <stp/>
        <stp>BDP|5558719227118317439</stp>
        <tr r="A1608" s="2"/>
      </tp>
      <tp t="s">
        <v>#N/A N/A</v>
        <stp/>
        <stp>BDP|2652619456359327419</stp>
        <tr r="A2353" s="2"/>
      </tp>
      <tp t="s">
        <v>#N/A N/A</v>
        <stp/>
        <stp>BDP|3864941908617178162</stp>
        <tr r="H4296" s="2"/>
      </tp>
      <tp t="s">
        <v>#N/A N/A</v>
        <stp/>
        <stp>BDP|6095986179571566578</stp>
        <tr r="C1485" s="2"/>
      </tp>
      <tp t="s">
        <v>#N/A N/A</v>
        <stp/>
        <stp>BDP|2088098294226655183</stp>
        <tr r="B3594" s="2"/>
      </tp>
      <tp t="s">
        <v>#N/A N/A</v>
        <stp/>
        <stp>BDP|3633213577472139823</stp>
        <tr r="H3504" s="2"/>
      </tp>
      <tp t="s">
        <v>#N/A N/A</v>
        <stp/>
        <stp>BDP|3834898586916368970</stp>
        <tr r="A1121" s="2"/>
      </tp>
      <tp t="s">
        <v>#N/A N/A</v>
        <stp/>
        <stp>BDP|2629745209118130191</stp>
        <tr r="C1748" s="2"/>
      </tp>
      <tp t="s">
        <v>#N/A N/A</v>
        <stp/>
        <stp>BDP|8381907211799768569</stp>
        <tr r="C3907" s="2"/>
      </tp>
      <tp t="s">
        <v>#N/A N/A</v>
        <stp/>
        <stp>BDP|9542593619620764110</stp>
        <tr r="D2169" s="2"/>
      </tp>
      <tp t="s">
        <v>#N/A N/A</v>
        <stp/>
        <stp>BDP|4071944506911788065</stp>
        <tr r="G4794" s="2"/>
      </tp>
      <tp t="s">
        <v>#N/A N/A</v>
        <stp/>
        <stp>BDP|6418145598577241592</stp>
        <tr r="D3611" s="2"/>
      </tp>
      <tp t="s">
        <v>#N/A N/A</v>
        <stp/>
        <stp>BDP|9301963666423752974</stp>
        <tr r="I1280" s="2"/>
      </tp>
      <tp t="s">
        <v>#N/A N/A</v>
        <stp/>
        <stp>BDP|3171532295350358375</stp>
        <tr r="A4876" s="2"/>
      </tp>
      <tp t="s">
        <v>#N/A N/A</v>
        <stp/>
        <stp>BDP|8629774629333235290</stp>
        <tr r="D4885" s="2"/>
      </tp>
      <tp t="s">
        <v>#N/A N/A</v>
        <stp/>
        <stp>BDP|9191011471067197508</stp>
        <tr r="F1120" s="2"/>
      </tp>
      <tp t="s">
        <v>#N/A N/A</v>
        <stp/>
        <stp>BDP|1825308927365862976</stp>
        <tr r="B3625" s="2"/>
      </tp>
      <tp t="s">
        <v>#N/A N/A</v>
        <stp/>
        <stp>BDP|1223346441799387342</stp>
        <tr r="G937" s="2"/>
      </tp>
      <tp t="s">
        <v>#N/A N/A</v>
        <stp/>
        <stp>BDP|7154262081738180970</stp>
        <tr r="H1122" s="2"/>
      </tp>
      <tp t="s">
        <v>#N/A N/A</v>
        <stp/>
        <stp>BDP|2285710290648012837</stp>
        <tr r="D1119" s="2"/>
      </tp>
      <tp t="s">
        <v>#N/A N/A</v>
        <stp/>
        <stp>BDP|9558459937111651310</stp>
        <tr r="C880" s="2"/>
      </tp>
      <tp t="s">
        <v>#N/A N/A</v>
        <stp/>
        <stp>BDP|9104502192259492071</stp>
        <tr r="D3305" s="2"/>
      </tp>
      <tp t="s">
        <v>#N/A N/A</v>
        <stp/>
        <stp>BDP|4716260883912624042</stp>
        <tr r="B194" s="2"/>
      </tp>
      <tp t="s">
        <v>#N/A N/A</v>
        <stp/>
        <stp>BDP|6625869113665134625</stp>
        <tr r="I1878" s="2"/>
      </tp>
      <tp t="s">
        <v>#N/A N/A</v>
        <stp/>
        <stp>BDP|7883537784066962062</stp>
        <tr r="G3460" s="2"/>
      </tp>
      <tp t="s">
        <v>#N/A N/A</v>
        <stp/>
        <stp>BDP|6286968514273698160</stp>
        <tr r="G1207" s="2"/>
      </tp>
      <tp t="s">
        <v>#N/A N/A</v>
        <stp/>
        <stp>BDP|8551721731349146979</stp>
        <tr r="F280" s="2"/>
      </tp>
      <tp t="s">
        <v>#N/A N/A</v>
        <stp/>
        <stp>BDP|7092863130301356156</stp>
        <tr r="H1781" s="2"/>
      </tp>
      <tp t="s">
        <v>#N/A N/A</v>
        <stp/>
        <stp>BDP|9094935690203352601</stp>
        <tr r="C114" s="2"/>
      </tp>
      <tp t="s">
        <v>#N/A N/A</v>
        <stp/>
        <stp>BDP|9696332753664328755</stp>
        <tr r="A313" s="2"/>
      </tp>
      <tp t="s">
        <v>#N/A N/A</v>
        <stp/>
        <stp>BDP|7000753674273538848</stp>
        <tr r="A4446" s="2"/>
      </tp>
      <tp t="s">
        <v>#N/A N/A</v>
        <stp/>
        <stp>BDP|6523239992112651325</stp>
        <tr r="D1085" s="2"/>
      </tp>
      <tp t="s">
        <v>#N/A N/A</v>
        <stp/>
        <stp>BDP|6660616721809116774</stp>
        <tr r="A3539" s="2"/>
      </tp>
      <tp t="s">
        <v>#N/A N/A</v>
        <stp/>
        <stp>BDP|7885266399982434239</stp>
        <tr r="D4776" s="2"/>
      </tp>
      <tp t="s">
        <v>#N/A N/A</v>
        <stp/>
        <stp>BDP|6028601776978364350</stp>
        <tr r="H67" s="2"/>
      </tp>
      <tp t="s">
        <v>#N/A N/A</v>
        <stp/>
        <stp>BDP|9332151696304788975</stp>
        <tr r="D1107" s="2"/>
      </tp>
      <tp t="s">
        <v>#N/A N/A</v>
        <stp/>
        <stp>BDP|2326123835578514419</stp>
        <tr r="A4385" s="2"/>
      </tp>
      <tp t="s">
        <v>#N/A N/A</v>
        <stp/>
        <stp>BDP|6981939847235865259</stp>
        <tr r="H1649" s="2"/>
      </tp>
      <tp t="s">
        <v>#N/A N/A</v>
        <stp/>
        <stp>BDP|8596017373744475731</stp>
        <tr r="I2000" s="2"/>
      </tp>
      <tp t="s">
        <v>#N/A N/A</v>
        <stp/>
        <stp>BDP|6196057081097439512</stp>
        <tr r="H163" s="2"/>
      </tp>
      <tp t="s">
        <v>#N/A N/A</v>
        <stp/>
        <stp>BDP|6437388259254076851</stp>
        <tr r="D4376" s="2"/>
      </tp>
      <tp t="s">
        <v>#N/A N/A</v>
        <stp/>
        <stp>BDP|2957971258713048168</stp>
        <tr r="I6" s="2"/>
      </tp>
      <tp t="s">
        <v>#N/A N/A</v>
        <stp/>
        <stp>BDP|7741734958928415187</stp>
        <tr r="G667" s="2"/>
      </tp>
      <tp t="s">
        <v>#N/A N/A</v>
        <stp/>
        <stp>BDP|1287850277057459542</stp>
        <tr r="F1992" s="2"/>
      </tp>
      <tp t="s">
        <v>#N/A N/A</v>
        <stp/>
        <stp>BDP|1671954647469301979</stp>
        <tr r="A2366" s="2"/>
      </tp>
      <tp t="s">
        <v>#N/A N/A</v>
        <stp/>
        <stp>BDP|6662435645442654863</stp>
        <tr r="G4063" s="2"/>
      </tp>
      <tp t="s">
        <v>#N/A N/A</v>
        <stp/>
        <stp>BDP|8833594372430264614</stp>
        <tr r="F3649" s="2"/>
      </tp>
      <tp t="s">
        <v>#N/A N/A</v>
        <stp/>
        <stp>BDP|9093580352956356394</stp>
        <tr r="A193" s="2"/>
      </tp>
      <tp t="s">
        <v>#N/A N/A</v>
        <stp/>
        <stp>BDP|1339971244202362237</stp>
        <tr r="D2366" s="2"/>
      </tp>
      <tp t="s">
        <v>#N/A N/A</v>
        <stp/>
        <stp>BDP|2704032354353745875</stp>
        <tr r="A1683" s="2"/>
      </tp>
      <tp t="s">
        <v>#N/A N/A</v>
        <stp/>
        <stp>BDP|9015466103762470317</stp>
        <tr r="A4717" s="2"/>
      </tp>
      <tp t="s">
        <v>#N/A N/A</v>
        <stp/>
        <stp>BDP|5457645010157128913</stp>
        <tr r="G3054" s="2"/>
      </tp>
      <tp t="s">
        <v>#N/A N/A</v>
        <stp/>
        <stp>BDP|6501853030772533354</stp>
        <tr r="A1565" s="2"/>
      </tp>
      <tp t="s">
        <v>#N/A N/A</v>
        <stp/>
        <stp>BDP|7050705558119902012</stp>
        <tr r="F1137" s="2"/>
      </tp>
      <tp t="s">
        <v>#N/A N/A</v>
        <stp/>
        <stp>BDP|8311316437241456513</stp>
        <tr r="B1130" s="2"/>
      </tp>
      <tp t="s">
        <v>#N/A N/A</v>
        <stp/>
        <stp>BDP|3321894200581297689</stp>
        <tr r="A3412" s="2"/>
      </tp>
      <tp t="s">
        <v>#N/A N/A</v>
        <stp/>
        <stp>BDP|2178251567172432877</stp>
        <tr r="D649" s="2"/>
      </tp>
      <tp t="s">
        <v>#N/A N/A</v>
        <stp/>
        <stp>BDP|4276475983547213345</stp>
        <tr r="B1418" s="2"/>
      </tp>
      <tp t="s">
        <v>#N/A N/A</v>
        <stp/>
        <stp>BDP|7437194910183813855</stp>
        <tr r="I1141" s="2"/>
      </tp>
      <tp t="s">
        <v>#N/A N/A</v>
        <stp/>
        <stp>BDP|1170097416748826467</stp>
        <tr r="F3317" s="2"/>
      </tp>
      <tp t="s">
        <v>#N/A N/A</v>
        <stp/>
        <stp>BDP|8714431619712550380</stp>
        <tr r="C1768" s="2"/>
      </tp>
      <tp t="s">
        <v>#N/A N/A</v>
        <stp/>
        <stp>BDP|9503610745736944181</stp>
        <tr r="I3959" s="2"/>
      </tp>
      <tp t="s">
        <v>#N/A N/A</v>
        <stp/>
        <stp>BDP|1015915853083553274</stp>
        <tr r="G775" s="2"/>
      </tp>
      <tp t="s">
        <v>#N/A N/A</v>
        <stp/>
        <stp>BDP|7846370147989089580</stp>
        <tr r="A4189" s="2"/>
      </tp>
      <tp t="s">
        <v>#N/A N/A</v>
        <stp/>
        <stp>BDP|1870181420076732870</stp>
        <tr r="A4577" s="2"/>
      </tp>
      <tp t="s">
        <v>#N/A N/A</v>
        <stp/>
        <stp>BDP|5626920349845490196</stp>
        <tr r="I2762" s="2"/>
      </tp>
      <tp t="s">
        <v>#N/A N/A</v>
        <stp/>
        <stp>BDP|4732907413698151852</stp>
        <tr r="D3034" s="2"/>
      </tp>
      <tp t="s">
        <v>#N/A N/A</v>
        <stp/>
        <stp>BDP|2536960165756128773</stp>
        <tr r="G2770" s="2"/>
      </tp>
      <tp t="s">
        <v>#N/A N/A</v>
        <stp/>
        <stp>BDP|7513558686295166378</stp>
        <tr r="A1089" s="2"/>
      </tp>
      <tp t="s">
        <v>#N/A N/A</v>
        <stp/>
        <stp>BDP|2367816927822457618</stp>
        <tr r="H2822" s="2"/>
      </tp>
      <tp t="s">
        <v>#N/A N/A</v>
        <stp/>
        <stp>BDP|8664594383959966059</stp>
        <tr r="B3985" s="2"/>
      </tp>
      <tp t="s">
        <v>#N/A N/A</v>
        <stp/>
        <stp>BDP|8766911423529304666</stp>
        <tr r="B2628" s="2"/>
      </tp>
      <tp t="s">
        <v>#N/A N/A</v>
        <stp/>
        <stp>BDP|7659108819949973267</stp>
        <tr r="D1733" s="2"/>
      </tp>
      <tp t="s">
        <v>#N/A N/A</v>
        <stp/>
        <stp>BDP|4326812700443194339</stp>
        <tr r="D1690" s="2"/>
      </tp>
      <tp t="s">
        <v>#N/A N/A</v>
        <stp/>
        <stp>BDP|1632944443274822493</stp>
        <tr r="A1221" s="2"/>
      </tp>
      <tp t="s">
        <v>#N/A N/A</v>
        <stp/>
        <stp>BDP|9199112235727416019</stp>
        <tr r="G4583" s="2"/>
      </tp>
      <tp t="s">
        <v>#N/A N/A</v>
        <stp/>
        <stp>BDP|5530498678429419309</stp>
        <tr r="B1689" s="2"/>
      </tp>
      <tp t="s">
        <v>#N/A N/A</v>
        <stp/>
        <stp>BDP|2192585899834317632</stp>
        <tr r="F1216" s="2"/>
      </tp>
      <tp t="s">
        <v>#N/A N/A</v>
        <stp/>
        <stp>BDP|2896264882536975258</stp>
        <tr r="F2180" s="2"/>
      </tp>
      <tp t="s">
        <v>#N/A N/A</v>
        <stp/>
        <stp>BDP|8878004062131302395</stp>
        <tr r="F3003" s="2"/>
      </tp>
      <tp t="s">
        <v>#N/A N/A</v>
        <stp/>
        <stp>BDP|1806416712119956124</stp>
        <tr r="C3857" s="2"/>
      </tp>
      <tp t="s">
        <v>#N/A N/A</v>
        <stp/>
        <stp>BDP|2510529684561392202</stp>
        <tr r="H1821" s="2"/>
      </tp>
      <tp t="s">
        <v>#N/A N/A</v>
        <stp/>
        <stp>BDP|8221337954822388063</stp>
        <tr r="H757" s="2"/>
      </tp>
      <tp t="s">
        <v>#N/A N/A</v>
        <stp/>
        <stp>BDP|9766612027895335429</stp>
        <tr r="B4837" s="2"/>
      </tp>
      <tp t="s">
        <v>#N/A N/A</v>
        <stp/>
        <stp>BDP|8265308426687018250</stp>
        <tr r="H229" s="2"/>
      </tp>
      <tp t="s">
        <v>#N/A N/A</v>
        <stp/>
        <stp>BDP|7152018359516962817</stp>
        <tr r="A200" s="2"/>
      </tp>
      <tp t="s">
        <v>#N/A N/A</v>
        <stp/>
        <stp>BDP|8120517055821655520</stp>
        <tr r="I754" s="2"/>
      </tp>
      <tp t="s">
        <v>#N/A N/A</v>
        <stp/>
        <stp>BDP|2594716951459357576</stp>
        <tr r="C2921" s="2"/>
      </tp>
      <tp t="s">
        <v>#N/A N/A</v>
        <stp/>
        <stp>BDP|5708983169603552528</stp>
        <tr r="I566" s="2"/>
      </tp>
      <tp t="s">
        <v>#N/A N/A</v>
        <stp/>
        <stp>BDP|9444255244074235769</stp>
        <tr r="B1825" s="2"/>
      </tp>
      <tp t="s">
        <v>#N/A N/A</v>
        <stp/>
        <stp>BDP|3150888602035337295</stp>
        <tr r="G104" s="2"/>
      </tp>
      <tp t="s">
        <v>#N/A N/A</v>
        <stp/>
        <stp>BDP|2772934103364229349</stp>
        <tr r="H3764" s="2"/>
      </tp>
      <tp t="s">
        <v>#N/A N/A</v>
        <stp/>
        <stp>BDP|9059647198623596986</stp>
        <tr r="I2245" s="2"/>
      </tp>
      <tp t="s">
        <v>#N/A N/A</v>
        <stp/>
        <stp>BDP|2128681596855933473</stp>
        <tr r="H1945" s="2"/>
      </tp>
      <tp t="s">
        <v>#N/A N/A</v>
        <stp/>
        <stp>BDP|5726467395272484615</stp>
        <tr r="A853" s="2"/>
      </tp>
      <tp t="s">
        <v>#N/A N/A</v>
        <stp/>
        <stp>BDP|2209610292918669965</stp>
        <tr r="D3907" s="2"/>
      </tp>
      <tp t="s">
        <v>#N/A N/A</v>
        <stp/>
        <stp>BDP|8350863311598106549</stp>
        <tr r="C2957" s="2"/>
      </tp>
      <tp t="s">
        <v>#N/A N/A</v>
        <stp/>
        <stp>BDP|8852660671381745498</stp>
        <tr r="A194" s="2"/>
      </tp>
      <tp t="s">
        <v>#N/A N/A</v>
        <stp/>
        <stp>BDP|8599725707094497758</stp>
        <tr r="F3381" s="2"/>
      </tp>
      <tp t="s">
        <v>#N/A N/A</v>
        <stp/>
        <stp>BDP|1894199185494488010</stp>
        <tr r="B1561" s="2"/>
      </tp>
      <tp t="s">
        <v>#N/A N/A</v>
        <stp/>
        <stp>BDP|5274796328744233809</stp>
        <tr r="F3660" s="2"/>
      </tp>
      <tp t="s">
        <v>#N/A N/A</v>
        <stp/>
        <stp>BDP|4122685962029935138</stp>
        <tr r="D1176" s="2"/>
      </tp>
      <tp t="s">
        <v>#N/A N/A</v>
        <stp/>
        <stp>BDP|1272135086682497621</stp>
        <tr r="H1094" s="2"/>
      </tp>
      <tp t="s">
        <v>#N/A N/A</v>
        <stp/>
        <stp>BDP|8789419304361572169</stp>
        <tr r="I691" s="2"/>
      </tp>
      <tp t="s">
        <v>#N/A N/A</v>
        <stp/>
        <stp>BDP|9918256386586286995</stp>
        <tr r="A3870" s="2"/>
      </tp>
      <tp t="s">
        <v>#N/A N/A</v>
        <stp/>
        <stp>BDP|1691244471278774057</stp>
        <tr r="H2042" s="2"/>
      </tp>
      <tp t="s">
        <v>#N/A N/A</v>
        <stp/>
        <stp>BDP|1415432484643732259</stp>
        <tr r="F2936" s="2"/>
      </tp>
      <tp t="s">
        <v>#N/A N/A</v>
        <stp/>
        <stp>BDP|5572579494116740304</stp>
        <tr r="F4492" s="2"/>
      </tp>
      <tp t="s">
        <v>#N/A N/A</v>
        <stp/>
        <stp>BDP|6983764678578402226</stp>
        <tr r="D3099" s="2"/>
      </tp>
      <tp t="s">
        <v>#N/A N/A</v>
        <stp/>
        <stp>BDP|6439750753631594963</stp>
        <tr r="I1580" s="2"/>
      </tp>
      <tp t="s">
        <v>#N/A N/A</v>
        <stp/>
        <stp>BDP|7717115163554586817</stp>
        <tr r="D2948" s="2"/>
      </tp>
      <tp t="s">
        <v>#N/A N/A</v>
        <stp/>
        <stp>BDP|7005914677492785706</stp>
        <tr r="D1999" s="2"/>
      </tp>
      <tp t="s">
        <v>#N/A N/A</v>
        <stp/>
        <stp>BDP|5064259044489074602</stp>
        <tr r="B2689" s="2"/>
      </tp>
      <tp t="s">
        <v>#N/A N/A</v>
        <stp/>
        <stp>BDP|3667027989387952056</stp>
        <tr r="C2179" s="2"/>
      </tp>
      <tp t="s">
        <v>#N/A N/A</v>
        <stp/>
        <stp>BDP|6548010951546547914</stp>
        <tr r="H2656" s="2"/>
      </tp>
      <tp t="s">
        <v>#N/A N/A</v>
        <stp/>
        <stp>BDP|3562568183851325325</stp>
        <tr r="G3654" s="2"/>
      </tp>
      <tp t="s">
        <v>#N/A N/A</v>
        <stp/>
        <stp>BDP|7168996938855817498</stp>
        <tr r="G3196" s="2"/>
      </tp>
      <tp t="s">
        <v>#N/A N/A</v>
        <stp/>
        <stp>BDP|8788619839905608489</stp>
        <tr r="F872" s="2"/>
      </tp>
      <tp t="s">
        <v>#N/A N/A</v>
        <stp/>
        <stp>BDP|7634823772216527220</stp>
        <tr r="A3304" s="2"/>
      </tp>
      <tp t="s">
        <v>#N/A N/A</v>
        <stp/>
        <stp>BDP|8999597947777611208</stp>
        <tr r="D3287" s="2"/>
      </tp>
      <tp t="s">
        <v>#N/A N/A</v>
        <stp/>
        <stp>BDP|1485986743355857568</stp>
        <tr r="A2512" s="2"/>
      </tp>
      <tp t="s">
        <v>#N/A N/A</v>
        <stp/>
        <stp>BDP|9136707120241462140</stp>
        <tr r="C2403" s="2"/>
      </tp>
      <tp t="s">
        <v>#N/A N/A</v>
        <stp/>
        <stp>BDP|2853421924419909160</stp>
        <tr r="F3308" s="2"/>
      </tp>
      <tp t="s">
        <v>#N/A N/A</v>
        <stp/>
        <stp>BDP|5252859862852145550</stp>
        <tr r="G426" s="2"/>
      </tp>
      <tp t="s">
        <v>#N/A N/A</v>
        <stp/>
        <stp>BDP|9786070921906926190</stp>
        <tr r="A401" s="2"/>
      </tp>
      <tp t="s">
        <v>#N/A N/A</v>
        <stp/>
        <stp>BDP|2035286830778139783</stp>
        <tr r="H1936" s="2"/>
      </tp>
      <tp t="s">
        <v>#N/A N/A</v>
        <stp/>
        <stp>BDP|9783635349305824249</stp>
        <tr r="B2448" s="2"/>
      </tp>
      <tp t="s">
        <v>#N/A N/A</v>
        <stp/>
        <stp>BDP|7692964046933716500</stp>
        <tr r="D416" s="2"/>
      </tp>
      <tp t="s">
        <v>#N/A N/A</v>
        <stp/>
        <stp>BDP|9720857489620805526</stp>
        <tr r="C245" s="2"/>
      </tp>
      <tp t="s">
        <v>#N/A N/A</v>
        <stp/>
        <stp>BDP|5258772576500454962</stp>
        <tr r="H1319" s="2"/>
      </tp>
      <tp t="s">
        <v>#N/A N/A</v>
        <stp/>
        <stp>BDP|9714060763002329106</stp>
        <tr r="C3430" s="2"/>
      </tp>
      <tp t="s">
        <v>#N/A N/A</v>
        <stp/>
        <stp>BDP|1282903523043276528</stp>
        <tr r="A3287" s="2"/>
      </tp>
      <tp t="s">
        <v>#N/A N/A</v>
        <stp/>
        <stp>BDP|3365597846556438893</stp>
        <tr r="G3345" s="2"/>
      </tp>
      <tp t="s">
        <v>#N/A N/A</v>
        <stp/>
        <stp>BDP|4122863097110743960</stp>
        <tr r="I1685" s="2"/>
      </tp>
      <tp t="s">
        <v>#N/A N/A</v>
        <stp/>
        <stp>BDP|3578304180462163655</stp>
        <tr r="D3798" s="2"/>
      </tp>
      <tp t="s">
        <v>#N/A N/A</v>
        <stp/>
        <stp>BDP|9560364409755319380</stp>
        <tr r="C2847" s="2"/>
      </tp>
      <tp t="s">
        <v>#N/A N/A</v>
        <stp/>
        <stp>BDP|7329938756254480334</stp>
        <tr r="I506" s="2"/>
      </tp>
      <tp t="s">
        <v>#N/A N/A</v>
        <stp/>
        <stp>BDP|1195626705543442839</stp>
        <tr r="H1592" s="2"/>
      </tp>
      <tp t="s">
        <v>#N/A N/A</v>
        <stp/>
        <stp>BDP|4231451241879695114</stp>
        <tr r="B4551" s="2"/>
      </tp>
      <tp t="s">
        <v>#N/A N/A</v>
        <stp/>
        <stp>BDP|3108612995317118757</stp>
        <tr r="D199" s="2"/>
      </tp>
      <tp t="s">
        <v>#N/A N/A</v>
        <stp/>
        <stp>BDP|9602255715243197568</stp>
        <tr r="B4414" s="2"/>
      </tp>
      <tp t="s">
        <v>#N/A N/A</v>
        <stp/>
        <stp>BDP|8503015141462526215</stp>
        <tr r="C145" s="2"/>
      </tp>
      <tp t="s">
        <v>#N/A N/A</v>
        <stp/>
        <stp>BDP|4031518241259599046</stp>
        <tr r="A3249" s="2"/>
      </tp>
      <tp t="s">
        <v>#N/A N/A</v>
        <stp/>
        <stp>BDP|4340166166788606743</stp>
        <tr r="D4571" s="2"/>
      </tp>
      <tp t="s">
        <v>#N/A N/A</v>
        <stp/>
        <stp>BDP|8746967946859682005</stp>
        <tr r="C3720" s="2"/>
      </tp>
      <tp t="s">
        <v>#N/A N/A</v>
        <stp/>
        <stp>BDP|9080904318725604882</stp>
        <tr r="G1144" s="2"/>
      </tp>
      <tp t="s">
        <v>#N/A N/A</v>
        <stp/>
        <stp>BDP|5586543253660735937</stp>
        <tr r="I650" s="2"/>
      </tp>
      <tp t="s">
        <v>#N/A N/A</v>
        <stp/>
        <stp>BDP|4025146746989117455</stp>
        <tr r="F4650" s="2"/>
      </tp>
      <tp t="s">
        <v>#N/A N/A</v>
        <stp/>
        <stp>BDP|5050999763274424284</stp>
        <tr r="H3634" s="2"/>
      </tp>
      <tp t="s">
        <v>#N/A N/A</v>
        <stp/>
        <stp>BDP|3260989772436651786</stp>
        <tr r="F3642" s="2"/>
      </tp>
      <tp t="s">
        <v>#N/A N/A</v>
        <stp/>
        <stp>BDP|9645291549550916399</stp>
        <tr r="G3189" s="2"/>
      </tp>
      <tp t="s">
        <v>#N/A N/A</v>
        <stp/>
        <stp>BDP|2909699410498630105</stp>
        <tr r="G2139" s="2"/>
      </tp>
      <tp t="s">
        <v>#N/A N/A</v>
        <stp/>
        <stp>BDP|1331829231820501639</stp>
        <tr r="G111" s="2"/>
      </tp>
      <tp t="s">
        <v>#N/A N/A</v>
        <stp/>
        <stp>BDP|3373497243788889774</stp>
        <tr r="I2328" s="2"/>
      </tp>
      <tp t="s">
        <v>#N/A N/A</v>
        <stp/>
        <stp>BDP|3000780696927026680</stp>
        <tr r="B2436" s="2"/>
      </tp>
      <tp t="s">
        <v>#N/A N/A</v>
        <stp/>
        <stp>BDP|8853739448177512007</stp>
        <tr r="D2246" s="2"/>
      </tp>
      <tp t="s">
        <v>#N/A N/A</v>
        <stp/>
        <stp>BDP|3182423510763562901</stp>
        <tr r="C1545" s="2"/>
      </tp>
      <tp t="s">
        <v>#N/A N/A</v>
        <stp/>
        <stp>BDP|3322932624116799253</stp>
        <tr r="G114" s="2"/>
      </tp>
      <tp t="s">
        <v>#N/A N/A</v>
        <stp/>
        <stp>BDP|1398521492149267874</stp>
        <tr r="F51" s="2"/>
      </tp>
      <tp t="s">
        <v>#N/A N/A</v>
        <stp/>
        <stp>BDP|1718512194856315771</stp>
        <tr r="F3864" s="2"/>
      </tp>
      <tp t="s">
        <v>#N/A N/A</v>
        <stp/>
        <stp>BDP|6574529894876750028</stp>
        <tr r="B2148" s="2"/>
      </tp>
      <tp t="s">
        <v>#N/A N/A</v>
        <stp/>
        <stp>BDP|7289960253057915082</stp>
        <tr r="A4444" s="2"/>
      </tp>
      <tp t="s">
        <v>#N/A N/A</v>
        <stp/>
        <stp>BDP|9808832268842665937</stp>
        <tr r="F673" s="2"/>
      </tp>
      <tp t="s">
        <v>#N/A N/A</v>
        <stp/>
        <stp>BDP|8784349375947851787</stp>
        <tr r="D3975" s="2"/>
      </tp>
      <tp t="s">
        <v>#N/A N/A</v>
        <stp/>
        <stp>BDP|3322606884959604877</stp>
        <tr r="B4746" s="2"/>
      </tp>
      <tp t="s">
        <v>#N/A N/A</v>
        <stp/>
        <stp>BDP|5145953724050631209</stp>
        <tr r="B4296" s="2"/>
      </tp>
      <tp t="s">
        <v>#N/A N/A</v>
        <stp/>
        <stp>BDP|3774446370828237477</stp>
        <tr r="B1539" s="2"/>
      </tp>
      <tp t="s">
        <v>#N/A N/A</v>
        <stp/>
        <stp>BDP|2884983548727828463</stp>
        <tr r="H4930" s="2"/>
      </tp>
      <tp t="s">
        <v>#N/A N/A</v>
        <stp/>
        <stp>BDP|7794278895615180523</stp>
        <tr r="I803" s="2"/>
      </tp>
      <tp t="s">
        <v>#N/A N/A</v>
        <stp/>
        <stp>BDP|7416950007102292026</stp>
        <tr r="D2574" s="2"/>
      </tp>
      <tp t="s">
        <v>#N/A N/A</v>
        <stp/>
        <stp>BDP|4832353003388147398</stp>
        <tr r="H4594" s="2"/>
      </tp>
      <tp t="s">
        <v>#N/A N/A</v>
        <stp/>
        <stp>BDP|1512261144419722268</stp>
        <tr r="G142" s="2"/>
      </tp>
      <tp t="s">
        <v>#N/A N/A</v>
        <stp/>
        <stp>BDP|4683490430419092694</stp>
        <tr r="H458" s="2"/>
      </tp>
      <tp t="s">
        <v>#N/A N/A</v>
        <stp/>
        <stp>BDP|7824950679564342112</stp>
        <tr r="G4272" s="2"/>
      </tp>
      <tp t="s">
        <v>#N/A N/A</v>
        <stp/>
        <stp>BDP|9320736675266321305</stp>
        <tr r="F2748" s="2"/>
      </tp>
      <tp t="s">
        <v>#N/A N/A</v>
        <stp/>
        <stp>BDP|4351927467692220527</stp>
        <tr r="I1590" s="2"/>
      </tp>
      <tp t="s">
        <v>#N/A N/A</v>
        <stp/>
        <stp>BDP|4057520890420046444</stp>
        <tr r="B1087" s="2"/>
      </tp>
      <tp t="s">
        <v>#N/A N/A</v>
        <stp/>
        <stp>BDP|4713274532491484808</stp>
        <tr r="F4833" s="2"/>
      </tp>
      <tp t="s">
        <v>#N/A N/A</v>
        <stp/>
        <stp>BDP|5803151219851212808</stp>
        <tr r="D1535" s="2"/>
      </tp>
      <tp t="s">
        <v>#N/A N/A</v>
        <stp/>
        <stp>BDP|1186738691734263771</stp>
        <tr r="B3425" s="2"/>
      </tp>
      <tp t="s">
        <v>#N/A N/A</v>
        <stp/>
        <stp>BDP|1920718768935704913</stp>
        <tr r="G2101" s="2"/>
      </tp>
      <tp t="s">
        <v>#N/A N/A</v>
        <stp/>
        <stp>BDP|2692639653464822986</stp>
        <tr r="C1356" s="2"/>
      </tp>
      <tp t="s">
        <v>#N/A N/A</v>
        <stp/>
        <stp>BDP|2333409432391483831</stp>
        <tr r="C4904" s="2"/>
      </tp>
      <tp t="s">
        <v>#N/A N/A</v>
        <stp/>
        <stp>BDP|4828493490485569023</stp>
        <tr r="F3851" s="2"/>
      </tp>
      <tp t="s">
        <v>#N/A N/A</v>
        <stp/>
        <stp>BDP|6179724676242749846</stp>
        <tr r="H4459" s="2"/>
      </tp>
      <tp t="s">
        <v>#N/A N/A</v>
        <stp/>
        <stp>BDP|8506169814744398024</stp>
        <tr r="G299" s="2"/>
      </tp>
      <tp t="s">
        <v>#N/A N/A</v>
        <stp/>
        <stp>BDP|4679433230678742745</stp>
        <tr r="A58" s="2"/>
      </tp>
      <tp t="s">
        <v>#N/A N/A</v>
        <stp/>
        <stp>BDP|3469231254191408915</stp>
        <tr r="G2973" s="2"/>
      </tp>
      <tp t="s">
        <v>#N/A N/A</v>
        <stp/>
        <stp>BDP|4620070013520447901</stp>
        <tr r="B1730" s="2"/>
      </tp>
      <tp t="s">
        <v>#N/A N/A</v>
        <stp/>
        <stp>BDP|3622722187214493419</stp>
        <tr r="D3388" s="2"/>
      </tp>
      <tp t="s">
        <v>#N/A N/A</v>
        <stp/>
        <stp>BDP|2732402737208707111</stp>
        <tr r="G2269" s="2"/>
      </tp>
      <tp t="s">
        <v>#N/A N/A</v>
        <stp/>
        <stp>BDP|5665406903578107527</stp>
        <tr r="I3672" s="2"/>
      </tp>
      <tp t="s">
        <v>#N/A N/A</v>
        <stp/>
        <stp>BDP|5728285589630533350</stp>
        <tr r="C1083" s="2"/>
      </tp>
      <tp t="s">
        <v>#N/A N/A</v>
        <stp/>
        <stp>BDP|9010142905500347440</stp>
        <tr r="H1213" s="2"/>
      </tp>
      <tp t="s">
        <v>#N/A N/A</v>
        <stp/>
        <stp>BDP|8432501412319968995</stp>
        <tr r="D1642" s="2"/>
      </tp>
      <tp t="s">
        <v>#N/A N/A</v>
        <stp/>
        <stp>BDP|2612030092182553547</stp>
        <tr r="D63" s="2"/>
      </tp>
      <tp t="s">
        <v>#N/A N/A</v>
        <stp/>
        <stp>BDP|9290356766823750307</stp>
        <tr r="B2784" s="2"/>
      </tp>
      <tp t="s">
        <v>#N/A N/A</v>
        <stp/>
        <stp>BDP|7341220633612036844</stp>
        <tr r="H977" s="2"/>
      </tp>
      <tp t="s">
        <v>#N/A N/A</v>
        <stp/>
        <stp>BDP|7020600625646503961</stp>
        <tr r="C2657" s="2"/>
      </tp>
      <tp t="s">
        <v>#N/A N/A</v>
        <stp/>
        <stp>BDP|6601523300667507870</stp>
        <tr r="F1697" s="2"/>
      </tp>
      <tp t="s">
        <v>#N/A N/A</v>
        <stp/>
        <stp>BDP|5823971859623302630</stp>
        <tr r="G3340" s="2"/>
      </tp>
      <tp t="s">
        <v>#N/A N/A</v>
        <stp/>
        <stp>BDP|6174729583136089362</stp>
        <tr r="H1720" s="2"/>
      </tp>
      <tp t="s">
        <v>#N/A N/A</v>
        <stp/>
        <stp>BDP|2442049696216892182</stp>
        <tr r="F757" s="2"/>
      </tp>
      <tp t="s">
        <v>#N/A N/A</v>
        <stp/>
        <stp>BDP|4202104305490548940</stp>
        <tr r="G1106" s="2"/>
      </tp>
      <tp t="s">
        <v>#N/A N/A</v>
        <stp/>
        <stp>BDP|8673048871626048559</stp>
        <tr r="A3203" s="2"/>
      </tp>
      <tp t="s">
        <v>#N/A N/A</v>
        <stp/>
        <stp>BDP|3450537321638572057</stp>
        <tr r="B4538" s="2"/>
      </tp>
      <tp t="s">
        <v>#N/A N/A</v>
        <stp/>
        <stp>BDP|3690331366373688937</stp>
        <tr r="D2630" s="2"/>
      </tp>
      <tp t="s">
        <v>#N/A N/A</v>
        <stp/>
        <stp>BDP|1508935687674271850</stp>
        <tr r="B3525" s="2"/>
      </tp>
      <tp t="s">
        <v>#N/A N/A</v>
        <stp/>
        <stp>BDP|9186476624130184350</stp>
        <tr r="D1295" s="2"/>
      </tp>
      <tp t="s">
        <v>#N/A N/A</v>
        <stp/>
        <stp>BDP|5970783428698931466</stp>
        <tr r="G93" s="2"/>
      </tp>
      <tp t="s">
        <v>#N/A N/A</v>
        <stp/>
        <stp>BDP|7854106946439060786</stp>
        <tr r="I113" s="2"/>
      </tp>
      <tp t="s">
        <v>#N/A N/A</v>
        <stp/>
        <stp>BDP|1718815843720333106</stp>
        <tr r="C1414" s="2"/>
      </tp>
      <tp t="s">
        <v>#N/A N/A</v>
        <stp/>
        <stp>BDP|8323406460526427015</stp>
        <tr r="C3981" s="2"/>
      </tp>
      <tp t="s">
        <v>#N/A N/A</v>
        <stp/>
        <stp>BDP|4540837552564400160</stp>
        <tr r="I1890" s="2"/>
      </tp>
      <tp t="s">
        <v>#N/A N/A</v>
        <stp/>
        <stp>BDP|5415474692926632219</stp>
        <tr r="A4733" s="2"/>
      </tp>
      <tp t="s">
        <v>#N/A N/A</v>
        <stp/>
        <stp>BDP|3322315697171265409</stp>
        <tr r="F1999" s="2"/>
      </tp>
      <tp t="s">
        <v>#N/A N/A</v>
        <stp/>
        <stp>BDP|5607724593457381031</stp>
        <tr r="C835" s="2"/>
      </tp>
      <tp t="s">
        <v>#N/A N/A</v>
        <stp/>
        <stp>BDP|2942947392547871909</stp>
        <tr r="B698" s="2"/>
      </tp>
      <tp t="s">
        <v>#N/A N/A</v>
        <stp/>
        <stp>BDP|5218371797911522203</stp>
        <tr r="A2249" s="2"/>
      </tp>
      <tp t="s">
        <v>#N/A N/A</v>
        <stp/>
        <stp>BDP|2592545001402764905</stp>
        <tr r="H449" s="2"/>
      </tp>
      <tp t="s">
        <v>#N/A N/A</v>
        <stp/>
        <stp>BDP|1070331133705134868</stp>
        <tr r="I1335" s="2"/>
      </tp>
      <tp t="s">
        <v>#N/A N/A</v>
        <stp/>
        <stp>BDP|7622365267789299723</stp>
        <tr r="A4526" s="2"/>
      </tp>
      <tp t="s">
        <v>#N/A N/A</v>
        <stp/>
        <stp>BDP|9581196357313949253</stp>
        <tr r="F2659" s="2"/>
      </tp>
      <tp t="s">
        <v>#N/A N/A</v>
        <stp/>
        <stp>BDP|3370380348939064145</stp>
        <tr r="I1953" s="2"/>
      </tp>
      <tp t="s">
        <v>#N/A N/A</v>
        <stp/>
        <stp>BDP|2544958544761378201</stp>
        <tr r="A2037" s="2"/>
      </tp>
      <tp t="s">
        <v>#N/A N/A</v>
        <stp/>
        <stp>BDP|5099136678368420783</stp>
        <tr r="G3678" s="2"/>
      </tp>
      <tp t="s">
        <v>#N/A N/A</v>
        <stp/>
        <stp>BDP|9160424227382491175</stp>
        <tr r="H2240" s="2"/>
      </tp>
      <tp t="s">
        <v>#N/A N/A</v>
        <stp/>
        <stp>BDP|4940500069972051974</stp>
        <tr r="G3330" s="2"/>
      </tp>
      <tp t="s">
        <v>#N/A N/A</v>
        <stp/>
        <stp>BDP|1721865310813211742</stp>
        <tr r="A4150" s="2"/>
      </tp>
      <tp t="s">
        <v>#N/A N/A</v>
        <stp/>
        <stp>BDP|9285207901223493408</stp>
        <tr r="I915" s="2"/>
      </tp>
      <tp t="s">
        <v>#N/A N/A</v>
        <stp/>
        <stp>BDP|4002874358094916119</stp>
        <tr r="G1985" s="2"/>
      </tp>
      <tp t="s">
        <v>#N/A N/A</v>
        <stp/>
        <stp>BDP|5089809179507906178</stp>
        <tr r="B2939" s="2"/>
      </tp>
      <tp t="s">
        <v>#N/A N/A</v>
        <stp/>
        <stp>BDP|2274401962944042877</stp>
        <tr r="F2809" s="2"/>
      </tp>
      <tp t="s">
        <v>#N/A N/A</v>
        <stp/>
        <stp>BDP|5806940719462285303</stp>
        <tr r="B1465" s="2"/>
      </tp>
      <tp t="s">
        <v>#N/A N/A</v>
        <stp/>
        <stp>BDP|3201285089212015747</stp>
        <tr r="I1917" s="2"/>
      </tp>
      <tp t="s">
        <v>#N/A N/A</v>
        <stp/>
        <stp>BDP|5398715580946479013</stp>
        <tr r="C2671" s="2"/>
      </tp>
      <tp t="s">
        <v>#N/A N/A</v>
        <stp/>
        <stp>BDP|1674874017627027316</stp>
        <tr r="B3030" s="2"/>
      </tp>
      <tp t="s">
        <v>#N/A N/A</v>
        <stp/>
        <stp>BDP|4927502315455373982</stp>
        <tr r="H4015" s="2"/>
      </tp>
      <tp t="s">
        <v>#N/A N/A</v>
        <stp/>
        <stp>BDP|3741530495086002565</stp>
        <tr r="I1867" s="2"/>
      </tp>
      <tp t="s">
        <v>#N/A N/A</v>
        <stp/>
        <stp>BDP|5631059586943238201</stp>
        <tr r="D1410" s="2"/>
      </tp>
      <tp t="s">
        <v>#N/A N/A</v>
        <stp/>
        <stp>BDP|6611308989058084980</stp>
        <tr r="A2503" s="2"/>
      </tp>
      <tp t="s">
        <v>#N/A N/A</v>
        <stp/>
        <stp>BDP|4130869060874473245</stp>
        <tr r="D671" s="2"/>
      </tp>
      <tp t="s">
        <v>#N/A N/A</v>
        <stp/>
        <stp>BDP|7192359763226353837</stp>
        <tr r="F240" s="2"/>
      </tp>
      <tp t="s">
        <v>#N/A N/A</v>
        <stp/>
        <stp>BDP|9553230411040876682</stp>
        <tr r="I1709" s="2"/>
      </tp>
      <tp t="s">
        <v>#N/A N/A</v>
        <stp/>
        <stp>BDP|7198308929519920366</stp>
        <tr r="C1291" s="2"/>
      </tp>
      <tp t="s">
        <v>#N/A N/A</v>
        <stp/>
        <stp>BDP|7416347285432777255</stp>
        <tr r="G4040" s="2"/>
      </tp>
      <tp t="s">
        <v>#N/A N/A</v>
        <stp/>
        <stp>BDP|8270734777914137009</stp>
        <tr r="F1146" s="2"/>
      </tp>
      <tp t="s">
        <v>#N/A N/A</v>
        <stp/>
        <stp>BDP|9000435547514365106</stp>
        <tr r="A1476" s="2"/>
      </tp>
      <tp t="s">
        <v>#N/A N/A</v>
        <stp/>
        <stp>BDP|6494208997164519511</stp>
        <tr r="A3788" s="2"/>
      </tp>
      <tp t="s">
        <v>#N/A N/A</v>
        <stp/>
        <stp>BDP|8261740815705474706</stp>
        <tr r="B1187" s="2"/>
      </tp>
      <tp t="s">
        <v>#N/A N/A</v>
        <stp/>
        <stp>BDP|5923740151432928924</stp>
        <tr r="H2158" s="2"/>
      </tp>
      <tp t="s">
        <v>#N/A N/A</v>
        <stp/>
        <stp>BDP|6107842822447801786</stp>
        <tr r="C4663" s="2"/>
      </tp>
      <tp t="s">
        <v>#N/A N/A</v>
        <stp/>
        <stp>BDP|4350274242229486758</stp>
        <tr r="G4844" s="2"/>
      </tp>
      <tp t="s">
        <v>#N/A N/A</v>
        <stp/>
        <stp>BDP|1482344065670587871</stp>
        <tr r="H1796" s="2"/>
      </tp>
      <tp t="s">
        <v>#N/A N/A</v>
        <stp/>
        <stp>BDP|5351313062348557423</stp>
        <tr r="D4234" s="2"/>
      </tp>
      <tp t="s">
        <v>#N/A N/A</v>
        <stp/>
        <stp>BDP|2729551857387117932</stp>
        <tr r="B2844" s="2"/>
      </tp>
      <tp t="s">
        <v>#N/A N/A</v>
        <stp/>
        <stp>BDP|3770772982818571809</stp>
        <tr r="I2458" s="2"/>
      </tp>
      <tp t="s">
        <v>#N/A N/A</v>
        <stp/>
        <stp>BDP|5836676749782825992</stp>
        <tr r="C2542" s="2"/>
      </tp>
      <tp t="s">
        <v>#N/A N/A</v>
        <stp/>
        <stp>BDP|4954433581957880342</stp>
        <tr r="C3765" s="2"/>
      </tp>
      <tp t="s">
        <v>#N/A N/A</v>
        <stp/>
        <stp>BDP|5602384988463528147</stp>
        <tr r="C2331" s="2"/>
      </tp>
      <tp t="s">
        <v>#N/A N/A</v>
        <stp/>
        <stp>BDP|1577334212636771947</stp>
        <tr r="G2864" s="2"/>
      </tp>
      <tp t="s">
        <v>#N/A N/A</v>
        <stp/>
        <stp>BDP|9777710276204556125</stp>
        <tr r="I2440" s="2"/>
      </tp>
      <tp t="s">
        <v>#N/A N/A</v>
        <stp/>
        <stp>BDP|1232530778159939674</stp>
        <tr r="F1804" s="2"/>
      </tp>
      <tp t="s">
        <v>#N/A N/A</v>
        <stp/>
        <stp>BDP|4078699640622756898</stp>
        <tr r="H3047" s="2"/>
      </tp>
      <tp t="s">
        <v>#N/A N/A</v>
        <stp/>
        <stp>BDP|1387744082984129633</stp>
        <tr r="B558" s="2"/>
      </tp>
      <tp t="s">
        <v>#N/A N/A</v>
        <stp/>
        <stp>BDP|8577866146390023824</stp>
        <tr r="G508" s="2"/>
      </tp>
      <tp t="s">
        <v>#N/A N/A</v>
        <stp/>
        <stp>BDP|9279000811057329371</stp>
        <tr r="H3073" s="2"/>
      </tp>
      <tp t="s">
        <v>#N/A N/A</v>
        <stp/>
        <stp>BDP|8705066652551728035</stp>
        <tr r="A4488" s="2"/>
      </tp>
      <tp t="s">
        <v>#N/A N/A</v>
        <stp/>
        <stp>BDP|8219692428060204067</stp>
        <tr r="G4504" s="2"/>
      </tp>
      <tp t="s">
        <v>#N/A N/A</v>
        <stp/>
        <stp>BDP|2219926045997229408</stp>
        <tr r="G1061" s="2"/>
      </tp>
      <tp t="s">
        <v>#N/A N/A</v>
        <stp/>
        <stp>BDP|4603326292854982681</stp>
        <tr r="I801" s="2"/>
      </tp>
      <tp t="s">
        <v>#N/A N/A</v>
        <stp/>
        <stp>BDP|6721810330330472151</stp>
        <tr r="D1883" s="2"/>
      </tp>
      <tp t="s">
        <v>#N/A N/A</v>
        <stp/>
        <stp>BDP|8974535048631428411</stp>
        <tr r="F4645" s="2"/>
      </tp>
      <tp t="s">
        <v>#N/A N/A</v>
        <stp/>
        <stp>BDP|8455746027544988599</stp>
        <tr r="G3271" s="2"/>
      </tp>
      <tp t="s">
        <v>#N/A N/A</v>
        <stp/>
        <stp>BDP|1679365453302267960</stp>
        <tr r="D1210" s="2"/>
      </tp>
      <tp t="s">
        <v>#N/A N/A</v>
        <stp/>
        <stp>BDP|5307520164683345915</stp>
        <tr r="B2081" s="2"/>
      </tp>
      <tp t="s">
        <v>#N/A N/A</v>
        <stp/>
        <stp>BDP|6343220887686328627</stp>
        <tr r="A2765" s="2"/>
      </tp>
      <tp t="s">
        <v>#N/A N/A</v>
        <stp/>
        <stp>BDP|8047320461619720836</stp>
        <tr r="A1551" s="2"/>
      </tp>
      <tp t="s">
        <v>#N/A N/A</v>
        <stp/>
        <stp>BDP|1819323332329924465</stp>
        <tr r="H1635" s="2"/>
      </tp>
      <tp t="s">
        <v>#N/A N/A</v>
        <stp/>
        <stp>BDP|8828732024449289895</stp>
        <tr r="C3181" s="2"/>
      </tp>
      <tp t="s">
        <v>#N/A N/A</v>
        <stp/>
        <stp>BDP|7599437665561239851</stp>
        <tr r="B1924" s="2"/>
      </tp>
      <tp t="s">
        <v>#N/A N/A</v>
        <stp/>
        <stp>BDP|5541359306503130932</stp>
        <tr r="C1739" s="2"/>
      </tp>
      <tp t="s">
        <v>#N/A N/A</v>
        <stp/>
        <stp>BDP|1132908097688039527</stp>
        <tr r="C1350" s="2"/>
      </tp>
      <tp t="s">
        <v>#N/A N/A</v>
        <stp/>
        <stp>BDP|3248937772863471235</stp>
        <tr r="B4752" s="2"/>
      </tp>
      <tp t="s">
        <v>#N/A N/A</v>
        <stp/>
        <stp>BDP|1134210380153186452</stp>
        <tr r="H1186" s="2"/>
      </tp>
      <tp t="s">
        <v>#N/A N/A</v>
        <stp/>
        <stp>BDP|8543284631866826302</stp>
        <tr r="I3793" s="2"/>
      </tp>
      <tp t="s">
        <v>#N/A N/A</v>
        <stp/>
        <stp>BDP|2804552599891868384</stp>
        <tr r="I4458" s="2"/>
      </tp>
      <tp t="s">
        <v>#N/A N/A</v>
        <stp/>
        <stp>BDP|5074127043549083555</stp>
        <tr r="G3699" s="2"/>
      </tp>
      <tp t="s">
        <v>#N/A N/A</v>
        <stp/>
        <stp>BDP|9302686819757003569</stp>
        <tr r="C1796" s="2"/>
      </tp>
      <tp t="s">
        <v>#N/A N/A</v>
        <stp/>
        <stp>BDP|1341667587011128279</stp>
        <tr r="A2310" s="2"/>
      </tp>
      <tp t="s">
        <v>#N/A N/A</v>
        <stp/>
        <stp>BDP|6224262945749677538</stp>
        <tr r="G2889" s="2"/>
      </tp>
      <tp t="s">
        <v>#N/A N/A</v>
        <stp/>
        <stp>BDP|8609438974216725123</stp>
        <tr r="H2585" s="2"/>
      </tp>
      <tp t="s">
        <v>#N/A N/A</v>
        <stp/>
        <stp>BDP|9135004377726592472</stp>
        <tr r="G4787" s="2"/>
      </tp>
      <tp t="s">
        <v>#N/A N/A</v>
        <stp/>
        <stp>BDP|7234480232679476589</stp>
        <tr r="C1121" s="2"/>
      </tp>
      <tp t="s">
        <v>#N/A N/A</v>
        <stp/>
        <stp>BDP|1468843218972842643</stp>
        <tr r="C1758" s="2"/>
      </tp>
      <tp t="s">
        <v>#N/A N/A</v>
        <stp/>
        <stp>BDP|6498862859353670495</stp>
        <tr r="H1281" s="2"/>
      </tp>
      <tp t="s">
        <v>#N/A N/A</v>
        <stp/>
        <stp>BDP|3496610004870626939</stp>
        <tr r="C3913" s="2"/>
      </tp>
      <tp t="s">
        <v>#N/A N/A</v>
        <stp/>
        <stp>BDP|1073870507725026048</stp>
        <tr r="B3782" s="2"/>
      </tp>
      <tp t="s">
        <v>#N/A N/A</v>
        <stp/>
        <stp>BDP|1543646413808585238</stp>
        <tr r="D850" s="2"/>
      </tp>
      <tp t="s">
        <v>#N/A N/A</v>
        <stp/>
        <stp>BDP|6846787554480289825</stp>
        <tr r="A439" s="2"/>
      </tp>
      <tp t="s">
        <v>#N/A N/A</v>
        <stp/>
        <stp>BDP|6595496081437098198</stp>
        <tr r="F774" s="2"/>
      </tp>
      <tp t="s">
        <v>#N/A N/A</v>
        <stp/>
        <stp>BDP|8354909073399325377</stp>
        <tr r="C3017" s="2"/>
      </tp>
      <tp t="s">
        <v>#N/A N/A</v>
        <stp/>
        <stp>BDP|5437556834636807999</stp>
        <tr r="C1120" s="2"/>
      </tp>
      <tp t="s">
        <v>#N/A N/A</v>
        <stp/>
        <stp>BDP|4128568863053570850</stp>
        <tr r="C1817" s="2"/>
      </tp>
      <tp t="s">
        <v>#N/A N/A</v>
        <stp/>
        <stp>BDP|4859380090941218360</stp>
        <tr r="I2504" s="2"/>
      </tp>
      <tp t="s">
        <v>#N/A N/A</v>
        <stp/>
        <stp>BDP|6508334771186711849</stp>
        <tr r="B1337" s="2"/>
      </tp>
      <tp t="s">
        <v>#N/A N/A</v>
        <stp/>
        <stp>BDP|4977763046808514380</stp>
        <tr r="D809" s="2"/>
      </tp>
      <tp t="s">
        <v>#N/A N/A</v>
        <stp/>
        <stp>BDP|1921824946257083691</stp>
        <tr r="F4830" s="2"/>
      </tp>
      <tp t="s">
        <v>#N/A N/A</v>
        <stp/>
        <stp>BDP|3986006291355429382</stp>
        <tr r="B2346" s="2"/>
      </tp>
      <tp t="s">
        <v>#N/A N/A</v>
        <stp/>
        <stp>BDP|3927893916631386712</stp>
        <tr r="B2357" s="2"/>
      </tp>
      <tp t="s">
        <v>#N/A N/A</v>
        <stp/>
        <stp>BDP|1107144692830731543</stp>
        <tr r="D496" s="2"/>
      </tp>
      <tp t="s">
        <v>#N/A N/A</v>
        <stp/>
        <stp>BDP|6156919876067787358</stp>
        <tr r="I2638" s="2"/>
      </tp>
      <tp t="s">
        <v>#N/A N/A</v>
        <stp/>
        <stp>BDP|9954818144628073183</stp>
        <tr r="D2053" s="2"/>
      </tp>
      <tp t="s">
        <v>#N/A N/A</v>
        <stp/>
        <stp>BDP|2863563920469379099</stp>
        <tr r="F4860" s="2"/>
      </tp>
      <tp t="s">
        <v>#N/A N/A</v>
        <stp/>
        <stp>BDP|9999105379673142051</stp>
        <tr r="B391" s="2"/>
      </tp>
      <tp t="s">
        <v>#N/A N/A</v>
        <stp/>
        <stp>BDP|3575819851287907582</stp>
        <tr r="B4448" s="2"/>
      </tp>
      <tp t="s">
        <v>#N/A N/A</v>
        <stp/>
        <stp>BDP|5666131508518090095</stp>
        <tr r="C510" s="2"/>
      </tp>
      <tp t="s">
        <v>#N/A N/A</v>
        <stp/>
        <stp>BDP|6555436580140146638</stp>
        <tr r="D3897" s="2"/>
      </tp>
      <tp t="s">
        <v>#N/A N/A</v>
        <stp/>
        <stp>BDP|8510176352584696425</stp>
        <tr r="G4631" s="2"/>
      </tp>
      <tp t="s">
        <v>#N/A N/A</v>
        <stp/>
        <stp>BDP|1597323420534058834</stp>
        <tr r="D1387" s="2"/>
      </tp>
      <tp t="s">
        <v>#N/A N/A</v>
        <stp/>
        <stp>BDP|6646502992101784771</stp>
        <tr r="A3588" s="2"/>
      </tp>
      <tp t="s">
        <v>#N/A N/A</v>
        <stp/>
        <stp>BDP|7900070974944956872</stp>
        <tr r="F512" s="2"/>
      </tp>
      <tp t="s">
        <v>#N/A N/A</v>
        <stp/>
        <stp>BDP|2661193666430970947</stp>
        <tr r="H2045" s="2"/>
      </tp>
      <tp t="s">
        <v>#N/A N/A</v>
        <stp/>
        <stp>BDP|7196973406023324179</stp>
        <tr r="D4324" s="2"/>
      </tp>
      <tp t="s">
        <v>#N/A N/A</v>
        <stp/>
        <stp>BDP|8791964614178644479</stp>
        <tr r="G3019" s="2"/>
      </tp>
      <tp t="s">
        <v>#N/A N/A</v>
        <stp/>
        <stp>BDP|7534339799858820931</stp>
        <tr r="B4157" s="2"/>
      </tp>
      <tp t="s">
        <v>#N/A N/A</v>
        <stp/>
        <stp>BDP|2660047680676051063</stp>
        <tr r="F3474" s="2"/>
      </tp>
      <tp t="s">
        <v>#N/A N/A</v>
        <stp/>
        <stp>BDP|5821960294529700096</stp>
        <tr r="C2477" s="2"/>
      </tp>
      <tp t="s">
        <v>#N/A N/A</v>
        <stp/>
        <stp>BDP|8916066630954997326</stp>
        <tr r="G3108" s="2"/>
      </tp>
      <tp t="s">
        <v>#N/A N/A</v>
        <stp/>
        <stp>BDP|4417810620653807196</stp>
        <tr r="A1522" s="2"/>
      </tp>
      <tp t="s">
        <v>#N/A N/A</v>
        <stp/>
        <stp>BDP|1917564717478503191</stp>
        <tr r="A503" s="2"/>
      </tp>
      <tp t="s">
        <v>#N/A N/A</v>
        <stp/>
        <stp>BDP|8202625325573833393</stp>
        <tr r="D4942" s="2"/>
      </tp>
      <tp t="s">
        <v>#N/A N/A</v>
        <stp/>
        <stp>BDP|1618053347671162812</stp>
        <tr r="F3876" s="2"/>
      </tp>
      <tp t="s">
        <v>#N/A N/A</v>
        <stp/>
        <stp>BDP|9764175197455708847</stp>
        <tr r="G1932" s="2"/>
      </tp>
      <tp t="s">
        <v>#N/A N/A</v>
        <stp/>
        <stp>BDP|5698517245658289043</stp>
        <tr r="B1936" s="2"/>
      </tp>
      <tp t="s">
        <v>#N/A N/A</v>
        <stp/>
        <stp>BDP|7347214195400031034</stp>
        <tr r="D3697" s="2"/>
      </tp>
      <tp t="s">
        <v>#N/A N/A</v>
        <stp/>
        <stp>BDP|1270756737258413101</stp>
        <tr r="C1974" s="2"/>
      </tp>
      <tp t="s">
        <v>#N/A N/A</v>
        <stp/>
        <stp>BDP|4147953902675628440</stp>
        <tr r="I1081" s="2"/>
      </tp>
      <tp t="s">
        <v>#N/A N/A</v>
        <stp/>
        <stp>BDP|7002262807210469915</stp>
        <tr r="D2476" s="2"/>
      </tp>
      <tp t="s">
        <v>#N/A N/A</v>
        <stp/>
        <stp>BDP|8652659473607301278</stp>
        <tr r="F1645" s="2"/>
      </tp>
      <tp t="s">
        <v>#N/A N/A</v>
        <stp/>
        <stp>BDP|5123910053777204257</stp>
        <tr r="A1288" s="2"/>
      </tp>
      <tp t="s">
        <v>#N/A N/A</v>
        <stp/>
        <stp>BDP|2371844454677643413</stp>
        <tr r="F1602" s="2"/>
      </tp>
      <tp t="s">
        <v>#N/A N/A</v>
        <stp/>
        <stp>BDP|8751846268282625891</stp>
        <tr r="D2793" s="2"/>
      </tp>
      <tp t="s">
        <v>#N/A N/A</v>
        <stp/>
        <stp>BDP|2968171066491409881</stp>
        <tr r="H1655" s="2"/>
      </tp>
      <tp t="s">
        <v>#N/A N/A</v>
        <stp/>
        <stp>BDP|9405464203666419711</stp>
        <tr r="F2129" s="2"/>
      </tp>
      <tp t="s">
        <v>#N/A N/A</v>
        <stp/>
        <stp>BDP|2070135883066795139</stp>
        <tr r="H2737" s="2"/>
      </tp>
      <tp t="s">
        <v>#N/A N/A</v>
        <stp/>
        <stp>BDP|3418170200948485632</stp>
        <tr r="G3996" s="2"/>
      </tp>
      <tp t="s">
        <v>#N/A N/A</v>
        <stp/>
        <stp>BDP|5241560081323646776</stp>
        <tr r="C1727" s="2"/>
      </tp>
      <tp t="s">
        <v>#N/A N/A</v>
        <stp/>
        <stp>BDP|3726268975863571950</stp>
        <tr r="I288" s="2"/>
      </tp>
      <tp t="s">
        <v>#N/A N/A</v>
        <stp/>
        <stp>BDP|9907601215113802107</stp>
        <tr r="G133" s="2"/>
      </tp>
      <tp t="s">
        <v>#N/A N/A</v>
        <stp/>
        <stp>BDP|6533002416712515920</stp>
        <tr r="B4248" s="2"/>
      </tp>
      <tp t="s">
        <v>#N/A N/A</v>
        <stp/>
        <stp>BDP|1789708364565042976</stp>
        <tr r="B4685" s="2"/>
      </tp>
      <tp t="s">
        <v>#N/A N/A</v>
        <stp/>
        <stp>BDP|8644451237155757677</stp>
        <tr r="F462" s="2"/>
      </tp>
      <tp t="s">
        <v>#N/A N/A</v>
        <stp/>
        <stp>BDP|4664524183073554661</stp>
        <tr r="H3646" s="2"/>
      </tp>
      <tp t="s">
        <v>#N/A N/A</v>
        <stp/>
        <stp>BDP|7967815731610527081</stp>
        <tr r="A3653" s="2"/>
      </tp>
      <tp t="s">
        <v>#N/A N/A</v>
        <stp/>
        <stp>BDP|6348829005370498241</stp>
        <tr r="C3841" s="2"/>
      </tp>
      <tp t="s">
        <v>#N/A N/A</v>
        <stp/>
        <stp>BDP|3518559034319744079</stp>
        <tr r="F2090" s="2"/>
      </tp>
      <tp t="s">
        <v>#N/A N/A</v>
        <stp/>
        <stp>BDP|7608975751997439009</stp>
        <tr r="I1845" s="2"/>
      </tp>
      <tp t="s">
        <v>#N/A N/A</v>
        <stp/>
        <stp>BDP|9145473504595502434</stp>
        <tr r="B1755" s="2"/>
      </tp>
      <tp t="s">
        <v>#N/A N/A</v>
        <stp/>
        <stp>BDP|7441846721875076444</stp>
        <tr r="F188" s="2"/>
      </tp>
      <tp t="s">
        <v>#N/A N/A</v>
        <stp/>
        <stp>BDP|9720520159421194486</stp>
        <tr r="A3023" s="2"/>
      </tp>
      <tp t="s">
        <v>#N/A N/A</v>
        <stp/>
        <stp>BDP|2537274635989009627</stp>
        <tr r="A4861" s="2"/>
      </tp>
      <tp t="s">
        <v>#N/A N/A</v>
        <stp/>
        <stp>BDP|2965790193501589132</stp>
        <tr r="B424" s="2"/>
      </tp>
      <tp t="s">
        <v>#N/A N/A</v>
        <stp/>
        <stp>BDP|6799756855878599077</stp>
        <tr r="B1960" s="2"/>
      </tp>
      <tp t="s">
        <v>#N/A N/A</v>
        <stp/>
        <stp>BDP|8582306314824389277</stp>
        <tr r="B2012" s="2"/>
      </tp>
      <tp t="s">
        <v>#N/A N/A</v>
        <stp/>
        <stp>BDP|5204409150060438833</stp>
        <tr r="F124" s="2"/>
      </tp>
      <tp t="s">
        <v>#N/A N/A</v>
        <stp/>
        <stp>BDP|8033387171976503695</stp>
        <tr r="G1309" s="2"/>
      </tp>
      <tp t="s">
        <v>#N/A N/A</v>
        <stp/>
        <stp>BDP|1087804725270520754</stp>
        <tr r="A811" s="2"/>
      </tp>
      <tp t="s">
        <v>#N/A N/A</v>
        <stp/>
        <stp>BDP|1497032501598669550</stp>
        <tr r="H383" s="2"/>
      </tp>
      <tp t="s">
        <v>#N/A N/A</v>
        <stp/>
        <stp>BDP|3683391193003848615</stp>
        <tr r="A2892" s="2"/>
      </tp>
      <tp t="s">
        <v>#N/A N/A</v>
        <stp/>
        <stp>BDP|5640238622319461062</stp>
        <tr r="I3548" s="2"/>
      </tp>
      <tp t="s">
        <v>#N/A N/A</v>
        <stp/>
        <stp>BDP|3372656291737644749</stp>
        <tr r="G1714" s="2"/>
      </tp>
      <tp t="s">
        <v>#N/A N/A</v>
        <stp/>
        <stp>BDP|7696445499457777194</stp>
        <tr r="G4108" s="2"/>
      </tp>
      <tp t="s">
        <v>#N/A N/A</v>
        <stp/>
        <stp>BDP|9305674984232495914</stp>
        <tr r="I37" s="2"/>
      </tp>
      <tp t="s">
        <v>#N/A N/A</v>
        <stp/>
        <stp>BDP|2366407765844130820</stp>
        <tr r="C769" s="2"/>
      </tp>
      <tp t="s">
        <v>#N/A N/A</v>
        <stp/>
        <stp>BDP|5707274923129599036</stp>
        <tr r="F227" s="2"/>
      </tp>
      <tp t="s">
        <v>#N/A N/A</v>
        <stp/>
        <stp>BDP|3746945171553385246</stp>
        <tr r="C2583" s="2"/>
      </tp>
      <tp t="s">
        <v>#N/A N/A</v>
        <stp/>
        <stp>BDP|7096214497730380008</stp>
        <tr r="H2793" s="2"/>
      </tp>
      <tp t="s">
        <v>#N/A N/A</v>
        <stp/>
        <stp>BDP|6676356754905603942</stp>
        <tr r="G1785" s="2"/>
      </tp>
      <tp t="s">
        <v>#N/A N/A</v>
        <stp/>
        <stp>BDP|1960489864606675964</stp>
        <tr r="A4910" s="2"/>
      </tp>
      <tp t="s">
        <v>#N/A N/A</v>
        <stp/>
        <stp>BDP|8511521530843768154</stp>
        <tr r="H4661" s="2"/>
      </tp>
      <tp t="s">
        <v>#N/A N/A</v>
        <stp/>
        <stp>BDP|2493868420811120566</stp>
        <tr r="I4042" s="2"/>
      </tp>
      <tp t="s">
        <v>#N/A N/A</v>
        <stp/>
        <stp>BDP|8969766747802836556</stp>
        <tr r="I4129" s="2"/>
      </tp>
      <tp t="s">
        <v>#N/A N/A</v>
        <stp/>
        <stp>BDP|1172162162218388232</stp>
        <tr r="C2149" s="2"/>
      </tp>
      <tp t="s">
        <v>#N/A N/A</v>
        <stp/>
        <stp>BDP|6418743377082778858</stp>
        <tr r="A1561" s="2"/>
      </tp>
      <tp t="s">
        <v>#N/A N/A</v>
        <stp/>
        <stp>BDP|2163086688854361272</stp>
        <tr r="C1894" s="2"/>
      </tp>
      <tp t="s">
        <v>#N/A N/A</v>
        <stp/>
        <stp>BDP|4670169724278963386</stp>
        <tr r="B1898" s="2"/>
      </tp>
      <tp t="s">
        <v>#N/A N/A</v>
        <stp/>
        <stp>BDP|1203952906807027344</stp>
        <tr r="H1177" s="2"/>
      </tp>
      <tp t="s">
        <v>#N/A N/A</v>
        <stp/>
        <stp>BDP|6626236150329688463</stp>
        <tr r="G3082" s="2"/>
      </tp>
      <tp t="s">
        <v>#N/A N/A</v>
        <stp/>
        <stp>BDP|9170402562825628203</stp>
        <tr r="G3770" s="2"/>
      </tp>
      <tp t="s">
        <v>#N/A N/A</v>
        <stp/>
        <stp>BDP|8763507861313693457</stp>
        <tr r="A31" s="2"/>
      </tp>
      <tp t="s">
        <v>#N/A N/A</v>
        <stp/>
        <stp>BDP|1019849971180303235</stp>
        <tr r="D2576" s="2"/>
      </tp>
      <tp t="s">
        <v>#N/A N/A</v>
        <stp/>
        <stp>BDP|8496523890069233115</stp>
        <tr r="D2017" s="2"/>
      </tp>
      <tp t="s">
        <v>#N/A N/A</v>
        <stp/>
        <stp>BDP|2201664659544073989</stp>
        <tr r="H3316" s="2"/>
      </tp>
      <tp t="s">
        <v>#N/A N/A</v>
        <stp/>
        <stp>BDP|5295821452313101764</stp>
        <tr r="A2799" s="2"/>
      </tp>
      <tp t="s">
        <v>#N/A N/A</v>
        <stp/>
        <stp>BDP|2520537882037526448</stp>
        <tr r="G3491" s="2"/>
      </tp>
      <tp t="s">
        <v>#N/A N/A</v>
        <stp/>
        <stp>BDP|2730928627681574425</stp>
        <tr r="F1245" s="2"/>
      </tp>
      <tp t="s">
        <v>#N/A N/A</v>
        <stp/>
        <stp>BDP|5020215397314293613</stp>
        <tr r="A1823" s="2"/>
      </tp>
      <tp t="s">
        <v>#N/A N/A</v>
        <stp/>
        <stp>BDP|9573736702031386327</stp>
        <tr r="H4098" s="2"/>
      </tp>
      <tp t="s">
        <v>#N/A N/A</v>
        <stp/>
        <stp>BDP|3248391199020034578</stp>
        <tr r="A4278" s="2"/>
      </tp>
      <tp t="s">
        <v>#N/A N/A</v>
        <stp/>
        <stp>BDP|6061877532891155012</stp>
        <tr r="D2195" s="2"/>
      </tp>
      <tp t="s">
        <v>#N/A N/A</v>
        <stp/>
        <stp>BDP|5553972203167421705</stp>
        <tr r="D4511" s="2"/>
      </tp>
      <tp t="s">
        <v>#N/A N/A</v>
        <stp/>
        <stp>BDP|9127067360121101235</stp>
        <tr r="D1281" s="2"/>
      </tp>
      <tp t="s">
        <v>#N/A N/A</v>
        <stp/>
        <stp>BDP|4913125951605651996</stp>
        <tr r="G2247" s="2"/>
      </tp>
      <tp t="s">
        <v>#N/A N/A</v>
        <stp/>
        <stp>BDP|6117427953529539200</stp>
        <tr r="D3391" s="2"/>
      </tp>
      <tp t="s">
        <v>#N/A N/A</v>
        <stp/>
        <stp>BDP|9292411685191412878</stp>
        <tr r="B4474" s="2"/>
      </tp>
      <tp t="s">
        <v>#N/A N/A</v>
        <stp/>
        <stp>BDP|6213587551679929372</stp>
        <tr r="A2791" s="2"/>
      </tp>
      <tp t="s">
        <v>#N/A N/A</v>
        <stp/>
        <stp>BDP|3709572456379290618</stp>
        <tr r="F2041" s="2"/>
      </tp>
      <tp t="s">
        <v>#N/A N/A</v>
        <stp/>
        <stp>BDP|8902356107427704091</stp>
        <tr r="G3360" s="2"/>
      </tp>
      <tp t="s">
        <v>#N/A N/A</v>
        <stp/>
        <stp>BDP|4804466830329248692</stp>
        <tr r="H4417" s="2"/>
      </tp>
      <tp t="s">
        <v>#N/A N/A</v>
        <stp/>
        <stp>BDP|6477477649338974267</stp>
        <tr r="H987" s="2"/>
      </tp>
      <tp t="s">
        <v>#N/A N/A</v>
        <stp/>
        <stp>BDP|6065345494203366364</stp>
        <tr r="D148" s="2"/>
      </tp>
      <tp t="s">
        <v>#N/A N/A</v>
        <stp/>
        <stp>BDP|5203858705406395746</stp>
        <tr r="F1711" s="2"/>
      </tp>
      <tp t="s">
        <v>#N/A N/A</v>
        <stp/>
        <stp>BDP|5544530421668634642</stp>
        <tr r="F4192" s="2"/>
      </tp>
      <tp t="s">
        <v>#N/A N/A</v>
        <stp/>
        <stp>BDP|6263909735452102238</stp>
        <tr r="I862" s="2"/>
      </tp>
      <tp t="s">
        <v>#N/A N/A</v>
        <stp/>
        <stp>BDP|3330129158073888841</stp>
        <tr r="F528" s="2"/>
      </tp>
      <tp t="s">
        <v>#N/A N/A</v>
        <stp/>
        <stp>BDP|5105307870404552915</stp>
        <tr r="I1264" s="2"/>
      </tp>
      <tp t="s">
        <v>#N/A N/A</v>
        <stp/>
        <stp>BDP|5239613691235037372</stp>
        <tr r="A3009" s="2"/>
      </tp>
      <tp t="s">
        <v>#N/A N/A</v>
        <stp/>
        <stp>BDP|1532867955771702141</stp>
        <tr r="H1110" s="2"/>
      </tp>
      <tp t="s">
        <v>#N/A N/A</v>
        <stp/>
        <stp>BDP|9752877908234516983</stp>
        <tr r="I56" s="2"/>
      </tp>
      <tp t="s">
        <v>#N/A N/A</v>
        <stp/>
        <stp>BDP|8445826206275778925</stp>
        <tr r="A2941" s="2"/>
      </tp>
      <tp t="s">
        <v>#N/A N/A</v>
        <stp/>
        <stp>BDP|5478984027776765490</stp>
        <tr r="I4105" s="2"/>
      </tp>
      <tp t="s">
        <v>#N/A N/A</v>
        <stp/>
        <stp>BDP|8821595543426416337</stp>
        <tr r="C3722" s="2"/>
      </tp>
      <tp t="s">
        <v>#N/A N/A</v>
        <stp/>
        <stp>BDP|8034216014190793778</stp>
        <tr r="D1123" s="2"/>
      </tp>
      <tp t="s">
        <v>#N/A N/A</v>
        <stp/>
        <stp>BDP|8899970368419195231</stp>
        <tr r="A3407" s="2"/>
      </tp>
      <tp t="s">
        <v>#N/A N/A</v>
        <stp/>
        <stp>BDP|8928668411867923425</stp>
        <tr r="I4321" s="2"/>
      </tp>
      <tp t="s">
        <v>#N/A N/A</v>
        <stp/>
        <stp>BDP|6220710592097166351</stp>
        <tr r="G3007" s="2"/>
      </tp>
      <tp t="s">
        <v>#N/A N/A</v>
        <stp/>
        <stp>BDP|3006214351519740121</stp>
        <tr r="I1072" s="2"/>
      </tp>
      <tp t="s">
        <v>#N/A N/A</v>
        <stp/>
        <stp>BDP|2912154965180836943</stp>
        <tr r="H2745" s="2"/>
      </tp>
      <tp t="s">
        <v>#N/A N/A</v>
        <stp/>
        <stp>BDP|1282986414805817033</stp>
        <tr r="I4067" s="2"/>
      </tp>
      <tp t="s">
        <v>#N/A N/A</v>
        <stp/>
        <stp>BDP|8822435918620225147</stp>
        <tr r="G4126" s="2"/>
      </tp>
      <tp t="s">
        <v>#N/A N/A</v>
        <stp/>
        <stp>BDP|9204017161194540726</stp>
        <tr r="G2176" s="2"/>
      </tp>
      <tp t="s">
        <v>#N/A N/A</v>
        <stp/>
        <stp>BDP|8035413085320108807</stp>
        <tr r="F319" s="2"/>
      </tp>
      <tp t="s">
        <v>#N/A N/A</v>
        <stp/>
        <stp>BDP|8719666181368027252</stp>
        <tr r="F149" s="2"/>
      </tp>
      <tp t="s">
        <v>#N/A N/A</v>
        <stp/>
        <stp>BDP|1383818148801986067</stp>
        <tr r="A3030" s="2"/>
      </tp>
      <tp t="s">
        <v>#N/A N/A</v>
        <stp/>
        <stp>BDP|4814190795226256631</stp>
        <tr r="I195" s="2"/>
      </tp>
      <tp t="s">
        <v>#N/A N/A</v>
        <stp/>
        <stp>BDP|5540951846262452675</stp>
        <tr r="F1028" s="2"/>
      </tp>
      <tp t="s">
        <v>#N/A N/A</v>
        <stp/>
        <stp>BDP|9364933587392437662</stp>
        <tr r="C3027" s="2"/>
      </tp>
      <tp t="s">
        <v>#N/A N/A</v>
        <stp/>
        <stp>BDP|1135930604996550268</stp>
        <tr r="I4482" s="2"/>
      </tp>
      <tp t="s">
        <v>#N/A N/A</v>
        <stp/>
        <stp>BDP|5485918440527947397</stp>
        <tr r="F645" s="2"/>
      </tp>
      <tp t="s">
        <v>#N/A N/A</v>
        <stp/>
        <stp>BDP|9900286071245567504</stp>
        <tr r="C2643" s="2"/>
      </tp>
      <tp t="s">
        <v>#N/A N/A</v>
        <stp/>
        <stp>BDP|2567743742299655404</stp>
        <tr r="A26" s="2"/>
      </tp>
      <tp t="s">
        <v>#N/A N/A</v>
        <stp/>
        <stp>BDP|9222721566884256018</stp>
        <tr r="H2305" s="2"/>
      </tp>
      <tp t="s">
        <v>#N/A N/A</v>
        <stp/>
        <stp>BDP|1865401493767290630</stp>
        <tr r="G3292" s="2"/>
      </tp>
      <tp t="s">
        <v>#N/A N/A</v>
        <stp/>
        <stp>BDP|2654631081576681780</stp>
        <tr r="G3883" s="2"/>
      </tp>
      <tp t="s">
        <v>#N/A N/A</v>
        <stp/>
        <stp>BDP|2158859923134829156</stp>
        <tr r="C2572" s="2"/>
      </tp>
      <tp t="s">
        <v>#N/A N/A</v>
        <stp/>
        <stp>BDP|1886860033375554226</stp>
        <tr r="C4406" s="2"/>
      </tp>
      <tp t="s">
        <v>#N/A N/A</v>
        <stp/>
        <stp>BDP|4524725310028563789</stp>
        <tr r="A551" s="2"/>
      </tp>
      <tp t="s">
        <v>#N/A N/A</v>
        <stp/>
        <stp>BDP|9591698822631265169</stp>
        <tr r="D1144" s="2"/>
      </tp>
      <tp t="s">
        <v>#N/A N/A</v>
        <stp/>
        <stp>BDP|8642585344601884584</stp>
        <tr r="D717" s="2"/>
      </tp>
      <tp t="s">
        <v>#N/A N/A</v>
        <stp/>
        <stp>BDP|6295958977431299487</stp>
        <tr r="C1371" s="2"/>
      </tp>
      <tp t="s">
        <v>#N/A N/A</v>
        <stp/>
        <stp>BDP|5141783088363285497</stp>
        <tr r="G4214" s="2"/>
      </tp>
      <tp t="s">
        <v>#N/A N/A</v>
        <stp/>
        <stp>BDP|4995432094060509410</stp>
        <tr r="B2926" s="2"/>
      </tp>
      <tp t="s">
        <v>#N/A N/A</v>
        <stp/>
        <stp>BDP|6266789173679055236</stp>
        <tr r="G3979" s="2"/>
      </tp>
      <tp t="s">
        <v>#N/A N/A</v>
        <stp/>
        <stp>BDP|9941064334036690173</stp>
        <tr r="F2333" s="2"/>
      </tp>
      <tp t="s">
        <v>#N/A N/A</v>
        <stp/>
        <stp>BDP|9090100535614667293</stp>
        <tr r="I4393" s="2"/>
      </tp>
      <tp t="s">
        <v>#N/A N/A</v>
        <stp/>
        <stp>BDP|8743443308947160605</stp>
        <tr r="H1707" s="2"/>
      </tp>
      <tp t="s">
        <v>#N/A N/A</v>
        <stp/>
        <stp>BDP|4242314763609394592</stp>
        <tr r="I1393" s="2"/>
      </tp>
      <tp t="s">
        <v>#N/A N/A</v>
        <stp/>
        <stp>BDP|9358885004739720528</stp>
        <tr r="G3560" s="2"/>
      </tp>
      <tp t="s">
        <v>#N/A N/A</v>
        <stp/>
        <stp>BDP|3896216151609617044</stp>
        <tr r="C1013" s="2"/>
      </tp>
      <tp t="s">
        <v>#N/A N/A</v>
        <stp/>
        <stp>BDP|2759899524995616068</stp>
        <tr r="D2776" s="2"/>
      </tp>
      <tp t="s">
        <v>#N/A N/A</v>
        <stp/>
        <stp>BDP|5938522671189992396</stp>
        <tr r="I3683" s="2"/>
      </tp>
      <tp t="s">
        <v>#N/A N/A</v>
        <stp/>
        <stp>BDP|5325225389190588271</stp>
        <tr r="I1677" s="2"/>
      </tp>
      <tp t="s">
        <v>#N/A N/A</v>
        <stp/>
        <stp>BDP|8657984486871024524</stp>
        <tr r="F651" s="2"/>
      </tp>
      <tp t="s">
        <v>#N/A N/A</v>
        <stp/>
        <stp>BDP|1797496082664459423</stp>
        <tr r="C2488" s="2"/>
      </tp>
      <tp t="s">
        <v>#N/A N/A</v>
        <stp/>
        <stp>BDP|6002044347809156687</stp>
        <tr r="I2799" s="2"/>
      </tp>
      <tp t="s">
        <v>#N/A N/A</v>
        <stp/>
        <stp>BDP|4882682127558864557</stp>
        <tr r="D3334" s="2"/>
      </tp>
      <tp t="s">
        <v>#N/A N/A</v>
        <stp/>
        <stp>BDP|2731332920486923879</stp>
        <tr r="I4885" s="2"/>
      </tp>
      <tp t="s">
        <v>#N/A N/A</v>
        <stp/>
        <stp>BDP|9889628142166693046</stp>
        <tr r="F187" s="2"/>
      </tp>
      <tp t="s">
        <v>#N/A N/A</v>
        <stp/>
        <stp>BDP|4570690881632063579</stp>
        <tr r="C2952" s="2"/>
      </tp>
      <tp t="s">
        <v>#N/A N/A</v>
        <stp/>
        <stp>BDP|1461776680434060793</stp>
        <tr r="I539" s="2"/>
      </tp>
      <tp t="s">
        <v>#N/A N/A</v>
        <stp/>
        <stp>BDP|1102457590776875766</stp>
        <tr r="A3638" s="2"/>
      </tp>
      <tp t="s">
        <v>#N/A N/A</v>
        <stp/>
        <stp>BDP|3912927541491238220</stp>
        <tr r="D3921" s="2"/>
      </tp>
      <tp t="s">
        <v>#N/A N/A</v>
        <stp/>
        <stp>BDP|9670137447950090181</stp>
        <tr r="F1732" s="2"/>
      </tp>
      <tp t="s">
        <v>#N/A N/A</v>
        <stp/>
        <stp>BDP|5550835547892895630</stp>
        <tr r="C1438" s="2"/>
      </tp>
      <tp t="s">
        <v>#N/A N/A</v>
        <stp/>
        <stp>BDP|9946002310241648451</stp>
        <tr r="I331" s="2"/>
      </tp>
      <tp t="s">
        <v>#N/A N/A</v>
        <stp/>
        <stp>BDP|1502923248140354167</stp>
        <tr r="C155" s="2"/>
      </tp>
      <tp t="s">
        <v>#N/A N/A</v>
        <stp/>
        <stp>BDP|7273782994315105156</stp>
        <tr r="H4567" s="2"/>
      </tp>
      <tp t="s">
        <v>#N/A N/A</v>
        <stp/>
        <stp>BDP|7726092255989039619</stp>
        <tr r="H1712" s="2"/>
      </tp>
      <tp t="s">
        <v>#N/A N/A</v>
        <stp/>
        <stp>BDP|1010137769018540351</stp>
        <tr r="D999" s="2"/>
      </tp>
      <tp t="s">
        <v>#N/A N/A</v>
        <stp/>
        <stp>BDP|3034247228966591837</stp>
        <tr r="A2361" s="2"/>
      </tp>
      <tp t="s">
        <v>#N/A N/A</v>
        <stp/>
        <stp>BDP|9547410040491868564</stp>
        <tr r="A3096" s="2"/>
      </tp>
      <tp t="s">
        <v>#N/A N/A</v>
        <stp/>
        <stp>BDP|7730983377607423366</stp>
        <tr r="F423" s="2"/>
      </tp>
      <tp t="s">
        <v>#N/A N/A</v>
        <stp/>
        <stp>BDP|7952174782144663704</stp>
        <tr r="H3059" s="2"/>
      </tp>
      <tp t="s">
        <v>#N/A N/A</v>
        <stp/>
        <stp>BDP|4950464695276229223</stp>
        <tr r="G954" s="2"/>
      </tp>
      <tp t="s">
        <v>#N/A N/A</v>
        <stp/>
        <stp>BDP|8853227179307957701</stp>
        <tr r="G799" s="2"/>
      </tp>
      <tp t="s">
        <v>#N/A N/A</v>
        <stp/>
        <stp>BDP|4556584223246660820</stp>
        <tr r="C3335" s="2"/>
      </tp>
      <tp t="s">
        <v>#N/A N/A</v>
        <stp/>
        <stp>BDP|2280958622755979165</stp>
        <tr r="D4687" s="2"/>
      </tp>
      <tp t="s">
        <v>#N/A N/A</v>
        <stp/>
        <stp>BDP|2678593494704859792</stp>
        <tr r="B1680" s="2"/>
      </tp>
      <tp t="s">
        <v>#N/A N/A</v>
        <stp/>
        <stp>BDP|6117911372207112297</stp>
        <tr r="A4972" s="2"/>
      </tp>
      <tp t="s">
        <v>#N/A N/A</v>
        <stp/>
        <stp>BDP|8138041881694628982</stp>
        <tr r="H4112" s="2"/>
      </tp>
      <tp t="s">
        <v>#N/A N/A</v>
        <stp/>
        <stp>BDP|4933480201655237882</stp>
        <tr r="H902" s="2"/>
      </tp>
      <tp t="s">
        <v>#N/A N/A</v>
        <stp/>
        <stp>BDP|6117962995748125392</stp>
        <tr r="F736" s="2"/>
      </tp>
      <tp t="s">
        <v>#N/A N/A</v>
        <stp/>
        <stp>BDP|1021809047852812255</stp>
        <tr r="G2494" s="2"/>
      </tp>
      <tp t="s">
        <v>#N/A N/A</v>
        <stp/>
        <stp>BDP|9108879246980870820</stp>
        <tr r="F4015" s="2"/>
      </tp>
      <tp t="s">
        <v>#N/A N/A</v>
        <stp/>
        <stp>BDP|4004525995064866154</stp>
        <tr r="H3139" s="2"/>
      </tp>
      <tp t="s">
        <v>#N/A N/A</v>
        <stp/>
        <stp>BDP|7022405045722629895</stp>
        <tr r="D4396" s="2"/>
      </tp>
      <tp t="s">
        <v>#N/A N/A</v>
        <stp/>
        <stp>BDP|9225129066941428287</stp>
        <tr r="F611" s="2"/>
      </tp>
      <tp t="s">
        <v>#N/A N/A</v>
        <stp/>
        <stp>BDP|3950774988829591897</stp>
        <tr r="H1301" s="2"/>
      </tp>
      <tp t="s">
        <v>#N/A N/A</v>
        <stp/>
        <stp>BDP|9527568756937770382</stp>
        <tr r="I1045" s="2"/>
      </tp>
      <tp t="s">
        <v>#N/A N/A</v>
        <stp/>
        <stp>BDP|5270066995937375689</stp>
        <tr r="H2153" s="2"/>
      </tp>
      <tp t="s">
        <v>#N/A N/A</v>
        <stp/>
        <stp>BDP|5037417672802128988</stp>
        <tr r="C3186" s="2"/>
      </tp>
      <tp t="s">
        <v>#N/A N/A</v>
        <stp/>
        <stp>BDP|8679676612656950404</stp>
        <tr r="F4930" s="2"/>
      </tp>
      <tp t="s">
        <v>#N/A N/A</v>
        <stp/>
        <stp>BDP|2486326899354139157</stp>
        <tr r="B2543" s="2"/>
      </tp>
      <tp t="s">
        <v>#N/A N/A</v>
        <stp/>
        <stp>BDP|7141744088534488124</stp>
        <tr r="D4491" s="2"/>
      </tp>
      <tp t="s">
        <v>#N/A N/A</v>
        <stp/>
        <stp>BDP|5163108744155745893</stp>
        <tr r="I517" s="2"/>
      </tp>
      <tp t="s">
        <v>#N/A N/A</v>
        <stp/>
        <stp>BDP|6529088255596529865</stp>
        <tr r="C1560" s="2"/>
      </tp>
      <tp t="s">
        <v>#N/A N/A</v>
        <stp/>
        <stp>BDP|9503511978056404039</stp>
        <tr r="F3999" s="2"/>
      </tp>
      <tp t="s">
        <v>#N/A N/A</v>
        <stp/>
        <stp>BDP|8880047663461224262</stp>
        <tr r="B563" s="2"/>
      </tp>
      <tp t="s">
        <v>#N/A N/A</v>
        <stp/>
        <stp>BDP|5100029194730977152</stp>
        <tr r="A2344" s="2"/>
      </tp>
      <tp t="s">
        <v>#N/A N/A</v>
        <stp/>
        <stp>BDP|2513526298492118159</stp>
        <tr r="G3651" s="2"/>
      </tp>
      <tp t="s">
        <v>#N/A N/A</v>
        <stp/>
        <stp>BDP|7584125180304567793</stp>
        <tr r="H2905" s="2"/>
      </tp>
      <tp t="s">
        <v>#N/A N/A</v>
        <stp/>
        <stp>BDP|6904811517710659228</stp>
        <tr r="C3104" s="2"/>
      </tp>
      <tp t="s">
        <v>#N/A N/A</v>
        <stp/>
        <stp>BDP|6407338628072156857</stp>
        <tr r="H4608" s="2"/>
      </tp>
      <tp t="s">
        <v>#N/A N/A</v>
        <stp/>
        <stp>BDP|7063574749029196241</stp>
        <tr r="G1981" s="2"/>
      </tp>
      <tp t="s">
        <v>#N/A N/A</v>
        <stp/>
        <stp>BDP|3651628994080909127</stp>
        <tr r="I1840" s="2"/>
      </tp>
      <tp t="s">
        <v>#N/A N/A</v>
        <stp/>
        <stp>BDP|8758978097053496689</stp>
        <tr r="F1043" s="2"/>
      </tp>
      <tp t="s">
        <v>#N/A N/A</v>
        <stp/>
        <stp>BDP|7894928518633837118</stp>
        <tr r="I2361" s="2"/>
      </tp>
      <tp t="s">
        <v>#N/A N/A</v>
        <stp/>
        <stp>BDP|5993030878717801812</stp>
        <tr r="A2569" s="2"/>
      </tp>
      <tp t="s">
        <v>#N/A N/A</v>
        <stp/>
        <stp>BDP|1812251503847706927</stp>
        <tr r="C2765" s="2"/>
      </tp>
      <tp t="s">
        <v>#N/A N/A</v>
        <stp/>
        <stp>BDP|6781211073478609682</stp>
        <tr r="H3327" s="2"/>
      </tp>
      <tp t="s">
        <v>#N/A N/A</v>
        <stp/>
        <stp>BDP|2422795794957328613</stp>
        <tr r="I2788" s="2"/>
      </tp>
      <tp t="s">
        <v>#N/A N/A</v>
        <stp/>
        <stp>BDP|8549776927090882065</stp>
        <tr r="B1466" s="2"/>
      </tp>
      <tp t="s">
        <v>#N/A N/A</v>
        <stp/>
        <stp>BDP|9173268462525707594</stp>
        <tr r="C2899" s="2"/>
      </tp>
      <tp t="s">
        <v>#N/A N/A</v>
        <stp/>
        <stp>BDP|1866973241975060454</stp>
        <tr r="H2264" s="2"/>
      </tp>
      <tp t="s">
        <v>#N/A N/A</v>
        <stp/>
        <stp>BDP|2644625201881760891</stp>
        <tr r="I3053" s="2"/>
      </tp>
      <tp t="s">
        <v>#N/A N/A</v>
        <stp/>
        <stp>BDP|2448979142515260780</stp>
        <tr r="B2979" s="2"/>
      </tp>
      <tp t="s">
        <v>#N/A N/A</v>
        <stp/>
        <stp>BDP|8201508827994864666</stp>
        <tr r="F4877" s="2"/>
      </tp>
      <tp t="s">
        <v>#N/A N/A</v>
        <stp/>
        <stp>BDP|2221124143742992819</stp>
        <tr r="D1972" s="2"/>
      </tp>
      <tp t="s">
        <v>#N/A N/A</v>
        <stp/>
        <stp>BDP|5811552888761808465</stp>
        <tr r="F4807" s="2"/>
      </tp>
      <tp t="s">
        <v>#N/A N/A</v>
        <stp/>
        <stp>BDP|6351785120287207923</stp>
        <tr r="G3788" s="2"/>
      </tp>
      <tp t="s">
        <v>#N/A N/A</v>
        <stp/>
        <stp>BDP|5444821968015614334</stp>
        <tr r="D3758" s="2"/>
      </tp>
      <tp t="s">
        <v>#N/A N/A</v>
        <stp/>
        <stp>BDP|7829741345740406964</stp>
        <tr r="G2961" s="2"/>
      </tp>
      <tp t="s">
        <v>#N/A N/A</v>
        <stp/>
        <stp>BDP|3181248128457011966</stp>
        <tr r="A3" s="2"/>
      </tp>
      <tp t="s">
        <v>#N/A N/A</v>
        <stp/>
        <stp>BDP|2980154938585687892</stp>
        <tr r="D1769" s="2"/>
      </tp>
      <tp t="s">
        <v>#N/A N/A</v>
        <stp/>
        <stp>BDP|8851033951570889098</stp>
        <tr r="I4006" s="2"/>
      </tp>
      <tp t="s">
        <v>#N/A N/A</v>
        <stp/>
        <stp>BDP|8614534850161703497</stp>
        <tr r="B2487" s="2"/>
      </tp>
      <tp t="s">
        <v>#N/A N/A</v>
        <stp/>
        <stp>BDP|8346777508365068774</stp>
        <tr r="F2565" s="2"/>
      </tp>
      <tp t="s">
        <v>#N/A N/A</v>
        <stp/>
        <stp>BDP|4119192499417343691</stp>
        <tr r="C328" s="2"/>
      </tp>
      <tp t="s">
        <v>#N/A N/A</v>
        <stp/>
        <stp>BDP|7006977412426875461</stp>
        <tr r="F4220" s="2"/>
      </tp>
      <tp t="s">
        <v>#N/A N/A</v>
        <stp/>
        <stp>BDP|1834859330967516037</stp>
        <tr r="B2459" s="2"/>
      </tp>
      <tp t="s">
        <v>#N/A N/A</v>
        <stp/>
        <stp>BDP|2976002586473234467</stp>
        <tr r="A4698" s="2"/>
      </tp>
      <tp t="s">
        <v>#N/A N/A</v>
        <stp/>
        <stp>BDP|4236871403108861950</stp>
        <tr r="H3886" s="2"/>
      </tp>
      <tp t="s">
        <v>#N/A N/A</v>
        <stp/>
        <stp>BDP|7244635847638973045</stp>
        <tr r="A2270" s="2"/>
      </tp>
      <tp t="s">
        <v>#N/A N/A</v>
        <stp/>
        <stp>BDP|5855924043630009522</stp>
        <tr r="B1722" s="2"/>
      </tp>
      <tp t="s">
        <v>#N/A N/A</v>
        <stp/>
        <stp>BDP|4237371403632835853</stp>
        <tr r="H3054" s="2"/>
      </tp>
      <tp t="s">
        <v>#N/A N/A</v>
        <stp/>
        <stp>BDP|7519182197990993287</stp>
        <tr r="I4098" s="2"/>
      </tp>
      <tp t="s">
        <v>#N/A N/A</v>
        <stp/>
        <stp>BDP|8335844991963895753</stp>
        <tr r="D4838" s="2"/>
      </tp>
      <tp t="s">
        <v>#N/A N/A</v>
        <stp/>
        <stp>BDP|9978086527415845355</stp>
        <tr r="A3507" s="2"/>
      </tp>
      <tp t="s">
        <v>#N/A N/A</v>
        <stp/>
        <stp>BDP|4983281669834452973</stp>
        <tr r="B4873" s="2"/>
      </tp>
      <tp t="s">
        <v>#N/A N/A</v>
        <stp/>
        <stp>BDP|9441782236438975882</stp>
        <tr r="A4498" s="2"/>
      </tp>
      <tp t="s">
        <v>#N/A N/A</v>
        <stp/>
        <stp>BDP|8604492805588122902</stp>
        <tr r="H1719" s="2"/>
      </tp>
      <tp t="s">
        <v>#N/A N/A</v>
        <stp/>
        <stp>BDP|8464136717337317285</stp>
        <tr r="A886" s="2"/>
      </tp>
      <tp t="s">
        <v>#N/A N/A</v>
        <stp/>
        <stp>BDP|9824749771722223649</stp>
        <tr r="G4876" s="2"/>
      </tp>
      <tp t="s">
        <v>#N/A N/A</v>
        <stp/>
        <stp>BDP|1431035690303944656</stp>
        <tr r="H3241" s="2"/>
      </tp>
      <tp t="s">
        <v>#N/A N/A</v>
        <stp/>
        <stp>BDP|1674687292837686417</stp>
        <tr r="G3587" s="2"/>
      </tp>
      <tp t="s">
        <v>#N/A N/A</v>
        <stp/>
        <stp>BDP|6722662659161401976</stp>
        <tr r="D3517" s="2"/>
      </tp>
      <tp t="s">
        <v>#N/A N/A</v>
        <stp/>
        <stp>BDP|2542490541379519631</stp>
        <tr r="D131" s="2"/>
      </tp>
      <tp t="s">
        <v>#N/A N/A</v>
        <stp/>
        <stp>BDP|4916973812564022572</stp>
        <tr r="F3664" s="2"/>
      </tp>
      <tp t="s">
        <v>#N/A N/A</v>
        <stp/>
        <stp>BDP|9779620808561517335</stp>
        <tr r="C3174" s="2"/>
      </tp>
      <tp t="s">
        <v>#N/A N/A</v>
        <stp/>
        <stp>BDP|8541378429711249529</stp>
        <tr r="G627" s="2"/>
      </tp>
      <tp t="s">
        <v>#N/A N/A</v>
        <stp/>
        <stp>BDP|8233431002381043083</stp>
        <tr r="I1498" s="2"/>
      </tp>
      <tp t="s">
        <v>#N/A N/A</v>
        <stp/>
        <stp>BDP|8808413085868384145</stp>
        <tr r="B301" s="2"/>
      </tp>
      <tp t="s">
        <v>#N/A N/A</v>
        <stp/>
        <stp>BDP|9685678261273924719</stp>
        <tr r="C499" s="2"/>
      </tp>
      <tp t="s">
        <v>#N/A N/A</v>
        <stp/>
        <stp>BDP|7598644959869852089</stp>
        <tr r="I4183" s="2"/>
      </tp>
      <tp t="s">
        <v>#N/A N/A</v>
        <stp/>
        <stp>BDP|9685605418765667605</stp>
        <tr r="D214" s="2"/>
      </tp>
      <tp t="s">
        <v>#N/A N/A</v>
        <stp/>
        <stp>BDP|6778269837112930875</stp>
        <tr r="D1648" s="2"/>
      </tp>
      <tp t="s">
        <v>#N/A N/A</v>
        <stp/>
        <stp>BDP|4385802469713612445</stp>
        <tr r="H4228" s="2"/>
      </tp>
      <tp t="s">
        <v>#N/A N/A</v>
        <stp/>
        <stp>BDP|9220674448312156449</stp>
        <tr r="D1605" s="2"/>
      </tp>
      <tp t="s">
        <v>#N/A N/A</v>
        <stp/>
        <stp>BDP|9988779227354521549</stp>
        <tr r="C2057" s="2"/>
      </tp>
      <tp t="s">
        <v>#N/A N/A</v>
        <stp/>
        <stp>BDP|9024033139923505470</stp>
        <tr r="B2852" s="2"/>
      </tp>
      <tp t="s">
        <v>#N/A N/A</v>
        <stp/>
        <stp>BDP|7819098197776633585</stp>
        <tr r="G1226" s="2"/>
      </tp>
      <tp t="s">
        <v>#N/A N/A</v>
        <stp/>
        <stp>BDP|6827098785447839445</stp>
        <tr r="H1334" s="2"/>
      </tp>
      <tp t="s">
        <v>#N/A N/A</v>
        <stp/>
        <stp>BDP|2921227915889318554</stp>
        <tr r="I4983" s="2"/>
      </tp>
      <tp t="s">
        <v>#N/A N/A</v>
        <stp/>
        <stp>BDP|3628198179340629880</stp>
        <tr r="C2120" s="2"/>
      </tp>
      <tp t="s">
        <v>#N/A N/A</v>
        <stp/>
        <stp>BDP|5358868268473278575</stp>
        <tr r="C3985" s="2"/>
      </tp>
      <tp t="s">
        <v>#N/A N/A</v>
        <stp/>
        <stp>BDP|3785472568045485949</stp>
        <tr r="C4310" s="2"/>
      </tp>
      <tp t="s">
        <v>#N/A N/A</v>
        <stp/>
        <stp>BDP|4392222492180832232</stp>
        <tr r="D2666" s="2"/>
      </tp>
      <tp t="s">
        <v>#N/A N/A</v>
        <stp/>
        <stp>BDP|5171959096331926935</stp>
        <tr r="C2226" s="2"/>
      </tp>
      <tp t="s">
        <v>#N/A N/A</v>
        <stp/>
        <stp>BDP|5486090193345087469</stp>
        <tr r="F1680" s="2"/>
      </tp>
      <tp t="s">
        <v>#N/A N/A</v>
        <stp/>
        <stp>BDP|1982095747528672095</stp>
        <tr r="A928" s="2"/>
      </tp>
      <tp t="s">
        <v>#N/A N/A</v>
        <stp/>
        <stp>BDP|5804334853029262728</stp>
        <tr r="B3783" s="2"/>
      </tp>
      <tp t="s">
        <v>#N/A N/A</v>
        <stp/>
        <stp>BDP|3283925921553152687</stp>
        <tr r="H4253" s="2"/>
      </tp>
      <tp t="s">
        <v>#N/A N/A</v>
        <stp/>
        <stp>BDP|6389930353454915327</stp>
        <tr r="H2691" s="2"/>
      </tp>
      <tp t="s">
        <v>#N/A N/A</v>
        <stp/>
        <stp>BDP|4935088893696919631</stp>
        <tr r="A3553" s="2"/>
      </tp>
      <tp t="s">
        <v>#N/A N/A</v>
        <stp/>
        <stp>BDP|8939462065124445369</stp>
        <tr r="H3361" s="2"/>
      </tp>
      <tp t="s">
        <v>#N/A N/A</v>
        <stp/>
        <stp>BDP|2494412859009045742</stp>
        <tr r="H1438" s="2"/>
      </tp>
      <tp t="s">
        <v>#N/A N/A</v>
        <stp/>
        <stp>BDP|6444997132853639215</stp>
        <tr r="A4807" s="2"/>
      </tp>
      <tp t="s">
        <v>#N/A N/A</v>
        <stp/>
        <stp>BDP|4540709438789246473</stp>
        <tr r="I3990" s="2"/>
      </tp>
      <tp t="s">
        <v>#N/A N/A</v>
        <stp/>
        <stp>BDP|5354887401786513679</stp>
        <tr r="I1247" s="2"/>
      </tp>
      <tp t="s">
        <v>#N/A N/A</v>
        <stp/>
        <stp>BDP|9778340379108390812</stp>
        <tr r="A104" s="2"/>
      </tp>
      <tp t="s">
        <v>#N/A N/A</v>
        <stp/>
        <stp>BDP|5920123595352780216</stp>
        <tr r="G3358" s="2"/>
      </tp>
      <tp t="s">
        <v>#N/A N/A</v>
        <stp/>
        <stp>BDP|9592831096357034284</stp>
        <tr r="H4817" s="2"/>
      </tp>
      <tp t="s">
        <v>#N/A N/A</v>
        <stp/>
        <stp>BDP|2881804834071540514</stp>
        <tr r="B3893" s="2"/>
      </tp>
      <tp t="s">
        <v>#N/A N/A</v>
        <stp/>
        <stp>BDP|5341938250397135390</stp>
        <tr r="C3258" s="2"/>
      </tp>
      <tp t="s">
        <v>#N/A N/A</v>
        <stp/>
        <stp>BDP|4502914269896512001</stp>
        <tr r="A3301" s="2"/>
      </tp>
      <tp t="s">
        <v>#N/A N/A</v>
        <stp/>
        <stp>BDP|2958615792080173038</stp>
        <tr r="D286" s="2"/>
      </tp>
      <tp t="s">
        <v>#N/A N/A</v>
        <stp/>
        <stp>BDP|1470308489515613234</stp>
        <tr r="F1267" s="2"/>
      </tp>
      <tp t="s">
        <v>#N/A N/A</v>
        <stp/>
        <stp>BDP|3966931572834446444</stp>
        <tr r="G4398" s="2"/>
      </tp>
      <tp t="s">
        <v>#N/A N/A</v>
        <stp/>
        <stp>BDP|6602678248428021111</stp>
        <tr r="D2471" s="2"/>
      </tp>
      <tp t="s">
        <v>#N/A N/A</v>
        <stp/>
        <stp>BDP|3786873350750809303</stp>
        <tr r="A4610" s="2"/>
      </tp>
      <tp t="s">
        <v>#N/A N/A</v>
        <stp/>
        <stp>BDP|3522868571844952539</stp>
        <tr r="C1479" s="2"/>
      </tp>
      <tp t="s">
        <v>#N/A N/A</v>
        <stp/>
        <stp>BDP|7463882655385109206</stp>
        <tr r="C3687" s="2"/>
      </tp>
      <tp t="s">
        <v>#N/A N/A</v>
        <stp/>
        <stp>BDP|9214513009228082929</stp>
        <tr r="D1813" s="2"/>
      </tp>
      <tp t="s">
        <v>#N/A N/A</v>
        <stp/>
        <stp>BDP|5300675398256064140</stp>
        <tr r="F3526" s="2"/>
      </tp>
      <tp t="s">
        <v>#N/A N/A</v>
        <stp/>
        <stp>BDP|8672918903198970458</stp>
        <tr r="G4258" s="2"/>
      </tp>
      <tp t="s">
        <v>#N/A N/A</v>
        <stp/>
        <stp>BDP|8344638661261891417</stp>
        <tr r="H118" s="2"/>
      </tp>
      <tp t="s">
        <v>#N/A N/A</v>
        <stp/>
        <stp>BDP|5113717178331277922</stp>
        <tr r="A684" s="2"/>
      </tp>
      <tp t="s">
        <v>#N/A N/A</v>
        <stp/>
        <stp>BDP|3706168193720274688</stp>
        <tr r="D3837" s="2"/>
      </tp>
      <tp t="s">
        <v>#N/A N/A</v>
        <stp/>
        <stp>BDP|7412161962578104595</stp>
        <tr r="C3837" s="2"/>
      </tp>
      <tp t="s">
        <v>#N/A N/A</v>
        <stp/>
        <stp>BDP|7114723545401858863</stp>
        <tr r="H139" s="2"/>
      </tp>
      <tp t="s">
        <v>#N/A N/A</v>
        <stp/>
        <stp>BDP|9885083958649841889</stp>
        <tr r="H166" s="2"/>
      </tp>
      <tp t="s">
        <v>#N/A N/A</v>
        <stp/>
        <stp>BDP|3068729334888629285</stp>
        <tr r="G3927" s="2"/>
      </tp>
      <tp t="s">
        <v>#N/A N/A</v>
        <stp/>
        <stp>BDP|1307063360268455297</stp>
        <tr r="F3330" s="2"/>
      </tp>
      <tp t="s">
        <v>#N/A N/A</v>
        <stp/>
        <stp>BDP|9866190766363610097</stp>
        <tr r="C1753" s="2"/>
      </tp>
      <tp t="s">
        <v>#N/A N/A</v>
        <stp/>
        <stp>BDP|3812021714797709815</stp>
        <tr r="G4949" s="2"/>
      </tp>
      <tp t="s">
        <v>#N/A N/A</v>
        <stp/>
        <stp>BDP|5527583711274357874</stp>
        <tr r="D244" s="2"/>
      </tp>
      <tp t="s">
        <v>#N/A N/A</v>
        <stp/>
        <stp>BDP|7584673779833321803</stp>
        <tr r="C2798" s="2"/>
      </tp>
      <tp t="s">
        <v>#N/A N/A</v>
        <stp/>
        <stp>BDP|1690171734017952948</stp>
        <tr r="I1959" s="2"/>
      </tp>
      <tp t="s">
        <v>#N/A N/A</v>
        <stp/>
        <stp>BDP|2666956660759303982</stp>
        <tr r="C4330" s="2"/>
      </tp>
      <tp t="s">
        <v>#N/A N/A</v>
        <stp/>
        <stp>BDP|1228886045695063571</stp>
        <tr r="A3786" s="2"/>
      </tp>
      <tp t="s">
        <v>#N/A N/A</v>
        <stp/>
        <stp>BDP|1168958579565288776</stp>
        <tr r="H1155" s="2"/>
      </tp>
      <tp t="s">
        <v>#N/A N/A</v>
        <stp/>
        <stp>BDP|5379625662359229196</stp>
        <tr r="B2923" s="2"/>
      </tp>
      <tp t="s">
        <v>#N/A N/A</v>
        <stp/>
        <stp>BDP|9819891938257569841</stp>
        <tr r="D168" s="2"/>
      </tp>
      <tp t="s">
        <v>#N/A N/A</v>
        <stp/>
        <stp>BDP|9999158448455911451</stp>
        <tr r="G3885" s="2"/>
      </tp>
      <tp t="s">
        <v>#N/A N/A</v>
        <stp/>
        <stp>BDP|6730295880825291442</stp>
        <tr r="I1629" s="2"/>
      </tp>
      <tp t="s">
        <v>#N/A N/A</v>
        <stp/>
        <stp>BDP|9514743738512432250</stp>
        <tr r="F4229" s="2"/>
      </tp>
      <tp t="s">
        <v>#N/A N/A</v>
        <stp/>
        <stp>BDP|5504889405531591151</stp>
        <tr r="F4667" s="2"/>
      </tp>
      <tp t="s">
        <v>#N/A N/A</v>
        <stp/>
        <stp>BDP|8897395776145806479</stp>
        <tr r="B1694" s="2"/>
      </tp>
      <tp t="s">
        <v>#N/A N/A</v>
        <stp/>
        <stp>BDP|8758447070165210396</stp>
        <tr r="G1262" s="2"/>
      </tp>
      <tp t="s">
        <v>#N/A N/A</v>
        <stp/>
        <stp>BDP|1712795887614334725</stp>
        <tr r="F4129" s="2"/>
      </tp>
      <tp t="s">
        <v>#N/A N/A</v>
        <stp/>
        <stp>BDP|9619310425594900133</stp>
        <tr r="I1048" s="2"/>
      </tp>
      <tp t="s">
        <v>#N/A N/A</v>
        <stp/>
        <stp>BDP|6647742196822985751</stp>
        <tr r="D294" s="2"/>
      </tp>
      <tp t="s">
        <v>#N/A N/A</v>
        <stp/>
        <stp>BDP|7931861074284727145</stp>
        <tr r="A3918" s="2"/>
      </tp>
      <tp t="s">
        <v>#N/A N/A</v>
        <stp/>
        <stp>BDP|9439820253159826057</stp>
        <tr r="G2480" s="2"/>
      </tp>
      <tp t="s">
        <v>#N/A N/A</v>
        <stp/>
        <stp>BDP|3042236381126809224</stp>
        <tr r="I1747" s="2"/>
      </tp>
      <tp t="s">
        <v>#N/A N/A</v>
        <stp/>
        <stp>BDP|2628628242465917878</stp>
        <tr r="B3372" s="2"/>
      </tp>
      <tp t="s">
        <v>#N/A N/A</v>
        <stp/>
        <stp>BDP|4439921539334062771</stp>
        <tr r="A282" s="2"/>
      </tp>
      <tp t="s">
        <v>#N/A N/A</v>
        <stp/>
        <stp>BDP|3103406882634247692</stp>
        <tr r="H3182" s="2"/>
      </tp>
      <tp t="s">
        <v>#N/A N/A</v>
        <stp/>
        <stp>BDP|2280418894985988767</stp>
        <tr r="B1305" s="2"/>
      </tp>
      <tp t="s">
        <v>#N/A N/A</v>
        <stp/>
        <stp>BDP|5160753306637309895</stp>
        <tr r="D3090" s="2"/>
      </tp>
      <tp t="s">
        <v>#N/A N/A</v>
        <stp/>
        <stp>BDP|6130253889446148759</stp>
        <tr r="I3221" s="2"/>
      </tp>
      <tp t="s">
        <v>#N/A N/A</v>
        <stp/>
        <stp>BDP|2792681038102604880</stp>
        <tr r="A4687" s="2"/>
      </tp>
      <tp t="s">
        <v>#N/A N/A</v>
        <stp/>
        <stp>BDP|4696250161959290490</stp>
        <tr r="D3559" s="2"/>
      </tp>
      <tp t="s">
        <v>#N/A N/A</v>
        <stp/>
        <stp>BDP|7815824342914808295</stp>
        <tr r="G2179" s="2"/>
      </tp>
      <tp t="s">
        <v>#N/A N/A</v>
        <stp/>
        <stp>BDP|8217052057971858116</stp>
        <tr r="B1614" s="2"/>
      </tp>
      <tp t="s">
        <v>#N/A N/A</v>
        <stp/>
        <stp>BDP|5546105554279130598</stp>
        <tr r="C3056" s="2"/>
      </tp>
      <tp t="s">
        <v>#N/A N/A</v>
        <stp/>
        <stp>BDP|6196455392965651398</stp>
        <tr r="F4898" s="2"/>
      </tp>
      <tp t="s">
        <v>#N/A N/A</v>
        <stp/>
        <stp>BDP|9364981436048376678</stp>
        <tr r="B2498" s="2"/>
      </tp>
      <tp t="s">
        <v>#N/A N/A</v>
        <stp/>
        <stp>BDP|7423645692082873738</stp>
        <tr r="I2483" s="2"/>
      </tp>
      <tp t="s">
        <v>#N/A N/A</v>
        <stp/>
        <stp>BDP|9836818429206069897</stp>
        <tr r="C650" s="2"/>
      </tp>
      <tp t="s">
        <v>#N/A N/A</v>
        <stp/>
        <stp>BDP|9386487277753200473</stp>
        <tr r="G4859" s="2"/>
      </tp>
      <tp t="s">
        <v>#N/A N/A</v>
        <stp/>
        <stp>BDP|1107227478899038027</stp>
        <tr r="A3469" s="2"/>
      </tp>
      <tp t="s">
        <v>#N/A N/A</v>
        <stp/>
        <stp>BDP|9877668913652173155</stp>
        <tr r="G3310" s="2"/>
      </tp>
      <tp t="s">
        <v>#N/A N/A</v>
        <stp/>
        <stp>BDP|9019336438322294606</stp>
        <tr r="C3435" s="2"/>
      </tp>
      <tp t="s">
        <v>#N/A N/A</v>
        <stp/>
        <stp>BDP|2580814158476249476</stp>
        <tr r="A4794" s="2"/>
      </tp>
      <tp t="s">
        <v>#N/A N/A</v>
        <stp/>
        <stp>BDP|5352241999052291157</stp>
        <tr r="F409" s="2"/>
      </tp>
      <tp t="s">
        <v>#N/A N/A</v>
        <stp/>
        <stp>BDP|1982702705573344866</stp>
        <tr r="I22" s="2"/>
      </tp>
      <tp t="s">
        <v>#N/A N/A</v>
        <stp/>
        <stp>BDP|5000585877802319851</stp>
        <tr r="H2111" s="2"/>
      </tp>
      <tp t="s">
        <v>#N/A N/A</v>
        <stp/>
        <stp>BDP|6632084198167737588</stp>
        <tr r="D3176" s="2"/>
      </tp>
      <tp t="s">
        <v>#N/A N/A</v>
        <stp/>
        <stp>BDP|1449826144994912427</stp>
        <tr r="I2639" s="2"/>
      </tp>
      <tp t="s">
        <v>#N/A N/A</v>
        <stp/>
        <stp>BDP|2755968129486741260</stp>
        <tr r="G3863" s="2"/>
      </tp>
      <tp t="s">
        <v>#N/A N/A</v>
        <stp/>
        <stp>BDP|5366315291534881622</stp>
        <tr r="B123" s="2"/>
      </tp>
      <tp t="s">
        <v>#N/A N/A</v>
        <stp/>
        <stp>BDP|5541058131292938911</stp>
        <tr r="H2681" s="2"/>
      </tp>
      <tp t="s">
        <v>#N/A N/A</v>
        <stp/>
        <stp>BDP|3422551248628001709</stp>
        <tr r="H4531" s="2"/>
      </tp>
      <tp t="s">
        <v>#N/A N/A</v>
        <stp/>
        <stp>BDP|2805637073298501649</stp>
        <tr r="G4515" s="2"/>
      </tp>
      <tp t="s">
        <v>#N/A N/A</v>
        <stp/>
        <stp>BDP|8232724838167034619</stp>
        <tr r="H4480" s="2"/>
      </tp>
      <tp t="s">
        <v>#N/A N/A</v>
        <stp/>
        <stp>BDP|1881368187207140019</stp>
        <tr r="C1650" s="2"/>
      </tp>
      <tp t="s">
        <v>#N/A N/A</v>
        <stp/>
        <stp>BDP|9508267978652395317</stp>
        <tr r="H3" s="2"/>
      </tp>
      <tp t="s">
        <v>#N/A N/A</v>
        <stp/>
        <stp>BDP|9946265272812236365</stp>
        <tr r="G3032" s="2"/>
      </tp>
      <tp t="s">
        <v>#N/A N/A</v>
        <stp/>
        <stp>BDP|2204635406061728898</stp>
        <tr r="D3247" s="2"/>
      </tp>
      <tp t="s">
        <v>#N/A N/A</v>
        <stp/>
        <stp>BDP|1928432880381081134</stp>
        <tr r="H452" s="2"/>
      </tp>
      <tp t="s">
        <v>#N/A N/A</v>
        <stp/>
        <stp>BDP|6028405546102659992</stp>
        <tr r="G1597" s="2"/>
      </tp>
      <tp t="s">
        <v>#N/A N/A</v>
        <stp/>
        <stp>BDP|2426634897499801913</stp>
        <tr r="G4664" s="2"/>
      </tp>
      <tp t="s">
        <v>#N/A N/A</v>
        <stp/>
        <stp>BDP|4099998065076729022</stp>
        <tr r="B4498" s="2"/>
      </tp>
      <tp t="s">
        <v>#N/A N/A</v>
        <stp/>
        <stp>BDP|9791245001052285495</stp>
        <tr r="A3748" s="2"/>
      </tp>
      <tp t="s">
        <v>#N/A N/A</v>
        <stp/>
        <stp>BDP|8253678848684431308</stp>
        <tr r="H4771" s="2"/>
      </tp>
      <tp t="s">
        <v>#N/A N/A</v>
        <stp/>
        <stp>BDP|6880939318757224487</stp>
        <tr r="B1327" s="2"/>
      </tp>
      <tp t="s">
        <v>#N/A N/A</v>
        <stp/>
        <stp>BDP|4704011979429072761</stp>
        <tr r="A29" s="2"/>
      </tp>
      <tp t="s">
        <v>#N/A N/A</v>
        <stp/>
        <stp>BDP|3091741888435782427</stp>
        <tr r="H3826" s="2"/>
      </tp>
      <tp t="s">
        <v>#N/A N/A</v>
        <stp/>
        <stp>BDP|7956652225198238627</stp>
        <tr r="H2330" s="2"/>
      </tp>
      <tp t="s">
        <v>#N/A N/A</v>
        <stp/>
        <stp>BDP|7896424754912460930</stp>
        <tr r="B3545" s="2"/>
      </tp>
      <tp t="s">
        <v>#N/A N/A</v>
        <stp/>
        <stp>BDP|6958913542744347207</stp>
        <tr r="G2540" s="2"/>
      </tp>
      <tp t="s">
        <v>#N/A N/A</v>
        <stp/>
        <stp>BDP|1969445256179458462</stp>
        <tr r="F910" s="2"/>
      </tp>
      <tp t="s">
        <v>#N/A N/A</v>
        <stp/>
        <stp>BDP|6195824159065095331</stp>
        <tr r="D1128" s="2"/>
      </tp>
      <tp t="s">
        <v>#N/A N/A</v>
        <stp/>
        <stp>BDP|5643768142068914328</stp>
        <tr r="H3201" s="2"/>
      </tp>
      <tp t="s">
        <v>#N/A N/A</v>
        <stp/>
        <stp>BDP|7911266080038511833</stp>
        <tr r="D1046" s="2"/>
      </tp>
      <tp t="s">
        <v>#N/A N/A</v>
        <stp/>
        <stp>BDP|2808017921409210436</stp>
        <tr r="D303" s="2"/>
      </tp>
      <tp t="s">
        <v>#N/A N/A</v>
        <stp/>
        <stp>BDP|4609999929894755680</stp>
        <tr r="I1246" s="2"/>
      </tp>
      <tp t="s">
        <v>#N/A N/A</v>
        <stp/>
        <stp>BDP|3543993362498177960</stp>
        <tr r="G1220" s="2"/>
      </tp>
      <tp t="s">
        <v>#N/A N/A</v>
        <stp/>
        <stp>BDP|9595687247812052434</stp>
        <tr r="G3018" s="2"/>
      </tp>
      <tp t="s">
        <v>#N/A N/A</v>
        <stp/>
        <stp>BDP|8431550144320475480</stp>
        <tr r="H2533" s="2"/>
      </tp>
      <tp t="s">
        <v>#N/A N/A</v>
        <stp/>
        <stp>BDP|3443387008358877550</stp>
        <tr r="F799" s="2"/>
      </tp>
      <tp t="s">
        <v>#N/A N/A</v>
        <stp/>
        <stp>BDP|9011637119690514366</stp>
        <tr r="I3838" s="2"/>
      </tp>
      <tp t="s">
        <v>#N/A N/A</v>
        <stp/>
        <stp>BDP|3750007796707863005</stp>
        <tr r="D4598" s="2"/>
      </tp>
      <tp t="s">
        <v>#N/A N/A</v>
        <stp/>
        <stp>BDP|7108903606492696188</stp>
        <tr r="C2868" s="2"/>
      </tp>
      <tp t="s">
        <v>#N/A N/A</v>
        <stp/>
        <stp>BDP|9408880218248803554</stp>
        <tr r="H313" s="2"/>
      </tp>
      <tp t="s">
        <v>#N/A N/A</v>
        <stp/>
        <stp>BDP|7691188350947212920</stp>
        <tr r="B4055" s="2"/>
      </tp>
      <tp t="s">
        <v>#N/A N/A</v>
        <stp/>
        <stp>BDP|1739890484854216863</stp>
        <tr r="A4392" s="2"/>
      </tp>
      <tp t="s">
        <v>#N/A N/A</v>
        <stp/>
        <stp>BDP|7119959596402445881</stp>
        <tr r="F1031" s="2"/>
      </tp>
      <tp t="s">
        <v>#N/A N/A</v>
        <stp/>
        <stp>BDP|8072152469641798353</stp>
        <tr r="B843" s="2"/>
      </tp>
      <tp t="s">
        <v>#N/A N/A</v>
        <stp/>
        <stp>BDP|3096606044458338491</stp>
        <tr r="B4591" s="2"/>
      </tp>
      <tp t="s">
        <v>#N/A N/A</v>
        <stp/>
        <stp>BDP|4094144193939980804</stp>
        <tr r="I4511" s="2"/>
      </tp>
      <tp t="s">
        <v>#N/A N/A</v>
        <stp/>
        <stp>BDP|3893562744046233960</stp>
        <tr r="B1234" s="2"/>
      </tp>
      <tp t="s">
        <v>#N/A N/A</v>
        <stp/>
        <stp>BDP|7154099385702057035</stp>
        <tr r="B2544" s="2"/>
      </tp>
      <tp t="s">
        <v>#N/A N/A</v>
        <stp/>
        <stp>BDP|7562591542599193210</stp>
        <tr r="I702" s="2"/>
      </tp>
      <tp t="s">
        <v>#N/A N/A</v>
        <stp/>
        <stp>BDP|7986535952689439323</stp>
        <tr r="A4912" s="2"/>
      </tp>
      <tp t="s">
        <v>#N/A N/A</v>
        <stp/>
        <stp>BDP|9350328184636329982</stp>
        <tr r="I1599" s="2"/>
      </tp>
      <tp t="s">
        <v>#N/A N/A</v>
        <stp/>
        <stp>BDP|9244808537666362986</stp>
        <tr r="A2268" s="2"/>
      </tp>
      <tp t="s">
        <v>#N/A N/A</v>
        <stp/>
        <stp>BDP|6541908013337945411</stp>
        <tr r="H268" s="2"/>
      </tp>
      <tp t="s">
        <v>#N/A N/A</v>
        <stp/>
        <stp>BDP|5306705000886512986</stp>
        <tr r="I2604" s="2"/>
      </tp>
      <tp t="s">
        <v>#N/A N/A</v>
        <stp/>
        <stp>BDP|6400734789525138118</stp>
        <tr r="D3113" s="2"/>
      </tp>
      <tp t="s">
        <v>#N/A N/A</v>
        <stp/>
        <stp>BDP|4873967151190732568</stp>
        <tr r="F2240" s="2"/>
      </tp>
      <tp t="s">
        <v>#N/A N/A</v>
        <stp/>
        <stp>BDP|8108358978685062422</stp>
        <tr r="B304" s="2"/>
      </tp>
      <tp t="s">
        <v>#N/A N/A</v>
        <stp/>
        <stp>BDP|3225608353914792987</stp>
        <tr r="H1129" s="2"/>
      </tp>
      <tp t="s">
        <v>#N/A N/A</v>
        <stp/>
        <stp>BDP|7678005771885950802</stp>
        <tr r="H3447" s="2"/>
      </tp>
      <tp t="s">
        <v>#N/A N/A</v>
        <stp/>
        <stp>BDP|6446925561797029399</stp>
        <tr r="B2054" s="2"/>
      </tp>
      <tp t="s">
        <v>#N/A N/A</v>
        <stp/>
        <stp>BDP|9395103417235271182</stp>
        <tr r="A30" s="2"/>
      </tp>
      <tp t="s">
        <v>#N/A N/A</v>
        <stp/>
        <stp>BDP|6825484110786699884</stp>
        <tr r="I1693" s="2"/>
      </tp>
      <tp t="s">
        <v>#N/A N/A</v>
        <stp/>
        <stp>BDP|9364000431797498084</stp>
        <tr r="D3339" s="2"/>
      </tp>
      <tp t="s">
        <v>#N/A N/A</v>
        <stp/>
        <stp>BDP|2121333328447414908</stp>
        <tr r="G2659" s="2"/>
      </tp>
      <tp t="s">
        <v>#N/A N/A</v>
        <stp/>
        <stp>BDP|4559354625788895033</stp>
        <tr r="D3920" s="2"/>
      </tp>
      <tp t="s">
        <v>#N/A N/A</v>
        <stp/>
        <stp>BDP|1976831481864178845</stp>
        <tr r="C3428" s="2"/>
      </tp>
      <tp t="s">
        <v>#N/A N/A</v>
        <stp/>
        <stp>BDP|1341894334727510059</stp>
        <tr r="I4318" s="2"/>
      </tp>
      <tp t="s">
        <v>#N/A N/A</v>
        <stp/>
        <stp>BDP|6119518059153600817</stp>
        <tr r="G2769" s="2"/>
      </tp>
      <tp t="s">
        <v>#N/A N/A</v>
        <stp/>
        <stp>BDP|1031503198810308057</stp>
        <tr r="H364" s="2"/>
      </tp>
      <tp t="s">
        <v>#N/A N/A</v>
        <stp/>
        <stp>BDP|2681163029794372844</stp>
        <tr r="D3694" s="2"/>
      </tp>
      <tp t="s">
        <v>#N/A N/A</v>
        <stp/>
        <stp>BDP|7887454990021159627</stp>
        <tr r="A1249" s="2"/>
      </tp>
      <tp t="s">
        <v>#N/A N/A</v>
        <stp/>
        <stp>BDP|4181503530419682699</stp>
        <tr r="D750" s="2"/>
      </tp>
      <tp t="s">
        <v>#N/A N/A</v>
        <stp/>
        <stp>BDP|1496354768588069170</stp>
        <tr r="F4866" s="2"/>
      </tp>
      <tp t="s">
        <v>#N/A N/A</v>
        <stp/>
        <stp>BDP|9206555949542896787</stp>
        <tr r="B1572" s="2"/>
      </tp>
      <tp t="s">
        <v>#N/A N/A</v>
        <stp/>
        <stp>BDP|5830140774587080960</stp>
        <tr r="F1089" s="2"/>
      </tp>
      <tp t="s">
        <v>#N/A N/A</v>
        <stp/>
        <stp>BDP|2423061593364694298</stp>
        <tr r="I2745" s="2"/>
      </tp>
      <tp t="s">
        <v>#N/A N/A</v>
        <stp/>
        <stp>BDP|4422854195668350094</stp>
        <tr r="I2479" s="2"/>
      </tp>
      <tp t="s">
        <v>#N/A N/A</v>
        <stp/>
        <stp>BDP|8692406107111762089</stp>
        <tr r="F4520" s="2"/>
      </tp>
      <tp t="s">
        <v>#N/A N/A</v>
        <stp/>
        <stp>BDP|1102157589200555561</stp>
        <tr r="D2073" s="2"/>
      </tp>
      <tp t="s">
        <v>#N/A N/A</v>
        <stp/>
        <stp>BDP|1894733384221917288</stp>
        <tr r="F3581" s="2"/>
      </tp>
      <tp t="s">
        <v>#N/A N/A</v>
        <stp/>
        <stp>BDP|9416307039195063130</stp>
        <tr r="F1335" s="2"/>
      </tp>
      <tp t="s">
        <v>#N/A N/A</v>
        <stp/>
        <stp>BDP|9297196901552020749</stp>
        <tr r="G1633" s="2"/>
      </tp>
      <tp t="s">
        <v>#N/A N/A</v>
        <stp/>
        <stp>BDP|8474647874302948637</stp>
        <tr r="I929" s="2"/>
      </tp>
      <tp t="s">
        <v>#N/A N/A</v>
        <stp/>
        <stp>BDP|3296820476401047089</stp>
        <tr r="C1050" s="2"/>
      </tp>
      <tp t="s">
        <v>#N/A N/A</v>
        <stp/>
        <stp>BDP|8126617964183237687</stp>
        <tr r="G92" s="2"/>
      </tp>
      <tp t="s">
        <v>#N/A N/A</v>
        <stp/>
        <stp>BDP|4641016992426302686</stp>
        <tr r="B1239" s="2"/>
      </tp>
      <tp t="s">
        <v>#N/A N/A</v>
        <stp/>
        <stp>BDP|1129387578901655999</stp>
        <tr r="G4879" s="2"/>
      </tp>
      <tp t="s">
        <v>#N/A N/A</v>
        <stp/>
        <stp>BDP|1329095488350833447</stp>
        <tr r="B4592" s="2"/>
      </tp>
      <tp t="s">
        <v>#N/A N/A</v>
        <stp/>
        <stp>BDP|2828804970531697109</stp>
        <tr r="G273" s="2"/>
      </tp>
      <tp t="s">
        <v>#N/A N/A</v>
        <stp/>
        <stp>BDP|7077811311356971571</stp>
        <tr r="B1112" s="2"/>
      </tp>
      <tp t="s">
        <v>#N/A N/A</v>
        <stp/>
        <stp>BDP|8611201578605714574</stp>
        <tr r="A1030" s="2"/>
      </tp>
      <tp t="s">
        <v>#N/A N/A</v>
        <stp/>
        <stp>BDP|4752180834199422215</stp>
        <tr r="G502" s="2"/>
      </tp>
      <tp t="s">
        <v>#N/A N/A</v>
        <stp/>
        <stp>BDP|1534942809965588033</stp>
        <tr r="I3201" s="2"/>
      </tp>
      <tp t="s">
        <v>#N/A N/A</v>
        <stp/>
        <stp>BDP|1339002645540147893</stp>
        <tr r="C4777" s="2"/>
      </tp>
      <tp t="s">
        <v>#N/A N/A</v>
        <stp/>
        <stp>BDP|3080513299232088062</stp>
        <tr r="H2792" s="2"/>
      </tp>
      <tp t="s">
        <v>#N/A N/A</v>
        <stp/>
        <stp>BDP|8655299983996750952</stp>
        <tr r="G3295" s="2"/>
      </tp>
      <tp t="s">
        <v>#N/A N/A</v>
        <stp/>
        <stp>BDP|3310213252659776091</stp>
        <tr r="H4557" s="2"/>
      </tp>
      <tp t="s">
        <v>#N/A N/A</v>
        <stp/>
        <stp>BDP|4030872648054041117</stp>
        <tr r="C2406" s="2"/>
      </tp>
      <tp t="s">
        <v>#N/A N/A</v>
        <stp/>
        <stp>BDP|9199748599688709255</stp>
        <tr r="F769" s="2"/>
      </tp>
      <tp t="s">
        <v>#N/A N/A</v>
        <stp/>
        <stp>BDP|2075454498161138323</stp>
        <tr r="C3163" s="2"/>
      </tp>
      <tp t="s">
        <v>#N/A N/A</v>
        <stp/>
        <stp>BDP|8521244662090511185</stp>
        <tr r="F2080" s="2"/>
      </tp>
      <tp t="s">
        <v>#N/A N/A</v>
        <stp/>
        <stp>BDP|1048725778204414800</stp>
        <tr r="B1587" s="2"/>
      </tp>
      <tp t="s">
        <v>#N/A N/A</v>
        <stp/>
        <stp>BDP|2433906619864587360</stp>
        <tr r="C3365" s="2"/>
      </tp>
      <tp t="s">
        <v>#N/A N/A</v>
        <stp/>
        <stp>BDP|6091322568908240663</stp>
        <tr r="C1957" s="2"/>
      </tp>
      <tp t="s">
        <v>#N/A N/A</v>
        <stp/>
        <stp>BDP|4223914002770602094</stp>
        <tr r="A3033" s="2"/>
      </tp>
      <tp t="s">
        <v>#N/A N/A</v>
        <stp/>
        <stp>BDP|7816705766353418843</stp>
        <tr r="F4610" s="2"/>
      </tp>
      <tp t="s">
        <v>#N/A N/A</v>
        <stp/>
        <stp>BDP|9839296160820686090</stp>
        <tr r="F4410" s="2"/>
      </tp>
      <tp t="s">
        <v>#N/A N/A</v>
        <stp/>
        <stp>BDP|1989859085475141964</stp>
        <tr r="H767" s="2"/>
      </tp>
      <tp t="s">
        <v>#N/A N/A</v>
        <stp/>
        <stp>BDP|4090538252450848974</stp>
        <tr r="I4525" s="2"/>
      </tp>
      <tp t="s">
        <v>#N/A N/A</v>
        <stp/>
        <stp>BDP|5000247889763751140</stp>
        <tr r="H72" s="2"/>
      </tp>
      <tp t="s">
        <v>#N/A N/A</v>
        <stp/>
        <stp>BDP|7940126381490720331</stp>
        <tr r="I1149" s="2"/>
      </tp>
      <tp t="s">
        <v>#N/A N/A</v>
        <stp/>
        <stp>BDP|2648062306629012684</stp>
        <tr r="H2174" s="2"/>
      </tp>
      <tp t="s">
        <v>#N/A N/A</v>
        <stp/>
        <stp>BDP|9887456341305000129</stp>
        <tr r="F162" s="2"/>
      </tp>
      <tp t="s">
        <v>#N/A N/A</v>
        <stp/>
        <stp>BDP|4177782283266130050</stp>
        <tr r="D1619" s="2"/>
      </tp>
      <tp t="s">
        <v>#N/A N/A</v>
        <stp/>
        <stp>BDP|9589648314626260594</stp>
        <tr r="A4653" s="2"/>
      </tp>
      <tp t="s">
        <v>#N/A N/A</v>
        <stp/>
        <stp>BDP|6941764241668089009</stp>
        <tr r="C2049" s="2"/>
      </tp>
      <tp t="s">
        <v>#N/A N/A</v>
        <stp/>
        <stp>BDP|4196551810908960530</stp>
        <tr r="F1603" s="2"/>
      </tp>
      <tp t="s">
        <v>#N/A N/A</v>
        <stp/>
        <stp>BDP|7777043325198865004</stp>
        <tr r="H1484" s="2"/>
      </tp>
      <tp t="s">
        <v>#N/A N/A</v>
        <stp/>
        <stp>BDP|2715014822535275880</stp>
        <tr r="A4017" s="2"/>
      </tp>
      <tp t="s">
        <v>#N/A N/A</v>
        <stp/>
        <stp>BDP|5177960241022981719</stp>
        <tr r="B269" s="2"/>
      </tp>
      <tp t="s">
        <v>#N/A N/A</v>
        <stp/>
        <stp>BDP|5721443001669830542</stp>
        <tr r="B361" s="2"/>
      </tp>
      <tp t="s">
        <v>#N/A N/A</v>
        <stp/>
        <stp>BDP|9506196202633968690</stp>
        <tr r="F1106" s="2"/>
      </tp>
      <tp t="s">
        <v>#N/A N/A</v>
        <stp/>
        <stp>BDP|2698050208279395664</stp>
        <tr r="H1757" s="2"/>
      </tp>
      <tp t="s">
        <v>#N/A N/A</v>
        <stp/>
        <stp>BDP|9627264996308176794</stp>
        <tr r="F2749" s="2"/>
      </tp>
      <tp t="s">
        <v>#N/A N/A</v>
        <stp/>
        <stp>BDP|9041289401890449628</stp>
        <tr r="I4913" s="2"/>
      </tp>
      <tp t="s">
        <v>#N/A N/A</v>
        <stp/>
        <stp>BDP|9270982201855401804</stp>
        <tr r="B4072" s="2"/>
      </tp>
      <tp t="s">
        <v>#N/A N/A</v>
        <stp/>
        <stp>BDP|3427495133278081114</stp>
        <tr r="G402" s="2"/>
      </tp>
      <tp t="s">
        <v>#N/A N/A</v>
        <stp/>
        <stp>BDP|7109540988260136738</stp>
        <tr r="B1888" s="2"/>
      </tp>
      <tp t="s">
        <v>#N/A N/A</v>
        <stp/>
        <stp>BDP|7063809325647355795</stp>
        <tr r="D2129" s="2"/>
      </tp>
      <tp t="s">
        <v>#N/A N/A</v>
        <stp/>
        <stp>BDP|3454885398358880732</stp>
        <tr r="I3054" s="2"/>
      </tp>
      <tp t="s">
        <v>#N/A N/A</v>
        <stp/>
        <stp>BDP|7352642897825705086</stp>
        <tr r="A2027" s="2"/>
      </tp>
      <tp t="s">
        <v>#N/A N/A</v>
        <stp/>
        <stp>BDP|7888176456346513835</stp>
        <tr r="D2494" s="2"/>
      </tp>
      <tp t="s">
        <v>#N/A N/A</v>
        <stp/>
        <stp>BDP|9329586949901833456</stp>
        <tr r="B1486" s="2"/>
      </tp>
      <tp t="s">
        <v>#N/A N/A</v>
        <stp/>
        <stp>BDP|5543957606731888014</stp>
        <tr r="G3710" s="2"/>
      </tp>
      <tp t="s">
        <v>#N/A N/A</v>
        <stp/>
        <stp>BDP|6382443207997696893</stp>
        <tr r="G4077" s="2"/>
      </tp>
      <tp t="s">
        <v>#N/A N/A</v>
        <stp/>
        <stp>BDP|2705889976562101274</stp>
        <tr r="B1673" s="2"/>
      </tp>
      <tp t="s">
        <v>#N/A N/A</v>
        <stp/>
        <stp>BDP|9583430228756446450</stp>
        <tr r="H2749" s="2"/>
      </tp>
      <tp t="s">
        <v>#N/A N/A</v>
        <stp/>
        <stp>BDP|6499498411279395701</stp>
        <tr r="H1014" s="2"/>
      </tp>
      <tp t="s">
        <v>#N/A N/A</v>
        <stp/>
        <stp>BDP|6320839548100440734</stp>
        <tr r="A1625" s="2"/>
      </tp>
      <tp t="s">
        <v>#N/A N/A</v>
        <stp/>
        <stp>BDP|1227476964876667880</stp>
        <tr r="G3389" s="2"/>
      </tp>
      <tp t="s">
        <v>#N/A N/A</v>
        <stp/>
        <stp>BDP|1740613838740684972</stp>
        <tr r="D298" s="2"/>
      </tp>
      <tp t="s">
        <v>#N/A N/A</v>
        <stp/>
        <stp>BDP|3942496299380293342</stp>
        <tr r="G4316" s="2"/>
      </tp>
      <tp t="s">
        <v>#N/A N/A</v>
        <stp/>
        <stp>BDP|7415410181860924626</stp>
        <tr r="C1966" s="2"/>
      </tp>
      <tp t="s">
        <v>#N/A N/A</v>
        <stp/>
        <stp>BDP|7489147586897821419</stp>
        <tr r="A1717" s="2"/>
      </tp>
      <tp t="s">
        <v>#N/A N/A</v>
        <stp/>
        <stp>BDP|5934888915402308383</stp>
        <tr r="B67" s="2"/>
      </tp>
      <tp t="s">
        <v>#N/A N/A</v>
        <stp/>
        <stp>BDP|8077278823380871537</stp>
        <tr r="F4164" s="2"/>
      </tp>
      <tp t="s">
        <v>#N/A N/A</v>
        <stp/>
        <stp>BDP|6197981564672407662</stp>
        <tr r="C3418" s="2"/>
      </tp>
      <tp t="s">
        <v>#N/A N/A</v>
        <stp/>
        <stp>BDP|9379609105011103382</stp>
        <tr r="A34" s="2"/>
      </tp>
      <tp t="s">
        <v>#N/A N/A</v>
        <stp/>
        <stp>BDP|8674687900590996383</stp>
        <tr r="G4690" s="2"/>
      </tp>
      <tp t="s">
        <v>#N/A N/A</v>
        <stp/>
        <stp>BDP|5458352387082895110</stp>
        <tr r="I2677" s="2"/>
      </tp>
      <tp t="s">
        <v>#N/A N/A</v>
        <stp/>
        <stp>BDP|9734805095782473798</stp>
        <tr r="B1383" s="2"/>
      </tp>
      <tp t="s">
        <v>#N/A N/A</v>
        <stp/>
        <stp>BDP|3237595618129405386</stp>
        <tr r="C3295" s="2"/>
      </tp>
      <tp t="s">
        <v>#N/A N/A</v>
        <stp/>
        <stp>BDP|8052115459080343145</stp>
        <tr r="H2867" s="2"/>
      </tp>
      <tp t="s">
        <v>#N/A N/A</v>
        <stp/>
        <stp>BDP|4352035494604238494</stp>
        <tr r="G773" s="2"/>
      </tp>
      <tp t="s">
        <v>#N/A N/A</v>
        <stp/>
        <stp>BDP|6725402338759702577</stp>
        <tr r="H3280" s="2"/>
      </tp>
      <tp t="s">
        <v>#N/A N/A</v>
        <stp/>
        <stp>BDP|9096832272999672285</stp>
        <tr r="F568" s="2"/>
      </tp>
      <tp t="s">
        <v>#N/A N/A</v>
        <stp/>
        <stp>BDP|8537000710281282589</stp>
        <tr r="F2523" s="2"/>
      </tp>
      <tp t="s">
        <v>#N/A N/A</v>
        <stp/>
        <stp>BDP|2862472710642837882</stp>
        <tr r="I4920" s="2"/>
      </tp>
      <tp t="s">
        <v>#N/A N/A</v>
        <stp/>
        <stp>BDP|8655768577877006286</stp>
        <tr r="G2664" s="2"/>
      </tp>
      <tp t="s">
        <v>#N/A N/A</v>
        <stp/>
        <stp>BDP|6976435418469846751</stp>
        <tr r="B1266" s="2"/>
      </tp>
      <tp t="s">
        <v>#N/A N/A</v>
        <stp/>
        <stp>BDP|7719091112328536363</stp>
        <tr r="D118" s="2"/>
      </tp>
      <tp t="s">
        <v>#N/A N/A</v>
        <stp/>
        <stp>BDP|4294595530807718836</stp>
        <tr r="D3070" s="2"/>
      </tp>
      <tp t="s">
        <v>#N/A N/A</v>
        <stp/>
        <stp>BDP|7025953425314627592</stp>
        <tr r="I979" s="2"/>
      </tp>
      <tp t="s">
        <v>#N/A N/A</v>
        <stp/>
        <stp>BDP|4487884127052782136</stp>
        <tr r="C4901" s="2"/>
      </tp>
      <tp t="s">
        <v>#N/A N/A</v>
        <stp/>
        <stp>BDP|2251363399593618640</stp>
        <tr r="G1140" s="2"/>
      </tp>
      <tp t="s">
        <v>#N/A N/A</v>
        <stp/>
        <stp>BDP|5108273429269159116</stp>
        <tr r="C1592" s="2"/>
      </tp>
      <tp t="s">
        <v>#N/A N/A</v>
        <stp/>
        <stp>BDP|5094998211359170960</stp>
        <tr r="C1043" s="2"/>
      </tp>
      <tp t="s">
        <v>#N/A N/A</v>
        <stp/>
        <stp>BDP|7317360529463057835</stp>
        <tr r="B611" s="2"/>
      </tp>
      <tp t="s">
        <v>#N/A N/A</v>
        <stp/>
        <stp>BDP|8909318475029546879</stp>
        <tr r="G2244" s="2"/>
      </tp>
      <tp t="s">
        <v>#N/A N/A</v>
        <stp/>
        <stp>BDP|7449640346991005999</stp>
        <tr r="G2873" s="2"/>
      </tp>
      <tp t="s">
        <v>#N/A N/A</v>
        <stp/>
        <stp>BDP|8462569238121535209</stp>
        <tr r="F1055" s="2"/>
      </tp>
      <tp t="s">
        <v>#N/A N/A</v>
        <stp/>
        <stp>BDP|6562654479272120876</stp>
        <tr r="F2820" s="2"/>
      </tp>
      <tp t="s">
        <v>#N/A N/A</v>
        <stp/>
        <stp>BDP|2469081789755835227</stp>
        <tr r="F3350" s="2"/>
      </tp>
      <tp t="s">
        <v>#N/A N/A</v>
        <stp/>
        <stp>BDP|1666408853744955938</stp>
        <tr r="C4378" s="2"/>
      </tp>
      <tp t="s">
        <v>#N/A N/A</v>
        <stp/>
        <stp>BDP|1863650184164444624</stp>
        <tr r="F1858" s="2"/>
      </tp>
      <tp t="s">
        <v>#N/A N/A</v>
        <stp/>
        <stp>BDP|4476934427045666792</stp>
        <tr r="D2146" s="2"/>
      </tp>
      <tp t="s">
        <v>#N/A N/A</v>
        <stp/>
        <stp>BDP|4203936900032688289</stp>
        <tr r="B3492" s="2"/>
      </tp>
      <tp t="s">
        <v>#N/A N/A</v>
        <stp/>
        <stp>BDP|8946622782489143271</stp>
        <tr r="G3973" s="2"/>
      </tp>
      <tp t="s">
        <v>#N/A N/A</v>
        <stp/>
        <stp>BDP|2930259285311692406</stp>
        <tr r="F3019" s="2"/>
      </tp>
      <tp t="s">
        <v>#N/A N/A</v>
        <stp/>
        <stp>BDP|7181504595226904028</stp>
        <tr r="C4014" s="2"/>
      </tp>
      <tp t="s">
        <v>#N/A N/A</v>
        <stp/>
        <stp>BDP|3823301446369622074</stp>
        <tr r="G1302" s="2"/>
      </tp>
      <tp t="s">
        <v>#N/A N/A</v>
        <stp/>
        <stp>BDP|1498440047754910819</stp>
        <tr r="G3852" s="2"/>
      </tp>
      <tp t="s">
        <v>#N/A N/A</v>
        <stp/>
        <stp>BDP|1398655209953467945</stp>
        <tr r="D1215" s="2"/>
      </tp>
      <tp t="s">
        <v>#N/A N/A</v>
        <stp/>
        <stp>BDP|4016421932357641991</stp>
        <tr r="B1322" s="2"/>
      </tp>
      <tp t="s">
        <v>#N/A N/A</v>
        <stp/>
        <stp>BDP|3819717592900319047</stp>
        <tr r="G4420" s="2"/>
      </tp>
      <tp t="s">
        <v>#N/A N/A</v>
        <stp/>
        <stp>BDP|2777430168809857483</stp>
        <tr r="B1396" s="2"/>
      </tp>
      <tp t="s">
        <v>#N/A N/A</v>
        <stp/>
        <stp>BDP|5947544107868351554</stp>
        <tr r="A882" s="2"/>
      </tp>
      <tp t="s">
        <v>#N/A N/A</v>
        <stp/>
        <stp>BDP|9028554011570926018</stp>
        <tr r="H4488" s="2"/>
      </tp>
      <tp t="s">
        <v>#N/A N/A</v>
        <stp/>
        <stp>BDP|3373538678159723534</stp>
        <tr r="I4596" s="2"/>
      </tp>
      <tp t="s">
        <v>#N/A N/A</v>
        <stp/>
        <stp>BDP|1285436871838472789</stp>
        <tr r="C3941" s="2"/>
      </tp>
      <tp t="s">
        <v>#N/A N/A</v>
        <stp/>
        <stp>BDP|6463113870724924908</stp>
        <tr r="D2445" s="2"/>
      </tp>
      <tp t="s">
        <v>#N/A N/A</v>
        <stp/>
        <stp>BDP|5493346495854897615</stp>
        <tr r="A1700" s="2"/>
      </tp>
      <tp t="s">
        <v>#N/A N/A</v>
        <stp/>
        <stp>BDP|1882460988850939038</stp>
        <tr r="D3300" s="2"/>
      </tp>
      <tp t="s">
        <v>#N/A N/A</v>
        <stp/>
        <stp>BDP|9525188518053095798</stp>
        <tr r="D2327" s="2"/>
      </tp>
      <tp t="s">
        <v>#N/A N/A</v>
        <stp/>
        <stp>BDP|6655801079267640359</stp>
        <tr r="B4137" s="2"/>
      </tp>
      <tp t="s">
        <v>#N/A N/A</v>
        <stp/>
        <stp>BDP|7756873907961221396</stp>
        <tr r="I166" s="2"/>
      </tp>
      <tp t="s">
        <v>#N/A N/A</v>
        <stp/>
        <stp>BDP|4013282437909781148</stp>
        <tr r="F1270" s="2"/>
      </tp>
      <tp t="s">
        <v>#N/A N/A</v>
        <stp/>
        <stp>BDP|6889864853306643071</stp>
        <tr r="B763" s="2"/>
      </tp>
      <tp t="s">
        <v>#N/A N/A</v>
        <stp/>
        <stp>BDP|8224031465863088089</stp>
        <tr r="C4894" s="2"/>
      </tp>
      <tp t="s">
        <v>#N/A N/A</v>
        <stp/>
        <stp>BDP|8253389634787342215</stp>
        <tr r="A4152" s="2"/>
      </tp>
      <tp t="s">
        <v>#N/A N/A</v>
        <stp/>
        <stp>BDP|7181658167902958866</stp>
        <tr r="D2047" s="2"/>
      </tp>
      <tp t="s">
        <v>#N/A N/A</v>
        <stp/>
        <stp>BDP|6240598111208048760</stp>
        <tr r="B4226" s="2"/>
      </tp>
      <tp t="s">
        <v>#N/A N/A</v>
        <stp/>
        <stp>BDP|5511996326531684207</stp>
        <tr r="D921" s="2"/>
      </tp>
      <tp t="s">
        <v>#N/A N/A</v>
        <stp/>
        <stp>BDP|9897683930299852840</stp>
        <tr r="F4173" s="2"/>
      </tp>
      <tp t="s">
        <v>#N/A N/A</v>
        <stp/>
        <stp>BDP|3427788757184504826</stp>
        <tr r="A2022" s="2"/>
      </tp>
      <tp t="s">
        <v>#N/A N/A</v>
        <stp/>
        <stp>BDP|9637194932770445659</stp>
        <tr r="F6" s="2"/>
      </tp>
      <tp t="s">
        <v>#N/A N/A</v>
        <stp/>
        <stp>BDP|3498284784105584119</stp>
        <tr r="I4840" s="2"/>
      </tp>
      <tp t="s">
        <v>#N/A N/A</v>
        <stp/>
        <stp>BDP|5350689586766005017</stp>
        <tr r="I1719" s="2"/>
      </tp>
      <tp t="s">
        <v>#N/A N/A</v>
        <stp/>
        <stp>BDP|8947848940261778865</stp>
        <tr r="F2737" s="2"/>
      </tp>
      <tp t="s">
        <v>#N/A N/A</v>
        <stp/>
        <stp>BDP|1811165146919356077</stp>
        <tr r="C4193" s="2"/>
      </tp>
      <tp t="s">
        <v>#N/A N/A</v>
        <stp/>
        <stp>BDP|4669999111560179132</stp>
        <tr r="I1624" s="2"/>
      </tp>
      <tp t="s">
        <v>#N/A N/A</v>
        <stp/>
        <stp>BDP|3204555894984607693</stp>
        <tr r="F3811" s="2"/>
      </tp>
      <tp t="s">
        <v>#N/A N/A</v>
        <stp/>
        <stp>BDP|7456917379782030609</stp>
        <tr r="D3973" s="2"/>
      </tp>
      <tp t="s">
        <v>#N/A N/A</v>
        <stp/>
        <stp>BDP|1197923329475716211</stp>
        <tr r="I4056" s="2"/>
      </tp>
      <tp t="s">
        <v>#N/A N/A</v>
        <stp/>
        <stp>BDP|5825713486266391104</stp>
        <tr r="B3581" s="2"/>
      </tp>
      <tp t="s">
        <v>#N/A N/A</v>
        <stp/>
        <stp>BDP|1294997932211357767</stp>
        <tr r="H2505" s="2"/>
      </tp>
      <tp t="s">
        <v>#N/A N/A</v>
        <stp/>
        <stp>BDP|2755598937531389861</stp>
        <tr r="A3118" s="2"/>
      </tp>
      <tp t="s">
        <v>#N/A N/A</v>
        <stp/>
        <stp>BDP|8608519211997895628</stp>
        <tr r="H652" s="2"/>
      </tp>
      <tp t="s">
        <v>#N/A N/A</v>
        <stp/>
        <stp>BDP|3856190789184610325</stp>
        <tr r="C2843" s="2"/>
      </tp>
      <tp t="s">
        <v>#N/A N/A</v>
        <stp/>
        <stp>BDP|8242282887338422757</stp>
        <tr r="D4237" s="2"/>
      </tp>
      <tp t="s">
        <v>#N/A N/A</v>
        <stp/>
        <stp>BDP|3263044119339115623</stp>
        <tr r="H4696" s="2"/>
      </tp>
      <tp t="s">
        <v>#N/A N/A</v>
        <stp/>
        <stp>BDP|5446647790530566793</stp>
        <tr r="H4629" s="2"/>
      </tp>
      <tp t="s">
        <v>#N/A N/A</v>
        <stp/>
        <stp>BDP|9037786342883369458</stp>
        <tr r="A3496" s="2"/>
      </tp>
      <tp t="s">
        <v>#N/A N/A</v>
        <stp/>
        <stp>BDP|8266183864497411563</stp>
        <tr r="F1780" s="2"/>
      </tp>
      <tp t="s">
        <v>#N/A N/A</v>
        <stp/>
        <stp>BDP|9416660253380930742</stp>
        <tr r="I3972" s="2"/>
      </tp>
      <tp t="s">
        <v>#N/A N/A</v>
        <stp/>
        <stp>BDP|6991934556204149318</stp>
        <tr r="H3918" s="2"/>
      </tp>
      <tp t="s">
        <v>#N/A N/A</v>
        <stp/>
        <stp>BDP|8140543922587998528</stp>
        <tr r="A1527" s="2"/>
      </tp>
      <tp t="s">
        <v>#N/A N/A</v>
        <stp/>
        <stp>BDP|5348820175576174195</stp>
        <tr r="G4791" s="2"/>
      </tp>
      <tp t="s">
        <v>#N/A N/A</v>
        <stp/>
        <stp>BDP|2236214890043811775</stp>
        <tr r="G315" s="2"/>
      </tp>
      <tp t="s">
        <v>#N/A N/A</v>
        <stp/>
        <stp>BDP|3841782830542503891</stp>
        <tr r="I2798" s="2"/>
      </tp>
      <tp t="s">
        <v>#N/A N/A</v>
        <stp/>
        <stp>BDP|8420422027004835756</stp>
        <tr r="F443" s="2"/>
      </tp>
      <tp t="s">
        <v>#N/A N/A</v>
        <stp/>
        <stp>BDP|1772195956151178951</stp>
        <tr r="G951" s="2"/>
      </tp>
      <tp t="s">
        <v>#N/A N/A</v>
        <stp/>
        <stp>BDP|9851171224655247253</stp>
        <tr r="F2819" s="2"/>
      </tp>
      <tp t="s">
        <v>#N/A N/A</v>
        <stp/>
        <stp>BDP|7048092226310121822</stp>
        <tr r="D2420" s="2"/>
      </tp>
      <tp t="s">
        <v>#N/A N/A</v>
        <stp/>
        <stp>BDP|5209926976465202386</stp>
        <tr r="I3588" s="2"/>
      </tp>
      <tp t="s">
        <v>#N/A N/A</v>
        <stp/>
        <stp>BDP|5290156709868574174</stp>
        <tr r="H3017" s="2"/>
      </tp>
      <tp t="s">
        <v>#N/A N/A</v>
        <stp/>
        <stp>BDP|3993561191021481364</stp>
        <tr r="F498" s="2"/>
      </tp>
      <tp t="s">
        <v>#N/A N/A</v>
        <stp/>
        <stp>BDP|3168849116345616299</stp>
        <tr r="C28" s="2"/>
      </tp>
      <tp t="s">
        <v>#N/A N/A</v>
        <stp/>
        <stp>BDP|1442062306075932912</stp>
        <tr r="A4435" s="2"/>
      </tp>
      <tp t="s">
        <v>#N/A N/A</v>
        <stp/>
        <stp>BDP|2309191353292762922</stp>
        <tr r="H4352" s="2"/>
      </tp>
      <tp t="s">
        <v>#N/A N/A</v>
        <stp/>
        <stp>BDP|4568185620413353925</stp>
        <tr r="C1396" s="2"/>
      </tp>
      <tp t="s">
        <v>#N/A N/A</v>
        <stp/>
        <stp>BDP|8740832383264338180</stp>
        <tr r="G3638" s="2"/>
      </tp>
      <tp t="s">
        <v>#N/A N/A</v>
        <stp/>
        <stp>BDP|9366799227725278438</stp>
        <tr r="F4248" s="2"/>
      </tp>
      <tp t="s">
        <v>#N/A N/A</v>
        <stp/>
        <stp>BDP|5159702280051925642</stp>
        <tr r="F2590" s="2"/>
      </tp>
      <tp t="s">
        <v>#N/A N/A</v>
        <stp/>
        <stp>BDP|2110418880946969550</stp>
        <tr r="B4611" s="2"/>
      </tp>
      <tp t="s">
        <v>#N/A N/A</v>
        <stp/>
        <stp>BDP|8889662367656339369</stp>
        <tr r="D1528" s="2"/>
      </tp>
      <tp t="s">
        <v>#N/A N/A</v>
        <stp/>
        <stp>BDP|6808914655386974196</stp>
        <tr r="I1553" s="2"/>
      </tp>
      <tp t="s">
        <v>#N/A N/A</v>
        <stp/>
        <stp>BDP|5341593497124034013</stp>
        <tr r="D271" s="2"/>
      </tp>
      <tp t="s">
        <v>#N/A N/A</v>
        <stp/>
        <stp>BDP|4838298756838220697</stp>
        <tr r="G4405" s="2"/>
      </tp>
      <tp t="s">
        <v>#N/A N/A</v>
        <stp/>
        <stp>BDP|2485847038920308470</stp>
        <tr r="A4688" s="2"/>
      </tp>
      <tp t="s">
        <v>#N/A N/A</v>
        <stp/>
        <stp>BDP|5358818215194889532</stp>
        <tr r="D2362" s="2"/>
      </tp>
      <tp t="s">
        <v>#N/A N/A</v>
        <stp/>
        <stp>BDP|1047961341901804025</stp>
        <tr r="D3074" s="2"/>
      </tp>
      <tp t="s">
        <v>#N/A N/A</v>
        <stp/>
        <stp>BDP|8720369762538716896</stp>
        <tr r="I1066" s="2"/>
      </tp>
      <tp t="s">
        <v>#N/A N/A</v>
        <stp/>
        <stp>BDP|6388983516690232326</stp>
        <tr r="D3636" s="2"/>
      </tp>
      <tp t="s">
        <v>#N/A N/A</v>
        <stp/>
        <stp>BDP|2190934758037424437</stp>
        <tr r="G3948" s="2"/>
      </tp>
      <tp t="s">
        <v>#N/A N/A</v>
        <stp/>
        <stp>BDP|2679029430485005992</stp>
        <tr r="C4668" s="2"/>
      </tp>
      <tp t="s">
        <v>#N/A N/A</v>
        <stp/>
        <stp>BDP|5836429674709372202</stp>
        <tr r="G3328" s="2"/>
      </tp>
      <tp t="s">
        <v>#N/A N/A</v>
        <stp/>
        <stp>BDP|9734485213974442553</stp>
        <tr r="A284" s="2"/>
      </tp>
      <tp t="s">
        <v>#N/A N/A</v>
        <stp/>
        <stp>BDP|6210047113599192392</stp>
        <tr r="B1849" s="2"/>
      </tp>
      <tp t="s">
        <v>#N/A N/A</v>
        <stp/>
        <stp>BDP|1593271441673624987</stp>
        <tr r="I5001" s="2"/>
      </tp>
      <tp t="s">
        <v>#N/A N/A</v>
        <stp/>
        <stp>BDP|2000265295535627189</stp>
        <tr r="F4570" s="2"/>
      </tp>
      <tp t="s">
        <v>#N/A N/A</v>
        <stp/>
        <stp>BDP|1028700548857449815</stp>
        <tr r="I1386" s="2"/>
      </tp>
      <tp t="s">
        <v>#N/A N/A</v>
        <stp/>
        <stp>BDP|4675066031089896343</stp>
        <tr r="H2087" s="2"/>
      </tp>
      <tp t="s">
        <v>#N/A N/A</v>
        <stp/>
        <stp>BDP|9576845099905387069</stp>
        <tr r="H3349" s="2"/>
      </tp>
      <tp t="s">
        <v>#N/A N/A</v>
        <stp/>
        <stp>BDP|7908353174116794821</stp>
        <tr r="D570" s="2"/>
      </tp>
      <tp t="s">
        <v>#N/A N/A</v>
        <stp/>
        <stp>BDP|7912537254343112929</stp>
        <tr r="H2565" s="2"/>
      </tp>
      <tp t="s">
        <v>#N/A N/A</v>
        <stp/>
        <stp>BDP|2498467733350849844</stp>
        <tr r="I175" s="2"/>
      </tp>
      <tp t="s">
        <v>#N/A N/A</v>
        <stp/>
        <stp>BDP|8298577845321507581</stp>
        <tr r="F3237" s="2"/>
      </tp>
      <tp t="s">
        <v>#N/A N/A</v>
        <stp/>
        <stp>BDP|4607007593952820200</stp>
        <tr r="B3597" s="2"/>
      </tp>
      <tp t="s">
        <v>#N/A N/A</v>
        <stp/>
        <stp>BDP|1021562199982068223</stp>
        <tr r="I2681" s="2"/>
      </tp>
      <tp t="s">
        <v>#N/A N/A</v>
        <stp/>
        <stp>BDP|3985257047531054963</stp>
        <tr r="H599" s="2"/>
      </tp>
      <tp t="s">
        <v>#N/A N/A</v>
        <stp/>
        <stp>BDP|9285995380824589131</stp>
        <tr r="G431" s="2"/>
      </tp>
      <tp t="s">
        <v>#N/A N/A</v>
        <stp/>
        <stp>BDP|9957007845977216736</stp>
        <tr r="D3940" s="2"/>
      </tp>
      <tp t="s">
        <v>#N/A N/A</v>
        <stp/>
        <stp>BDP|6216190850529414629</stp>
        <tr r="B3604" s="2"/>
      </tp>
      <tp t="s">
        <v>#N/A N/A</v>
        <stp/>
        <stp>BDP|5368911435203217188</stp>
        <tr r="F821" s="2"/>
      </tp>
      <tp t="s">
        <v>#N/A N/A</v>
        <stp/>
        <stp>BDP|6495386267436041860</stp>
        <tr r="A758" s="2"/>
      </tp>
      <tp t="s">
        <v>#N/A N/A</v>
        <stp/>
        <stp>BDP|9693128478413024118</stp>
        <tr r="H1674" s="2"/>
      </tp>
      <tp t="s">
        <v>#N/A N/A</v>
        <stp/>
        <stp>BDP|4995035254204468877</stp>
        <tr r="C2018" s="2"/>
      </tp>
      <tp t="s">
        <v>#N/A N/A</v>
        <stp/>
        <stp>BDP|2924926637481662479</stp>
        <tr r="C676" s="2"/>
      </tp>
      <tp t="s">
        <v>#N/A N/A</v>
        <stp/>
        <stp>BDP|2734838442650863335</stp>
        <tr r="F1648" s="2"/>
      </tp>
      <tp t="s">
        <v>#N/A N/A</v>
        <stp/>
        <stp>BDP|6381453096536492099</stp>
        <tr r="A3843" s="2"/>
      </tp>
      <tp t="s">
        <v>#N/A N/A</v>
        <stp/>
        <stp>BDP|6196308973137881876</stp>
        <tr r="H3849" s="2"/>
      </tp>
      <tp t="s">
        <v>#N/A N/A</v>
        <stp/>
        <stp>BDP|9064094624905887382</stp>
        <tr r="G3886" s="2"/>
      </tp>
      <tp t="s">
        <v>#N/A N/A</v>
        <stp/>
        <stp>BDP|6094591499136504188</stp>
        <tr r="A4723" s="2"/>
      </tp>
      <tp t="s">
        <v>#N/A N/A</v>
        <stp/>
        <stp>BDP|9546629028683729358</stp>
        <tr r="G2028" s="2"/>
      </tp>
      <tp t="s">
        <v>#N/A N/A</v>
        <stp/>
        <stp>BDP|2749032888661307621</stp>
        <tr r="B2295" s="2"/>
      </tp>
      <tp t="s">
        <v>#N/A N/A</v>
        <stp/>
        <stp>BDP|8786853704979278494</stp>
        <tr r="B3147" s="2"/>
      </tp>
      <tp t="s">
        <v>#N/A N/A</v>
        <stp/>
        <stp>BDP|8904322443487561501</stp>
        <tr r="G4720" s="2"/>
      </tp>
      <tp t="s">
        <v>#N/A N/A</v>
        <stp/>
        <stp>BDP|8845142263625671747</stp>
        <tr r="H4727" s="2"/>
      </tp>
      <tp t="s">
        <v>#N/A N/A</v>
        <stp/>
        <stp>BDP|3102896505156422045</stp>
        <tr r="G1120" s="2"/>
      </tp>
      <tp t="s">
        <v>#N/A N/A</v>
        <stp/>
        <stp>BDP|2707945428966356259</stp>
        <tr r="F3092" s="2"/>
      </tp>
      <tp t="s">
        <v>#N/A N/A</v>
        <stp/>
        <stp>BDP|8373393530857789204</stp>
        <tr r="B3585" s="2"/>
      </tp>
      <tp t="s">
        <v>#N/A N/A</v>
        <stp/>
        <stp>BDP|3629809730837969226</stp>
        <tr r="C1426" s="2"/>
      </tp>
      <tp t="s">
        <v>#N/A N/A</v>
        <stp/>
        <stp>BDP|1380150959178229008</stp>
        <tr r="C4689" s="2"/>
      </tp>
      <tp t="s">
        <v>#N/A N/A</v>
        <stp/>
        <stp>BDP|9828393229085412013</stp>
        <tr r="B1228" s="2"/>
      </tp>
      <tp t="s">
        <v>#N/A N/A</v>
        <stp/>
        <stp>BDP|3923829035295294013</stp>
        <tr r="I3826" s="2"/>
      </tp>
      <tp t="s">
        <v>#N/A N/A</v>
        <stp/>
        <stp>BDP|7134294665936189815</stp>
        <tr r="H4934" s="2"/>
      </tp>
      <tp t="s">
        <v>#N/A N/A</v>
        <stp/>
        <stp>BDP|9121775279835656148</stp>
        <tr r="D4308" s="2"/>
      </tp>
      <tp t="s">
        <v>#N/A N/A</v>
        <stp/>
        <stp>BDP|8444099052123666348</stp>
        <tr r="H645" s="2"/>
      </tp>
      <tp t="s">
        <v>#N/A N/A</v>
        <stp/>
        <stp>BDP|3024665588361476171</stp>
        <tr r="A2318" s="2"/>
      </tp>
      <tp t="s">
        <v>#N/A N/A</v>
        <stp/>
        <stp>BDP|2429426199367216504</stp>
        <tr r="F1700" s="2"/>
      </tp>
      <tp t="s">
        <v>#N/A N/A</v>
        <stp/>
        <stp>BDP|2625632197381654194</stp>
        <tr r="H3831" s="2"/>
      </tp>
      <tp t="s">
        <v>#N/A N/A</v>
        <stp/>
        <stp>BDP|4930556790651878496</stp>
        <tr r="H875" s="2"/>
      </tp>
      <tp t="s">
        <v>#N/A N/A</v>
        <stp/>
        <stp>BDP|1828603191807292462</stp>
        <tr r="G3539" s="2"/>
      </tp>
      <tp t="s">
        <v>#N/A N/A</v>
        <stp/>
        <stp>BDP|9851545110537486758</stp>
        <tr r="B4553" s="2"/>
      </tp>
      <tp t="s">
        <v>#N/A N/A</v>
        <stp/>
        <stp>BDP|3761963528955280061</stp>
        <tr r="G970" s="2"/>
      </tp>
      <tp t="s">
        <v>#N/A N/A</v>
        <stp/>
        <stp>BDP|6598740897992943721</stp>
        <tr r="F1071" s="2"/>
      </tp>
      <tp t="s">
        <v>#N/A N/A</v>
        <stp/>
        <stp>BDP|7849586810598413693</stp>
        <tr r="G2277" s="2"/>
      </tp>
      <tp t="s">
        <v>#N/A N/A</v>
        <stp/>
        <stp>BDP|5259155388398677940</stp>
        <tr r="A1487" s="2"/>
      </tp>
      <tp t="s">
        <v>#N/A N/A</v>
        <stp/>
        <stp>BDP|3200993159826676498</stp>
        <tr r="I1583" s="2"/>
      </tp>
      <tp t="s">
        <v>#N/A N/A</v>
        <stp/>
        <stp>BDP|3013384221276200963</stp>
        <tr r="A3685" s="2"/>
      </tp>
      <tp t="s">
        <v>#N/A N/A</v>
        <stp/>
        <stp>BDP|9465136469977140429</stp>
        <tr r="G2760" s="2"/>
      </tp>
      <tp t="s">
        <v>#N/A N/A</v>
        <stp/>
        <stp>BDP|5322340009332716944</stp>
        <tr r="F2690" s="2"/>
      </tp>
      <tp t="s">
        <v>#N/A N/A</v>
        <stp/>
        <stp>BDP|6887149996042327147</stp>
        <tr r="D138" s="2"/>
      </tp>
      <tp t="s">
        <v>#N/A N/A</v>
        <stp/>
        <stp>BDP|2018271882525807002</stp>
        <tr r="G2155" s="2"/>
      </tp>
      <tp t="s">
        <v>#N/A N/A</v>
        <stp/>
        <stp>BDP|1168983610593220765</stp>
        <tr r="D4470" s="2"/>
      </tp>
      <tp t="s">
        <v>#N/A N/A</v>
        <stp/>
        <stp>BDP|6329596629545719997</stp>
        <tr r="A2548" s="2"/>
      </tp>
      <tp t="s">
        <v>#N/A N/A</v>
        <stp/>
        <stp>BDP|3699001432225084895</stp>
        <tr r="H2872" s="2"/>
      </tp>
      <tp t="s">
        <v>#N/A N/A</v>
        <stp/>
        <stp>BDP|6648721998173464654</stp>
        <tr r="A777" s="2"/>
      </tp>
      <tp t="s">
        <v>#N/A N/A</v>
        <stp/>
        <stp>BDP|5826459846209470128</stp>
        <tr r="I1826" s="2"/>
      </tp>
      <tp t="s">
        <v>#N/A N/A</v>
        <stp/>
        <stp>BDP|7766497652782832993</stp>
        <tr r="D4200" s="2"/>
      </tp>
      <tp t="s">
        <v>#N/A N/A</v>
        <stp/>
        <stp>BDP|8840896615388935404</stp>
        <tr r="A3327" s="2"/>
      </tp>
      <tp t="s">
        <v>#N/A N/A</v>
        <stp/>
        <stp>BDP|6391872326135447447</stp>
        <tr r="D1562" s="2"/>
      </tp>
      <tp t="s">
        <v>#N/A N/A</v>
        <stp/>
        <stp>BDP|1865507007629490097</stp>
        <tr r="B3695" s="2"/>
      </tp>
      <tp t="s">
        <v>#N/A N/A</v>
        <stp/>
        <stp>BDP|6954386987954054446</stp>
        <tr r="F2938" s="2"/>
      </tp>
      <tp t="s">
        <v>#N/A N/A</v>
        <stp/>
        <stp>BDP|6882609898802477667</stp>
        <tr r="F295" s="2"/>
      </tp>
      <tp t="s">
        <v>#N/A N/A</v>
        <stp/>
        <stp>BDP|8279879726698172707</stp>
        <tr r="F4651" s="2"/>
      </tp>
      <tp t="s">
        <v>#N/A N/A</v>
        <stp/>
        <stp>BDP|8772351471863525244</stp>
        <tr r="G4340" s="2"/>
      </tp>
      <tp t="s">
        <v>#N/A N/A</v>
        <stp/>
        <stp>BDP|6027773287204323019</stp>
        <tr r="H3670" s="2"/>
      </tp>
      <tp t="s">
        <v>#N/A N/A</v>
        <stp/>
        <stp>BDP|4901067757484893822</stp>
        <tr r="F463" s="2"/>
      </tp>
      <tp t="s">
        <v>#N/A N/A</v>
        <stp/>
        <stp>BDP|2927295785320449538</stp>
        <tr r="C3185" s="2"/>
      </tp>
      <tp t="s">
        <v>#N/A N/A</v>
        <stp/>
        <stp>BDP|1289805324856099047</stp>
        <tr r="H4205" s="2"/>
      </tp>
      <tp t="s">
        <v>#N/A N/A</v>
        <stp/>
        <stp>BDP|2620821577040212039</stp>
        <tr r="I364" s="2"/>
      </tp>
      <tp t="s">
        <v>#N/A N/A</v>
        <stp/>
        <stp>BDP|6224419038439039597</stp>
        <tr r="C224" s="2"/>
      </tp>
      <tp t="s">
        <v>#N/A N/A</v>
        <stp/>
        <stp>BDP|1599599758479476528</stp>
        <tr r="C2180" s="2"/>
      </tp>
      <tp t="s">
        <v>#N/A N/A</v>
        <stp/>
        <stp>BDP|9417193328080286751</stp>
        <tr r="I3042" s="2"/>
      </tp>
      <tp t="s">
        <v>#N/A N/A</v>
        <stp/>
        <stp>BDP|3213531542517282837</stp>
        <tr r="B4132" s="2"/>
      </tp>
      <tp t="s">
        <v>#N/A N/A</v>
        <stp/>
        <stp>BDP|1324714026918552130</stp>
        <tr r="I739" s="2"/>
      </tp>
      <tp t="s">
        <v>#N/A N/A</v>
        <stp/>
        <stp>BDP|2286981739584027114</stp>
        <tr r="C1827" s="2"/>
      </tp>
      <tp t="s">
        <v>#N/A N/A</v>
        <stp/>
        <stp>BDP|1499536730059754320</stp>
        <tr r="B1632" s="2"/>
      </tp>
      <tp t="s">
        <v>#N/A N/A</v>
        <stp/>
        <stp>BDP|5071359284390445373</stp>
        <tr r="F973" s="2"/>
      </tp>
      <tp t="s">
        <v>#N/A N/A</v>
        <stp/>
        <stp>BDP|1977291547652482815</stp>
        <tr r="D101" s="2"/>
      </tp>
      <tp t="s">
        <v>#N/A N/A</v>
        <stp/>
        <stp>BDP|6328472892900455601</stp>
        <tr r="I927" s="2"/>
      </tp>
      <tp t="s">
        <v>#N/A N/A</v>
        <stp/>
        <stp>BDP|8410666234032797233</stp>
        <tr r="A172" s="2"/>
      </tp>
      <tp t="s">
        <v>#N/A N/A</v>
        <stp/>
        <stp>BDP|8346667994173199926</stp>
        <tr r="B2122" s="2"/>
      </tp>
      <tp t="s">
        <v>#N/A N/A</v>
        <stp/>
        <stp>BDP|5588932397499450176</stp>
        <tr r="D923" s="2"/>
      </tp>
      <tp t="s">
        <v>#N/A N/A</v>
        <stp/>
        <stp>BDP|4489114085260558077</stp>
        <tr r="C4976" s="2"/>
      </tp>
      <tp t="s">
        <v>#N/A N/A</v>
        <stp/>
        <stp>BDP|8763537700209373958</stp>
        <tr r="F4508" s="2"/>
      </tp>
      <tp t="s">
        <v>#N/A N/A</v>
        <stp/>
        <stp>BDP|8777849624016347966</stp>
        <tr r="G1861" s="2"/>
      </tp>
      <tp t="s">
        <v>#N/A N/A</v>
        <stp/>
        <stp>BDP|7754749752608361000</stp>
        <tr r="H970" s="2"/>
      </tp>
      <tp t="s">
        <v>#N/A N/A</v>
        <stp/>
        <stp>BDP|2154207707584792932</stp>
        <tr r="A1170" s="2"/>
      </tp>
      <tp t="s">
        <v>#N/A N/A</v>
        <stp/>
        <stp>BDP|6126127945309426708</stp>
        <tr r="C75" s="2"/>
      </tp>
      <tp t="s">
        <v>#N/A N/A</v>
        <stp/>
        <stp>BDP|3570965967786627708</stp>
        <tr r="H1907" s="2"/>
      </tp>
      <tp t="s">
        <v>#N/A N/A</v>
        <stp/>
        <stp>BDP|8133179742673605303</stp>
        <tr r="F3354" s="2"/>
      </tp>
      <tp t="s">
        <v>#N/A N/A</v>
        <stp/>
        <stp>BDP|4379665877869330136</stp>
        <tr r="D1949" s="2"/>
      </tp>
      <tp t="s">
        <v>#N/A N/A</v>
        <stp/>
        <stp>BDP|3052907721172742748</stp>
        <tr r="B2106" s="2"/>
      </tp>
      <tp t="s">
        <v>#N/A N/A</v>
        <stp/>
        <stp>BDP|5510582189994645101</stp>
        <tr r="B233" s="2"/>
      </tp>
      <tp t="s">
        <v>#N/A N/A</v>
        <stp/>
        <stp>BDP|6187335004031050946</stp>
        <tr r="D3116" s="2"/>
      </tp>
      <tp t="s">
        <v>#N/A N/A</v>
        <stp/>
        <stp>BDP|2474486794491925339</stp>
        <tr r="G1060" s="2"/>
      </tp>
      <tp t="s">
        <v>#N/A N/A</v>
        <stp/>
        <stp>BDP|9996900354299873172</stp>
        <tr r="A129" s="2"/>
      </tp>
      <tp t="s">
        <v>#N/A N/A</v>
        <stp/>
        <stp>BDP|2091565795482436155</stp>
        <tr r="H4153" s="2"/>
      </tp>
      <tp t="s">
        <v>#N/A N/A</v>
        <stp/>
        <stp>BDP|2224111395200471707</stp>
        <tr r="A159" s="2"/>
      </tp>
      <tp t="s">
        <v>#N/A N/A</v>
        <stp/>
        <stp>BDP|8055002706113765631</stp>
        <tr r="H1198" s="2"/>
      </tp>
      <tp t="s">
        <v>#N/A N/A</v>
        <stp/>
        <stp>BDP|9358153419082972640</stp>
        <tr r="F1049" s="2"/>
      </tp>
      <tp t="s">
        <v>#N/A N/A</v>
        <stp/>
        <stp>BDP|3597770101801274837</stp>
        <tr r="A1321" s="2"/>
      </tp>
      <tp t="s">
        <v>#N/A N/A</v>
        <stp/>
        <stp>BDP|5519150449255265894</stp>
        <tr r="B2716" s="2"/>
      </tp>
      <tp t="s">
        <v>#N/A N/A</v>
        <stp/>
        <stp>BDP|1778633651239502627</stp>
        <tr r="I1214" s="2"/>
      </tp>
      <tp t="s">
        <v>#N/A N/A</v>
        <stp/>
        <stp>BDP|3917301092586827216</stp>
        <tr r="D4713" s="2"/>
      </tp>
      <tp t="s">
        <v>#N/A N/A</v>
        <stp/>
        <stp>BDP|4625913991059261066</stp>
        <tr r="G1783" s="2"/>
      </tp>
      <tp t="s">
        <v>#N/A N/A</v>
        <stp/>
        <stp>BDP|8075752523617548716</stp>
        <tr r="F1896" s="2"/>
      </tp>
      <tp t="s">
        <v>#N/A N/A</v>
        <stp/>
        <stp>BDP|9879346521677971261</stp>
        <tr r="I4246" s="2"/>
      </tp>
      <tp t="s">
        <v>#N/A N/A</v>
        <stp/>
        <stp>BDP|6205841227783604257</stp>
        <tr r="C3223" s="2"/>
      </tp>
      <tp t="s">
        <v>#N/A N/A</v>
        <stp/>
        <stp>BDP|5386638949929819338</stp>
        <tr r="G3151" s="2"/>
      </tp>
      <tp t="s">
        <v>#N/A N/A</v>
        <stp/>
        <stp>BDP|9786458397328722101</stp>
        <tr r="G2542" s="2"/>
      </tp>
      <tp t="s">
        <v>#N/A N/A</v>
        <stp/>
        <stp>BDP|8771855781485058013</stp>
        <tr r="D4572" s="2"/>
      </tp>
      <tp t="s">
        <v>#N/A N/A</v>
        <stp/>
        <stp>BDP|4299288669504828996</stp>
        <tr r="B205" s="2"/>
      </tp>
      <tp t="s">
        <v>#N/A N/A</v>
        <stp/>
        <stp>BDP|2739141570140154906</stp>
        <tr r="C1969" s="2"/>
      </tp>
      <tp t="s">
        <v>#N/A N/A</v>
        <stp/>
        <stp>BDP|2729877345260423335</stp>
        <tr r="G2992" s="2"/>
      </tp>
      <tp t="s">
        <v>#N/A N/A</v>
        <stp/>
        <stp>BDP|9821846543699467194</stp>
        <tr r="G2137" s="2"/>
      </tp>
      <tp t="s">
        <v>#N/A N/A</v>
        <stp/>
        <stp>BDP|7451209783841214176</stp>
        <tr r="C39" s="2"/>
      </tp>
      <tp t="s">
        <v>#N/A N/A</v>
        <stp/>
        <stp>BDP|5813221183914384682</stp>
        <tr r="G1213" s="2"/>
      </tp>
      <tp t="s">
        <v>#N/A N/A</v>
        <stp/>
        <stp>BDP|6221878475123086720</stp>
        <tr r="F1881" s="2"/>
      </tp>
      <tp t="s">
        <v>#N/A N/A</v>
        <stp/>
        <stp>BDP|8029244460146403724</stp>
        <tr r="A3927" s="2"/>
      </tp>
      <tp t="s">
        <v>#N/A N/A</v>
        <stp/>
        <stp>BDP|6738033885525375600</stp>
        <tr r="F3738" s="2"/>
      </tp>
      <tp t="s">
        <v>#N/A N/A</v>
        <stp/>
        <stp>BDP|8931708323561885104</stp>
        <tr r="H3740" s="2"/>
      </tp>
      <tp t="s">
        <v>#N/A N/A</v>
        <stp/>
        <stp>BDP|4993872735834935602</stp>
        <tr r="C3909" s="2"/>
      </tp>
      <tp t="s">
        <v>#N/A N/A</v>
        <stp/>
        <stp>BDP|9738561094691142962</stp>
        <tr r="I103" s="2"/>
      </tp>
      <tp t="s">
        <v>#N/A N/A</v>
        <stp/>
        <stp>BDP|7497847789693297993</stp>
        <tr r="G988" s="2"/>
      </tp>
      <tp t="s">
        <v>#N/A N/A</v>
        <stp/>
        <stp>BDP|7038917346836780126</stp>
        <tr r="B1608" s="2"/>
      </tp>
      <tp t="s">
        <v>#N/A N/A</v>
        <stp/>
        <stp>BDP|7594272965036516808</stp>
        <tr r="H2696" s="2"/>
      </tp>
      <tp t="s">
        <v>#N/A N/A</v>
        <stp/>
        <stp>BDP|6307708938936974904</stp>
        <tr r="D3328" s="2"/>
      </tp>
      <tp t="s">
        <v>#N/A N/A</v>
        <stp/>
        <stp>BDP|2060434595587342576</stp>
        <tr r="B978" s="2"/>
      </tp>
      <tp t="s">
        <v>#N/A N/A</v>
        <stp/>
        <stp>BDP|2366363886983280730</stp>
        <tr r="G432" s="2"/>
      </tp>
      <tp t="s">
        <v>#N/A N/A</v>
        <stp/>
        <stp>BDP|2511265633598479662</stp>
        <tr r="F3337" s="2"/>
      </tp>
      <tp t="s">
        <v>#N/A N/A</v>
        <stp/>
        <stp>BDP|7234753173632255847</stp>
        <tr r="H2167" s="2"/>
      </tp>
      <tp t="s">
        <v>#N/A N/A</v>
        <stp/>
        <stp>BDP|7859987915705753704</stp>
        <tr r="G4243" s="2"/>
      </tp>
      <tp t="s">
        <v>#N/A N/A</v>
        <stp/>
        <stp>BDP|2550476524969079049</stp>
        <tr r="I279" s="2"/>
      </tp>
      <tp t="s">
        <v>#N/A N/A</v>
        <stp/>
        <stp>BDP|2558699199075389543</stp>
        <tr r="G3" s="2"/>
      </tp>
      <tp t="s">
        <v>#N/A N/A</v>
        <stp/>
        <stp>BDP|2713766540208411473</stp>
        <tr r="D3470" s="2"/>
      </tp>
      <tp t="s">
        <v>#N/A N/A</v>
        <stp/>
        <stp>BDP|6222464490125354355</stp>
        <tr r="I2419" s="2"/>
      </tp>
      <tp t="s">
        <v>#N/A N/A</v>
        <stp/>
        <stp>BDP|9979448536953915000</stp>
        <tr r="H3364" s="2"/>
      </tp>
      <tp t="s">
        <v>#N/A N/A</v>
        <stp/>
        <stp>BDP|1132583143099107497</stp>
        <tr r="I1443" s="2"/>
      </tp>
      <tp t="s">
        <v>#N/A N/A</v>
        <stp/>
        <stp>BDP|8977579748576188254</stp>
        <tr r="I3175" s="2"/>
      </tp>
      <tp t="s">
        <v>#N/A N/A</v>
        <stp/>
        <stp>BDP|6703260984236121767</stp>
        <tr r="F4634" s="2"/>
      </tp>
      <tp t="s">
        <v>#N/A N/A</v>
        <stp/>
        <stp>BDP|3604552014169418315</stp>
        <tr r="C3738" s="2"/>
      </tp>
      <tp t="s">
        <v>#N/A N/A</v>
        <stp/>
        <stp>BDP|8447491948641138466</stp>
        <tr r="H272" s="2"/>
      </tp>
      <tp t="s">
        <v>#N/A N/A</v>
        <stp/>
        <stp>BDP|9372175476711759376</stp>
        <tr r="G3063" s="2"/>
      </tp>
      <tp t="s">
        <v>#N/A N/A</v>
        <stp/>
        <stp>BDP|6530829854802921486</stp>
        <tr r="I46" s="2"/>
      </tp>
      <tp t="s">
        <v>#N/A N/A</v>
        <stp/>
        <stp>BDP|6734367636632168942</stp>
        <tr r="A3736" s="2"/>
      </tp>
      <tp t="s">
        <v>#N/A N/A</v>
        <stp/>
        <stp>BDP|4544447052931513952</stp>
        <tr r="F935" s="2"/>
      </tp>
      <tp t="s">
        <v>#N/A N/A</v>
        <stp/>
        <stp>BDP|8963319669038373811</stp>
        <tr r="A2547" s="2"/>
      </tp>
      <tp t="s">
        <v>#N/A N/A</v>
        <stp/>
        <stp>BDP|1007610692250892382</stp>
        <tr r="C2051" s="2"/>
      </tp>
      <tp t="s">
        <v>#N/A N/A</v>
        <stp/>
        <stp>BDP|9784343970869738979</stp>
        <tr r="C794" s="2"/>
      </tp>
      <tp t="s">
        <v>#N/A N/A</v>
        <stp/>
        <stp>BDP|4082682614786910865</stp>
        <tr r="D861" s="2"/>
      </tp>
      <tp t="s">
        <v>#N/A N/A</v>
        <stp/>
        <stp>BDP|8833619529588336905</stp>
        <tr r="F781" s="2"/>
      </tp>
      <tp t="s">
        <v>#N/A N/A</v>
        <stp/>
        <stp>BDP|2135996346845434796</stp>
        <tr r="F1319" s="2"/>
      </tp>
      <tp t="s">
        <v>#N/A N/A</v>
        <stp/>
        <stp>BDP|8027101715943438621</stp>
        <tr r="B2946" s="2"/>
      </tp>
      <tp t="s">
        <v>#N/A N/A</v>
        <stp/>
        <stp>BDP|8662463387090086945</stp>
        <tr r="D255" s="2"/>
      </tp>
      <tp t="s">
        <v>#N/A N/A</v>
        <stp/>
        <stp>BDP|5379938703274260523</stp>
        <tr r="B4691" s="2"/>
      </tp>
      <tp t="s">
        <v>#N/A N/A</v>
        <stp/>
        <stp>BDP|2798671247568149552</stp>
        <tr r="F1744" s="2"/>
      </tp>
      <tp t="s">
        <v>#N/A N/A</v>
        <stp/>
        <stp>BDP|2710435187806471540</stp>
        <tr r="F1495" s="2"/>
      </tp>
      <tp t="s">
        <v>#N/A N/A</v>
        <stp/>
        <stp>BDP|8979688994118742210</stp>
        <tr r="F183" s="2"/>
      </tp>
      <tp t="s">
        <v>#N/A N/A</v>
        <stp/>
        <stp>BDP|1686454383180100027</stp>
        <tr r="C3353" s="2"/>
      </tp>
      <tp t="s">
        <v>#N/A N/A</v>
        <stp/>
        <stp>BDP|8707827618965828966</stp>
        <tr r="A4311" s="2"/>
      </tp>
      <tp t="s">
        <v>#N/A N/A</v>
        <stp/>
        <stp>BDP|6466346882374201439</stp>
        <tr r="A4267" s="2"/>
      </tp>
      <tp t="s">
        <v>#N/A N/A</v>
        <stp/>
        <stp>BDP|4727965703444184406</stp>
        <tr r="F2083" s="2"/>
      </tp>
      <tp t="s">
        <v>#N/A N/A</v>
        <stp/>
        <stp>BDP|1444335958693985952</stp>
        <tr r="G4943" s="2"/>
      </tp>
      <tp t="s">
        <v>#N/A N/A</v>
        <stp/>
        <stp>BDP|4223469528268772783</stp>
        <tr r="H3841" s="2"/>
      </tp>
      <tp t="s">
        <v>#N/A N/A</v>
        <stp/>
        <stp>BDP|4697109217141648848</stp>
        <tr r="F4118" s="2"/>
      </tp>
      <tp t="s">
        <v>#N/A N/A</v>
        <stp/>
        <stp>BDP|6137179294497155406</stp>
        <tr r="D3167" s="2"/>
      </tp>
      <tp t="s">
        <v>#N/A N/A</v>
        <stp/>
        <stp>BDP|5199071246294315807</stp>
        <tr r="F1924" s="2"/>
      </tp>
      <tp t="s">
        <v>#N/A N/A</v>
        <stp/>
        <stp>BDP|6361145281606094450</stp>
        <tr r="B4103" s="2"/>
      </tp>
      <tp t="s">
        <v>#N/A N/A</v>
        <stp/>
        <stp>BDP|5377822827240436218</stp>
        <tr r="I386" s="2"/>
      </tp>
      <tp t="s">
        <v>#N/A N/A</v>
        <stp/>
        <stp>BDP|8720677735746745619</stp>
        <tr r="G1036" s="2"/>
      </tp>
      <tp t="s">
        <v>#N/A N/A</v>
        <stp/>
        <stp>BDP|7736962867767505209</stp>
        <tr r="I4519" s="2"/>
      </tp>
      <tp t="s">
        <v>#N/A N/A</v>
        <stp/>
        <stp>BDP|8965339550314978704</stp>
        <tr r="D4293" s="2"/>
      </tp>
      <tp t="s">
        <v>#N/A N/A</v>
        <stp/>
        <stp>BDP|8921650577865006184</stp>
        <tr r="F4109" s="2"/>
      </tp>
      <tp t="s">
        <v>#N/A N/A</v>
        <stp/>
        <stp>BDP|4040419480236401361</stp>
        <tr r="A4828" s="2"/>
      </tp>
      <tp t="s">
        <v>#N/A N/A</v>
        <stp/>
        <stp>BDP|5424183140518822578</stp>
        <tr r="D3832" s="2"/>
      </tp>
      <tp t="s">
        <v>#N/A N/A</v>
        <stp/>
        <stp>BDP|4201655458243986951</stp>
        <tr r="F1685" s="2"/>
      </tp>
      <tp t="s">
        <v>#N/A N/A</v>
        <stp/>
        <stp>BDP|6734147531468466158</stp>
        <tr r="I4356" s="2"/>
      </tp>
      <tp t="s">
        <v>#N/A N/A</v>
        <stp/>
        <stp>BDP|3764284908509302579</stp>
        <tr r="B291" s="2"/>
      </tp>
      <tp t="s">
        <v>#N/A N/A</v>
        <stp/>
        <stp>BDP|2599017404059362606</stp>
        <tr r="F2697" s="2"/>
      </tp>
      <tp t="s">
        <v>#N/A N/A</v>
        <stp/>
        <stp>BDP|8744750395298215369</stp>
        <tr r="A1716" s="2"/>
      </tp>
      <tp t="s">
        <v>#N/A N/A</v>
        <stp/>
        <stp>BDP|6903890255915105378</stp>
        <tr r="I3412" s="2"/>
      </tp>
      <tp t="s">
        <v>#N/A N/A</v>
        <stp/>
        <stp>BDP|9822958779859035370</stp>
        <tr r="G2847" s="2"/>
      </tp>
      <tp t="s">
        <v>#N/A N/A</v>
        <stp/>
        <stp>BDP|2424554689696238492</stp>
        <tr r="F2593" s="2"/>
      </tp>
      <tp t="s">
        <v>#N/A N/A</v>
        <stp/>
        <stp>BDP|6055830129169906804</stp>
        <tr r="B4278" s="2"/>
      </tp>
      <tp t="s">
        <v>#N/A N/A</v>
        <stp/>
        <stp>BDP|4826483378639840333</stp>
        <tr r="G895" s="2"/>
      </tp>
      <tp t="s">
        <v>#N/A N/A</v>
        <stp/>
        <stp>BDP|7515097751668962776</stp>
        <tr r="F2035" s="2"/>
      </tp>
      <tp t="s">
        <v>#N/A N/A</v>
        <stp/>
        <stp>BDP|5771714985634978392</stp>
        <tr r="A2189" s="2"/>
      </tp>
      <tp t="s">
        <v>#N/A N/A</v>
        <stp/>
        <stp>BDP|2543967823504733045</stp>
        <tr r="D1409" s="2"/>
      </tp>
      <tp t="s">
        <v>#N/A N/A</v>
        <stp/>
        <stp>BDP|8433661010033029110</stp>
        <tr r="B1495" s="2"/>
      </tp>
      <tp t="s">
        <v>#N/A N/A</v>
        <stp/>
        <stp>BDP|8583107692045168859</stp>
        <tr r="B2566" s="2"/>
      </tp>
      <tp t="s">
        <v>#N/A N/A</v>
        <stp/>
        <stp>BDP|9180116046307464618</stp>
        <tr r="F326" s="2"/>
      </tp>
      <tp t="s">
        <v>#N/A N/A</v>
        <stp/>
        <stp>BDP|1048296037698957542</stp>
        <tr r="B1443" s="2"/>
      </tp>
      <tp t="s">
        <v>#N/A N/A</v>
        <stp/>
        <stp>BDP|9663275155442618115</stp>
        <tr r="B4850" s="2"/>
      </tp>
      <tp t="s">
        <v>#N/A N/A</v>
        <stp/>
        <stp>BDP|4066275220929107058</stp>
        <tr r="D838" s="2"/>
      </tp>
      <tp t="s">
        <v>#N/A N/A</v>
        <stp/>
        <stp>BDP|7665818290898241360</stp>
        <tr r="H3359" s="2"/>
      </tp>
      <tp t="s">
        <v>#N/A N/A</v>
        <stp/>
        <stp>BDP|2068871018330442682</stp>
        <tr r="B2049" s="2"/>
      </tp>
      <tp t="s">
        <v>#N/A N/A</v>
        <stp/>
        <stp>BDP|2085825596508184665</stp>
        <tr r="G2684" s="2"/>
      </tp>
      <tp t="s">
        <v>#N/A N/A</v>
        <stp/>
        <stp>BDP|2902735692788248993</stp>
        <tr r="G4059" s="2"/>
      </tp>
      <tp t="s">
        <v>#N/A N/A</v>
        <stp/>
        <stp>BDP|4484749126225501906</stp>
        <tr r="C3670" s="2"/>
      </tp>
      <tp t="s">
        <v>#N/A N/A</v>
        <stp/>
        <stp>BDP|1544156866622459914</stp>
        <tr r="F2276" s="2"/>
      </tp>
      <tp t="s">
        <v>#N/A N/A</v>
        <stp/>
        <stp>BDP|4588117670786641919</stp>
        <tr r="H848" s="2"/>
      </tp>
      <tp t="s">
        <v>#N/A N/A</v>
        <stp/>
        <stp>BDP|5520911811206309654</stp>
        <tr r="G1467" s="2"/>
      </tp>
      <tp t="s">
        <v>#N/A N/A</v>
        <stp/>
        <stp>BDP|2388904359831852214</stp>
        <tr r="H2082" s="2"/>
      </tp>
      <tp t="s">
        <v>#N/A N/A</v>
        <stp/>
        <stp>BDP|8299538853625438051</stp>
        <tr r="C311" s="2"/>
      </tp>
      <tp t="s">
        <v>#N/A N/A</v>
        <stp/>
        <stp>BDP|8293220657853624127</stp>
        <tr r="B3164" s="2"/>
      </tp>
      <tp t="s">
        <v>#N/A N/A</v>
        <stp/>
        <stp>BDP|5006662007708771656</stp>
        <tr r="F4583" s="2"/>
      </tp>
      <tp t="s">
        <v>#N/A N/A</v>
        <stp/>
        <stp>BDP|1445154180313179630</stp>
        <tr r="A3746" s="2"/>
      </tp>
      <tp t="s">
        <v>#N/A N/A</v>
        <stp/>
        <stp>BDP|4701953135846478508</stp>
        <tr r="C1377" s="2"/>
      </tp>
      <tp t="s">
        <v>#N/A N/A</v>
        <stp/>
        <stp>BDP|9234669057364098304</stp>
        <tr r="D922" s="2"/>
      </tp>
      <tp t="s">
        <v>#N/A N/A</v>
        <stp/>
        <stp>BDP|3965194512468715660</stp>
        <tr r="H769" s="2"/>
      </tp>
      <tp t="s">
        <v>#N/A N/A</v>
        <stp/>
        <stp>BDP|9465683359335578236</stp>
        <tr r="G3277" s="2"/>
      </tp>
      <tp t="s">
        <v>#N/A N/A</v>
        <stp/>
        <stp>BDP|5194049040435449927</stp>
        <tr r="I276" s="2"/>
      </tp>
      <tp t="s">
        <v>#N/A N/A</v>
        <stp/>
        <stp>BDP|8117133403452249605</stp>
        <tr r="I4396" s="2"/>
      </tp>
      <tp t="s">
        <v>#N/A N/A</v>
        <stp/>
        <stp>BDP|6078352129468726284</stp>
        <tr r="A1966" s="2"/>
      </tp>
      <tp t="s">
        <v>#N/A N/A</v>
        <stp/>
        <stp>BDP|9563586828687688409</stp>
        <tr r="B4028" s="2"/>
      </tp>
      <tp t="s">
        <v>#N/A N/A</v>
        <stp/>
        <stp>BDP|8050359301861133761</stp>
        <tr r="D729" s="2"/>
      </tp>
      <tp t="s">
        <v>#N/A N/A</v>
        <stp/>
        <stp>BDP|5400027747748244402</stp>
        <tr r="B2972" s="2"/>
      </tp>
      <tp t="s">
        <v>#N/A N/A</v>
        <stp/>
        <stp>BDP|7265629707809355574</stp>
        <tr r="B3706" s="2"/>
      </tp>
      <tp t="s">
        <v>#N/A N/A</v>
        <stp/>
        <stp>BDP|5757933586420603974</stp>
        <tr r="G415" s="2"/>
      </tp>
      <tp t="s">
        <v>#N/A N/A</v>
        <stp/>
        <stp>BDP|2454905923815678116</stp>
        <tr r="F2932" s="2"/>
      </tp>
      <tp t="s">
        <v>#N/A N/A</v>
        <stp/>
        <stp>BDP|3912979964022989339</stp>
        <tr r="D4685" s="2"/>
      </tp>
      <tp t="s">
        <v>#N/A N/A</v>
        <stp/>
        <stp>BDP|5593666552553552846</stp>
        <tr r="H138" s="2"/>
      </tp>
      <tp t="s">
        <v>#N/A N/A</v>
        <stp/>
        <stp>BDP|2446242437186197867</stp>
        <tr r="F3303" s="2"/>
      </tp>
      <tp t="s">
        <v>#N/A N/A</v>
        <stp/>
        <stp>BDP|8335279025194112103</stp>
        <tr r="D3354" s="2"/>
      </tp>
      <tp t="s">
        <v>#N/A N/A</v>
        <stp/>
        <stp>BDP|5278245710169221248</stp>
        <tr r="D4966" s="2"/>
      </tp>
      <tp t="s">
        <v>#N/A N/A</v>
        <stp/>
        <stp>BDP|9654341577693031358</stp>
        <tr r="F1939" s="2"/>
      </tp>
      <tp t="s">
        <v>#N/A N/A</v>
        <stp/>
        <stp>BDP|9476191846859340883</stp>
        <tr r="B992" s="2"/>
      </tp>
      <tp t="s">
        <v>#N/A N/A</v>
        <stp/>
        <stp>BDP|4025598188201771567</stp>
        <tr r="D952" s="2"/>
      </tp>
      <tp t="s">
        <v>#N/A N/A</v>
        <stp/>
        <stp>BDP|8518454750183847788</stp>
        <tr r="C2220" s="2"/>
      </tp>
      <tp t="s">
        <v>#N/A N/A</v>
        <stp/>
        <stp>BDP|5697836696738110121</stp>
        <tr r="B2936" s="2"/>
      </tp>
      <tp t="s">
        <v>#N/A N/A</v>
        <stp/>
        <stp>BDP|7308749262442340961</stp>
        <tr r="D3869" s="2"/>
      </tp>
      <tp t="s">
        <v>#N/A N/A</v>
        <stp/>
        <stp>BDP|9031345146402038129</stp>
        <tr r="D1259" s="2"/>
      </tp>
      <tp t="s">
        <v>#N/A N/A</v>
        <stp/>
        <stp>BDP|1313240029619789597</stp>
        <tr r="F4321" s="2"/>
      </tp>
      <tp t="s">
        <v>#N/A N/A</v>
        <stp/>
        <stp>BDP|6251577185906872087</stp>
        <tr r="F1541" s="2"/>
      </tp>
      <tp t="s">
        <v>#N/A N/A</v>
        <stp/>
        <stp>BDP|3855514759068120619</stp>
        <tr r="F3491" s="2"/>
      </tp>
      <tp t="s">
        <v>#N/A N/A</v>
        <stp/>
        <stp>BDP|5793997612350404087</stp>
        <tr r="B1331" s="2"/>
      </tp>
      <tp t="s">
        <v>#N/A N/A</v>
        <stp/>
        <stp>BDP|4616039557168155436</stp>
        <tr r="B4584" s="2"/>
      </tp>
      <tp t="s">
        <v>#N/A N/A</v>
        <stp/>
        <stp>BDP|8942249265363124296</stp>
        <tr r="F2600" s="2"/>
      </tp>
      <tp t="s">
        <v>#N/A N/A</v>
        <stp/>
        <stp>BDP|8379626702977204412</stp>
        <tr r="I1852" s="2"/>
      </tp>
      <tp t="s">
        <v>#N/A N/A</v>
        <stp/>
        <stp>BDP|3227612983377096700</stp>
        <tr r="I2071" s="2"/>
      </tp>
      <tp t="s">
        <v>#N/A N/A</v>
        <stp/>
        <stp>BDP|1176251267201393900</stp>
        <tr r="B4838" s="2"/>
      </tp>
      <tp t="s">
        <v>#N/A N/A</v>
        <stp/>
        <stp>BDP|2475769512531731875</stp>
        <tr r="C2446" s="2"/>
      </tp>
      <tp t="s">
        <v>#N/A N/A</v>
        <stp/>
        <stp>BDP|7873233789815268507</stp>
        <tr r="H898" s="2"/>
      </tp>
      <tp t="s">
        <v>#N/A N/A</v>
        <stp/>
        <stp>BDP|9080590786389902066</stp>
        <tr r="G1283" s="2"/>
      </tp>
      <tp t="s">
        <v>#N/A N/A</v>
        <stp/>
        <stp>BDP|4199531193652255736</stp>
        <tr r="D3457" s="2"/>
      </tp>
      <tp t="s">
        <v>#N/A N/A</v>
        <stp/>
        <stp>BDP|1798117017555914987</stp>
        <tr r="B4099" s="2"/>
      </tp>
      <tp t="s">
        <v>#N/A N/A</v>
        <stp/>
        <stp>BDP|9626968492077521374</stp>
        <tr r="C2695" s="2"/>
      </tp>
      <tp t="s">
        <v>#N/A N/A</v>
        <stp/>
        <stp>BDP|4982187436128544326</stp>
        <tr r="G2391" s="2"/>
      </tp>
      <tp t="s">
        <v>#N/A N/A</v>
        <stp/>
        <stp>BDP|9723559780110626944</stp>
        <tr r="B4491" s="2"/>
      </tp>
      <tp t="s">
        <v>#N/A N/A</v>
        <stp/>
        <stp>BDP|5499005044045753975</stp>
        <tr r="C2495" s="2"/>
      </tp>
      <tp t="s">
        <v>#N/A N/A</v>
        <stp/>
        <stp>BDP|7100049267084611844</stp>
        <tr r="D4901" s="2"/>
      </tp>
      <tp t="s">
        <v>#N/A N/A</v>
        <stp/>
        <stp>BDP|9933768048202415537</stp>
        <tr r="A3206" s="2"/>
      </tp>
      <tp t="s">
        <v>#N/A N/A</v>
        <stp/>
        <stp>BDP|9895615593873980833</stp>
        <tr r="F2250" s="2"/>
      </tp>
      <tp t="s">
        <v>#N/A N/A</v>
        <stp/>
        <stp>BDP|7659908478386786299</stp>
        <tr r="A219" s="2"/>
      </tp>
      <tp t="s">
        <v>#N/A N/A</v>
        <stp/>
        <stp>BDP|7700699984013835724</stp>
        <tr r="D841" s="2"/>
      </tp>
      <tp t="s">
        <v>#N/A N/A</v>
        <stp/>
        <stp>BDP|9798494148163712713</stp>
        <tr r="H759" s="2"/>
      </tp>
      <tp t="s">
        <v>#N/A N/A</v>
        <stp/>
        <stp>BDP|8590468547861038444</stp>
        <tr r="D2688" s="2"/>
      </tp>
      <tp t="s">
        <v>#N/A N/A</v>
        <stp/>
        <stp>BDP|7264420087041106767</stp>
        <tr r="F3133" s="2"/>
      </tp>
      <tp t="s">
        <v>#N/A N/A</v>
        <stp/>
        <stp>BDP|6408575693263459443</stp>
        <tr r="D989" s="2"/>
      </tp>
      <tp t="s">
        <v>#N/A N/A</v>
        <stp/>
        <stp>BDP|9512317885618195708</stp>
        <tr r="C3376" s="2"/>
      </tp>
      <tp t="s">
        <v>#N/A N/A</v>
        <stp/>
        <stp>BDP|3001431045497570933</stp>
        <tr r="I2250" s="2"/>
      </tp>
      <tp t="s">
        <v>#N/A N/A</v>
        <stp/>
        <stp>BDP|8594175365893147161</stp>
        <tr r="F170" s="2"/>
      </tp>
      <tp t="s">
        <v>#N/A N/A</v>
        <stp/>
        <stp>BDP|5452020412868647129</stp>
        <tr r="F2569" s="2"/>
      </tp>
      <tp t="s">
        <v>#N/A N/A</v>
        <stp/>
        <stp>BDP|1559953253737418770</stp>
        <tr r="B254" s="2"/>
      </tp>
      <tp t="s">
        <v>#N/A N/A</v>
        <stp/>
        <stp>BDP|4262107748454259880</stp>
        <tr r="I4986" s="2"/>
      </tp>
      <tp t="s">
        <v>#N/A N/A</v>
        <stp/>
        <stp>BDP|7218655487707208320</stp>
        <tr r="A1033" s="2"/>
      </tp>
      <tp t="s">
        <v>#N/A N/A</v>
        <stp/>
        <stp>BDP|5214401092640127517</stp>
        <tr r="C4982" s="2"/>
      </tp>
      <tp t="s">
        <v>#N/A N/A</v>
        <stp/>
        <stp>BDP|9094537513874545451</stp>
        <tr r="F1430" s="2"/>
      </tp>
      <tp t="s">
        <v>#N/A N/A</v>
        <stp/>
        <stp>BDP|5628936262920172769</stp>
        <tr r="H4485" s="2"/>
      </tp>
      <tp t="s">
        <v>#N/A N/A</v>
        <stp/>
        <stp>BDP|3524464020141505965</stp>
        <tr r="C2740" s="2"/>
      </tp>
      <tp t="s">
        <v>#N/A N/A</v>
        <stp/>
        <stp>BDP|9264169935323489556</stp>
        <tr r="I1252" s="2"/>
      </tp>
      <tp t="s">
        <v>#N/A N/A</v>
        <stp/>
        <stp>BDP|6509354291033838295</stp>
        <tr r="H171" s="2"/>
      </tp>
      <tp t="s">
        <v>#N/A N/A</v>
        <stp/>
        <stp>BDP|5330010585141562126</stp>
        <tr r="B4004" s="2"/>
      </tp>
      <tp t="s">
        <v>#N/A N/A</v>
        <stp/>
        <stp>BDP|4752521110375538806</stp>
        <tr r="F1600" s="2"/>
      </tp>
      <tp t="s">
        <v>#N/A N/A</v>
        <stp/>
        <stp>BDP|6036144895025843691</stp>
        <tr r="I771" s="2"/>
      </tp>
      <tp t="s">
        <v>#N/A N/A</v>
        <stp/>
        <stp>BDP|5984222567685482986</stp>
        <tr r="B4854" s="2"/>
      </tp>
      <tp t="s">
        <v>#N/A N/A</v>
        <stp/>
        <stp>BDP|8748203005477659043</stp>
        <tr r="F4346" s="2"/>
      </tp>
      <tp t="s">
        <v>#N/A N/A</v>
        <stp/>
        <stp>BDP|9502435623323540107</stp>
        <tr r="F986" s="2"/>
      </tp>
      <tp t="s">
        <v>#N/A N/A</v>
        <stp/>
        <stp>BDP|9138392459793852196</stp>
        <tr r="G4218" s="2"/>
      </tp>
      <tp t="s">
        <v>#N/A N/A</v>
        <stp/>
        <stp>BDP|3121931034366256240</stp>
        <tr r="G1645" s="2"/>
      </tp>
      <tp t="s">
        <v>#N/A N/A</v>
        <stp/>
        <stp>BDP|8840035839595303311</stp>
        <tr r="C3611" s="2"/>
      </tp>
      <tp t="s">
        <v>#N/A N/A</v>
        <stp/>
        <stp>BDP|4538400849120564990</stp>
        <tr r="B3904" s="2"/>
      </tp>
      <tp t="s">
        <v>#N/A N/A</v>
        <stp/>
        <stp>BDP|3662241547808697032</stp>
        <tr r="B1648" s="2"/>
      </tp>
      <tp t="s">
        <v>#N/A N/A</v>
        <stp/>
        <stp>BDP|8345492063703967403</stp>
        <tr r="A4225" s="2"/>
      </tp>
      <tp t="s">
        <v>#N/A N/A</v>
        <stp/>
        <stp>BDP|9068888749289185100</stp>
        <tr r="A1508" s="2"/>
      </tp>
      <tp t="s">
        <v>#N/A N/A</v>
        <stp/>
        <stp>BDP|6398059797247354523</stp>
        <tr r="I2978" s="2"/>
      </tp>
      <tp t="s">
        <v>#N/A N/A</v>
        <stp/>
        <stp>BDP|9770571146611258441</stp>
        <tr r="F1716" s="2"/>
      </tp>
      <tp t="s">
        <v>#N/A N/A</v>
        <stp/>
        <stp>BDP|1579342260728373121</stp>
        <tr r="B221" s="2"/>
      </tp>
      <tp t="s">
        <v>#N/A N/A</v>
        <stp/>
        <stp>BDP|5991205609349989393</stp>
        <tr r="H2796" s="2"/>
      </tp>
      <tp t="s">
        <v>#N/A N/A</v>
        <stp/>
        <stp>BDP|5307744883582673521</stp>
        <tr r="A2109" s="2"/>
      </tp>
      <tp t="s">
        <v>#N/A N/A</v>
        <stp/>
        <stp>BDP|7181845936842608352</stp>
        <tr r="H917" s="2"/>
      </tp>
      <tp t="s">
        <v>#N/A N/A</v>
        <stp/>
        <stp>BDP|5073054095186349731</stp>
        <tr r="I1156" s="2"/>
      </tp>
      <tp t="s">
        <v>#N/A N/A</v>
        <stp/>
        <stp>BDP|3504775762337601860</stp>
        <tr r="G3964" s="2"/>
      </tp>
      <tp t="s">
        <v>#N/A N/A</v>
        <stp/>
        <stp>BDP|9991165018641097575</stp>
        <tr r="H2162" s="2"/>
      </tp>
      <tp t="s">
        <v>#N/A N/A</v>
        <stp/>
        <stp>BDP|6087007469018881511</stp>
        <tr r="I42" s="2"/>
      </tp>
      <tp t="s">
        <v>#N/A N/A</v>
        <stp/>
        <stp>BDP|6384999468806163239</stp>
        <tr r="A459" s="2"/>
      </tp>
      <tp t="s">
        <v>#N/A N/A</v>
        <stp/>
        <stp>BDP|1659117683614733131</stp>
        <tr r="A23" s="2"/>
      </tp>
      <tp t="s">
        <v>#N/A N/A</v>
        <stp/>
        <stp>BDP|9001772774782575664</stp>
        <tr r="A4460" s="2"/>
      </tp>
      <tp t="s">
        <v>#N/A N/A</v>
        <stp/>
        <stp>BDP|7873377500518952179</stp>
        <tr r="B331" s="2"/>
      </tp>
      <tp t="s">
        <v>#N/A N/A</v>
        <stp/>
        <stp>BDP|3030718134528120255</stp>
        <tr r="A4129" s="2"/>
      </tp>
      <tp t="s">
        <v>#N/A N/A</v>
        <stp/>
        <stp>BDP|1241076935626186905</stp>
        <tr r="I2517" s="2"/>
      </tp>
      <tp t="s">
        <v>#N/A N/A</v>
        <stp/>
        <stp>BDP|4345624997965460336</stp>
        <tr r="F1509" s="2"/>
      </tp>
      <tp t="s">
        <v>#N/A N/A</v>
        <stp/>
        <stp>BDP|3135274493890633525</stp>
        <tr r="F2437" s="2"/>
      </tp>
      <tp t="s">
        <v>#N/A N/A</v>
        <stp/>
        <stp>BDP|7638215096939339834</stp>
        <tr r="D1770" s="2"/>
      </tp>
      <tp t="s">
        <v>#N/A N/A</v>
        <stp/>
        <stp>BDP|4767981151104769188</stp>
        <tr r="C4855" s="2"/>
      </tp>
      <tp t="s">
        <v>#N/A N/A</v>
        <stp/>
        <stp>BDP|4464863028847349481</stp>
        <tr r="G3524" s="2"/>
      </tp>
      <tp t="s">
        <v>#N/A N/A</v>
        <stp/>
        <stp>BDP|6810282318039804118</stp>
        <tr r="G3341" s="2"/>
      </tp>
      <tp t="s">
        <v>#N/A N/A</v>
        <stp/>
        <stp>BDP|4236609673508332037</stp>
        <tr r="H2343" s="2"/>
      </tp>
      <tp t="s">
        <v>#N/A N/A</v>
        <stp/>
        <stp>BDP|8261495729955750644</stp>
        <tr r="B4784" s="2"/>
      </tp>
      <tp t="s">
        <v>#N/A N/A</v>
        <stp/>
        <stp>BDP|1588452098039927803</stp>
        <tr r="A1687" s="2"/>
      </tp>
      <tp t="s">
        <v>#N/A N/A</v>
        <stp/>
        <stp>BDP|8654004841484688506</stp>
        <tr r="F2840" s="2"/>
      </tp>
      <tp t="s">
        <v>#N/A N/A</v>
        <stp/>
        <stp>BDP|5735820726756669449</stp>
        <tr r="G853" s="2"/>
      </tp>
      <tp t="s">
        <v>#N/A N/A</v>
        <stp/>
        <stp>BDP|9566796373627958378</stp>
        <tr r="H4136" s="2"/>
      </tp>
      <tp t="s">
        <v>#N/A N/A</v>
        <stp/>
        <stp>BDP|9706928396240224402</stp>
        <tr r="I4066" s="2"/>
      </tp>
      <tp t="s">
        <v>#N/A N/A</v>
        <stp/>
        <stp>BDP|7200719588311822422</stp>
        <tr r="H1018" s="2"/>
      </tp>
      <tp t="s">
        <v>#N/A N/A</v>
        <stp/>
        <stp>BDP|3611701494509185927</stp>
        <tr r="I1924" s="2"/>
      </tp>
      <tp t="s">
        <v>#N/A N/A</v>
        <stp/>
        <stp>BDP|8632615535531519168</stp>
        <tr r="C2509" s="2"/>
      </tp>
      <tp t="s">
        <v>#N/A N/A</v>
        <stp/>
        <stp>BDP|9224551730440533239</stp>
        <tr r="G521" s="2"/>
      </tp>
      <tp t="s">
        <v>#N/A N/A</v>
        <stp/>
        <stp>BDP|8545313937522579778</stp>
        <tr r="F4918" s="2"/>
      </tp>
      <tp t="s">
        <v>#N/A N/A</v>
        <stp/>
        <stp>BDP|8571221370907640706</stp>
        <tr r="I1610" s="2"/>
      </tp>
      <tp t="s">
        <v>#N/A N/A</v>
        <stp/>
        <stp>BDP|9232955583854030150</stp>
        <tr r="D3335" s="2"/>
      </tp>
      <tp t="s">
        <v>#N/A N/A</v>
        <stp/>
        <stp>BDP|9498273845621370346</stp>
        <tr r="H3502" s="2"/>
      </tp>
      <tp t="s">
        <v>#N/A N/A</v>
        <stp/>
        <stp>BDP|4710860199251893915</stp>
        <tr r="H2566" s="2"/>
      </tp>
      <tp t="s">
        <v>#N/A N/A</v>
        <stp/>
        <stp>BDP|7679745816628434418</stp>
        <tr r="D1576" s="2"/>
      </tp>
      <tp t="s">
        <v>#N/A N/A</v>
        <stp/>
        <stp>BDP|1094878191229486434</stp>
        <tr r="I970" s="2"/>
      </tp>
      <tp t="s">
        <v>#N/A N/A</v>
        <stp/>
        <stp>BDP|3944812863304882422</stp>
        <tr r="G5" s="2"/>
      </tp>
      <tp t="s">
        <v>#N/A N/A</v>
        <stp/>
        <stp>BDP|7079299364947805948</stp>
        <tr r="C1857" s="2"/>
      </tp>
      <tp t="s">
        <v>#N/A N/A</v>
        <stp/>
        <stp>BDP|9464107170871439315</stp>
        <tr r="D4875" s="2"/>
      </tp>
      <tp t="s">
        <v>#N/A N/A</v>
        <stp/>
        <stp>BDP|5230077684908370834</stp>
        <tr r="F4132" s="2"/>
      </tp>
      <tp t="s">
        <v>#N/A N/A</v>
        <stp/>
        <stp>BDP|4478770563981792969</stp>
        <tr r="C2666" s="2"/>
      </tp>
      <tp t="s">
        <v>#N/A N/A</v>
        <stp/>
        <stp>BDP|6518658864843274878</stp>
        <tr r="I699" s="2"/>
      </tp>
      <tp t="s">
        <v>#N/A N/A</v>
        <stp/>
        <stp>BDP|3801181753869228305</stp>
        <tr r="D2956" s="2"/>
      </tp>
      <tp t="s">
        <v>#N/A N/A</v>
        <stp/>
        <stp>BDP|5056282984973530183</stp>
        <tr r="H1091" s="2"/>
      </tp>
      <tp t="s">
        <v>#N/A N/A</v>
        <stp/>
        <stp>BDP|9368880678722321912</stp>
        <tr r="D427" s="2"/>
      </tp>
      <tp t="s">
        <v>#N/A N/A</v>
        <stp/>
        <stp>BDP|1093727498347998525</stp>
        <tr r="A3874" s="2"/>
      </tp>
      <tp t="s">
        <v>#N/A N/A</v>
        <stp/>
        <stp>BDP|7200898536010590191</stp>
        <tr r="C3247" s="2"/>
      </tp>
      <tp t="s">
        <v>#N/A N/A</v>
        <stp/>
        <stp>BDP|5447818765403615579</stp>
        <tr r="I2624" s="2"/>
      </tp>
      <tp t="s">
        <v>#N/A N/A</v>
        <stp/>
        <stp>BDP|7795382355639382585</stp>
        <tr r="B2505" s="2"/>
      </tp>
      <tp t="s">
        <v>#N/A N/A</v>
        <stp/>
        <stp>BDP|4360929350933120614</stp>
        <tr r="G467" s="2"/>
      </tp>
      <tp t="s">
        <v>#N/A N/A</v>
        <stp/>
        <stp>BDP|2886455797085888735</stp>
        <tr r="B4714" s="2"/>
      </tp>
      <tp t="s">
        <v>#N/A N/A</v>
        <stp/>
        <stp>BDP|7859551451188554280</stp>
        <tr r="B4737" s="2"/>
      </tp>
      <tp t="s">
        <v>#N/A N/A</v>
        <stp/>
        <stp>BDP|4108913134020648337</stp>
        <tr r="C1647" s="2"/>
      </tp>
      <tp t="s">
        <v>#N/A N/A</v>
        <stp/>
        <stp>BDP|9231035246174667401</stp>
        <tr r="I1044" s="2"/>
      </tp>
      <tp t="s">
        <v>#N/A N/A</v>
        <stp/>
        <stp>BDP|1664209210619298650</stp>
        <tr r="H2996" s="2"/>
      </tp>
      <tp t="s">
        <v>#N/A N/A</v>
        <stp/>
        <stp>BDP|2889732395639856879</stp>
        <tr r="I836" s="2"/>
      </tp>
      <tp t="s">
        <v>#N/A N/A</v>
        <stp/>
        <stp>BDP|3605800462158551807</stp>
        <tr r="F4712" s="2"/>
      </tp>
      <tp t="s">
        <v>#N/A N/A</v>
        <stp/>
        <stp>BDP|8019164144489205912</stp>
        <tr r="D4853" s="2"/>
      </tp>
      <tp t="s">
        <v>#N/A N/A</v>
        <stp/>
        <stp>BDP|1126615215128710334</stp>
        <tr r="F1892" s="2"/>
      </tp>
      <tp t="s">
        <v>#N/A N/A</v>
        <stp/>
        <stp>BDP|2682877562576386711</stp>
        <tr r="D2371" s="2"/>
      </tp>
      <tp t="s">
        <v>#N/A N/A</v>
        <stp/>
        <stp>BDP|9218106745055126476</stp>
        <tr r="G164" s="2"/>
      </tp>
      <tp t="s">
        <v>#N/A N/A</v>
        <stp/>
        <stp>BDP|9329764932562178277</stp>
        <tr r="B4690" s="2"/>
      </tp>
      <tp t="s">
        <v>#N/A N/A</v>
        <stp/>
        <stp>BDP|5060720862341075811</stp>
        <tr r="F4022" s="2"/>
      </tp>
      <tp t="s">
        <v>#N/A N/A</v>
        <stp/>
        <stp>BDP|9132890656588959161</stp>
        <tr r="D2653" s="2"/>
      </tp>
      <tp t="s">
        <v>#N/A N/A</v>
        <stp/>
        <stp>BDP|6608868750504769269</stp>
        <tr r="C1938" s="2"/>
      </tp>
      <tp t="s">
        <v>#N/A N/A</v>
        <stp/>
        <stp>BDP|6939450848009476216</stp>
        <tr r="D4666" s="2"/>
      </tp>
      <tp t="s">
        <v>#N/A N/A</v>
        <stp/>
        <stp>BDP|9100732924578736906</stp>
        <tr r="A267" s="2"/>
      </tp>
      <tp t="s">
        <v>#N/A N/A</v>
        <stp/>
        <stp>BDP|4666883909039266841</stp>
        <tr r="A539" s="2"/>
      </tp>
      <tp t="s">
        <v>#N/A N/A</v>
        <stp/>
        <stp>BDP|2804973728607036363</stp>
        <tr r="F1646" s="2"/>
      </tp>
      <tp t="s">
        <v>#N/A N/A</v>
        <stp/>
        <stp>BDP|6019914260681466540</stp>
        <tr r="C3519" s="2"/>
      </tp>
      <tp t="s">
        <v>#N/A N/A</v>
        <stp/>
        <stp>BDP|5191205275958441514</stp>
        <tr r="A4532" s="2"/>
      </tp>
      <tp t="s">
        <v>#N/A N/A</v>
        <stp/>
        <stp>BDP|6241720662753603956</stp>
        <tr r="G3381" s="2"/>
      </tp>
      <tp t="s">
        <v>#N/A N/A</v>
        <stp/>
        <stp>BDP|1641230906197203900</stp>
        <tr r="H671" s="2"/>
      </tp>
      <tp t="s">
        <v>#N/A N/A</v>
        <stp/>
        <stp>BDP|9222531464317724037</stp>
        <tr r="F1375" s="2"/>
      </tp>
      <tp t="s">
        <v>#N/A N/A</v>
        <stp/>
        <stp>BDP|8947281473695645552</stp>
        <tr r="C2415" s="2"/>
      </tp>
      <tp t="s">
        <v>#N/A N/A</v>
        <stp/>
        <stp>BDP|2726871409515978214</stp>
        <tr r="G3842" s="2"/>
      </tp>
      <tp t="s">
        <v>#N/A N/A</v>
        <stp/>
        <stp>BDP|8212167178324483799</stp>
        <tr r="H926" s="2"/>
      </tp>
      <tp t="s">
        <v>#N/A N/A</v>
        <stp/>
        <stp>BDP|3627010432554035940</stp>
        <tr r="I2087" s="2"/>
      </tp>
      <tp t="s">
        <v>#N/A N/A</v>
        <stp/>
        <stp>BDP|9172516510426016610</stp>
        <tr r="F169" s="2"/>
      </tp>
      <tp t="s">
        <v>#N/A N/A</v>
        <stp/>
        <stp>BDP|4313543551590661915</stp>
        <tr r="D2742" s="2"/>
      </tp>
      <tp t="s">
        <v>#N/A N/A</v>
        <stp/>
        <stp>BDP|4505692691484555297</stp>
        <tr r="C4136" s="2"/>
      </tp>
      <tp t="s">
        <v>#N/A N/A</v>
        <stp/>
        <stp>BDP|4309520316604215943</stp>
        <tr r="I1898" s="2"/>
      </tp>
      <tp t="s">
        <v>#N/A N/A</v>
        <stp/>
        <stp>BDP|9872243644455069792</stp>
        <tr r="I4500" s="2"/>
      </tp>
      <tp t="s">
        <v>#N/A N/A</v>
        <stp/>
        <stp>BDP|2777156075089456020</stp>
        <tr r="A1850" s="2"/>
      </tp>
      <tp t="s">
        <v>#N/A N/A</v>
        <stp/>
        <stp>BDP|9010072740648337851</stp>
        <tr r="F1140" s="2"/>
      </tp>
      <tp t="s">
        <v>#N/A N/A</v>
        <stp/>
        <stp>BDP|8371363313771078673</stp>
        <tr r="F1032" s="2"/>
      </tp>
      <tp t="s">
        <v>#N/A N/A</v>
        <stp/>
        <stp>BDP|2179901756022687109</stp>
        <tr r="G357" s="2"/>
      </tp>
      <tp t="s">
        <v>#N/A N/A</v>
        <stp/>
        <stp>BDP|3211361164003941882</stp>
        <tr r="D419" s="2"/>
      </tp>
      <tp t="s">
        <v>#N/A N/A</v>
        <stp/>
        <stp>BDP|3159107885270354763</stp>
        <tr r="F3943" s="2"/>
      </tp>
      <tp t="s">
        <v>#N/A N/A</v>
        <stp/>
        <stp>BDP|6467868317640462208</stp>
        <tr r="H3896" s="2"/>
      </tp>
      <tp t="s">
        <v>#N/A N/A</v>
        <stp/>
        <stp>BDP|5053798998876020001</stp>
        <tr r="B161" s="2"/>
      </tp>
      <tp t="s">
        <v>#N/A N/A</v>
        <stp/>
        <stp>BDP|6284053791951508324</stp>
        <tr r="I1955" s="2"/>
      </tp>
      <tp t="s">
        <v>#N/A N/A</v>
        <stp/>
        <stp>BDP|2310604962898828789</stp>
        <tr r="F241" s="2"/>
      </tp>
      <tp t="s">
        <v>#N/A N/A</v>
        <stp/>
        <stp>BDP|4069467686527924280</stp>
        <tr r="C4075" s="2"/>
      </tp>
      <tp t="s">
        <v>#N/A N/A</v>
        <stp/>
        <stp>BDP|3309849670532227348</stp>
        <tr r="H2435" s="2"/>
      </tp>
      <tp t="s">
        <v>#N/A N/A</v>
        <stp/>
        <stp>BDP|6292472973889268153</stp>
        <tr r="H2368" s="2"/>
      </tp>
      <tp t="s">
        <v>#N/A N/A</v>
        <stp/>
        <stp>BDP|7689296498328826996</stp>
        <tr r="F4254" s="2"/>
      </tp>
      <tp t="s">
        <v>#N/A N/A</v>
        <stp/>
        <stp>BDP|6161627481912190759</stp>
        <tr r="I156" s="2"/>
      </tp>
      <tp t="s">
        <v>#N/A N/A</v>
        <stp/>
        <stp>BDP|3657007071050188902</stp>
        <tr r="I4728" s="2"/>
      </tp>
      <tp t="s">
        <v>#N/A N/A</v>
        <stp/>
        <stp>BDP|2671917264665053558</stp>
        <tr r="D3710" s="2"/>
      </tp>
      <tp t="s">
        <v>#N/A N/A</v>
        <stp/>
        <stp>BDP|3750548094310946281</stp>
        <tr r="G1206" s="2"/>
      </tp>
      <tp t="s">
        <v>#N/A N/A</v>
        <stp/>
        <stp>BDP|2061759497381442003</stp>
        <tr r="F4166" s="2"/>
      </tp>
      <tp t="s">
        <v>#N/A N/A</v>
        <stp/>
        <stp>BDP|5851624317366903928</stp>
        <tr r="A3694" s="2"/>
      </tp>
      <tp t="s">
        <v>#N/A N/A</v>
        <stp/>
        <stp>BDP|7475920559243073598</stp>
        <tr r="D3363" s="2"/>
      </tp>
      <tp t="s">
        <v>#N/A N/A</v>
        <stp/>
        <stp>BDP|3838659663097077987</stp>
        <tr r="F435" s="2"/>
      </tp>
      <tp t="s">
        <v>#N/A N/A</v>
        <stp/>
        <stp>BDP|4534669473410113875</stp>
        <tr r="G1021" s="2"/>
      </tp>
      <tp t="s">
        <v>#N/A N/A</v>
        <stp/>
        <stp>BDP|5145351899340344288</stp>
        <tr r="F2031" s="2"/>
      </tp>
      <tp t="s">
        <v>#N/A N/A</v>
        <stp/>
        <stp>BDP|3196541350388763647</stp>
        <tr r="H4625" s="2"/>
      </tp>
      <tp t="s">
        <v>#N/A N/A</v>
        <stp/>
        <stp>BDP|1375055843540351808</stp>
        <tr r="G4240" s="2"/>
      </tp>
      <tp t="s">
        <v>#N/A N/A</v>
        <stp/>
        <stp>BDP|5511928494361018951</stp>
        <tr r="B4951" s="2"/>
      </tp>
      <tp t="s">
        <v>#N/A N/A</v>
        <stp/>
        <stp>BDP|6645820539219337988</stp>
        <tr r="F4763" s="2"/>
      </tp>
      <tp t="s">
        <v>#N/A N/A</v>
        <stp/>
        <stp>BDP|8408321773542685351</stp>
        <tr r="C4793" s="2"/>
      </tp>
      <tp t="s">
        <v>#N/A N/A</v>
        <stp/>
        <stp>BDP|1784478557775680870</stp>
        <tr r="C1169" s="2"/>
      </tp>
      <tp t="s">
        <v>#N/A N/A</v>
        <stp/>
        <stp>BDP|1077138583523157670</stp>
        <tr r="C1125" s="2"/>
      </tp>
      <tp t="s">
        <v>#N/A N/A</v>
        <stp/>
        <stp>BDP|8265396668872544203</stp>
        <tr r="F2630" s="2"/>
      </tp>
      <tp t="s">
        <v>#N/A N/A</v>
        <stp/>
        <stp>BDP|6897123831481409891</stp>
        <tr r="H355" s="2"/>
      </tp>
      <tp t="s">
        <v>#N/A N/A</v>
        <stp/>
        <stp>BDP|6629303710291588854</stp>
        <tr r="G1933" s="2"/>
      </tp>
      <tp t="s">
        <v>#N/A N/A</v>
        <stp/>
        <stp>BDP|1133975510912724673</stp>
        <tr r="B508" s="2"/>
      </tp>
      <tp t="s">
        <v>#N/A N/A</v>
        <stp/>
        <stp>BDP|3593371280433449606</stp>
        <tr r="A3735" s="2"/>
      </tp>
      <tp t="s">
        <v>#N/A N/A</v>
        <stp/>
        <stp>BDP|6065117140536273852</stp>
        <tr r="D2955" s="2"/>
      </tp>
      <tp t="s">
        <v>#N/A N/A</v>
        <stp/>
        <stp>BDP|2605121351028226312</stp>
        <tr r="H2532" s="2"/>
      </tp>
      <tp t="s">
        <v>#N/A N/A</v>
        <stp/>
        <stp>BDP|9507259911496788104</stp>
        <tr r="F3097" s="2"/>
      </tp>
      <tp t="s">
        <v>#N/A N/A</v>
        <stp/>
        <stp>BDP|6503207981676397719</stp>
        <tr r="A2866" s="2"/>
      </tp>
      <tp t="s">
        <v>#N/A N/A</v>
        <stp/>
        <stp>BDP|1860691033610786939</stp>
        <tr r="C1337" s="2"/>
      </tp>
      <tp t="s">
        <v>#N/A N/A</v>
        <stp/>
        <stp>BDP|3570736263266013932</stp>
        <tr r="I4844" s="2"/>
      </tp>
      <tp t="s">
        <v>#N/A N/A</v>
        <stp/>
        <stp>BDP|5151204299070714390</stp>
        <tr r="B4802" s="2"/>
      </tp>
      <tp t="s">
        <v>#N/A N/A</v>
        <stp/>
        <stp>BDP|7647173685351148230</stp>
        <tr r="A2417" s="2"/>
      </tp>
      <tp t="s">
        <v>#N/A N/A</v>
        <stp/>
        <stp>BDP|4769206465128570516</stp>
        <tr r="C4804" s="2"/>
      </tp>
      <tp t="s">
        <v>#N/A N/A</v>
        <stp/>
        <stp>BDP|1626067215548698559</stp>
        <tr r="H2906" s="2"/>
      </tp>
      <tp t="s">
        <v>#N/A N/A</v>
        <stp/>
        <stp>BDP|7005991942211846657</stp>
        <tr r="F4761" s="2"/>
      </tp>
      <tp t="s">
        <v>#N/A N/A</v>
        <stp/>
        <stp>BDP|8566246773477746733</stp>
        <tr r="C4602" s="2"/>
      </tp>
      <tp t="s">
        <v>#N/A N/A</v>
        <stp/>
        <stp>BDP|8920015004621812423</stp>
        <tr r="B2856" s="2"/>
      </tp>
      <tp t="s">
        <v>#N/A N/A</v>
        <stp/>
        <stp>BDP|4634634780452324502</stp>
        <tr r="G1426" s="2"/>
      </tp>
      <tp t="s">
        <v>#N/A N/A</v>
        <stp/>
        <stp>BDP|1233705352809783715</stp>
        <tr r="F4102" s="2"/>
      </tp>
      <tp t="s">
        <v>#N/A N/A</v>
        <stp/>
        <stp>BDP|1825153758478546062</stp>
        <tr r="I4898" s="2"/>
      </tp>
      <tp t="s">
        <v>#N/A N/A</v>
        <stp/>
        <stp>BDP|7915514893621874757</stp>
        <tr r="A201" s="2"/>
      </tp>
      <tp t="s">
        <v>#N/A N/A</v>
        <stp/>
        <stp>BDP|8120406090361076972</stp>
        <tr r="H2002" s="2"/>
      </tp>
      <tp t="s">
        <v>#N/A N/A</v>
        <stp/>
        <stp>BDP|8251493438554762627</stp>
        <tr r="G2079" s="2"/>
      </tp>
      <tp t="s">
        <v>#N/A N/A</v>
        <stp/>
        <stp>BDP|9044183878600420221</stp>
        <tr r="C4899" s="2"/>
      </tp>
      <tp t="s">
        <v>#N/A N/A</v>
        <stp/>
        <stp>BDP|9352273390537764850</stp>
        <tr r="H2759" s="2"/>
      </tp>
      <tp t="s">
        <v>#N/A N/A</v>
        <stp/>
        <stp>BDP|1761233071168700141</stp>
        <tr r="B2790" s="2"/>
      </tp>
      <tp t="s">
        <v>#N/A N/A</v>
        <stp/>
        <stp>BDP|8061025331175712326</stp>
        <tr r="C3741" s="2"/>
      </tp>
      <tp t="s">
        <v>#N/A N/A</v>
        <stp/>
        <stp>BDP|5594132961939003617</stp>
        <tr r="C659" s="2"/>
      </tp>
      <tp t="s">
        <v>#N/A N/A</v>
        <stp/>
        <stp>BDP|4858899058657767389</stp>
        <tr r="G1408" s="2"/>
      </tp>
      <tp t="s">
        <v>#N/A N/A</v>
        <stp/>
        <stp>BDP|8615682833063249393</stp>
        <tr r="I2538" s="2"/>
      </tp>
      <tp t="s">
        <v>#N/A N/A</v>
        <stp/>
        <stp>BDP|3854459904843714981</stp>
        <tr r="D4220" s="2"/>
      </tp>
      <tp t="s">
        <v>#N/A N/A</v>
        <stp/>
        <stp>BDP|8533003832417687178</stp>
        <tr r="I4268" s="2"/>
      </tp>
      <tp t="s">
        <v>#N/A N/A</v>
        <stp/>
        <stp>BDP|9537442216228079910</stp>
        <tr r="B4834" s="2"/>
      </tp>
      <tp t="s">
        <v>#N/A N/A</v>
        <stp/>
        <stp>BDP|8728064377274767676</stp>
        <tr r="C4005" s="2"/>
      </tp>
      <tp t="s">
        <v>#N/A N/A</v>
        <stp/>
        <stp>BDP|5218247866425462923</stp>
        <tr r="A2006" s="2"/>
      </tp>
      <tp t="s">
        <v>#N/A N/A</v>
        <stp/>
        <stp>BDP|3570814365400081078</stp>
        <tr r="H3398" s="2"/>
      </tp>
      <tp t="s">
        <v>#N/A N/A</v>
        <stp/>
        <stp>BDP|9035407100616417624</stp>
        <tr r="G3696" s="2"/>
      </tp>
      <tp t="s">
        <v>#N/A N/A</v>
        <stp/>
        <stp>BDP|8531570972295134274</stp>
        <tr r="B94" s="2"/>
      </tp>
      <tp t="s">
        <v>#N/A N/A</v>
        <stp/>
        <stp>BDP|2050135236535346807</stp>
        <tr r="B3598" s="2"/>
      </tp>
      <tp t="s">
        <v>#N/A N/A</v>
        <stp/>
        <stp>BDP|1234776285756179573</stp>
        <tr r="G2517" s="2"/>
      </tp>
      <tp t="s">
        <v>#N/A N/A</v>
        <stp/>
        <stp>BDP|9309834853920099952</stp>
        <tr r="D3216" s="2"/>
      </tp>
      <tp t="s">
        <v>#N/A N/A</v>
        <stp/>
        <stp>BDP|9757553754583036719</stp>
        <tr r="H4799" s="2"/>
      </tp>
      <tp t="s">
        <v>#N/A N/A</v>
        <stp/>
        <stp>BDP|5729920234811505333</stp>
        <tr r="I3526" s="2"/>
      </tp>
      <tp t="s">
        <v>#N/A N/A</v>
        <stp/>
        <stp>BDP|2891137640353874942</stp>
        <tr r="I447" s="2"/>
      </tp>
      <tp t="s">
        <v>#N/A N/A</v>
        <stp/>
        <stp>BDP|4772446992880293448</stp>
        <tr r="D2848" s="2"/>
      </tp>
      <tp t="s">
        <v>#N/A N/A</v>
        <stp/>
        <stp>BDP|6060830744844432345</stp>
        <tr r="D689" s="2"/>
      </tp>
      <tp t="s">
        <v>#N/A N/A</v>
        <stp/>
        <stp>BDP|4580201715583631917</stp>
        <tr r="A3294" s="2"/>
      </tp>
      <tp t="s">
        <v>#N/A N/A</v>
        <stp/>
        <stp>BDP|1747463996654004509</stp>
        <tr r="H3210" s="2"/>
      </tp>
      <tp t="s">
        <v>#N/A N/A</v>
        <stp/>
        <stp>BDP|1087906227065229224</stp>
        <tr r="B3301" s="2"/>
      </tp>
      <tp t="s">
        <v>#N/A N/A</v>
        <stp/>
        <stp>BDP|9886575501315168480</stp>
        <tr r="I403" s="2"/>
      </tp>
      <tp t="s">
        <v>#N/A N/A</v>
        <stp/>
        <stp>BDP|7191986664732331790</stp>
        <tr r="C3385" s="2"/>
      </tp>
      <tp t="s">
        <v>#N/A N/A</v>
        <stp/>
        <stp>BDP|4793966286570250824</stp>
        <tr r="C4701" s="2"/>
      </tp>
      <tp t="s">
        <v>#N/A N/A</v>
        <stp/>
        <stp>BDP|5486364782603061077</stp>
        <tr r="F1062" s="2"/>
      </tp>
      <tp t="s">
        <v>#N/A N/A</v>
        <stp/>
        <stp>BDP|8640002059578017889</stp>
        <tr r="I805" s="2"/>
      </tp>
      <tp t="s">
        <v>#N/A N/A</v>
        <stp/>
        <stp>BDP|1989584591073467331</stp>
        <tr r="F3261" s="2"/>
      </tp>
      <tp t="s">
        <v>#N/A N/A</v>
        <stp/>
        <stp>BDP|8796253006083081439</stp>
        <tr r="A4312" s="2"/>
      </tp>
      <tp t="s">
        <v>#N/A N/A</v>
        <stp/>
        <stp>BDP|5228040191822811380</stp>
        <tr r="F2853" s="2"/>
      </tp>
      <tp t="s">
        <v>#N/A N/A</v>
        <stp/>
        <stp>BDP|9836098518447707295</stp>
        <tr r="C1583" s="2"/>
      </tp>
      <tp t="s">
        <v>#N/A N/A</v>
        <stp/>
        <stp>BDP|8853541305328943879</stp>
        <tr r="H4948" s="2"/>
      </tp>
      <tp t="s">
        <v>#N/A N/A</v>
        <stp/>
        <stp>BDP|8388054619724921013</stp>
        <tr r="F4703" s="2"/>
      </tp>
      <tp t="s">
        <v>#N/A N/A</v>
        <stp/>
        <stp>BDP|8169670314717624539</stp>
        <tr r="G469" s="2"/>
      </tp>
      <tp t="s">
        <v>#N/A N/A</v>
        <stp/>
        <stp>BDP|3478539552356141833</stp>
        <tr r="B2009" s="2"/>
      </tp>
      <tp t="s">
        <v>#N/A N/A</v>
        <stp/>
        <stp>BDP|2241571486721363379</stp>
        <tr r="I4058" s="2"/>
      </tp>
      <tp t="s">
        <v>#N/A N/A</v>
        <stp/>
        <stp>BDP|7287151192006440460</stp>
        <tr r="H4045" s="2"/>
      </tp>
      <tp t="s">
        <v>#N/A N/A</v>
        <stp/>
        <stp>BDP|2026968621326100214</stp>
        <tr r="A4349" s="2"/>
      </tp>
      <tp t="s">
        <v>#N/A N/A</v>
        <stp/>
        <stp>BDP|9875673610381125298</stp>
        <tr r="A2044" s="2"/>
      </tp>
      <tp t="s">
        <v>#N/A N/A</v>
        <stp/>
        <stp>BDP|1886901023955897245</stp>
        <tr r="A373" s="2"/>
      </tp>
      <tp t="s">
        <v>#N/A N/A</v>
        <stp/>
        <stp>BDP|3266255322168074629</stp>
        <tr r="H3184" s="2"/>
      </tp>
      <tp t="s">
        <v>#N/A N/A</v>
        <stp/>
        <stp>BDP|9196262250422748177</stp>
        <tr r="H145" s="2"/>
      </tp>
      <tp t="s">
        <v>#N/A N/A</v>
        <stp/>
        <stp>BDP|8499344830132336740</stp>
        <tr r="A330" s="2"/>
      </tp>
      <tp t="s">
        <v>#N/A N/A</v>
        <stp/>
        <stp>BDP|8883814489756507324</stp>
        <tr r="B4286" s="2"/>
      </tp>
      <tp t="s">
        <v>#N/A N/A</v>
        <stp/>
        <stp>BDP|1011968324400170745</stp>
        <tr r="B2530" s="2"/>
      </tp>
      <tp t="s">
        <v>#N/A N/A</v>
        <stp/>
        <stp>BDP|4754957029833405185</stp>
        <tr r="H1775" s="2"/>
      </tp>
      <tp t="s">
        <v>#N/A N/A</v>
        <stp/>
        <stp>BDP|1067511290990442025</stp>
        <tr r="G3299" s="2"/>
      </tp>
      <tp t="s">
        <v>#N/A N/A</v>
        <stp/>
        <stp>BDP|9487405111386017720</stp>
        <tr r="A1350" s="2"/>
      </tp>
      <tp t="s">
        <v>#N/A N/A</v>
        <stp/>
        <stp>BDP|7950197623590614929</stp>
        <tr r="H4725" s="2"/>
      </tp>
      <tp t="s">
        <v>#N/A N/A</v>
        <stp/>
        <stp>BDP|3412769199773990358</stp>
        <tr r="F2271" s="2"/>
      </tp>
      <tp t="s">
        <v>#N/A N/A</v>
        <stp/>
        <stp>BDP|7158242903361930989</stp>
        <tr r="H3928" s="2"/>
      </tp>
      <tp t="s">
        <v>#N/A N/A</v>
        <stp/>
        <stp>BDP|8184568463041163728</stp>
        <tr r="C1439" s="2"/>
      </tp>
      <tp t="s">
        <v>#N/A N/A</v>
        <stp/>
        <stp>BDP|4293091607651873837</stp>
        <tr r="F3890" s="2"/>
      </tp>
      <tp t="s">
        <v>#N/A N/A</v>
        <stp/>
        <stp>BDP|8337831087891803484</stp>
        <tr r="I2035" s="2"/>
      </tp>
      <tp t="s">
        <v>#N/A N/A</v>
        <stp/>
        <stp>BDP|4339545995884127142</stp>
        <tr r="B1132" s="2"/>
      </tp>
      <tp t="s">
        <v>#N/A N/A</v>
        <stp/>
        <stp>BDP|1373793087241372290</stp>
        <tr r="C1785" s="2"/>
      </tp>
      <tp t="s">
        <v>#N/A N/A</v>
        <stp/>
        <stp>BDP|2610746050468070555</stp>
        <tr r="C2263" s="2"/>
      </tp>
      <tp t="s">
        <v>#N/A N/A</v>
        <stp/>
        <stp>BDP|3917728675948143685</stp>
        <tr r="A2412" s="2"/>
      </tp>
      <tp t="s">
        <v>#N/A N/A</v>
        <stp/>
        <stp>BDP|5733369120610655908</stp>
        <tr r="D558" s="2"/>
      </tp>
      <tp t="s">
        <v>#N/A N/A</v>
        <stp/>
        <stp>BDP|1926186194170400464</stp>
        <tr r="C1514" s="2"/>
      </tp>
      <tp t="s">
        <v>#N/A N/A</v>
        <stp/>
        <stp>BDP|3102503054028470665</stp>
        <tr r="G294" s="2"/>
      </tp>
      <tp t="s">
        <v>#N/A N/A</v>
        <stp/>
        <stp>BDP|1225513494517732776</stp>
        <tr r="G1800" s="2"/>
      </tp>
      <tp t="s">
        <v>#N/A N/A</v>
        <stp/>
        <stp>BDP|6113513518706744980</stp>
        <tr r="B1388" s="2"/>
      </tp>
      <tp t="s">
        <v>#N/A N/A</v>
        <stp/>
        <stp>BDP|9022425954586450356</stp>
        <tr r="B96" s="2"/>
      </tp>
      <tp t="s">
        <v>#N/A N/A</v>
        <stp/>
        <stp>BDP|8289353339763942609</stp>
        <tr r="G4875" s="2"/>
      </tp>
      <tp t="s">
        <v>#N/A N/A</v>
        <stp/>
        <stp>BDP|4519038671418991695</stp>
        <tr r="I4171" s="2"/>
      </tp>
      <tp t="s">
        <v>#N/A N/A</v>
        <stp/>
        <stp>BDP|6201813769653563683</stp>
        <tr r="H1885" s="2"/>
      </tp>
      <tp t="s">
        <v>#N/A N/A</v>
        <stp/>
        <stp>BDP|2145814306817495051</stp>
        <tr r="D3306" s="2"/>
      </tp>
      <tp t="s">
        <v>#N/A N/A</v>
        <stp/>
        <stp>BDP|4666959951524581102</stp>
        <tr r="D2969" s="2"/>
      </tp>
      <tp t="s">
        <v>#N/A N/A</v>
        <stp/>
        <stp>BDP|6555176316193520860</stp>
        <tr r="D313" s="2"/>
      </tp>
      <tp t="s">
        <v>#N/A N/A</v>
        <stp/>
        <stp>BDP|4749852903205029466</stp>
        <tr r="B1884" s="2"/>
      </tp>
      <tp t="s">
        <v>#N/A N/A</v>
        <stp/>
        <stp>BDP|7150687986657046380</stp>
        <tr r="H4058" s="2"/>
      </tp>
      <tp t="s">
        <v>#N/A N/A</v>
        <stp/>
        <stp>BDP|8084349355775626607</stp>
        <tr r="I75" s="2"/>
      </tp>
      <tp t="s">
        <v>#N/A N/A</v>
        <stp/>
        <stp>BDP|2299494929650612939</stp>
        <tr r="D566" s="2"/>
      </tp>
      <tp t="s">
        <v>#N/A N/A</v>
        <stp/>
        <stp>BDP|2828349008879308500</stp>
        <tr r="B281" s="2"/>
      </tp>
      <tp t="s">
        <v>#N/A N/A</v>
        <stp/>
        <stp>BDP|7047866053315631241</stp>
        <tr r="C2316" s="2"/>
      </tp>
      <tp t="s">
        <v>#N/A N/A</v>
        <stp/>
        <stp>BDP|4081217383394085757</stp>
        <tr r="F2433" s="2"/>
      </tp>
      <tp t="s">
        <v>#N/A N/A</v>
        <stp/>
        <stp>BDP|8041232511225519306</stp>
        <tr r="A1314" s="2"/>
      </tp>
      <tp t="s">
        <v>#N/A N/A</v>
        <stp/>
        <stp>BDP|7755360103801680837</stp>
        <tr r="F3152" s="2"/>
      </tp>
      <tp t="s">
        <v>#N/A N/A</v>
        <stp/>
        <stp>BDP|2416298000968835521</stp>
        <tr r="B4824" s="2"/>
      </tp>
      <tp t="s">
        <v>#N/A N/A</v>
        <stp/>
        <stp>BDP|9845095441039752906</stp>
        <tr r="C1408" s="2"/>
      </tp>
      <tp t="s">
        <v>#N/A N/A</v>
        <stp/>
        <stp>BDP|9004240558353919020</stp>
        <tr r="D4129" s="2"/>
      </tp>
      <tp t="s">
        <v>#N/A N/A</v>
        <stp/>
        <stp>BDP|2189127985147781163</stp>
        <tr r="D3140" s="2"/>
      </tp>
      <tp t="s">
        <v>#N/A N/A</v>
        <stp/>
        <stp>BDP|1460010679259905221</stp>
        <tr r="G2850" s="2"/>
      </tp>
      <tp t="s">
        <v>#N/A N/A</v>
        <stp/>
        <stp>BDP|9348524067532728562</stp>
        <tr r="A1798" s="2"/>
      </tp>
      <tp t="s">
        <v>#N/A N/A</v>
        <stp/>
        <stp>BDP|4056030398031473186</stp>
        <tr r="C2608" s="2"/>
      </tp>
      <tp t="s">
        <v>#N/A N/A</v>
        <stp/>
        <stp>BDP|4250972372917324038</stp>
        <tr r="D2638" s="2"/>
      </tp>
      <tp t="s">
        <v>#N/A N/A</v>
        <stp/>
        <stp>BDP|4683580269733090902</stp>
        <tr r="I4125" s="2"/>
      </tp>
      <tp t="s">
        <v>#N/A N/A</v>
        <stp/>
        <stp>BDP|5562172205419603064</stp>
        <tr r="F2986" s="2"/>
      </tp>
      <tp t="s">
        <v>#N/A N/A</v>
        <stp/>
        <stp>BDP|5785953774886678070</stp>
        <tr r="C2234" s="2"/>
      </tp>
      <tp t="s">
        <v>#N/A N/A</v>
        <stp/>
        <stp>BDP|5429886348215735141</stp>
        <tr r="H976" s="2"/>
      </tp>
      <tp t="s">
        <v>#N/A N/A</v>
        <stp/>
        <stp>BDP|8649070733606177041</stp>
        <tr r="I4649" s="2"/>
      </tp>
      <tp t="s">
        <v>#N/A N/A</v>
        <stp/>
        <stp>BDP|8668331829760212496</stp>
        <tr r="I2736" s="2"/>
      </tp>
      <tp t="s">
        <v>#N/A N/A</v>
        <stp/>
        <stp>BDP|8905679390029873319</stp>
        <tr r="H160" s="2"/>
      </tp>
      <tp t="s">
        <v>#N/A N/A</v>
        <stp/>
        <stp>BDP|1095749885441744217</stp>
        <tr r="I1219" s="2"/>
      </tp>
      <tp t="s">
        <v>#N/A N/A</v>
        <stp/>
        <stp>BDP|2911049475090781887</stp>
        <tr r="G1024" s="2"/>
      </tp>
      <tp t="s">
        <v>#N/A N/A</v>
        <stp/>
        <stp>BDP|2032427524281671876</stp>
        <tr r="B348" s="2"/>
      </tp>
      <tp t="s">
        <v>#N/A N/A</v>
        <stp/>
        <stp>BDP|5871983767760069702</stp>
        <tr r="A2591" s="2"/>
      </tp>
      <tp t="s">
        <v>#N/A N/A</v>
        <stp/>
        <stp>BDP|6359809436031324119</stp>
        <tr r="H1730" s="2"/>
      </tp>
      <tp t="s">
        <v>#N/A N/A</v>
        <stp/>
        <stp>BDP|7124863912570500373</stp>
        <tr r="H3711" s="2"/>
      </tp>
      <tp t="s">
        <v>#N/A N/A</v>
        <stp/>
        <stp>BDP|9680974376089789372</stp>
        <tr r="B2439" s="2"/>
      </tp>
      <tp t="s">
        <v>#N/A N/A</v>
        <stp/>
        <stp>BDP|5639196498711952191</stp>
        <tr r="D26" s="2"/>
      </tp>
      <tp t="s">
        <v>#N/A N/A</v>
        <stp/>
        <stp>BDP|9790753478185544189</stp>
        <tr r="C1928" s="2"/>
      </tp>
      <tp t="s">
        <v>#N/A N/A</v>
        <stp/>
        <stp>BDP|6982483729094419983</stp>
        <tr r="F2846" s="2"/>
      </tp>
      <tp t="s">
        <v>#N/A N/A</v>
        <stp/>
        <stp>BDP|9328963298886920202</stp>
        <tr r="B2045" s="2"/>
      </tp>
      <tp t="s">
        <v>#N/A N/A</v>
        <stp/>
        <stp>BDP|4158270906933231866</stp>
        <tr r="F1351" s="2"/>
      </tp>
      <tp t="s">
        <v>#N/A N/A</v>
        <stp/>
        <stp>BDP|4470475510618197464</stp>
        <tr r="D4125" s="2"/>
      </tp>
      <tp t="s">
        <v>#N/A N/A</v>
        <stp/>
        <stp>BDP|9323496127282184087</stp>
        <tr r="C3801" s="2"/>
      </tp>
      <tp t="s">
        <v>#N/A N/A</v>
        <stp/>
        <stp>BDP|6228474868118060199</stp>
        <tr r="H4244" s="2"/>
      </tp>
      <tp t="s">
        <v>#N/A N/A</v>
        <stp/>
        <stp>BDP|8356628540974595305</stp>
        <tr r="B1616" s="2"/>
      </tp>
      <tp t="s">
        <v>#N/A N/A</v>
        <stp/>
        <stp>BDP|1015033794485171029</stp>
        <tr r="C3226" s="2"/>
      </tp>
      <tp t="s">
        <v>#N/A N/A</v>
        <stp/>
        <stp>BDP|9520058226043232502</stp>
        <tr r="D1548" s="2"/>
      </tp>
      <tp t="s">
        <v>#N/A N/A</v>
        <stp/>
        <stp>BDP|7780676731936783924</stp>
        <tr r="A1199" s="2"/>
      </tp>
      <tp t="s">
        <v>#N/A N/A</v>
        <stp/>
        <stp>BDP|5636903249033334688</stp>
        <tr r="B2100" s="2"/>
      </tp>
      <tp t="s">
        <v>#N/A N/A</v>
        <stp/>
        <stp>BDP|9315668951804025308</stp>
        <tr r="F4722" s="2"/>
      </tp>
      <tp t="s">
        <v>#N/A N/A</v>
        <stp/>
        <stp>BDP|1590395798317708175</stp>
        <tr r="D15" s="2"/>
      </tp>
      <tp t="s">
        <v>#N/A N/A</v>
        <stp/>
        <stp>BDP|6149287678839564707</stp>
        <tr r="H869" s="2"/>
      </tp>
      <tp t="s">
        <v>#N/A N/A</v>
        <stp/>
        <stp>BDP|7733122048886043997</stp>
        <tr r="F703" s="2"/>
      </tp>
      <tp t="s">
        <v>#N/A N/A</v>
        <stp/>
        <stp>BDP|2331050062300691964</stp>
        <tr r="I2429" s="2"/>
      </tp>
      <tp t="s">
        <v>#N/A N/A</v>
        <stp/>
        <stp>BDP|4967188503101161974</stp>
        <tr r="I3876" s="2"/>
      </tp>
      <tp t="s">
        <v>#N/A N/A</v>
        <stp/>
        <stp>BDP|7228690899011162479</stp>
        <tr r="A3351" s="2"/>
      </tp>
      <tp t="s">
        <v>#N/A N/A</v>
        <stp/>
        <stp>BDP|4610246160725598834</stp>
        <tr r="H1241" s="2"/>
      </tp>
      <tp t="s">
        <v>#N/A N/A</v>
        <stp/>
        <stp>BDP|5304506786463761668</stp>
        <tr r="H4648" s="2"/>
      </tp>
      <tp t="s">
        <v>#N/A N/A</v>
        <stp/>
        <stp>BDP|3815498111032372972</stp>
        <tr r="C4434" s="2"/>
      </tp>
      <tp t="s">
        <v>#N/A N/A</v>
        <stp/>
        <stp>BDP|7802079403629162395</stp>
        <tr r="A3408" s="2"/>
      </tp>
      <tp t="s">
        <v>#N/A N/A</v>
        <stp/>
        <stp>BDP|4097201272819783514</stp>
        <tr r="G3932" s="2"/>
      </tp>
      <tp t="s">
        <v>#N/A N/A</v>
        <stp/>
        <stp>BDP|8585856993941424539</stp>
        <tr r="G1697" s="2"/>
      </tp>
      <tp t="s">
        <v>#N/A N/A</v>
        <stp/>
        <stp>BDP|9690203020994081027</stp>
        <tr r="G787" s="2"/>
      </tp>
      <tp t="s">
        <v>#N/A N/A</v>
        <stp/>
        <stp>BDP|6128608322846376949</stp>
        <tr r="G4071" s="2"/>
      </tp>
      <tp t="s">
        <v>#N/A N/A</v>
        <stp/>
        <stp>BDP|1484964945157742645</stp>
        <tr r="I3081" s="2"/>
      </tp>
      <tp t="s">
        <v>#N/A N/A</v>
        <stp/>
        <stp>BDP|4130332997864735766</stp>
        <tr r="F1326" s="2"/>
      </tp>
      <tp t="s">
        <v>#N/A N/A</v>
        <stp/>
        <stp>BDP|8478879627906119918</stp>
        <tr r="H3495" s="2"/>
      </tp>
      <tp t="s">
        <v>#N/A N/A</v>
        <stp/>
        <stp>BDP|8544766153805159251</stp>
        <tr r="F565" s="2"/>
      </tp>
      <tp t="s">
        <v>#N/A N/A</v>
        <stp/>
        <stp>BDP|6695980935039636894</stp>
        <tr r="F379" s="2"/>
      </tp>
      <tp t="s">
        <v>#N/A N/A</v>
        <stp/>
        <stp>BDP|7612721027839428634</stp>
        <tr r="I2611" s="2"/>
      </tp>
      <tp t="s">
        <v>#N/A N/A</v>
        <stp/>
        <stp>BDP|8500018721691157605</stp>
        <tr r="C351" s="2"/>
      </tp>
      <tp t="s">
        <v>#N/A N/A</v>
        <stp/>
        <stp>BDP|7166870645492009473</stp>
        <tr r="I3399" s="2"/>
      </tp>
      <tp t="s">
        <v>#N/A N/A</v>
        <stp/>
        <stp>BDP|1148395544312162995</stp>
        <tr r="H4803" s="2"/>
      </tp>
      <tp t="s">
        <v>#N/A N/A</v>
        <stp/>
        <stp>BDP|9736355277137159703</stp>
        <tr r="I3933" s="2"/>
      </tp>
      <tp t="s">
        <v>#N/A N/A</v>
        <stp/>
        <stp>BDP|2801275464382815976</stp>
        <tr r="A4950" s="2"/>
      </tp>
      <tp t="s">
        <v>#N/A N/A</v>
        <stp/>
        <stp>BDP|3837231126646068893</stp>
        <tr r="H855" s="2"/>
      </tp>
      <tp t="s">
        <v>#N/A N/A</v>
        <stp/>
        <stp>BDP|8523466927466706571</stp>
        <tr r="B4100" s="2"/>
      </tp>
      <tp t="s">
        <v>#N/A N/A</v>
        <stp/>
        <stp>BDP|5549825189889283181</stp>
        <tr r="H2354" s="2"/>
      </tp>
      <tp t="s">
        <v>#N/A N/A</v>
        <stp/>
        <stp>BDP|2135314787194256013</stp>
        <tr r="C706" s="2"/>
      </tp>
      <tp t="s">
        <v>#N/A N/A</v>
        <stp/>
        <stp>BDP|2822161466889481183</stp>
        <tr r="G4264" s="2"/>
      </tp>
      <tp t="s">
        <v>#N/A N/A</v>
        <stp/>
        <stp>BDP|8342457651774556062</stp>
        <tr r="F3673" s="2"/>
      </tp>
      <tp t="s">
        <v>#N/A N/A</v>
        <stp/>
        <stp>BDP|8639611377096476206</stp>
        <tr r="G3718" s="2"/>
      </tp>
      <tp t="s">
        <v>#N/A N/A</v>
        <stp/>
        <stp>BDP|9943055438036851187</stp>
        <tr r="B2532" s="2"/>
      </tp>
      <tp t="s">
        <v>#N/A N/A</v>
        <stp/>
        <stp>BDP|8555514442441063520</stp>
        <tr r="H3424" s="2"/>
      </tp>
      <tp t="s">
        <v>#N/A N/A</v>
        <stp/>
        <stp>BDP|8914766651221310697</stp>
        <tr r="A1759" s="2"/>
      </tp>
      <tp t="s">
        <v>#N/A N/A</v>
        <stp/>
        <stp>BDP|7709471452313752814</stp>
        <tr r="F4362" s="2"/>
      </tp>
      <tp t="s">
        <v>#N/A N/A</v>
        <stp/>
        <stp>BDP|7585512995131004758</stp>
        <tr r="A3951" s="2"/>
      </tp>
      <tp t="s">
        <v>#N/A N/A</v>
        <stp/>
        <stp>BDP|9457759474393651779</stp>
        <tr r="D4554" s="2"/>
      </tp>
      <tp t="s">
        <v>#N/A N/A</v>
        <stp/>
        <stp>BDP|3133151495117780129</stp>
        <tr r="G1392" s="2"/>
      </tp>
      <tp t="s">
        <v>#N/A N/A</v>
        <stp/>
        <stp>BDP|8201594661194659282</stp>
        <tr r="D2520" s="2"/>
      </tp>
      <tp t="s">
        <v>#N/A N/A</v>
        <stp/>
        <stp>BDP|8343331903540259657</stp>
        <tr r="B1652" s="2"/>
      </tp>
      <tp t="s">
        <v>#N/A N/A</v>
        <stp/>
        <stp>BDP|9355949713549031508</stp>
        <tr r="D1970" s="2"/>
      </tp>
      <tp t="s">
        <v>#N/A N/A</v>
        <stp/>
        <stp>BDP|9775574946540139537</stp>
        <tr r="I4063" s="2"/>
      </tp>
      <tp t="s">
        <v>#N/A N/A</v>
        <stp/>
        <stp>BDP|2787532535630183946</stp>
        <tr r="F4096" s="2"/>
      </tp>
      <tp t="s">
        <v>#N/A N/A</v>
        <stp/>
        <stp>BDP|3512900624062341767</stp>
        <tr r="I4434" s="2"/>
      </tp>
      <tp t="s">
        <v>#N/A N/A</v>
        <stp/>
        <stp>BDP|9081910320479269678</stp>
        <tr r="G2435" s="2"/>
      </tp>
      <tp t="s">
        <v>#N/A N/A</v>
        <stp/>
        <stp>BDP|1619775623679235043</stp>
        <tr r="D1968" s="2"/>
      </tp>
      <tp t="s">
        <v>#N/A N/A</v>
        <stp/>
        <stp>BDP|2556931183499876795</stp>
        <tr r="F3874" s="2"/>
      </tp>
      <tp t="s">
        <v>#N/A N/A</v>
        <stp/>
        <stp>BDP|1437577191275728516</stp>
        <tr r="D1893" s="2"/>
      </tp>
      <tp t="s">
        <v>#N/A N/A</v>
        <stp/>
        <stp>BDP|8469656910762532001</stp>
        <tr r="B1244" s="2"/>
      </tp>
      <tp t="s">
        <v>#N/A N/A</v>
        <stp/>
        <stp>BDP|7156832271232437733</stp>
        <tr r="B3816" s="2"/>
      </tp>
      <tp t="s">
        <v>#N/A N/A</v>
        <stp/>
        <stp>BDP|7231914627553720275</stp>
        <tr r="D4973" s="2"/>
      </tp>
      <tp t="s">
        <v>#N/A N/A</v>
        <stp/>
        <stp>BDP|4223241233708179006</stp>
        <tr r="D4478" s="2"/>
      </tp>
      <tp t="s">
        <v>#N/A N/A</v>
        <stp/>
        <stp>BDP|3220926853181409330</stp>
        <tr r="B3130" s="2"/>
      </tp>
      <tp t="s">
        <v>#N/A N/A</v>
        <stp/>
        <stp>BDP|9301610430673508233</stp>
        <tr r="I3294" s="2"/>
      </tp>
      <tp t="s">
        <v>#N/A N/A</v>
        <stp/>
        <stp>BDP|1383898845559975927</stp>
        <tr r="I3974" s="2"/>
      </tp>
      <tp t="s">
        <v>#N/A N/A</v>
        <stp/>
        <stp>BDP|6303439493873341541</stp>
        <tr r="D3293" s="2"/>
      </tp>
      <tp t="s">
        <v>#N/A N/A</v>
        <stp/>
        <stp>BDP|6831325599935426439</stp>
        <tr r="H263" s="2"/>
      </tp>
      <tp t="s">
        <v>#N/A N/A</v>
        <stp/>
        <stp>BDP|2631430397164746612</stp>
        <tr r="A301" s="2"/>
      </tp>
      <tp t="s">
        <v>#N/A N/A</v>
        <stp/>
        <stp>BDP|2022639297481680163</stp>
        <tr r="I2783" s="2"/>
      </tp>
      <tp t="s">
        <v>#N/A N/A</v>
        <stp/>
        <stp>BDP|4781519894472276746</stp>
        <tr r="H2259" s="2"/>
      </tp>
      <tp t="s">
        <v>#N/A N/A</v>
        <stp/>
        <stp>BDP|4465629392563250528</stp>
        <tr r="F737" s="2"/>
      </tp>
      <tp t="s">
        <v>#N/A N/A</v>
        <stp/>
        <stp>BDP|4827314297532214185</stp>
        <tr r="B4657" s="2"/>
      </tp>
      <tp t="s">
        <v>#N/A N/A</v>
        <stp/>
        <stp>BDP|7566330910628010026</stp>
        <tr r="A2552" s="2"/>
      </tp>
      <tp t="s">
        <v>#N/A N/A</v>
        <stp/>
        <stp>BDP|6335252164748237743</stp>
        <tr r="G1944" s="2"/>
      </tp>
      <tp t="s">
        <v>#N/A N/A</v>
        <stp/>
        <stp>BDP|8674150126010028613</stp>
        <tr r="D1607" s="2"/>
      </tp>
      <tp t="s">
        <v>#N/A N/A</v>
        <stp/>
        <stp>BDP|1117927944625132425</stp>
        <tr r="H3743" s="2"/>
      </tp>
      <tp t="s">
        <v>#N/A N/A</v>
        <stp/>
        <stp>BDP|4959281144397238832</stp>
        <tr r="D2544" s="2"/>
      </tp>
      <tp t="s">
        <v>#N/A N/A</v>
        <stp/>
        <stp>BDP|3210336567462329917</stp>
        <tr r="H4666" s="2"/>
      </tp>
      <tp t="s">
        <v>#N/A N/A</v>
        <stp/>
        <stp>BDP|3407593179974537840</stp>
        <tr r="H1873" s="2"/>
      </tp>
      <tp t="s">
        <v>#N/A N/A</v>
        <stp/>
        <stp>BDP|2550955712895432232</stp>
        <tr r="C2233" s="2"/>
      </tp>
      <tp t="s">
        <v>#N/A N/A</v>
        <stp/>
        <stp>BDP|5856739859198678213</stp>
        <tr r="I796" s="2"/>
      </tp>
      <tp t="s">
        <v>#N/A N/A</v>
        <stp/>
        <stp>BDP|6034704673592534938</stp>
        <tr r="G1453" s="2"/>
      </tp>
      <tp t="s">
        <v>#N/A N/A</v>
        <stp/>
        <stp>BDP|8682627014901676339</stp>
        <tr r="A4126" s="2"/>
      </tp>
      <tp t="s">
        <v>#N/A N/A</v>
        <stp/>
        <stp>BDP|4311151385817125772</stp>
        <tr r="H3461" s="2"/>
      </tp>
      <tp t="s">
        <v>#N/A N/A</v>
        <stp/>
        <stp>BDP|9937224381259947769</stp>
        <tr r="B3724" s="2"/>
      </tp>
      <tp t="s">
        <v>#N/A N/A</v>
        <stp/>
        <stp>BDP|9248444463851885788</stp>
        <tr r="A1219" s="2"/>
      </tp>
      <tp t="s">
        <v>#N/A N/A</v>
        <stp/>
        <stp>BDP|8644480967986410187</stp>
        <tr r="B4039" s="2"/>
      </tp>
      <tp t="s">
        <v>#N/A N/A</v>
        <stp/>
        <stp>BDP|8581389233236881330</stp>
        <tr r="G1747" s="2"/>
      </tp>
      <tp t="s">
        <v>#N/A N/A</v>
        <stp/>
        <stp>BDP|3796821802456765051</stp>
        <tr r="C1345" s="2"/>
      </tp>
      <tp t="s">
        <v>#N/A N/A</v>
        <stp/>
        <stp>BDP|8385582850307733291</stp>
        <tr r="F1568" s="2"/>
      </tp>
      <tp t="s">
        <v>#N/A N/A</v>
        <stp/>
        <stp>BDP|7662806571932311712</stp>
        <tr r="G4017" s="2"/>
      </tp>
      <tp t="s">
        <v>#N/A N/A</v>
        <stp/>
        <stp>BDP|8383065346706386758</stp>
        <tr r="C2561" s="2"/>
      </tp>
      <tp t="s">
        <v>#N/A N/A</v>
        <stp/>
        <stp>BDP|5952721017876806816</stp>
        <tr r="A2780" s="2"/>
      </tp>
      <tp t="s">
        <v>#N/A N/A</v>
        <stp/>
        <stp>BDP|4726469473023388949</stp>
        <tr r="B1691" s="2"/>
      </tp>
      <tp t="s">
        <v>#N/A N/A</v>
        <stp/>
        <stp>BDP|2450768787619356933</stp>
        <tr r="F1159" s="2"/>
      </tp>
      <tp t="s">
        <v>#N/A N/A</v>
        <stp/>
        <stp>BDP|1400092372543326898</stp>
        <tr r="I1125" s="2"/>
      </tp>
      <tp t="s">
        <v>#N/A N/A</v>
        <stp/>
        <stp>BDP|9999439578397594027</stp>
        <tr r="B2463" s="2"/>
      </tp>
      <tp t="s">
        <v>#N/A N/A</v>
        <stp/>
        <stp>BDP|5428719354902276868</stp>
        <tr r="D3496" s="2"/>
      </tp>
      <tp t="s">
        <v>#N/A N/A</v>
        <stp/>
        <stp>BDP|8034060386088768529</stp>
        <tr r="I4083" s="2"/>
      </tp>
      <tp t="s">
        <v>#N/A N/A</v>
        <stp/>
        <stp>BDP|1271508434153710943</stp>
        <tr r="D1131" s="2"/>
      </tp>
      <tp t="s">
        <v>#N/A N/A</v>
        <stp/>
        <stp>BDP|2315816447916071505</stp>
        <tr r="F1207" s="2"/>
      </tp>
      <tp t="s">
        <v>#N/A N/A</v>
        <stp/>
        <stp>BDP|4265771144823315971</stp>
        <tr r="F4098" s="2"/>
      </tp>
      <tp t="s">
        <v>#N/A N/A</v>
        <stp/>
        <stp>BDP|8098184743537964771</stp>
        <tr r="I4509" s="2"/>
      </tp>
      <tp t="s">
        <v>#N/A N/A</v>
        <stp/>
        <stp>BDP|9779420034850726332</stp>
        <tr r="D2127" s="2"/>
      </tp>
      <tp t="s">
        <v>#N/A N/A</v>
        <stp/>
        <stp>BDP|1069788299655145753</stp>
        <tr r="B108" s="2"/>
      </tp>
      <tp t="s">
        <v>#N/A N/A</v>
        <stp/>
        <stp>BDP|1530368593912090455</stp>
        <tr r="B507" s="2"/>
      </tp>
      <tp t="s">
        <v>#N/A N/A</v>
        <stp/>
        <stp>BDP|5687051094272131336</stp>
        <tr r="A4997" s="2"/>
      </tp>
      <tp t="s">
        <v>#N/A N/A</v>
        <stp/>
        <stp>BDP|9039358677143644310</stp>
        <tr r="I4980" s="2"/>
      </tp>
      <tp t="s">
        <v>#N/A N/A</v>
        <stp/>
        <stp>BDP|2174844945125596605</stp>
        <tr r="A2543" s="2"/>
      </tp>
      <tp t="s">
        <v>#N/A N/A</v>
        <stp/>
        <stp>BDP|9131410049734438089</stp>
        <tr r="F1296" s="2"/>
      </tp>
      <tp t="s">
        <v>#N/A N/A</v>
        <stp/>
        <stp>BDP|6852600843399666081</stp>
        <tr r="F120" s="2"/>
      </tp>
      <tp t="s">
        <v>#N/A N/A</v>
        <stp/>
        <stp>BDP|2358916036302619770</stp>
        <tr r="G1090" s="2"/>
      </tp>
      <tp t="s">
        <v>#N/A N/A</v>
        <stp/>
        <stp>BDP|1646986551470379090</stp>
        <tr r="B2447" s="2"/>
      </tp>
      <tp t="s">
        <v>#N/A N/A</v>
        <stp/>
        <stp>BDP|7541405000387603963</stp>
        <tr r="C3312" s="2"/>
      </tp>
      <tp t="s">
        <v>#N/A N/A</v>
        <stp/>
        <stp>BDP|7529828398093927838</stp>
        <tr r="C2782" s="2"/>
      </tp>
      <tp t="s">
        <v>#N/A N/A</v>
        <stp/>
        <stp>BDP|8831664360684846135</stp>
        <tr r="F4982" s="2"/>
      </tp>
      <tp t="s">
        <v>#N/A N/A</v>
        <stp/>
        <stp>BDP|8098612977840528461</stp>
        <tr r="F2810" s="2"/>
      </tp>
      <tp t="s">
        <v>#N/A N/A</v>
        <stp/>
        <stp>BDP|5528823095660060971</stp>
        <tr r="B2476" s="2"/>
      </tp>
      <tp t="s">
        <v>#N/A N/A</v>
        <stp/>
        <stp>BDP|5954794450189276377</stp>
        <tr r="I2689" s="2"/>
      </tp>
      <tp t="s">
        <v>#N/A N/A</v>
        <stp/>
        <stp>BDP|7451634497785653033</stp>
        <tr r="A1643" s="2"/>
      </tp>
      <tp t="s">
        <v>#N/A N/A</v>
        <stp/>
        <stp>BDP|2077912864346951693</stp>
        <tr r="F3728" s="2"/>
      </tp>
      <tp t="s">
        <v>#N/A N/A</v>
        <stp/>
        <stp>BDP|2695352955710187924</stp>
        <tr r="D139" s="2"/>
      </tp>
      <tp t="s">
        <v>#N/A N/A</v>
        <stp/>
        <stp>BDP|7810018024340994810</stp>
        <tr r="G4470" s="2"/>
      </tp>
      <tp t="s">
        <v>#N/A N/A</v>
        <stp/>
        <stp>BDP|4435741891841085641</stp>
        <tr r="G25" s="2"/>
      </tp>
      <tp t="s">
        <v>#N/A N/A</v>
        <stp/>
        <stp>BDP|4190459710299903581</stp>
        <tr r="H4705" s="2"/>
      </tp>
      <tp t="s">
        <v>#N/A N/A</v>
        <stp/>
        <stp>BDP|9546241970474245566</stp>
        <tr r="F1533" s="2"/>
      </tp>
      <tp t="s">
        <v>#N/A N/A</v>
        <stp/>
        <stp>BDP|7327600846010537852</stp>
        <tr r="C2407" s="2"/>
      </tp>
      <tp t="s">
        <v>#N/A N/A</v>
        <stp/>
        <stp>BDP|5702977700687137641</stp>
        <tr r="I3417" s="2"/>
      </tp>
      <tp t="s">
        <v>#N/A N/A</v>
        <stp/>
        <stp>BDP|8519088933901934721</stp>
        <tr r="A1807" s="2"/>
      </tp>
      <tp t="s">
        <v>#N/A N/A</v>
        <stp/>
        <stp>BDP|7375949070806310215</stp>
        <tr r="G306" s="2"/>
      </tp>
      <tp t="s">
        <v>#N/A N/A</v>
        <stp/>
        <stp>BDP|9825054573532356184</stp>
        <tr r="H121" s="2"/>
      </tp>
      <tp t="s">
        <v>#N/A N/A</v>
        <stp/>
        <stp>BDP|5238762494430739624</stp>
        <tr r="D2428" s="2"/>
      </tp>
      <tp t="s">
        <v>#N/A N/A</v>
        <stp/>
        <stp>BDP|5183871650851337400</stp>
        <tr r="A1304" s="2"/>
      </tp>
      <tp t="s">
        <v>#N/A N/A</v>
        <stp/>
        <stp>BDP|4316263386545221647</stp>
        <tr r="C850" s="2"/>
      </tp>
      <tp t="s">
        <v>#N/A N/A</v>
        <stp/>
        <stp>BDP|6718241064518445763</stp>
        <tr r="C246" s="2"/>
      </tp>
      <tp t="s">
        <v>#N/A N/A</v>
        <stp/>
        <stp>BDP|7943406070228559197</stp>
        <tr r="H726" s="2"/>
      </tp>
      <tp t="s">
        <v>#N/A N/A</v>
        <stp/>
        <stp>BDP|4949135975338358795</stp>
        <tr r="F1695" s="2"/>
      </tp>
      <tp t="s">
        <v>#N/A N/A</v>
        <stp/>
        <stp>BDP|6066028986840900384</stp>
        <tr r="F4967" s="2"/>
      </tp>
      <tp t="s">
        <v>#N/A N/A</v>
        <stp/>
        <stp>BDP|7304844396089044242</stp>
        <tr r="D2257" s="2"/>
      </tp>
      <tp t="s">
        <v>#N/A N/A</v>
        <stp/>
        <stp>BDP|5967726159422006871</stp>
        <tr r="D3251" s="2"/>
      </tp>
      <tp t="s">
        <v>#N/A N/A</v>
        <stp/>
        <stp>BDP|8265041879186374495</stp>
        <tr r="G2635" s="2"/>
      </tp>
      <tp t="s">
        <v>#N/A N/A</v>
        <stp/>
        <stp>BDP|1810750670148860402</stp>
        <tr r="I2132" s="2"/>
      </tp>
      <tp t="s">
        <v>#N/A N/A</v>
        <stp/>
        <stp>BDP|9324034289068473485</stp>
        <tr r="F4665" s="2"/>
      </tp>
      <tp t="s">
        <v>#N/A N/A</v>
        <stp/>
        <stp>BDP|6419901053124576372</stp>
        <tr r="F2529" s="2"/>
      </tp>
      <tp t="s">
        <v>#N/A N/A</v>
        <stp/>
        <stp>BDP|4782809828645846627</stp>
        <tr r="I758" s="2"/>
      </tp>
      <tp t="s">
        <v>#N/A N/A</v>
        <stp/>
        <stp>BDP|8687526525925128751</stp>
        <tr r="G2496" s="2"/>
      </tp>
      <tp t="s">
        <v>#N/A N/A</v>
        <stp/>
        <stp>BDP|5015521283734011141</stp>
        <tr r="D146" s="2"/>
      </tp>
      <tp t="s">
        <v>#N/A N/A</v>
        <stp/>
        <stp>BDP|5065675342622672865</stp>
        <tr r="A3819" s="2"/>
      </tp>
      <tp t="s">
        <v>#N/A N/A</v>
        <stp/>
        <stp>BDP|5949388390750758239</stp>
        <tr r="H3441" s="2"/>
      </tp>
      <tp t="s">
        <v>#N/A N/A</v>
        <stp/>
        <stp>BDP|9732718172327971388</stp>
        <tr r="B3210" s="2"/>
      </tp>
      <tp t="s">
        <v>#N/A N/A</v>
        <stp/>
        <stp>BDP|9059121620790517725</stp>
        <tr r="G4082" s="2"/>
      </tp>
      <tp t="s">
        <v>#N/A N/A</v>
        <stp/>
        <stp>BDP|6661895759520677656</stp>
        <tr r="G1211" s="2"/>
      </tp>
      <tp t="s">
        <v>#N/A N/A</v>
        <stp/>
        <stp>BDP|3510761682274319574</stp>
        <tr r="D1430" s="2"/>
      </tp>
      <tp t="s">
        <v>#N/A N/A</v>
        <stp/>
        <stp>BDP|6426133138121247882</stp>
        <tr r="A2300" s="2"/>
      </tp>
      <tp t="s">
        <v>#N/A N/A</v>
        <stp/>
        <stp>BDP|4659139097024625518</stp>
        <tr r="H1205" s="2"/>
      </tp>
      <tp t="s">
        <v>#N/A N/A</v>
        <stp/>
        <stp>BDP|9344533080389602032</stp>
        <tr r="B1771" s="2"/>
      </tp>
      <tp t="s">
        <v>#N/A N/A</v>
        <stp/>
        <stp>BDP|8289780407231259056</stp>
        <tr r="C2558" s="2"/>
      </tp>
      <tp t="s">
        <v>#N/A N/A</v>
        <stp/>
        <stp>BDP|8393840769000653825</stp>
        <tr r="C3852" s="2"/>
      </tp>
      <tp t="s">
        <v>#N/A N/A</v>
        <stp/>
        <stp>BDP|1759655459944599849</stp>
        <tr r="F2032" s="2"/>
      </tp>
      <tp t="s">
        <v>#N/A N/A</v>
        <stp/>
        <stp>BDP|8398837416399804644</stp>
        <tr r="A1577" s="2"/>
      </tp>
      <tp t="s">
        <v>#N/A N/A</v>
        <stp/>
        <stp>BDP|8472857544652891876</stp>
        <tr r="C726" s="2"/>
      </tp>
      <tp t="s">
        <v>#N/A N/A</v>
        <stp/>
        <stp>BDP|1288485594270474201</stp>
        <tr r="I179" s="2"/>
      </tp>
      <tp t="s">
        <v>#N/A N/A</v>
        <stp/>
        <stp>BDP|8889221393398376505</stp>
        <tr r="C2028" s="2"/>
      </tp>
      <tp t="s">
        <v>#N/A N/A</v>
        <stp/>
        <stp>BDP|4289556669891778839</stp>
        <tr r="H877" s="2"/>
      </tp>
      <tp t="s">
        <v>#N/A N/A</v>
        <stp/>
        <stp>BDP|2408458956309855455</stp>
        <tr r="C4756" s="2"/>
      </tp>
      <tp t="s">
        <v>#N/A N/A</v>
        <stp/>
        <stp>BDP|8283766775251243793</stp>
        <tr r="G3735" s="2"/>
      </tp>
      <tp t="s">
        <v>#N/A N/A</v>
        <stp/>
        <stp>BDP|2596976649045070412</stp>
        <tr r="A4560" s="2"/>
      </tp>
      <tp t="s">
        <v>#N/A N/A</v>
        <stp/>
        <stp>BDP|3677852662347899435</stp>
        <tr r="A1693" s="2"/>
      </tp>
      <tp t="s">
        <v>#N/A N/A</v>
        <stp/>
        <stp>BDP|8592141210697245190</stp>
        <tr r="F4198" s="2"/>
      </tp>
      <tp t="s">
        <v>#N/A N/A</v>
        <stp/>
        <stp>BDP|3107201899840225601</stp>
        <tr r="I3727" s="2"/>
      </tp>
      <tp t="s">
        <v>#N/A N/A</v>
        <stp/>
        <stp>BDP|9379769651083639687</stp>
        <tr r="D784" s="2"/>
      </tp>
      <tp t="s">
        <v>#N/A N/A</v>
        <stp/>
        <stp>BDP|5287090268055115884</stp>
        <tr r="G342" s="2"/>
      </tp>
      <tp t="s">
        <v>#N/A N/A</v>
        <stp/>
        <stp>BDP|9044240578053413128</stp>
        <tr r="G2040" s="2"/>
      </tp>
      <tp t="s">
        <v>#N/A N/A</v>
        <stp/>
        <stp>BDP|9002628493458853034</stp>
        <tr r="F1494" s="2"/>
      </tp>
      <tp t="s">
        <v>#N/A N/A</v>
        <stp/>
        <stp>BDP|8166590331074681453</stp>
        <tr r="F2021" s="2"/>
      </tp>
      <tp t="s">
        <v>#N/A N/A</v>
        <stp/>
        <stp>BDP|9819042420815721014</stp>
        <tr r="D1095" s="2"/>
      </tp>
      <tp t="s">
        <v>#N/A N/A</v>
        <stp/>
        <stp>BDP|8731740053877362391</stp>
        <tr r="F2405" s="2"/>
      </tp>
      <tp t="s">
        <v>#N/A N/A</v>
        <stp/>
        <stp>BDP|9221143627424283091</stp>
        <tr r="A2828" s="2"/>
      </tp>
      <tp t="s">
        <v>#N/A N/A</v>
        <stp/>
        <stp>BDP|9291922218369664642</stp>
        <tr r="A2580" s="2"/>
      </tp>
      <tp t="s">
        <v>#N/A N/A</v>
        <stp/>
        <stp>BDP|9389299155889352960</stp>
        <tr r="C344" s="2"/>
      </tp>
      <tp t="s">
        <v>#N/A N/A</v>
        <stp/>
        <stp>BDP|3177163627357287983</stp>
        <tr r="I4778" s="2"/>
      </tp>
      <tp t="s">
        <v>#N/A N/A</v>
        <stp/>
        <stp>BDP|2403446805931706980</stp>
        <tr r="C571" s="2"/>
      </tp>
      <tp t="s">
        <v>#N/A N/A</v>
        <stp/>
        <stp>BDP|8746626916860077192</stp>
        <tr r="A4136" s="2"/>
      </tp>
      <tp t="s">
        <v>#N/A N/A</v>
        <stp/>
        <stp>BDP|8092318960144377788</stp>
        <tr r="F4862" s="2"/>
      </tp>
      <tp t="s">
        <v>#N/A N/A</v>
        <stp/>
        <stp>BDP|3970563235912527951</stp>
        <tr r="D826" s="2"/>
      </tp>
      <tp t="s">
        <v>#N/A N/A</v>
        <stp/>
        <stp>BDP|8984242144544747445</stp>
        <tr r="A3867" s="2"/>
      </tp>
      <tp t="s">
        <v>#N/A N/A</v>
        <stp/>
        <stp>BDP|4561434969538012058</stp>
        <tr r="G1954" s="2"/>
      </tp>
      <tp t="s">
        <v>#N/A N/A</v>
        <stp/>
        <stp>BDP|2555587650634515824</stp>
        <tr r="H1359" s="2"/>
      </tp>
      <tp t="s">
        <v>#N/A N/A</v>
        <stp/>
        <stp>BDP|8492331034750060698</stp>
        <tr r="I4657" s="2"/>
      </tp>
      <tp t="s">
        <v>#N/A N/A</v>
        <stp/>
        <stp>BDP|8462370710212134686</stp>
        <tr r="B2641" s="2"/>
      </tp>
      <tp t="s">
        <v>#N/A N/A</v>
        <stp/>
        <stp>BDP|9807090432854197080</stp>
        <tr r="C4968" s="2"/>
      </tp>
      <tp t="s">
        <v>#N/A N/A</v>
        <stp/>
        <stp>BDP|3167416898411766153</stp>
        <tr r="C4076" s="2"/>
      </tp>
      <tp t="s">
        <v>#N/A N/A</v>
        <stp/>
        <stp>BDP|5754005192194848675</stp>
        <tr r="F1792" s="2"/>
      </tp>
      <tp t="s">
        <v>#N/A N/A</v>
        <stp/>
        <stp>BDP|5183878865456048390</stp>
        <tr r="D4693" s="2"/>
      </tp>
      <tp t="s">
        <v>#N/A N/A</v>
        <stp/>
        <stp>BDP|7618832078072628411</stp>
        <tr r="H2373" s="2"/>
      </tp>
      <tp t="s">
        <v>#N/A N/A</v>
        <stp/>
        <stp>BDP|4925221619161814803</stp>
        <tr r="I1028" s="2"/>
      </tp>
      <tp t="s">
        <v>#N/A N/A</v>
        <stp/>
        <stp>BDP|5195111949107200919</stp>
        <tr r="B649" s="2"/>
      </tp>
      <tp t="s">
        <v>#N/A N/A</v>
        <stp/>
        <stp>BDP|8042423866273629784</stp>
        <tr r="G3705" s="2"/>
      </tp>
      <tp t="s">
        <v>#N/A N/A</v>
        <stp/>
        <stp>BDP|6905793268720440963</stp>
        <tr r="G2153" s="2"/>
      </tp>
      <tp t="s">
        <v>#N/A N/A</v>
        <stp/>
        <stp>BDP|4944826516556657511</stp>
        <tr r="B2508" s="2"/>
      </tp>
      <tp t="s">
        <v>#N/A N/A</v>
        <stp/>
        <stp>BDP|9466540026617434780</stp>
        <tr r="F1322" s="2"/>
      </tp>
      <tp t="s">
        <v>#N/A N/A</v>
        <stp/>
        <stp>BDP|9714000748421649232</stp>
        <tr r="A2411" s="2"/>
      </tp>
      <tp t="s">
        <v>#N/A N/A</v>
        <stp/>
        <stp>BDP|1206185271950082916</stp>
        <tr r="B343" s="2"/>
      </tp>
      <tp t="s">
        <v>#N/A N/A</v>
        <stp/>
        <stp>BDP|7960923926756334443</stp>
        <tr r="B4829" s="2"/>
      </tp>
      <tp t="s">
        <v>#N/A N/A</v>
        <stp/>
        <stp>BDP|7148065418250232872</stp>
        <tr r="H3713" s="2"/>
      </tp>
      <tp t="s">
        <v>#N/A N/A</v>
        <stp/>
        <stp>BDP|6526889050820731505</stp>
        <tr r="B4257" s="2"/>
      </tp>
      <tp t="s">
        <v>#N/A N/A</v>
        <stp/>
        <stp>BDP|3538799398383944078</stp>
        <tr r="H4072" s="2"/>
      </tp>
      <tp t="s">
        <v>#N/A N/A</v>
        <stp/>
        <stp>BDP|8851562141100160745</stp>
        <tr r="I3353" s="2"/>
      </tp>
      <tp t="s">
        <v>#N/A N/A</v>
        <stp/>
        <stp>BDP|6563621429258128452</stp>
        <tr r="F2683" s="2"/>
      </tp>
      <tp t="s">
        <v>#N/A N/A</v>
        <stp/>
        <stp>BDP|5973934177631295458</stp>
        <tr r="F4760" s="2"/>
      </tp>
      <tp t="s">
        <v>#N/A N/A</v>
        <stp/>
        <stp>BDP|6898359171798120471</stp>
        <tr r="H3532" s="2"/>
      </tp>
      <tp t="s">
        <v>#N/A N/A</v>
        <stp/>
        <stp>BDP|6649533421139824660</stp>
        <tr r="A1396" s="2"/>
      </tp>
      <tp t="s">
        <v>#N/A N/A</v>
        <stp/>
        <stp>BDP|2518285984100605652</stp>
        <tr r="A3882" s="2"/>
      </tp>
      <tp t="s">
        <v>#N/A N/A</v>
        <stp/>
        <stp>BDP|5861230721729801286</stp>
        <tr r="F4819" s="2"/>
      </tp>
      <tp t="s">
        <v>#N/A N/A</v>
        <stp/>
        <stp>BDP|5226578945948334297</stp>
        <tr r="D1180" s="2"/>
      </tp>
      <tp t="s">
        <v>#N/A N/A</v>
        <stp/>
        <stp>BDP|5638362418051711857</stp>
        <tr r="F4776" s="2"/>
      </tp>
      <tp t="s">
        <v>#N/A N/A</v>
        <stp/>
        <stp>BDP|6179848610829945864</stp>
        <tr r="G2091" s="2"/>
      </tp>
      <tp t="s">
        <v>#N/A N/A</v>
        <stp/>
        <stp>BDP|2319814713641333487</stp>
        <tr r="A2105" s="2"/>
      </tp>
      <tp t="s">
        <v>#N/A N/A</v>
        <stp/>
        <stp>BDP|7900326884100332263</stp>
        <tr r="D310" s="2"/>
      </tp>
      <tp t="s">
        <v>#N/A N/A</v>
        <stp/>
        <stp>BDP|4465704361079651291</stp>
        <tr r="F3646" s="2"/>
      </tp>
      <tp t="s">
        <v>#N/A N/A</v>
        <stp/>
        <stp>BDP|9360112259620462352</stp>
        <tr r="B3789" s="2"/>
      </tp>
      <tp t="s">
        <v>#N/A N/A</v>
        <stp/>
        <stp>BDP|8948665217530025120</stp>
        <tr r="I2127" s="2"/>
      </tp>
      <tp t="s">
        <v>#N/A N/A</v>
        <stp/>
        <stp>BDP|4668162669758611554</stp>
        <tr r="F4062" s="2"/>
      </tp>
      <tp t="s">
        <v>#N/A N/A</v>
        <stp/>
        <stp>BDP|6326994780520759970</stp>
        <tr r="G995" s="2"/>
      </tp>
      <tp t="s">
        <v>#N/A N/A</v>
        <stp/>
        <stp>BDP|3038223295694885247</stp>
        <tr r="G914" s="2"/>
      </tp>
      <tp t="s">
        <v>#N/A N/A</v>
        <stp/>
        <stp>BDP|9081973078079267065</stp>
        <tr r="B2243" s="2"/>
      </tp>
      <tp t="s">
        <v>#N/A N/A</v>
        <stp/>
        <stp>BDP|4885911158211976734</stp>
        <tr r="C1865" s="2"/>
      </tp>
      <tp t="s">
        <v>#N/A N/A</v>
        <stp/>
        <stp>BDP|8910215022006398025</stp>
        <tr r="I455" s="2"/>
      </tp>
      <tp t="s">
        <v>#N/A N/A</v>
        <stp/>
        <stp>BDP|1661718054079812404</stp>
        <tr r="A2238" s="2"/>
      </tp>
      <tp t="s">
        <v>#N/A N/A</v>
        <stp/>
        <stp>BDP|5292111279039437450</stp>
        <tr r="F1757" s="2"/>
      </tp>
      <tp t="s">
        <v>#N/A N/A</v>
        <stp/>
        <stp>BDP|1159654526688053399</stp>
        <tr r="A2756" s="2"/>
      </tp>
      <tp t="s">
        <v>#N/A N/A</v>
        <stp/>
        <stp>BDP|9585123741632901046</stp>
        <tr r="I3046" s="2"/>
      </tp>
      <tp t="s">
        <v>#N/A N/A</v>
        <stp/>
        <stp>BDP|4243317841034912909</stp>
        <tr r="B3208" s="2"/>
      </tp>
      <tp t="s">
        <v>#N/A N/A</v>
        <stp/>
        <stp>BDP|7532123496238280980</stp>
        <tr r="G1049" s="2"/>
      </tp>
      <tp t="s">
        <v>#N/A N/A</v>
        <stp/>
        <stp>BDP|2615584312028164069</stp>
        <tr r="G2020" s="2"/>
      </tp>
      <tp t="s">
        <v>#N/A N/A</v>
        <stp/>
        <stp>BDP|2962869335495347225</stp>
        <tr r="C1923" s="2"/>
      </tp>
      <tp t="s">
        <v>#N/A N/A</v>
        <stp/>
        <stp>BDP|9078171252115790694</stp>
        <tr r="B4902" s="2"/>
      </tp>
      <tp t="s">
        <v>#N/A N/A</v>
        <stp/>
        <stp>BDP|6104418357711843846</stp>
        <tr r="G4784" s="2"/>
      </tp>
      <tp t="s">
        <v>#N/A N/A</v>
        <stp/>
        <stp>BDP|3174501692368183990</stp>
        <tr r="G1460" s="2"/>
      </tp>
      <tp t="s">
        <v>#N/A N/A</v>
        <stp/>
        <stp>BDP|3185014898582045630</stp>
        <tr r="A655" s="2"/>
      </tp>
      <tp t="s">
        <v>#N/A N/A</v>
        <stp/>
        <stp>BDP|5308210888641835098</stp>
        <tr r="G4612" s="2"/>
      </tp>
      <tp t="s">
        <v>#N/A N/A</v>
        <stp/>
        <stp>BDP|6030235717792883974</stp>
        <tr r="H4365" s="2"/>
      </tp>
      <tp t="s">
        <v>#N/A N/A</v>
        <stp/>
        <stp>BDP|1837885664297683691</stp>
        <tr r="I4875" s="2"/>
      </tp>
      <tp t="s">
        <v>#N/A N/A</v>
        <stp/>
        <stp>BDP|3037330861210058898</stp>
        <tr r="C2343" s="2"/>
      </tp>
      <tp t="s">
        <v>#N/A N/A</v>
        <stp/>
        <stp>BDP|7337596151838187119</stp>
        <tr r="B2988" s="2"/>
      </tp>
      <tp t="s">
        <v>#N/A N/A</v>
        <stp/>
        <stp>BDP|9858534120926378633</stp>
        <tr r="H147" s="2"/>
      </tp>
      <tp t="s">
        <v>#N/A N/A</v>
        <stp/>
        <stp>BDP|2827935844634683526</stp>
        <tr r="A1744" s="2"/>
      </tp>
      <tp t="s">
        <v>#N/A N/A</v>
        <stp/>
        <stp>BDP|4008186091047417568</stp>
        <tr r="F732" s="2"/>
      </tp>
      <tp t="s">
        <v>#N/A N/A</v>
        <stp/>
        <stp>BDP|4058350997678840819</stp>
        <tr r="A1751" s="2"/>
      </tp>
      <tp t="s">
        <v>#N/A N/A</v>
        <stp/>
        <stp>BDP|1589311186553072795</stp>
        <tr r="C552" s="2"/>
      </tp>
      <tp t="s">
        <v>#N/A N/A</v>
        <stp/>
        <stp>BDP|5381976976126142385</stp>
        <tr r="G518" s="2"/>
      </tp>
      <tp t="s">
        <v>#N/A N/A</v>
        <stp/>
        <stp>BDP|1832570485346688476</stp>
        <tr r="C1729" s="2"/>
      </tp>
      <tp t="s">
        <v>#N/A N/A</v>
        <stp/>
        <stp>BDP|4147399390263782346</stp>
        <tr r="C1246" s="2"/>
      </tp>
      <tp t="s">
        <v>#N/A N/A</v>
        <stp/>
        <stp>BDP|9627855104229835647</stp>
        <tr r="C1524" s="2"/>
      </tp>
      <tp t="s">
        <v>#N/A N/A</v>
        <stp/>
        <stp>BDP|4738519951643458988</stp>
        <tr r="C4752" s="2"/>
      </tp>
      <tp t="s">
        <v>#N/A N/A</v>
        <stp/>
        <stp>BDP|2414606358489260654</stp>
        <tr r="A2699" s="2"/>
      </tp>
      <tp t="s">
        <v>#N/A N/A</v>
        <stp/>
        <stp>BDP|4470250695605739483</stp>
        <tr r="B3267" s="2"/>
      </tp>
      <tp t="s">
        <v>#N/A N/A</v>
        <stp/>
        <stp>BDP|9177560788702139852</stp>
        <tr r="G513" s="2"/>
      </tp>
      <tp t="s">
        <v>#N/A N/A</v>
        <stp/>
        <stp>BDP|7509059925132799990</stp>
        <tr r="C2758" s="2"/>
      </tp>
      <tp t="s">
        <v>#N/A N/A</v>
        <stp/>
        <stp>BDP|7913974632666339541</stp>
        <tr r="F4365" s="2"/>
      </tp>
      <tp t="s">
        <v>#N/A N/A</v>
        <stp/>
        <stp>BDP|7503353309739458360</stp>
        <tr r="A3626" s="2"/>
      </tp>
      <tp t="s">
        <v>#N/A N/A</v>
        <stp/>
        <stp>BDP|2353900516826682285</stp>
        <tr r="A3453" s="2"/>
      </tp>
      <tp t="s">
        <v>#N/A N/A</v>
        <stp/>
        <stp>BDP|1747733799710100170</stp>
        <tr r="F89" s="2"/>
      </tp>
      <tp t="s">
        <v>#N/A N/A</v>
        <stp/>
        <stp>BDP|5609495024528852585</stp>
        <tr r="B455" s="2"/>
      </tp>
      <tp t="s">
        <v>#N/A N/A</v>
        <stp/>
        <stp>BDP|3287396616317677809</stp>
        <tr r="C3658" s="2"/>
      </tp>
      <tp t="s">
        <v>#N/A N/A</v>
        <stp/>
        <stp>BDP|5534892150914483233</stp>
        <tr r="A1993" s="2"/>
      </tp>
      <tp t="s">
        <v>#N/A N/A</v>
        <stp/>
        <stp>BDP|5973127361605623977</stp>
        <tr r="F4879" s="2"/>
      </tp>
      <tp t="s">
        <v>#N/A N/A</v>
        <stp/>
        <stp>BDP|8087549868733434636</stp>
        <tr r="A4844" s="2"/>
      </tp>
      <tp t="s">
        <v>#N/A N/A</v>
        <stp/>
        <stp>BDP|8164784125880204359</stp>
        <tr r="F532" s="2"/>
      </tp>
      <tp t="s">
        <v>#N/A N/A</v>
        <stp/>
        <stp>BDP|5781123458719480626</stp>
        <tr r="F2036" s="2"/>
      </tp>
      <tp t="s">
        <v>#N/A N/A</v>
        <stp/>
        <stp>BDP|2198282880805107331</stp>
        <tr r="G4894" s="2"/>
      </tp>
      <tp t="s">
        <v>#N/A N/A</v>
        <stp/>
        <stp>BDP|3704884432003273541</stp>
        <tr r="G2004" s="2"/>
      </tp>
      <tp t="s">
        <v>#N/A N/A</v>
        <stp/>
        <stp>BDP|2521950178290171225</stp>
        <tr r="C54" s="2"/>
      </tp>
      <tp t="s">
        <v>#N/A N/A</v>
        <stp/>
        <stp>BDP|7237049898017287770</stp>
        <tr r="I460" s="2"/>
      </tp>
      <tp t="s">
        <v>#N/A N/A</v>
        <stp/>
        <stp>BDP|2948179378902942845</stp>
        <tr r="G2036" s="2"/>
      </tp>
      <tp t="s">
        <v>#N/A N/A</v>
        <stp/>
        <stp>BDP|5474302059249729410</stp>
        <tr r="C2884" s="2"/>
      </tp>
      <tp t="s">
        <v>#N/A N/A</v>
        <stp/>
        <stp>BDP|7194510981641392593</stp>
        <tr r="B2028" s="2"/>
      </tp>
      <tp t="s">
        <v>#N/A N/A</v>
        <stp/>
        <stp>BDP|8181621576901610685</stp>
        <tr r="I3033" s="2"/>
      </tp>
      <tp t="s">
        <v>#N/A N/A</v>
        <stp/>
        <stp>BDP|7486361658439081611</stp>
        <tr r="I3612" s="2"/>
      </tp>
      <tp t="s">
        <v>#N/A N/A</v>
        <stp/>
        <stp>BDP|3950090499021338512</stp>
        <tr r="I2271" s="2"/>
      </tp>
      <tp t="s">
        <v>#N/A N/A</v>
        <stp/>
        <stp>BDP|7216684824285739820</stp>
        <tr r="F752" s="2"/>
      </tp>
      <tp t="s">
        <v>#N/A N/A</v>
        <stp/>
        <stp>BDP|3542587215988570169</stp>
        <tr r="F2899" s="2"/>
      </tp>
      <tp t="s">
        <v>#N/A N/A</v>
        <stp/>
        <stp>BDP|3013921600674138081</stp>
        <tr r="H4996" s="2"/>
      </tp>
      <tp t="s">
        <v>#N/A N/A</v>
        <stp/>
        <stp>BDP|8165735609271650063</stp>
        <tr r="F2963" s="2"/>
      </tp>
      <tp t="s">
        <v>#N/A N/A</v>
        <stp/>
        <stp>BDP|8314504714324804641</stp>
        <tr r="C4617" s="2"/>
      </tp>
      <tp t="s">
        <v>#N/A N/A</v>
        <stp/>
        <stp>BDP|3503570648049742563</stp>
        <tr r="A406" s="2"/>
      </tp>
      <tp t="s">
        <v>#N/A N/A</v>
        <stp/>
        <stp>BDP|2474993846664706575</stp>
        <tr r="C4077" s="2"/>
      </tp>
      <tp t="s">
        <v>#N/A N/A</v>
        <stp/>
        <stp>BDP|2065456832858875348</stp>
        <tr r="F4800" s="2"/>
      </tp>
      <tp t="s">
        <v>#N/A N/A</v>
        <stp/>
        <stp>BDP|1857901911184478365</stp>
        <tr r="A4666" s="2"/>
      </tp>
      <tp t="s">
        <v>#N/A N/A</v>
        <stp/>
        <stp>BDP|1561868008976689168</stp>
        <tr r="D4362" s="2"/>
      </tp>
      <tp t="s">
        <v>#N/A N/A</v>
        <stp/>
        <stp>BDP|6206969769050190776</stp>
        <tr r="H68" s="2"/>
      </tp>
      <tp t="s">
        <v>#N/A N/A</v>
        <stp/>
        <stp>BDP|8870469449233493583</stp>
        <tr r="C1461" s="2"/>
      </tp>
      <tp t="s">
        <v>#N/A N/A</v>
        <stp/>
        <stp>BDP|5950105412618095309</stp>
        <tr r="C4313" s="2"/>
      </tp>
      <tp t="s">
        <v>#N/A N/A</v>
        <stp/>
        <stp>BDP|7530510181516669286</stp>
        <tr r="D818" s="2"/>
      </tp>
      <tp t="s">
        <v>#N/A N/A</v>
        <stp/>
        <stp>BDP|6838726484254213370</stp>
        <tr r="D1334" s="2"/>
      </tp>
      <tp t="s">
        <v>#N/A N/A</v>
        <stp/>
        <stp>BDP|1328078939744744820</stp>
        <tr r="D3544" s="2"/>
      </tp>
      <tp t="s">
        <v>#N/A N/A</v>
        <stp/>
        <stp>BDP|5216843019517588526</stp>
        <tr r="I4427" s="2"/>
      </tp>
      <tp t="s">
        <v>#N/A N/A</v>
        <stp/>
        <stp>BDP|6788982703527015647</stp>
        <tr r="A713" s="2"/>
      </tp>
      <tp t="s">
        <v>#N/A N/A</v>
        <stp/>
        <stp>BDP|5714436577631386981</stp>
        <tr r="C4937" s="2"/>
      </tp>
      <tp t="s">
        <v>#N/A N/A</v>
        <stp/>
        <stp>BDP|7110696001469432658</stp>
        <tr r="F3184" s="2"/>
      </tp>
      <tp t="s">
        <v>#N/A N/A</v>
        <stp/>
        <stp>BDP|5328169829498069041</stp>
        <tr r="D156" s="2"/>
      </tp>
      <tp t="s">
        <v>#N/A N/A</v>
        <stp/>
        <stp>BDP|6284727043848981327</stp>
        <tr r="D4848" s="2"/>
      </tp>
      <tp t="s">
        <v>#N/A N/A</v>
        <stp/>
        <stp>BDP|8831482101963817111</stp>
        <tr r="D639" s="2"/>
      </tp>
      <tp t="s">
        <v>#N/A N/A</v>
        <stp/>
        <stp>BDP|4784787133797750935</stp>
        <tr r="A1445" s="2"/>
      </tp>
      <tp t="s">
        <v>#N/A N/A</v>
        <stp/>
        <stp>BDP|2028545781958455993</stp>
        <tr r="B1159" s="2"/>
      </tp>
      <tp t="s">
        <v>#N/A N/A</v>
        <stp/>
        <stp>BDP|4899498066941945964</stp>
        <tr r="G86" s="2"/>
      </tp>
      <tp t="s">
        <v>#N/A N/A</v>
        <stp/>
        <stp>BDP|8544385474824726660</stp>
        <tr r="B3848" s="2"/>
      </tp>
      <tp t="s">
        <v>#N/A N/A</v>
        <stp/>
        <stp>BDP|5096932562751970500</stp>
        <tr r="A691" s="2"/>
      </tp>
      <tp t="s">
        <v>#N/A N/A</v>
        <stp/>
        <stp>BDP|8427438475595361092</stp>
        <tr r="B4774" s="2"/>
      </tp>
      <tp t="s">
        <v>#N/A N/A</v>
        <stp/>
        <stp>BDP|9256822719817116904</stp>
        <tr r="I2423" s="2"/>
      </tp>
      <tp t="s">
        <v>#N/A N/A</v>
        <stp/>
        <stp>BDP|5816375731889336255</stp>
        <tr r="H4645" s="2"/>
      </tp>
      <tp t="s">
        <v>#N/A N/A</v>
        <stp/>
        <stp>BDP|3139449485459071883</stp>
        <tr r="H4080" s="2"/>
      </tp>
      <tp t="s">
        <v>#N/A N/A</v>
        <stp/>
        <stp>BDP|1964722982986000610</stp>
        <tr r="I2571" s="2"/>
      </tp>
      <tp t="s">
        <v>#N/A N/A</v>
        <stp/>
        <stp>BDP|7602949533357877410</stp>
        <tr r="D521" s="2"/>
      </tp>
      <tp t="s">
        <v>#N/A N/A</v>
        <stp/>
        <stp>BDP|8628439493599830260</stp>
        <tr r="C474" s="2"/>
      </tp>
      <tp t="s">
        <v>#N/A N/A</v>
        <stp/>
        <stp>BDP|2929678777015414856</stp>
        <tr r="A1514" s="2"/>
      </tp>
      <tp t="s">
        <v>#N/A N/A</v>
        <stp/>
        <stp>BDP|5224821275047474398</stp>
        <tr r="B3205" s="2"/>
      </tp>
      <tp t="s">
        <v>#N/A N/A</v>
        <stp/>
        <stp>BDP|9676815436614084890</stp>
        <tr r="A382" s="2"/>
      </tp>
      <tp t="s">
        <v>#N/A N/A</v>
        <stp/>
        <stp>BDP|2451194685976171313</stp>
        <tr r="C2402" s="2"/>
      </tp>
      <tp t="s">
        <v>#N/A N/A</v>
        <stp/>
        <stp>BDP|5827512021055341938</stp>
        <tr r="A3143" s="2"/>
      </tp>
      <tp t="s">
        <v>#N/A N/A</v>
        <stp/>
        <stp>BDP|2470429185080265094</stp>
        <tr r="H3978" s="2"/>
      </tp>
      <tp t="s">
        <v>#N/A N/A</v>
        <stp/>
        <stp>BDP|6951925567096750139</stp>
        <tr r="C4299" s="2"/>
      </tp>
      <tp t="s">
        <v>#N/A N/A</v>
        <stp/>
        <stp>BDP|8239794747942512713</stp>
        <tr r="F3199" s="2"/>
      </tp>
      <tp t="s">
        <v>#N/A N/A</v>
        <stp/>
        <stp>BDP|2705036596506879328</stp>
        <tr r="I4848" s="2"/>
      </tp>
      <tp t="s">
        <v>#N/A N/A</v>
        <stp/>
        <stp>BDP|3739915169873389149</stp>
        <tr r="H2459" s="2"/>
      </tp>
      <tp t="s">
        <v>#N/A N/A</v>
        <stp/>
        <stp>BDP|7869957204652288230</stp>
        <tr r="H577" s="2"/>
      </tp>
      <tp t="s">
        <v>#N/A N/A</v>
        <stp/>
        <stp>BDP|2867567347008574549</stp>
        <tr r="A2767" s="2"/>
      </tp>
      <tp t="s">
        <v>#N/A N/A</v>
        <stp/>
        <stp>BDP|8226884584937030163</stp>
        <tr r="A1578" s="2"/>
      </tp>
      <tp t="s">
        <v>#N/A N/A</v>
        <stp/>
        <stp>BDP|7148944449391149558</stp>
        <tr r="I875" s="2"/>
      </tp>
      <tp t="s">
        <v>#N/A N/A</v>
        <stp/>
        <stp>BDP|1074532403743189995</stp>
        <tr r="A3583" s="2"/>
      </tp>
      <tp t="s">
        <v>#N/A N/A</v>
        <stp/>
        <stp>BDP|1627341789844719045</stp>
        <tr r="C3836" s="2"/>
      </tp>
      <tp t="s">
        <v>#N/A N/A</v>
        <stp/>
        <stp>BDP|3315999253890598147</stp>
        <tr r="A4808" s="2"/>
      </tp>
      <tp t="s">
        <v>#N/A N/A</v>
        <stp/>
        <stp>BDP|9822937060899027131</stp>
        <tr r="A4654" s="2"/>
      </tp>
      <tp t="s">
        <v>#N/A N/A</v>
        <stp/>
        <stp>BDP|4208618292986007390</stp>
        <tr r="I765" s="2"/>
      </tp>
      <tp t="s">
        <v>#N/A N/A</v>
        <stp/>
        <stp>BDP|8670124369128137940</stp>
        <tr r="G1735" s="2"/>
      </tp>
      <tp t="s">
        <v>#N/A N/A</v>
        <stp/>
        <stp>BDP|8974471530686368757</stp>
        <tr r="B4520" s="2"/>
      </tp>
      <tp t="s">
        <v>#N/A N/A</v>
        <stp/>
        <stp>BDP|4962250916398460162</stp>
        <tr r="C1776" s="2"/>
      </tp>
      <tp t="s">
        <v>#N/A N/A</v>
        <stp/>
        <stp>BDP|9876344294315267827</stp>
        <tr r="B4325" s="2"/>
      </tp>
      <tp t="s">
        <v>#N/A N/A</v>
        <stp/>
        <stp>BDP|1924000474260419810</stp>
        <tr r="A3258" s="2"/>
      </tp>
      <tp t="s">
        <v>#N/A N/A</v>
        <stp/>
        <stp>BDP|5201144888136055461</stp>
        <tr r="F2034" s="2"/>
      </tp>
      <tp t="s">
        <v>#N/A N/A</v>
        <stp/>
        <stp>BDP|4549825263535414185</stp>
        <tr r="C184" s="2"/>
      </tp>
      <tp t="s">
        <v>#N/A N/A</v>
        <stp/>
        <stp>BDP|5925159893637256458</stp>
        <tr r="F3464" s="2"/>
      </tp>
      <tp t="s">
        <v>#N/A N/A</v>
        <stp/>
        <stp>BDP|4429110779709479501</stp>
        <tr r="H973" s="2"/>
      </tp>
      <tp t="s">
        <v>#N/A N/A</v>
        <stp/>
        <stp>BDP|1143483187144325757</stp>
        <tr r="B3923" s="2"/>
      </tp>
      <tp t="s">
        <v>#N/A N/A</v>
        <stp/>
        <stp>BDP|8165993162680770957</stp>
        <tr r="G636" s="2"/>
      </tp>
      <tp t="s">
        <v>#N/A N/A</v>
        <stp/>
        <stp>BDP|2477951908754361124</stp>
        <tr r="G481" s="2"/>
      </tp>
      <tp t="s">
        <v>#N/A N/A</v>
        <stp/>
        <stp>BDP|7272992205484052467</stp>
        <tr r="G1976" s="2"/>
      </tp>
      <tp t="s">
        <v>#N/A N/A</v>
        <stp/>
        <stp>BDP|8025760793761433994</stp>
        <tr r="D1433" s="2"/>
      </tp>
      <tp t="s">
        <v>#N/A N/A</v>
        <stp/>
        <stp>BDP|3458432695176242680</stp>
        <tr r="A3950" s="2"/>
      </tp>
      <tp t="s">
        <v>#N/A N/A</v>
        <stp/>
        <stp>BDP|3455866478142472060</stp>
        <tr r="F817" s="2"/>
      </tp>
      <tp t="s">
        <v>#N/A N/A</v>
        <stp/>
        <stp>BDP|7600643509418304702</stp>
        <tr r="D4861" s="2"/>
      </tp>
      <tp t="s">
        <v>#N/A N/A</v>
        <stp/>
        <stp>BDP|4809261494487417661</stp>
        <tr r="I1192" s="2"/>
      </tp>
      <tp t="s">
        <v>#N/A N/A</v>
        <stp/>
        <stp>BDP|3121825553298853805</stp>
        <tr r="G3267" s="2"/>
      </tp>
      <tp t="s">
        <v>#N/A N/A</v>
        <stp/>
        <stp>BDP|9516053788208511755</stp>
        <tr r="I1729" s="2"/>
      </tp>
      <tp t="s">
        <v>#N/A N/A</v>
        <stp/>
        <stp>BDP|2945550690458767832</stp>
        <tr r="H305" s="2"/>
      </tp>
      <tp t="s">
        <v>#N/A N/A</v>
        <stp/>
        <stp>BDP|8673398729850913772</stp>
        <tr r="H636" s="2"/>
      </tp>
      <tp t="s">
        <v>#N/A N/A</v>
        <stp/>
        <stp>BDP|8890548540192545510</stp>
        <tr r="B1997" s="2"/>
      </tp>
      <tp t="s">
        <v>#N/A N/A</v>
        <stp/>
        <stp>BDP|3788618289363357042</stp>
        <tr r="F2971" s="2"/>
      </tp>
      <tp t="s">
        <v>#N/A N/A</v>
        <stp/>
        <stp>BDP|3644868020846060185</stp>
        <tr r="A3594" s="2"/>
      </tp>
      <tp t="s">
        <v>#N/A N/A</v>
        <stp/>
        <stp>BDP|1622681190721079164</stp>
        <tr r="G4" s="2"/>
      </tp>
      <tp t="s">
        <v>#N/A N/A</v>
        <stp/>
        <stp>BDP|6111580096803268758</stp>
        <tr r="I732" s="2"/>
      </tp>
      <tp t="s">
        <v>#N/A N/A</v>
        <stp/>
        <stp>BDP|5190158593266754580</stp>
        <tr r="C4751" s="2"/>
      </tp>
      <tp t="s">
        <v>#N/A N/A</v>
        <stp/>
        <stp>BDP|9621404758781000767</stp>
        <tr r="F1145" s="2"/>
      </tp>
      <tp t="s">
        <v>#N/A N/A</v>
        <stp/>
        <stp>BDP|1938770383669555906</stp>
        <tr r="A4739" s="2"/>
      </tp>
      <tp t="s">
        <v>#N/A N/A</v>
        <stp/>
        <stp>BDP|9569997220275238979</stp>
        <tr r="A735" s="2"/>
      </tp>
      <tp t="s">
        <v>#N/A N/A</v>
        <stp/>
        <stp>BDP|1316553692422594186</stp>
        <tr r="F4147" s="2"/>
      </tp>
      <tp t="s">
        <v>#N/A N/A</v>
        <stp/>
        <stp>BDP|1420780999070498182</stp>
        <tr r="G2303" s="2"/>
      </tp>
      <tp t="s">
        <v>#N/A N/A</v>
        <stp/>
        <stp>BDP|4315801339051694051</stp>
        <tr r="I918" s="2"/>
      </tp>
      <tp t="s">
        <v>#N/A N/A</v>
        <stp/>
        <stp>BDP|3722923246197294781</stp>
        <tr r="I4951" s="2"/>
      </tp>
      <tp t="s">
        <v>#N/A N/A</v>
        <stp/>
        <stp>BDP|2091806848466560645</stp>
        <tr r="F3285" s="2"/>
      </tp>
      <tp t="s">
        <v>#N/A N/A</v>
        <stp/>
        <stp>BDP|6055414397762799787</stp>
        <tr r="F3288" s="2"/>
      </tp>
      <tp t="s">
        <v>#N/A N/A</v>
        <stp/>
        <stp>BDP|7691944199518508170</stp>
        <tr r="A4561" s="2"/>
      </tp>
      <tp t="s">
        <v>#N/A N/A</v>
        <stp/>
        <stp>BDP|6714609448333174976</stp>
        <tr r="H198" s="2"/>
      </tp>
      <tp t="s">
        <v>#N/A N/A</v>
        <stp/>
        <stp>BDP|9649210702447930259</stp>
        <tr r="C3768" s="2"/>
      </tp>
      <tp t="s">
        <v>#N/A N/A</v>
        <stp/>
        <stp>BDP|7971115210478880193</stp>
        <tr r="F3675" s="2"/>
      </tp>
      <tp t="s">
        <v>#N/A N/A</v>
        <stp/>
        <stp>BDP|5904826844384088360</stp>
        <tr r="A2961" s="2"/>
      </tp>
      <tp t="s">
        <v>#N/A N/A</v>
        <stp/>
        <stp>BDP|4389804229527521766</stp>
        <tr r="I4725" s="2"/>
      </tp>
      <tp t="s">
        <v>#N/A N/A</v>
        <stp/>
        <stp>BDP|9253459276553910714</stp>
        <tr r="A3958" s="2"/>
      </tp>
      <tp t="s">
        <v>#N/A N/A</v>
        <stp/>
        <stp>BDP|1795569878854238927</stp>
        <tr r="C4188" s="2"/>
      </tp>
      <tp t="s">
        <v>#N/A N/A</v>
        <stp/>
        <stp>BDP|1598562653109071691</stp>
        <tr r="D4921" s="2"/>
      </tp>
      <tp t="s">
        <v>#N/A N/A</v>
        <stp/>
        <stp>BDP|8642493439549683895</stp>
        <tr r="B1805" s="2"/>
      </tp>
      <tp t="s">
        <v>#N/A N/A</v>
        <stp/>
        <stp>BDP|9088933436144509995</stp>
        <tr r="B592" s="2"/>
      </tp>
      <tp t="s">
        <v>#N/A N/A</v>
        <stp/>
        <stp>BDP|1575096645333993895</stp>
        <tr r="A869" s="2"/>
      </tp>
      <tp t="s">
        <v>#N/A N/A</v>
        <stp/>
        <stp>BDP|6336105880916294788</stp>
        <tr r="H2319" s="2"/>
      </tp>
      <tp t="s">
        <v>#N/A N/A</v>
        <stp/>
        <stp>BDP|5571147098135694669</stp>
        <tr r="D4468" s="2"/>
      </tp>
      <tp t="s">
        <v>#N/A N/A</v>
        <stp/>
        <stp>BDP|1612999500611276748</stp>
        <tr r="G3561" s="2"/>
      </tp>
      <tp t="s">
        <v>#N/A N/A</v>
        <stp/>
        <stp>BDP|9457449016660728289</stp>
        <tr r="G1535" s="2"/>
      </tp>
      <tp t="s">
        <v>#N/A N/A</v>
        <stp/>
        <stp>BDP|6775722794083951511</stp>
        <tr r="A1395" s="2"/>
      </tp>
      <tp t="s">
        <v>#N/A N/A</v>
        <stp/>
        <stp>BDP|8546013659416111552</stp>
        <tr r="B268" s="2"/>
      </tp>
      <tp t="s">
        <v>#N/A N/A</v>
        <stp/>
        <stp>BDP|4157476335129305492</stp>
        <tr r="A1038" s="2"/>
      </tp>
      <tp t="s">
        <v>#N/A N/A</v>
        <stp/>
        <stp>BDP|9464352066013979173</stp>
        <tr r="I558" s="2"/>
      </tp>
      <tp t="s">
        <v>#N/A N/A</v>
        <stp/>
        <stp>BDP|7036483593472370610</stp>
        <tr r="C992" s="2"/>
      </tp>
      <tp t="s">
        <v>#N/A N/A</v>
        <stp/>
        <stp>BDP|2913631394420534324</stp>
        <tr r="D4925" s="2"/>
      </tp>
      <tp t="s">
        <v>#N/A N/A</v>
        <stp/>
        <stp>BDP|3020904019052716774</stp>
        <tr r="G2781" s="2"/>
      </tp>
      <tp t="s">
        <v>#N/A N/A</v>
        <stp/>
        <stp>BDP|3795249895173934561</stp>
        <tr r="H1776" s="2"/>
      </tp>
      <tp t="s">
        <v>#N/A N/A</v>
        <stp/>
        <stp>BDP|7398739165970527898</stp>
        <tr r="A1916" s="2"/>
      </tp>
      <tp t="s">
        <v>#N/A N/A</v>
        <stp/>
        <stp>BDP|8694459122141832100</stp>
        <tr r="C4990" s="2"/>
      </tp>
      <tp t="s">
        <v>#N/A N/A</v>
        <stp/>
        <stp>BDP|9888964617149790676</stp>
        <tr r="B583" s="2"/>
      </tp>
      <tp t="s">
        <v>#N/A N/A</v>
        <stp/>
        <stp>BDP|2368981050109353911</stp>
        <tr r="G2182" s="2"/>
      </tp>
      <tp t="s">
        <v>#N/A N/A</v>
        <stp/>
        <stp>BDP|8281067759971411202</stp>
        <tr r="F3085" s="2"/>
      </tp>
      <tp t="s">
        <v>#N/A N/A</v>
        <stp/>
        <stp>BDP|5929413688431061696</stp>
        <tr r="D1836" s="2"/>
      </tp>
      <tp t="s">
        <v>#N/A N/A</v>
        <stp/>
        <stp>BDP|9142692319396942614</stp>
        <tr r="F3704" s="2"/>
      </tp>
      <tp t="s">
        <v>#N/A N/A</v>
        <stp/>
        <stp>BDP|2403400282765937560</stp>
        <tr r="F467" s="2"/>
      </tp>
      <tp t="s">
        <v>#N/A N/A</v>
        <stp/>
        <stp>BDP|3662075393400951426</stp>
        <tr r="I1735" s="2"/>
      </tp>
      <tp t="s">
        <v>#N/A N/A</v>
        <stp/>
        <stp>BDP|9002015420653813606</stp>
        <tr r="D2631" s="2"/>
      </tp>
      <tp t="s">
        <v>#N/A N/A</v>
        <stp/>
        <stp>BDP|2893828721474422263</stp>
        <tr r="I477" s="2"/>
      </tp>
      <tp t="s">
        <v>#N/A N/A</v>
        <stp/>
        <stp>BDP|9315648563811952640</stp>
        <tr r="B356" s="2"/>
      </tp>
      <tp t="s">
        <v>#N/A N/A</v>
        <stp/>
        <stp>BDP|7022228580785385681</stp>
        <tr r="D4564" s="2"/>
      </tp>
      <tp t="s">
        <v>#N/A N/A</v>
        <stp/>
        <stp>BDP|2927443187083369300</stp>
        <tr r="B4318" s="2"/>
      </tp>
      <tp t="s">
        <v>#N/A N/A</v>
        <stp/>
        <stp>BDP|8040649002998815872</stp>
        <tr r="B446" s="2"/>
      </tp>
      <tp t="s">
        <v>#N/A N/A</v>
        <stp/>
        <stp>BDP|1261686852325254931</stp>
        <tr r="B1460" s="2"/>
      </tp>
      <tp t="s">
        <v>#N/A N/A</v>
        <stp/>
        <stp>BDP|3448205291354947251</stp>
        <tr r="F4573" s="2"/>
      </tp>
      <tp t="s">
        <v>#N/A N/A</v>
        <stp/>
        <stp>BDP|7764901209326350647</stp>
        <tr r="F2415" s="2"/>
      </tp>
      <tp t="s">
        <v>#N/A N/A</v>
        <stp/>
        <stp>BDP|3767491215621203978</stp>
        <tr r="I3135" s="2"/>
      </tp>
      <tp t="s">
        <v>#N/A N/A</v>
        <stp/>
        <stp>BDP|1040464498566293425</stp>
        <tr r="H3969" s="2"/>
      </tp>
      <tp t="s">
        <v>#N/A N/A</v>
        <stp/>
        <stp>BDP|3911054207858357561</stp>
        <tr r="I4164" s="2"/>
      </tp>
      <tp t="s">
        <v>#N/A N/A</v>
        <stp/>
        <stp>BDP|8824944430895253903</stp>
        <tr r="G4635" s="2"/>
      </tp>
      <tp t="s">
        <v>#N/A N/A</v>
        <stp/>
        <stp>BDP|7753396272775186837</stp>
        <tr r="H2315" s="2"/>
      </tp>
      <tp t="s">
        <v>#N/A N/A</v>
        <stp/>
        <stp>BDP|2707348606469358682</stp>
        <tr r="G4834" s="2"/>
      </tp>
      <tp t="s">
        <v>#N/A N/A</v>
        <stp/>
        <stp>BDP|5933180555578849729</stp>
        <tr r="F581" s="2"/>
      </tp>
      <tp t="s">
        <v>#N/A N/A</v>
        <stp/>
        <stp>BDP|6308253139919681079</stp>
        <tr r="A4368" s="2"/>
      </tp>
      <tp t="s">
        <v>#N/A N/A</v>
        <stp/>
        <stp>BDP|8840754016100426019</stp>
        <tr r="C861" s="2"/>
      </tp>
      <tp t="s">
        <v>#N/A N/A</v>
        <stp/>
        <stp>BDP|8141602633371862249</stp>
        <tr r="A3503" s="2"/>
      </tp>
      <tp t="s">
        <v>#N/A N/A</v>
        <stp/>
        <stp>BDP|7421819405302948376</stp>
        <tr r="C2628" s="2"/>
      </tp>
      <tp t="s">
        <v>#N/A N/A</v>
        <stp/>
        <stp>BDP|1040698283633399279</stp>
        <tr r="C2025" s="2"/>
      </tp>
      <tp t="s">
        <v>#N/A N/A</v>
        <stp/>
        <stp>BDP|8929341643836027703</stp>
        <tr r="A816" s="2"/>
      </tp>
      <tp t="s">
        <v>#N/A N/A</v>
        <stp/>
        <stp>BDP|9439653612674936448</stp>
        <tr r="H3248" s="2"/>
      </tp>
      <tp t="s">
        <v>#N/A N/A</v>
        <stp/>
        <stp>BDP|3388855542278862924</stp>
        <tr r="G352" s="2"/>
      </tp>
      <tp t="s">
        <v>#N/A N/A</v>
        <stp/>
        <stp>BDP|2427580955424525829</stp>
        <tr r="I1301" s="2"/>
      </tp>
      <tp t="s">
        <v>#N/A N/A</v>
        <stp/>
        <stp>BDP|9948038672029175976</stp>
        <tr r="B3860" s="2"/>
      </tp>
      <tp t="s">
        <v>#N/A N/A</v>
        <stp/>
        <stp>BDP|1318829569476420723</stp>
        <tr r="F2384" s="2"/>
      </tp>
      <tp t="s">
        <v>#N/A N/A</v>
        <stp/>
        <stp>BDP|3282740936478787199</stp>
        <tr r="C2703" s="2"/>
      </tp>
      <tp t="s">
        <v>#N/A N/A</v>
        <stp/>
        <stp>BDP|4177595684295443269</stp>
        <tr r="H10" s="2"/>
      </tp>
      <tp t="s">
        <v>#N/A N/A</v>
        <stp/>
        <stp>BDP|8427488357137753022</stp>
        <tr r="D1656" s="2"/>
      </tp>
      <tp t="s">
        <v>#N/A N/A</v>
        <stp/>
        <stp>BDP|7704915383891289999</stp>
        <tr r="H3414" s="2"/>
      </tp>
      <tp t="s">
        <v>#N/A N/A</v>
        <stp/>
        <stp>BDP|1871348417118505502</stp>
        <tr r="I2695" s="2"/>
      </tp>
      <tp t="s">
        <v>#N/A N/A</v>
        <stp/>
        <stp>BDP|9681490711950181215</stp>
        <tr r="D4099" s="2"/>
      </tp>
      <tp t="s">
        <v>#N/A N/A</v>
        <stp/>
        <stp>BDP|2368212539609182446</stp>
        <tr r="D4711" s="2"/>
      </tp>
      <tp t="s">
        <v>#N/A N/A</v>
        <stp/>
        <stp>BDP|1634743867156991824</stp>
        <tr r="B625" s="2"/>
      </tp>
      <tp t="s">
        <v>#N/A N/A</v>
        <stp/>
        <stp>BDP|1916480015992215885</stp>
        <tr r="A4168" s="2"/>
      </tp>
      <tp t="s">
        <v>#N/A N/A</v>
        <stp/>
        <stp>BDP|5626638383837980215</stp>
        <tr r="C546" s="2"/>
      </tp>
      <tp t="s">
        <v>#N/A N/A</v>
        <stp/>
        <stp>BDP|4442689357320537903</stp>
        <tr r="D2551" s="2"/>
      </tp>
      <tp t="s">
        <v>#N/A N/A</v>
        <stp/>
        <stp>BDP|9989428114906318426</stp>
        <tr r="G1650" s="2"/>
      </tp>
      <tp t="s">
        <v>#N/A N/A</v>
        <stp/>
        <stp>BDP|1839921068782930258</stp>
        <tr r="D1083" s="2"/>
      </tp>
      <tp t="s">
        <v>#N/A N/A</v>
        <stp/>
        <stp>BDP|8687671800720616091</stp>
        <tr r="F3422" s="2"/>
      </tp>
      <tp t="s">
        <v>#N/A N/A</v>
        <stp/>
        <stp>BDP|3300549448844836893</stp>
        <tr r="A2841" s="2"/>
      </tp>
      <tp t="s">
        <v>#N/A N/A</v>
        <stp/>
        <stp>BDP|5746834511022977026</stp>
        <tr r="C2779" s="2"/>
      </tp>
      <tp t="s">
        <v>#N/A N/A</v>
        <stp/>
        <stp>BDP|1633423345238623791</stp>
        <tr r="C2702" s="2"/>
      </tp>
      <tp t="s">
        <v>#N/A N/A</v>
        <stp/>
        <stp>BDP|4644800828150878083</stp>
        <tr r="H528" s="2"/>
      </tp>
      <tp t="s">
        <v>#N/A N/A</v>
        <stp/>
        <stp>BDP|1942921989327406987</stp>
        <tr r="H3169" s="2"/>
      </tp>
      <tp t="s">
        <v>#N/A N/A</v>
        <stp/>
        <stp>BDP|5564592894015144271</stp>
        <tr r="F4764" s="2"/>
      </tp>
      <tp t="s">
        <v>#N/A N/A</v>
        <stp/>
        <stp>BDP|7639570853789870042</stp>
        <tr r="C758" s="2"/>
      </tp>
      <tp t="s">
        <v>#N/A N/A</v>
        <stp/>
        <stp>BDP|8451407588493679941</stp>
        <tr r="F2228" s="2"/>
      </tp>
      <tp t="s">
        <v>#N/A N/A</v>
        <stp/>
        <stp>BDP|6003607239764612911</stp>
        <tr r="C2807" s="2"/>
      </tp>
      <tp t="s">
        <v>#N/A N/A</v>
        <stp/>
        <stp>BDP|9212260915141899579</stp>
        <tr r="G43" s="2"/>
      </tp>
      <tp t="s">
        <v>#N/A N/A</v>
        <stp/>
        <stp>BDP|9314596011223516004</stp>
        <tr r="F2156" s="2"/>
      </tp>
      <tp t="s">
        <v>#N/A N/A</v>
        <stp/>
        <stp>BDP|1558817769257259615</stp>
        <tr r="D621" s="2"/>
      </tp>
      <tp t="s">
        <v>#N/A N/A</v>
        <stp/>
        <stp>BDP|8575346050932605298</stp>
        <tr r="A4114" s="2"/>
      </tp>
      <tp t="s">
        <v>#N/A N/A</v>
        <stp/>
        <stp>BDP|8726495628671938112</stp>
        <tr r="F2975" s="2"/>
      </tp>
      <tp t="s">
        <v>#N/A N/A</v>
        <stp/>
        <stp>BDP|1072332767978966239</stp>
        <tr r="B1292" s="2"/>
      </tp>
      <tp t="s">
        <v>#N/A N/A</v>
        <stp/>
        <stp>BDP|8677998685574310378</stp>
        <tr r="I281" s="2"/>
      </tp>
      <tp t="s">
        <v>#N/A N/A</v>
        <stp/>
        <stp>BDP|1865695087668904916</stp>
        <tr r="F3267" s="2"/>
      </tp>
      <tp t="s">
        <v>#N/A N/A</v>
        <stp/>
        <stp>BDP|1165501163299833545</stp>
        <tr r="F1722" s="2"/>
      </tp>
      <tp t="s">
        <v>#N/A N/A</v>
        <stp/>
        <stp>BDP|3764384697232054567</stp>
        <tr r="A527" s="2"/>
      </tp>
      <tp t="s">
        <v>#N/A N/A</v>
        <stp/>
        <stp>BDP|3935357774370365953</stp>
        <tr r="B2387" s="2"/>
      </tp>
      <tp t="s">
        <v>#N/A N/A</v>
        <stp/>
        <stp>BDP|9383796551853413615</stp>
        <tr r="D4814" s="2"/>
      </tp>
      <tp t="s">
        <v>#N/A N/A</v>
        <stp/>
        <stp>BDP|6490339184743544081</stp>
        <tr r="B4449" s="2"/>
      </tp>
      <tp t="s">
        <v>#N/A N/A</v>
        <stp/>
        <stp>BDP|4093664298227341239</stp>
        <tr r="A4779" s="2"/>
      </tp>
      <tp t="s">
        <v>#N/A N/A</v>
        <stp/>
        <stp>BDP|2363841534203515486</stp>
        <tr r="C2155" s="2"/>
      </tp>
      <tp t="s">
        <v>#N/A N/A</v>
        <stp/>
        <stp>BDP|6948650081823196527</stp>
        <tr r="I2347" s="2"/>
      </tp>
      <tp t="s">
        <v>#N/A N/A</v>
        <stp/>
        <stp>BDP|7518833738200103212</stp>
        <tr r="A3972" s="2"/>
      </tp>
      <tp t="s">
        <v>#N/A N/A</v>
        <stp/>
        <stp>BDP|3171187847249285128</stp>
        <tr r="H3838" s="2"/>
      </tp>
      <tp t="s">
        <v>#N/A N/A</v>
        <stp/>
        <stp>BDP|1576749891697753698</stp>
        <tr r="C4644" s="2"/>
      </tp>
      <tp t="s">
        <v>#N/A N/A</v>
        <stp/>
        <stp>BDP|1936094167769151080</stp>
        <tr r="F3832" s="2"/>
      </tp>
      <tp t="s">
        <v>#N/A N/A</v>
        <stp/>
        <stp>BDP|5577643088611557422</stp>
        <tr r="H1443" s="2"/>
      </tp>
      <tp t="s">
        <v>#N/A N/A</v>
        <stp/>
        <stp>BDP|7457632786503963461</stp>
        <tr r="B3701" s="2"/>
      </tp>
      <tp t="s">
        <v>#N/A N/A</v>
        <stp/>
        <stp>BDP|9839320230194231364</stp>
        <tr r="G1459" s="2"/>
      </tp>
      <tp t="s">
        <v>#N/A N/A</v>
        <stp/>
        <stp>BDP|5579864735323012384</stp>
        <tr r="B2162" s="2"/>
      </tp>
      <tp t="s">
        <v>#N/A N/A</v>
        <stp/>
        <stp>BDP|7328875320836230589</stp>
        <tr r="I3359" s="2"/>
      </tp>
      <tp t="s">
        <v>#N/A N/A</v>
        <stp/>
        <stp>BDP|8637108921811135485</stp>
        <tr r="B1732" s="2"/>
      </tp>
      <tp t="s">
        <v>#N/A N/A</v>
        <stp/>
        <stp>BDP|7815966847002016673</stp>
        <tr r="D1172" s="2"/>
      </tp>
      <tp t="s">
        <v>#N/A N/A</v>
        <stp/>
        <stp>BDP|7624093589206017786</stp>
        <tr r="B2452" s="2"/>
      </tp>
      <tp t="s">
        <v>#N/A N/A</v>
        <stp/>
        <stp>BDP|2979577695576454614</stp>
        <tr r="D1365" s="2"/>
      </tp>
      <tp t="s">
        <v>#N/A N/A</v>
        <stp/>
        <stp>BDP|8727981531515746975</stp>
        <tr r="I2633" s="2"/>
      </tp>
      <tp t="s">
        <v>#N/A N/A</v>
        <stp/>
        <stp>BDP|5341001556857821938</stp>
        <tr r="D1663" s="2"/>
      </tp>
      <tp t="s">
        <v>#N/A N/A</v>
        <stp/>
        <stp>BDP|4544554100258929777</stp>
        <tr r="H3619" s="2"/>
      </tp>
      <tp t="s">
        <v>#N/A N/A</v>
        <stp/>
        <stp>BDP|8004759286969804056</stp>
        <tr r="B2963" s="2"/>
      </tp>
      <tp t="s">
        <v>#N/A N/A</v>
        <stp/>
        <stp>BDP|4423173596056305487</stp>
        <tr r="B3373" s="2"/>
      </tp>
      <tp t="s">
        <v>#N/A N/A</v>
        <stp/>
        <stp>BDP|4731565543309965255</stp>
        <tr r="G4649" s="2"/>
      </tp>
      <tp t="s">
        <v>#N/A N/A</v>
        <stp/>
        <stp>BDP|3342984885194371830</stp>
        <tr r="I4239" s="2"/>
      </tp>
      <tp t="s">
        <v>#N/A N/A</v>
        <stp/>
        <stp>BDP|9078486779435930160</stp>
        <tr r="G701" s="2"/>
      </tp>
      <tp t="s">
        <v>#N/A N/A</v>
        <stp/>
        <stp>BDP|9985086819876715011</stp>
        <tr r="H3388" s="2"/>
      </tp>
      <tp t="s">
        <v>#N/A N/A</v>
        <stp/>
        <stp>BDP|6249996217420662046</stp>
        <tr r="G2146" s="2"/>
      </tp>
      <tp t="s">
        <v>#N/A N/A</v>
        <stp/>
        <stp>BDP|9351309531447945045</stp>
        <tr r="A1109" s="2"/>
      </tp>
      <tp t="s">
        <v>#N/A N/A</v>
        <stp/>
        <stp>BDP|2723953359140402009</stp>
        <tr r="A1336" s="2"/>
      </tp>
      <tp t="s">
        <v>#N/A N/A</v>
        <stp/>
        <stp>BDP|6037045182933123384</stp>
        <tr r="D384" s="2"/>
      </tp>
      <tp t="s">
        <v>#N/A N/A</v>
        <stp/>
        <stp>BDP|4797085984272747033</stp>
        <tr r="H286" s="2"/>
      </tp>
      <tp t="s">
        <v>#N/A N/A</v>
        <stp/>
        <stp>BDP|8796077549755120773</stp>
        <tr r="F1442" s="2"/>
      </tp>
      <tp t="s">
        <v>#N/A N/A</v>
        <stp/>
        <stp>BDP|7093032721248561387</stp>
        <tr r="B655" s="2"/>
      </tp>
      <tp t="s">
        <v>#N/A N/A</v>
        <stp/>
        <stp>BDP|8477783211134587475</stp>
        <tr r="I2527" s="2"/>
      </tp>
      <tp t="s">
        <v>#N/A N/A</v>
        <stp/>
        <stp>BDP|7174426593653779788</stp>
        <tr r="I1600" s="2"/>
      </tp>
      <tp t="s">
        <v>#N/A N/A</v>
        <stp/>
        <stp>BDP|8866980417799001789</stp>
        <tr r="G1094" s="2"/>
      </tp>
      <tp t="s">
        <v>#N/A N/A</v>
        <stp/>
        <stp>BDP|4225409108307300963</stp>
        <tr r="B28" s="2"/>
      </tp>
      <tp t="s">
        <v>#N/A N/A</v>
        <stp/>
        <stp>BDP|4545519086715430292</stp>
        <tr r="D4339" s="2"/>
      </tp>
      <tp t="s">
        <v>#N/A N/A</v>
        <stp/>
        <stp>BDP|5558668182486771395</stp>
        <tr r="G2815" s="2"/>
      </tp>
      <tp t="s">
        <v>#N/A N/A</v>
        <stp/>
        <stp>BDP|2804409377237389838</stp>
        <tr r="D2067" s="2"/>
      </tp>
      <tp t="s">
        <v>#N/A N/A</v>
        <stp/>
        <stp>BDP|1292399252321689800</stp>
        <tr r="C1498" s="2"/>
      </tp>
      <tp t="s">
        <v>#N/A N/A</v>
        <stp/>
        <stp>BDP|2035586511211293944</stp>
        <tr r="H4569" s="2"/>
      </tp>
      <tp t="s">
        <v>#N/A N/A</v>
        <stp/>
        <stp>BDP|7911111374526584960</stp>
        <tr r="D4273" s="2"/>
      </tp>
      <tp t="s">
        <v>#N/A N/A</v>
        <stp/>
        <stp>BDP|3833450477919068751</stp>
        <tr r="I528" s="2"/>
      </tp>
      <tp t="s">
        <v>#N/A N/A</v>
        <stp/>
        <stp>BDP|8742062842883855147</stp>
        <tr r="I1904" s="2"/>
      </tp>
      <tp t="s">
        <v>#N/A N/A</v>
        <stp/>
        <stp>BDP|9364986215538483752</stp>
        <tr r="F178" s="2"/>
      </tp>
      <tp t="s">
        <v>#N/A N/A</v>
        <stp/>
        <stp>BDP|3475151109134688810</stp>
        <tr r="F3808" s="2"/>
      </tp>
      <tp t="s">
        <v>#N/A N/A</v>
        <stp/>
        <stp>BDP|4363344381711185083</stp>
        <tr r="G2339" s="2"/>
      </tp>
      <tp t="s">
        <v>#N/A N/A</v>
        <stp/>
        <stp>BDP|6136428208208510416</stp>
        <tr r="G2543" s="2"/>
      </tp>
      <tp t="s">
        <v>#N/A N/A</v>
        <stp/>
        <stp>BDP|8564641979407453038</stp>
        <tr r="F2916" s="2"/>
      </tp>
      <tp t="s">
        <v>#N/A N/A</v>
        <stp/>
        <stp>BDP|6947588715628928426</stp>
        <tr r="G2885" s="2"/>
      </tp>
      <tp t="s">
        <v>#N/A N/A</v>
        <stp/>
        <stp>BDP|3848283251858689286</stp>
        <tr r="I1493" s="2"/>
      </tp>
      <tp t="s">
        <v>#N/A N/A</v>
        <stp/>
        <stp>BDP|4536758784085288092</stp>
        <tr r="H3106" s="2"/>
      </tp>
      <tp t="s">
        <v>#N/A N/A</v>
        <stp/>
        <stp>BDP|5062124682977781582</stp>
        <tr r="D3620" s="2"/>
      </tp>
      <tp t="s">
        <v>#N/A N/A</v>
        <stp/>
        <stp>BDP|6250157550325842905</stp>
        <tr r="F1257" s="2"/>
      </tp>
      <tp t="s">
        <v>#N/A N/A</v>
        <stp/>
        <stp>BDP|4123895543203542512</stp>
        <tr r="F1170" s="2"/>
      </tp>
      <tp t="s">
        <v>#N/A N/A</v>
        <stp/>
        <stp>BDP|4744364999662071272</stp>
        <tr r="A4077" s="2"/>
      </tp>
      <tp t="s">
        <v>#N/A N/A</v>
        <stp/>
        <stp>BDP|5078521288381111746</stp>
        <tr r="A1915" s="2"/>
      </tp>
      <tp t="s">
        <v>#N/A N/A</v>
        <stp/>
        <stp>BDP|8240457913677800437</stp>
        <tr r="H59" s="2"/>
      </tp>
      <tp t="s">
        <v>#N/A N/A</v>
        <stp/>
        <stp>BDP|3881208021274700917</stp>
        <tr r="C4975" s="2"/>
      </tp>
      <tp t="s">
        <v>#N/A N/A</v>
        <stp/>
        <stp>BDP|8056022022644904064</stp>
        <tr r="D68" s="2"/>
      </tp>
      <tp t="s">
        <v>#N/A N/A</v>
        <stp/>
        <stp>BDP|9076704005027322794</stp>
        <tr r="H755" s="2"/>
      </tp>
      <tp t="s">
        <v>#N/A N/A</v>
        <stp/>
        <stp>BDP|5070984526763224333</stp>
        <tr r="H1344" s="2"/>
      </tp>
      <tp t="s">
        <v>#N/A N/A</v>
        <stp/>
        <stp>BDP|1696383497021061469</stp>
        <tr r="I1817" s="2"/>
      </tp>
      <tp t="s">
        <v>#N/A N/A</v>
        <stp/>
        <stp>BDP|9955503753532522504</stp>
        <tr r="A3962" s="2"/>
      </tp>
      <tp t="s">
        <v>#N/A N/A</v>
        <stp/>
        <stp>BDP|6149016735683370897</stp>
        <tr r="C2122" s="2"/>
      </tp>
      <tp t="s">
        <v>#N/A N/A</v>
        <stp/>
        <stp>BDP|5009857251691205795</stp>
        <tr r="F770" s="2"/>
      </tp>
      <tp t="s">
        <v>#N/A N/A</v>
        <stp/>
        <stp>BDP|8506690526311055352</stp>
        <tr r="C1112" s="2"/>
      </tp>
      <tp t="s">
        <v>#N/A N/A</v>
        <stp/>
        <stp>BDP|6478843378696302146</stp>
        <tr r="C186" s="2"/>
      </tp>
      <tp t="s">
        <v>#N/A N/A</v>
        <stp/>
        <stp>BDP|5763140424501804907</stp>
        <tr r="A2900" s="2"/>
      </tp>
      <tp t="s">
        <v>#N/A N/A</v>
        <stp/>
        <stp>BDP|6619756462268854164</stp>
        <tr r="H1867" s="2"/>
      </tp>
      <tp t="s">
        <v>#N/A N/A</v>
        <stp/>
        <stp>BDP|9695149076055319485</stp>
        <tr r="C1440" s="2"/>
      </tp>
      <tp t="s">
        <v>#N/A N/A</v>
        <stp/>
        <stp>BDP|9008485131201612102</stp>
        <tr r="D2970" s="2"/>
      </tp>
      <tp t="s">
        <v>#N/A N/A</v>
        <stp/>
        <stp>BDP|5627562693237807045</stp>
        <tr r="I3867" s="2"/>
      </tp>
      <tp t="s">
        <v>#N/A N/A</v>
        <stp/>
        <stp>BDP|7934207763154650937</stp>
        <tr r="H2795" s="2"/>
      </tp>
      <tp t="s">
        <v>#N/A N/A</v>
        <stp/>
        <stp>BDP|7536220985262565180</stp>
        <tr r="H1486" s="2"/>
      </tp>
      <tp t="s">
        <v>#N/A N/A</v>
        <stp/>
        <stp>BDP|1012098057899206336</stp>
        <tr r="A1335" s="2"/>
      </tp>
      <tp t="s">
        <v>#N/A N/A</v>
        <stp/>
        <stp>BDP|6455907848722140726</stp>
        <tr r="G872" s="2"/>
      </tp>
      <tp t="s">
        <v>#N/A N/A</v>
        <stp/>
        <stp>BDP|6804357142278134710</stp>
        <tr r="A679" s="2"/>
      </tp>
      <tp t="s">
        <v>#N/A N/A</v>
        <stp/>
        <stp>BDP|8111061828360058400</stp>
        <tr r="H2522" s="2"/>
      </tp>
      <tp t="s">
        <v>#N/A N/A</v>
        <stp/>
        <stp>BDP|7302491161562534911</stp>
        <tr r="G4333" s="2"/>
      </tp>
      <tp t="s">
        <v>#N/A N/A</v>
        <stp/>
        <stp>BDP|9429991907786219873</stp>
        <tr r="G62" s="2"/>
      </tp>
      <tp t="s">
        <v>#N/A N/A</v>
        <stp/>
        <stp>BDP|2271282387002887494</stp>
        <tr r="H3490" s="2"/>
      </tp>
      <tp t="s">
        <v>#N/A N/A</v>
        <stp/>
        <stp>BDP|8580884626028362443</stp>
        <tr r="G400" s="2"/>
      </tp>
      <tp t="s">
        <v>#N/A N/A</v>
        <stp/>
        <stp>BDP|7585961407023113391</stp>
        <tr r="F2946" s="2"/>
      </tp>
      <tp t="s">
        <v>#N/A N/A</v>
        <stp/>
        <stp>BDP|2414610261464091885</stp>
        <tr r="F3796" s="2"/>
      </tp>
      <tp t="s">
        <v>#N/A N/A</v>
        <stp/>
        <stp>BDP|4261224689334688430</stp>
        <tr r="I362" s="2"/>
      </tp>
      <tp t="s">
        <v>#N/A N/A</v>
        <stp/>
        <stp>BDP|6814376913688718279</stp>
        <tr r="C2829" s="2"/>
      </tp>
      <tp t="s">
        <v>#N/A N/A</v>
        <stp/>
        <stp>BDP|9954920198677687093</stp>
        <tr r="G3700" s="2"/>
      </tp>
      <tp t="s">
        <v>#N/A N/A</v>
        <stp/>
        <stp>BDP|6450977148622242758</stp>
        <tr r="H21" s="2"/>
      </tp>
      <tp t="s">
        <v>#N/A N/A</v>
        <stp/>
        <stp>BDP|1062335738577491837</stp>
        <tr r="B4350" s="2"/>
      </tp>
      <tp t="s">
        <v>#N/A N/A</v>
        <stp/>
        <stp>BDP|9443256028642388564</stp>
        <tr r="G3998" s="2"/>
      </tp>
      <tp t="s">
        <v>#N/A N/A</v>
        <stp/>
        <stp>BDP|2778194852901108912</stp>
        <tr r="H4612" s="2"/>
      </tp>
      <tp t="s">
        <v>#N/A N/A</v>
        <stp/>
        <stp>BDP|6817438497022099708</stp>
        <tr r="G2397" s="2"/>
      </tp>
      <tp t="s">
        <v>#N/A N/A</v>
        <stp/>
        <stp>BDP|7053069683683174285</stp>
        <tr r="A2295" s="2"/>
      </tp>
      <tp t="s">
        <v>#N/A N/A</v>
        <stp/>
        <stp>BDP|8715173539267136348</stp>
        <tr r="H705" s="2"/>
      </tp>
      <tp t="s">
        <v>#N/A N/A</v>
        <stp/>
        <stp>BDP|5924273925172190962</stp>
        <tr r="F534" s="2"/>
      </tp>
      <tp t="s">
        <v>#N/A N/A</v>
        <stp/>
        <stp>BDP|6824877367500523618</stp>
        <tr r="F1869" s="2"/>
      </tp>
      <tp t="s">
        <v>#N/A N/A</v>
        <stp/>
        <stp>BDP|9851627862806748134</stp>
        <tr r="G1894" s="2"/>
      </tp>
      <tp t="s">
        <v>#N/A N/A</v>
        <stp/>
        <stp>BDP|9203989928334911871</stp>
        <tr r="D2799" s="2"/>
      </tp>
      <tp t="s">
        <v>#N/A N/A</v>
        <stp/>
        <stp>BDP|7268995513824256564</stp>
        <tr r="C126" s="2"/>
      </tp>
      <tp t="s">
        <v>#N/A N/A</v>
        <stp/>
        <stp>BDP|2886454648975191981</stp>
        <tr r="B1905" s="2"/>
      </tp>
      <tp t="s">
        <v>#N/A N/A</v>
        <stp/>
        <stp>BDP|5945905238608587982</stp>
        <tr r="D1653" s="2"/>
      </tp>
      <tp t="s">
        <v>#N/A N/A</v>
        <stp/>
        <stp>BDP|6133046998899592849</stp>
        <tr r="F2234" s="2"/>
      </tp>
      <tp t="s">
        <v>#N/A N/A</v>
        <stp/>
        <stp>BDP|2318219835428838532</stp>
        <tr r="I4024" s="2"/>
      </tp>
      <tp t="s">
        <v>#N/A N/A</v>
        <stp/>
        <stp>BDP|9213399776597087418</stp>
        <tr r="D3356" s="2"/>
      </tp>
      <tp t="s">
        <v>#N/A N/A</v>
        <stp/>
        <stp>BDP|6191192287747311601</stp>
        <tr r="F507" s="2"/>
      </tp>
      <tp t="s">
        <v>#N/A N/A</v>
        <stp/>
        <stp>BDP|4853649164028511211</stp>
        <tr r="G1265" s="2"/>
      </tp>
      <tp t="s">
        <v>#N/A N/A</v>
        <stp/>
        <stp>BDP|2372377965878459192</stp>
        <tr r="C2423" s="2"/>
      </tp>
      <tp t="s">
        <v>#N/A N/A</v>
        <stp/>
        <stp>BDP|2273338096220923620</stp>
        <tr r="H4707" s="2"/>
      </tp>
      <tp t="s">
        <v>#N/A N/A</v>
        <stp/>
        <stp>BDP|7109756018447289824</stp>
        <tr r="H4510" s="2"/>
      </tp>
      <tp t="s">
        <v>#N/A N/A</v>
        <stp/>
        <stp>BDP|6676948032367475585</stp>
        <tr r="I4252" s="2"/>
      </tp>
      <tp t="s">
        <v>#N/A N/A</v>
        <stp/>
        <stp>BDP|2443839492678107585</stp>
        <tr r="C4438" s="2"/>
      </tp>
      <tp t="s">
        <v>#N/A N/A</v>
        <stp/>
        <stp>BDP|7668238999584737676</stp>
        <tr r="C4666" s="2"/>
      </tp>
      <tp t="s">
        <v>#N/A N/A</v>
        <stp/>
        <stp>BDP|2791185544888184162</stp>
        <tr r="F1121" s="2"/>
      </tp>
      <tp t="s">
        <v>#N/A N/A</v>
        <stp/>
        <stp>BDP|8106510178802011648</stp>
        <tr r="C4112" s="2"/>
      </tp>
      <tp t="s">
        <v>#N/A N/A</v>
        <stp/>
        <stp>BDP|5070413323054956970</stp>
        <tr r="A913" s="2"/>
      </tp>
      <tp t="s">
        <v>#N/A N/A</v>
        <stp/>
        <stp>BDP|9026696282210325945</stp>
        <tr r="I419" s="2"/>
      </tp>
      <tp t="s">
        <v>#N/A N/A</v>
        <stp/>
        <stp>BDP|4872577555023614900</stp>
        <tr r="D2091" s="2"/>
      </tp>
      <tp t="s">
        <v>#N/A N/A</v>
        <stp/>
        <stp>BDP|5535388603001681942</stp>
        <tr r="A3674" s="2"/>
      </tp>
      <tp t="s">
        <v>#N/A N/A</v>
        <stp/>
        <stp>BDP|3247391672558302160</stp>
        <tr r="I887" s="2"/>
      </tp>
      <tp t="s">
        <v>#N/A N/A</v>
        <stp/>
        <stp>BDP|7743054395263341386</stp>
        <tr r="G3563" s="2"/>
      </tp>
      <tp t="s">
        <v>#N/A N/A</v>
        <stp/>
        <stp>BDP|8171434349232062477</stp>
        <tr r="G4314" s="2"/>
      </tp>
      <tp t="s">
        <v>#N/A N/A</v>
        <stp/>
        <stp>BDP|2465806315705558081</stp>
        <tr r="F2950" s="2"/>
      </tp>
      <tp t="s">
        <v>#N/A N/A</v>
        <stp/>
        <stp>BDP|3838586098372077342</stp>
        <tr r="B1071" s="2"/>
      </tp>
      <tp t="s">
        <v>#N/A N/A</v>
        <stp/>
        <stp>BDP|8796772447010217598</stp>
        <tr r="B239" s="2"/>
      </tp>
      <tp t="s">
        <v>#N/A N/A</v>
        <stp/>
        <stp>BDP|1996741347245607908</stp>
        <tr r="D1284" s="2"/>
      </tp>
      <tp t="s">
        <v>#N/A N/A</v>
        <stp/>
        <stp>BDP|8413318827382694581</stp>
        <tr r="G2802" s="2"/>
      </tp>
      <tp t="s">
        <v>#N/A N/A</v>
        <stp/>
        <stp>BDP|1826234229957891864</stp>
        <tr r="G3652" s="2"/>
      </tp>
      <tp t="s">
        <v>#N/A N/A</v>
        <stp/>
        <stp>BDP|4814644423419201713</stp>
        <tr r="G4064" s="2"/>
      </tp>
      <tp t="s">
        <v>#N/A N/A</v>
        <stp/>
        <stp>BDP|1858165594365523233</stp>
        <tr r="H1079" s="2"/>
      </tp>
      <tp t="s">
        <v>#N/A N/A</v>
        <stp/>
        <stp>BDP|6277921084669117094</stp>
        <tr r="I2055" s="2"/>
      </tp>
      <tp t="s">
        <v>#N/A N/A</v>
        <stp/>
        <stp>BDP|9952530506430713275</stp>
        <tr r="F1588" s="2"/>
      </tp>
      <tp t="s">
        <v>#N/A N/A</v>
        <stp/>
        <stp>BDP|1466245091022838655</stp>
        <tr r="F1860" s="2"/>
      </tp>
      <tp t="s">
        <v>#N/A N/A</v>
        <stp/>
        <stp>BDP|1907913610044611326</stp>
        <tr r="A4434" s="2"/>
      </tp>
      <tp t="s">
        <v>#N/A N/A</v>
        <stp/>
        <stp>BDP|3250995844973150328</stp>
        <tr r="D2405" s="2"/>
      </tp>
      <tp t="s">
        <v>#N/A N/A</v>
        <stp/>
        <stp>BDP|9576432623290906103</stp>
        <tr r="F81" s="2"/>
      </tp>
      <tp t="s">
        <v>#N/A N/A</v>
        <stp/>
        <stp>BDP|5948001091693604124</stp>
        <tr r="B4253" s="2"/>
      </tp>
      <tp t="s">
        <v>#N/A N/A</v>
        <stp/>
        <stp>BDP|2051972778564437676</stp>
        <tr r="C4398" s="2"/>
      </tp>
      <tp t="s">
        <v>#N/A N/A</v>
        <stp/>
        <stp>BDP|9085267476642564098</stp>
        <tr r="A3991" s="2"/>
      </tp>
      <tp t="s">
        <v>#N/A N/A</v>
        <stp/>
        <stp>BDP|6355210309659251351</stp>
        <tr r="F4486" s="2"/>
      </tp>
      <tp t="s">
        <v>#N/A N/A</v>
        <stp/>
        <stp>BDP|6338227526869328189</stp>
        <tr r="B3673" s="2"/>
      </tp>
      <tp t="s">
        <v>#N/A N/A</v>
        <stp/>
        <stp>BDP|9838534775255066025</stp>
        <tr r="B2898" s="2"/>
      </tp>
      <tp t="s">
        <v>#N/A N/A</v>
        <stp/>
        <stp>BDP|2592482113610552960</stp>
        <tr r="G694" s="2"/>
      </tp>
      <tp t="s">
        <v>#N/A N/A</v>
        <stp/>
        <stp>BDP|5390098381862377156</stp>
        <tr r="H391" s="2"/>
      </tp>
      <tp t="s">
        <v>#N/A N/A</v>
        <stp/>
        <stp>BDP|7040928519425485428</stp>
        <tr r="I1032" s="2"/>
      </tp>
      <tp t="s">
        <v>#N/A N/A</v>
        <stp/>
        <stp>BDP|3799720706279903373</stp>
        <tr r="G2009" s="2"/>
      </tp>
      <tp t="s">
        <v>#N/A N/A</v>
        <stp/>
        <stp>BDP|2363072020188867618</stp>
        <tr r="G3854" s="2"/>
      </tp>
      <tp t="s">
        <v>#N/A N/A</v>
        <stp/>
        <stp>BDP|3354183018944855960</stp>
        <tr r="D2125" s="2"/>
      </tp>
      <tp t="s">
        <v>#N/A N/A</v>
        <stp/>
        <stp>BDP|6714199381210487168</stp>
        <tr r="H2902" s="2"/>
      </tp>
      <tp t="s">
        <v>#N/A N/A</v>
        <stp/>
        <stp>BDP|7249683179121799995</stp>
        <tr r="H3545" s="2"/>
      </tp>
      <tp t="s">
        <v>#N/A N/A</v>
        <stp/>
        <stp>BDP|3176643528280945998</stp>
        <tr r="A3353" s="2"/>
      </tp>
      <tp t="s">
        <v>#N/A N/A</v>
        <stp/>
        <stp>BDP|9934001844371182213</stp>
        <tr r="C2745" s="2"/>
      </tp>
      <tp t="s">
        <v>#N/A N/A</v>
        <stp/>
        <stp>BDP|3523988522450029626</stp>
        <tr r="D2388" s="2"/>
      </tp>
      <tp t="s">
        <v>#N/A N/A</v>
        <stp/>
        <stp>BDP|9740384474465614608</stp>
        <tr r="A864" s="2"/>
      </tp>
      <tp t="s">
        <v>#N/A N/A</v>
        <stp/>
        <stp>BDP|3893011385505307020</stp>
        <tr r="D1117" s="2"/>
      </tp>
      <tp t="s">
        <v>#N/A N/A</v>
        <stp/>
        <stp>BDP|1681828208942636577</stp>
        <tr r="C2442" s="2"/>
      </tp>
      <tp t="s">
        <v>#N/A N/A</v>
        <stp/>
        <stp>BDP|9865752265864560207</stp>
        <tr r="G1089" s="2"/>
      </tp>
      <tp t="s">
        <v>#N/A N/A</v>
        <stp/>
        <stp>BDP|6892949968915139287</stp>
        <tr r="D1274" s="2"/>
      </tp>
      <tp t="s">
        <v>#N/A N/A</v>
        <stp/>
        <stp>BDP|9660144917036099186</stp>
        <tr r="H4070" s="2"/>
      </tp>
      <tp t="s">
        <v>#N/A N/A</v>
        <stp/>
        <stp>BDP|2135914943979764895</stp>
        <tr r="D3371" s="2"/>
      </tp>
      <tp t="s">
        <v>#N/A N/A</v>
        <stp/>
        <stp>BDP|4914165110862790859</stp>
        <tr r="G3375" s="2"/>
      </tp>
      <tp t="s">
        <v>#N/A N/A</v>
        <stp/>
        <stp>BDP|4843535694883363513</stp>
        <tr r="A4235" s="2"/>
      </tp>
      <tp t="s">
        <v>#N/A N/A</v>
        <stp/>
        <stp>BDP|6578845569920341663</stp>
        <tr r="B313" s="2"/>
      </tp>
      <tp t="s">
        <v>#N/A N/A</v>
        <stp/>
        <stp>BDP|4731949964720392598</stp>
        <tr r="H1837" s="2"/>
      </tp>
      <tp t="s">
        <v>#N/A N/A</v>
        <stp/>
        <stp>BDP|3405403498465602578</stp>
        <tr r="A830" s="2"/>
      </tp>
      <tp t="s">
        <v>#N/A N/A</v>
        <stp/>
        <stp>BDP|2311688155459653657</stp>
        <tr r="A3089" s="2"/>
      </tp>
      <tp t="s">
        <v>#N/A N/A</v>
        <stp/>
        <stp>BDP|6674749434635325985</stp>
        <tr r="B38" s="2"/>
      </tp>
      <tp t="s">
        <v>#N/A N/A</v>
        <stp/>
        <stp>BDP|2487648438320256979</stp>
        <tr r="C4302" s="2"/>
      </tp>
      <tp t="s">
        <v>#N/A N/A</v>
        <stp/>
        <stp>BDP|7487215588704609765</stp>
        <tr r="A752" s="2"/>
      </tp>
      <tp t="s">
        <v>#N/A N/A</v>
        <stp/>
        <stp>BDP|2327390393466515019</stp>
        <tr r="F584" s="2"/>
      </tp>
      <tp t="s">
        <v>#N/A N/A</v>
        <stp/>
        <stp>BDP|9773374923392784496</stp>
        <tr r="C1953" s="2"/>
      </tp>
      <tp t="s">
        <v>#N/A N/A</v>
        <stp/>
        <stp>BDP|8553693230983558044</stp>
        <tr r="B1496" s="2"/>
      </tp>
      <tp t="s">
        <v>#N/A N/A</v>
        <stp/>
        <stp>BDP|1321817659320116279</stp>
        <tr r="C2463" s="2"/>
      </tp>
      <tp t="s">
        <v>#N/A N/A</v>
        <stp/>
        <stp>BDP|1810252556591610909</stp>
        <tr r="H549" s="2"/>
      </tp>
      <tp t="s">
        <v>#N/A N/A</v>
        <stp/>
        <stp>BDP|3403896114703765736</stp>
        <tr r="G1002" s="2"/>
      </tp>
      <tp t="s">
        <v>#N/A N/A</v>
        <stp/>
        <stp>BDP|2282853177812833151</stp>
        <tr r="D1521" s="2"/>
      </tp>
      <tp t="s">
        <v>#N/A N/A</v>
        <stp/>
        <stp>BDP|3769983739315314286</stp>
        <tr r="G2633" s="2"/>
      </tp>
      <tp t="s">
        <v>#N/A N/A</v>
        <stp/>
        <stp>BDP|5547542984734948215</stp>
        <tr r="H2244" s="2"/>
      </tp>
      <tp t="s">
        <v>#N/A N/A</v>
        <stp/>
        <stp>BDP|4501441568168741034</stp>
        <tr r="F3468" s="2"/>
      </tp>
      <tp t="s">
        <v>#N/A N/A</v>
        <stp/>
        <stp>BDP|4268773138708470645</stp>
        <tr r="F1913" s="2"/>
      </tp>
      <tp t="s">
        <v>#N/A N/A</v>
        <stp/>
        <stp>BDP|3833976463065721764</stp>
        <tr r="D4221" s="2"/>
      </tp>
      <tp t="s">
        <v>#N/A N/A</v>
        <stp/>
        <stp>BDP|3401904258726330723</stp>
        <tr r="H3953" s="2"/>
      </tp>
      <tp t="s">
        <v>#N/A N/A</v>
        <stp/>
        <stp>BDP|9171442487263962862</stp>
        <tr r="F4576" s="2"/>
      </tp>
      <tp t="s">
        <v>#N/A N/A</v>
        <stp/>
        <stp>BDP|1448158426665285981</stp>
        <tr r="H1437" s="2"/>
      </tp>
      <tp t="s">
        <v>#N/A N/A</v>
        <stp/>
        <stp>BDP|7938314650428673737</stp>
        <tr r="A4696" s="2"/>
      </tp>
      <tp t="s">
        <v>#N/A N/A</v>
        <stp/>
        <stp>BDP|6065327924418235195</stp>
        <tr r="D4792" s="2"/>
      </tp>
      <tp t="s">
        <v>#N/A N/A</v>
        <stp/>
        <stp>BDP|9579227251264887439</stp>
        <tr r="A3768" s="2"/>
      </tp>
      <tp t="s">
        <v>#N/A N/A</v>
        <stp/>
        <stp>BDP|9314901792215407280</stp>
        <tr r="H4353" s="2"/>
      </tp>
      <tp t="s">
        <v>#N/A N/A</v>
        <stp/>
        <stp>BDP|8982042031501443459</stp>
        <tr r="C1550" s="2"/>
      </tp>
      <tp t="s">
        <v>#N/A N/A</v>
        <stp/>
        <stp>BDP|5930430750902605818</stp>
        <tr r="B920" s="2"/>
      </tp>
      <tp t="s">
        <v>#N/A N/A</v>
        <stp/>
        <stp>BDP|2802351863369445074</stp>
        <tr r="H99" s="2"/>
      </tp>
      <tp t="s">
        <v>#N/A N/A</v>
        <stp/>
        <stp>BDP|2590066646068126098</stp>
        <tr r="B3025" s="2"/>
      </tp>
      <tp t="s">
        <v>#N/A N/A</v>
        <stp/>
        <stp>BDP|3801493110609426182</stp>
        <tr r="F2516" s="2"/>
      </tp>
      <tp t="s">
        <v>#N/A N/A</v>
        <stp/>
        <stp>BDP|5255947939081362011</stp>
        <tr r="H3491" s="2"/>
      </tp>
      <tp t="s">
        <v>#N/A N/A</v>
        <stp/>
        <stp>BDP|9060223317071142594</stp>
        <tr r="I3841" s="2"/>
      </tp>
      <tp t="s">
        <v>#N/A N/A</v>
        <stp/>
        <stp>BDP|3910980308524156054</stp>
        <tr r="A1891" s="2"/>
      </tp>
      <tp t="s">
        <v>#N/A N/A</v>
        <stp/>
        <stp>BDP|3886520162529789720</stp>
        <tr r="D3017" s="2"/>
      </tp>
      <tp t="s">
        <v>#N/A N/A</v>
        <stp/>
        <stp>BDP|5460081323298667146</stp>
        <tr r="B24" s="2"/>
      </tp>
      <tp t="s">
        <v>#N/A N/A</v>
        <stp/>
        <stp>BDP|6378323786423833026</stp>
        <tr r="I3610" s="2"/>
      </tp>
      <tp t="s">
        <v>#N/A N/A</v>
        <stp/>
        <stp>BDP|1808960820487383309</stp>
        <tr r="G1042" s="2"/>
      </tp>
      <tp t="s">
        <v>#N/A N/A</v>
        <stp/>
        <stp>BDP|1848991745177839513</stp>
        <tr r="A1086" s="2"/>
      </tp>
      <tp t="s">
        <v>#N/A N/A</v>
        <stp/>
        <stp>BDP|6451846716061311086</stp>
        <tr r="F3948" s="2"/>
      </tp>
      <tp t="s">
        <v>#N/A N/A</v>
        <stp/>
        <stp>BDP|3822154111184405953</stp>
        <tr r="G3161" s="2"/>
      </tp>
      <tp t="s">
        <v>#N/A N/A</v>
        <stp/>
        <stp>BDP|1368830026015888039</stp>
        <tr r="H1232" s="2"/>
      </tp>
      <tp t="s">
        <v>#N/A N/A</v>
        <stp/>
        <stp>BDP|8982588371773555785</stp>
        <tr r="B488" s="2"/>
      </tp>
      <tp t="s">
        <v>#N/A N/A</v>
        <stp/>
        <stp>BDP|4207114157378923603</stp>
        <tr r="A2288" s="2"/>
      </tp>
      <tp t="s">
        <v>#N/A N/A</v>
        <stp/>
        <stp>BDP|9676402674287724383</stp>
        <tr r="I1748" s="2"/>
      </tp>
      <tp t="s">
        <v>#N/A N/A</v>
        <stp/>
        <stp>BDP|4511314919240095808</stp>
        <tr r="C4207" s="2"/>
      </tp>
      <tp t="s">
        <v>#N/A N/A</v>
        <stp/>
        <stp>BDP|1321879004940723759</stp>
        <tr r="H1318" s="2"/>
      </tp>
      <tp t="s">
        <v>#N/A N/A</v>
        <stp/>
        <stp>BDP|4633477551133742858</stp>
        <tr r="C4847" s="2"/>
      </tp>
      <tp t="s">
        <v>#N/A N/A</v>
        <stp/>
        <stp>BDP|6239168996458772871</stp>
        <tr r="F2537" s="2"/>
      </tp>
      <tp t="s">
        <v>#N/A N/A</v>
        <stp/>
        <stp>BDP|9130881034399809578</stp>
        <tr r="F4042" s="2"/>
      </tp>
      <tp t="s">
        <v>#N/A N/A</v>
        <stp/>
        <stp>BDP|7657461795034582025</stp>
        <tr r="G1858" s="2"/>
      </tp>
      <tp t="s">
        <v>#N/A N/A</v>
        <stp/>
        <stp>BDP|3574974805814101042</stp>
        <tr r="I3252" s="2"/>
      </tp>
      <tp t="s">
        <v>#N/A N/A</v>
        <stp/>
        <stp>BDP|4005047992826461501</stp>
        <tr r="B2724" s="2"/>
      </tp>
      <tp t="s">
        <v>#N/A N/A</v>
        <stp/>
        <stp>BDP|1254740440108288467</stp>
        <tr r="G1243" s="2"/>
      </tp>
      <tp t="s">
        <v>#N/A N/A</v>
        <stp/>
        <stp>BDP|6244853804756629678</stp>
        <tr r="I1607" s="2"/>
      </tp>
      <tp t="s">
        <v>#N/A N/A</v>
        <stp/>
        <stp>BDP|9651670360816510166</stp>
        <tr r="A3379" s="2"/>
      </tp>
      <tp t="s">
        <v>#N/A N/A</v>
        <stp/>
        <stp>BDP|7002015993929075901</stp>
        <tr r="I3458" s="2"/>
      </tp>
      <tp t="s">
        <v>#N/A N/A</v>
        <stp/>
        <stp>BDP|2823178038167155943</stp>
        <tr r="F1882" s="2"/>
      </tp>
      <tp t="s">
        <v>#N/A N/A</v>
        <stp/>
        <stp>BDP|3246579230119725203</stp>
        <tr r="C4763" s="2"/>
      </tp>
      <tp t="s">
        <v>#N/A N/A</v>
        <stp/>
        <stp>BDP|2383220672819541048</stp>
        <tr r="B1090" s="2"/>
      </tp>
      <tp t="s">
        <v>#N/A N/A</v>
        <stp/>
        <stp>BDP|8731929722374747921</stp>
        <tr r="G3715" s="2"/>
      </tp>
      <tp t="s">
        <v>#N/A N/A</v>
        <stp/>
        <stp>BDP|6256038978757274891</stp>
        <tr r="C4376" s="2"/>
      </tp>
      <tp t="s">
        <v>#N/A N/A</v>
        <stp/>
        <stp>BDP|7295141934772015902</stp>
        <tr r="A1803" s="2"/>
      </tp>
      <tp t="s">
        <v>#N/A N/A</v>
        <stp/>
        <stp>BDP|9359695709291988086</stp>
        <tr r="F1789" s="2"/>
      </tp>
      <tp t="s">
        <v>#N/A N/A</v>
        <stp/>
        <stp>BDP|9240759145302724673</stp>
        <tr r="B3099" s="2"/>
      </tp>
      <tp t="s">
        <v>#N/A N/A</v>
        <stp/>
        <stp>BDP|6292167594022224203</stp>
        <tr r="G4335" s="2"/>
      </tp>
      <tp t="s">
        <v>#N/A N/A</v>
        <stp/>
        <stp>BDP|2485479245548131458</stp>
        <tr r="G4140" s="2"/>
      </tp>
      <tp t="s">
        <v>#N/A N/A</v>
        <stp/>
        <stp>BDP|5569780515024912938</stp>
        <tr r="C78" s="2"/>
      </tp>
      <tp t="s">
        <v>#N/A N/A</v>
        <stp/>
        <stp>BDP|8660748923242120121</stp>
        <tr r="F4444" s="2"/>
      </tp>
      <tp t="s">
        <v>#N/A N/A</v>
        <stp/>
        <stp>BDP|8723925257039413348</stp>
        <tr r="G3774" s="2"/>
      </tp>
      <tp t="s">
        <v>#N/A N/A</v>
        <stp/>
        <stp>BDP|9639060122916563352</stp>
        <tr r="B1365" s="2"/>
      </tp>
      <tp t="s">
        <v>#N/A N/A</v>
        <stp/>
        <stp>BDP|1856464899080532203</stp>
        <tr r="I2152" s="2"/>
      </tp>
      <tp t="s">
        <v>#N/A N/A</v>
        <stp/>
        <stp>BDP|2028631087395175776</stp>
        <tr r="G235" s="2"/>
      </tp>
      <tp t="s">
        <v>#N/A N/A</v>
        <stp/>
        <stp>BDP|6633873500338111823</stp>
        <tr r="H4054" s="2"/>
      </tp>
      <tp t="s">
        <v>#N/A N/A</v>
        <stp/>
        <stp>BDP|6890238616112873976</stp>
        <tr r="I4702" s="2"/>
      </tp>
      <tp t="s">
        <v>#N/A N/A</v>
        <stp/>
        <stp>BDP|9490822095243492551</stp>
        <tr r="D1290" s="2"/>
      </tp>
      <tp t="s">
        <v>#N/A N/A</v>
        <stp/>
        <stp>BDP|8352566593032703832</stp>
        <tr r="F1382" s="2"/>
      </tp>
      <tp t="s">
        <v>#N/A N/A</v>
        <stp/>
        <stp>BDP|5702477741759413270</stp>
        <tr r="A1784" s="2"/>
      </tp>
      <tp t="s">
        <v>#N/A N/A</v>
        <stp/>
        <stp>BDP|7657410535336714877</stp>
        <tr r="A3188" s="2"/>
      </tp>
      <tp t="s">
        <v>#N/A N/A</v>
        <stp/>
        <stp>BDP|2536262582370734641</stp>
        <tr r="B1406" s="2"/>
      </tp>
      <tp t="s">
        <v>#N/A N/A</v>
        <stp/>
        <stp>BDP|3992889492564840891</stp>
        <tr r="B1367" s="2"/>
      </tp>
      <tp t="s">
        <v>#N/A N/A</v>
        <stp/>
        <stp>BDP|2739951112472303616</stp>
        <tr r="I340" s="2"/>
      </tp>
      <tp t="s">
        <v>#N/A N/A</v>
        <stp/>
        <stp>BDP|8714079112371989693</stp>
        <tr r="I3357" s="2"/>
      </tp>
      <tp t="s">
        <v>#N/A N/A</v>
        <stp/>
        <stp>BDP|1442123193421785608</stp>
        <tr r="A4113" s="2"/>
      </tp>
      <tp t="s">
        <v>#N/A N/A</v>
        <stp/>
        <stp>BDP|2364007646509720105</stp>
        <tr r="D2433" s="2"/>
      </tp>
      <tp t="s">
        <v>#N/A N/A</v>
        <stp/>
        <stp>BDP|8419346023411556645</stp>
        <tr r="H1556" s="2"/>
      </tp>
      <tp t="s">
        <v>#N/A N/A</v>
        <stp/>
        <stp>BDP|9378103153044177730</stp>
        <tr r="C863" s="2"/>
      </tp>
      <tp t="s">
        <v>#N/A N/A</v>
        <stp/>
        <stp>BDP|8904579770326815249</stp>
        <tr r="H3176" s="2"/>
      </tp>
      <tp t="s">
        <v>#N/A N/A</v>
        <stp/>
        <stp>BDP|4012013371208314513</stp>
        <tr r="F3838" s="2"/>
      </tp>
      <tp t="s">
        <v>#N/A N/A</v>
        <stp/>
        <stp>BDP|8569777600156643766</stp>
        <tr r="D997" s="2"/>
      </tp>
      <tp t="s">
        <v>#N/A N/A</v>
        <stp/>
        <stp>BDP|8987394829534225399</stp>
        <tr r="C3327" s="2"/>
      </tp>
      <tp t="s">
        <v>#N/A N/A</v>
        <stp/>
        <stp>BDP|4546855435030705104</stp>
        <tr r="A612" s="2"/>
      </tp>
      <tp t="s">
        <v>#N/A N/A</v>
        <stp/>
        <stp>BDP|8725442932872551368</stp>
        <tr r="D518" s="2"/>
      </tp>
      <tp t="s">
        <v>#N/A N/A</v>
        <stp/>
        <stp>BDP|9429947374280508932</stp>
        <tr r="A4668" s="2"/>
      </tp>
      <tp t="s">
        <v>#N/A N/A</v>
        <stp/>
        <stp>BDP|5002956050154413332</stp>
        <tr r="C3091" s="2"/>
      </tp>
      <tp t="s">
        <v>#N/A N/A</v>
        <stp/>
        <stp>BDP|8575217983638768424</stp>
        <tr r="I2950" s="2"/>
      </tp>
      <tp t="s">
        <v>#N/A N/A</v>
        <stp/>
        <stp>BDP|4606693641108432085</stp>
        <tr r="A243" s="2"/>
      </tp>
      <tp t="s">
        <v>#N/A N/A</v>
        <stp/>
        <stp>BDP|9440321455564400554</stp>
        <tr r="H1321" s="2"/>
      </tp>
      <tp t="s">
        <v>#N/A N/A</v>
        <stp/>
        <stp>BDP|8710631720136579432</stp>
        <tr r="B2819" s="2"/>
      </tp>
      <tp t="s">
        <v>#N/A N/A</v>
        <stp/>
        <stp>BDP|1426711287280956090</stp>
        <tr r="C2417" s="2"/>
      </tp>
      <tp t="s">
        <v>#N/A N/A</v>
        <stp/>
        <stp>BDP|3520421530319671330</stp>
        <tr r="C4165" s="2"/>
      </tp>
      <tp t="s">
        <v>#N/A N/A</v>
        <stp/>
        <stp>BDP|6960080505191019961</stp>
        <tr r="H4460" s="2"/>
      </tp>
      <tp t="s">
        <v>#N/A N/A</v>
        <stp/>
        <stp>BDP|4194645216814911982</stp>
        <tr r="F4719" s="2"/>
      </tp>
      <tp t="s">
        <v>#N/A N/A</v>
        <stp/>
        <stp>BDP|9915970694810892707</stp>
        <tr r="A922" s="2"/>
      </tp>
      <tp t="s">
        <v>#N/A N/A</v>
        <stp/>
        <stp>BDP|2179326480671618671</stp>
        <tr r="I734" s="2"/>
      </tp>
      <tp t="s">
        <v>#N/A N/A</v>
        <stp/>
        <stp>BDP|3081375772400385946</stp>
        <tr r="A2933" s="2"/>
      </tp>
      <tp t="s">
        <v>#N/A N/A</v>
        <stp/>
        <stp>BDP|5757803337135184538</stp>
        <tr r="A2763" s="2"/>
      </tp>
      <tp t="s">
        <v>#N/A N/A</v>
        <stp/>
        <stp>BDP|9246884907148678791</stp>
        <tr r="A1348" s="2"/>
      </tp>
      <tp t="s">
        <v>#N/A N/A</v>
        <stp/>
        <stp>BDP|7995629851502900812</stp>
        <tr r="I3537" s="2"/>
      </tp>
      <tp t="s">
        <v>#N/A N/A</v>
        <stp/>
        <stp>BDP|2213255456378518361</stp>
        <tr r="C2055" s="2"/>
      </tp>
      <tp t="s">
        <v>#N/A N/A</v>
        <stp/>
        <stp>BDP|3487265651549372329</stp>
        <tr r="B457" s="2"/>
      </tp>
      <tp t="s">
        <v>#N/A N/A</v>
        <stp/>
        <stp>BDP|7481772019989048681</stp>
        <tr r="B4970" s="2"/>
      </tp>
      <tp t="s">
        <v>#N/A N/A</v>
        <stp/>
        <stp>BDP|3622729339571785880</stp>
        <tr r="B27" s="2"/>
      </tp>
      <tp t="s">
        <v>#N/A N/A</v>
        <stp/>
        <stp>BDP|7581444561743499864</stp>
        <tr r="B1775" s="2"/>
      </tp>
      <tp t="s">
        <v>#N/A N/A</v>
        <stp/>
        <stp>BDP|4512017684233752148</stp>
        <tr r="H2423" s="2"/>
      </tp>
      <tp t="s">
        <v>#N/A N/A</v>
        <stp/>
        <stp>BDP|1962179421464446886</stp>
        <tr r="B4009" s="2"/>
      </tp>
      <tp t="s">
        <v>#N/A N/A</v>
        <stp/>
        <stp>BDP|1738499585291983219</stp>
        <tr r="F1472" s="2"/>
      </tp>
      <tp t="s">
        <v>#N/A N/A</v>
        <stp/>
        <stp>BDP|6721228807649722367</stp>
        <tr r="F1454" s="2"/>
      </tp>
      <tp t="s">
        <v>#N/A N/A</v>
        <stp/>
        <stp>BDP|8591933784462338524</stp>
        <tr r="A3872" s="2"/>
      </tp>
      <tp t="s">
        <v>#N/A N/A</v>
        <stp/>
        <stp>BDP|4714790930748472698</stp>
        <tr r="F2089" s="2"/>
      </tp>
      <tp t="s">
        <v>#N/A N/A</v>
        <stp/>
        <stp>BDP|8110518422459857890</stp>
        <tr r="H468" s="2"/>
      </tp>
      <tp t="s">
        <v>#N/A N/A</v>
        <stp/>
        <stp>BDP|5193740507644723865</stp>
        <tr r="A795" s="2"/>
      </tp>
      <tp t="s">
        <v>#N/A N/A</v>
        <stp/>
        <stp>BDP|1062189476619408091</stp>
        <tr r="B4190" s="2"/>
      </tp>
      <tp t="s">
        <v>#N/A N/A</v>
        <stp/>
        <stp>BDP|5581913021335066565</stp>
        <tr r="G4925" s="2"/>
      </tp>
      <tp t="s">
        <v>#N/A N/A</v>
        <stp/>
        <stp>BDP|3288250491156128040</stp>
        <tr r="B1920" s="2"/>
      </tp>
      <tp t="s">
        <v>#N/A N/A</v>
        <stp/>
        <stp>BDP|2080938369133882012</stp>
        <tr r="A3830" s="2"/>
      </tp>
      <tp t="s">
        <v>#N/A N/A</v>
        <stp/>
        <stp>BDP|4278349297279074920</stp>
        <tr r="D3903" s="2"/>
      </tp>
      <tp t="s">
        <v>#N/A N/A</v>
        <stp/>
        <stp>BDP|9608069103572727575</stp>
        <tr r="H2474" s="2"/>
      </tp>
      <tp t="s">
        <v>#N/A N/A</v>
        <stp/>
        <stp>BDP|6744439235268612744</stp>
        <tr r="C3329" s="2"/>
      </tp>
      <tp t="s">
        <v>#N/A N/A</v>
        <stp/>
        <stp>BDP|5800661113279995570</stp>
        <tr r="B503" s="2"/>
      </tp>
      <tp t="s">
        <v>#N/A N/A</v>
        <stp/>
        <stp>BDP|7362720045669539329</stp>
        <tr r="I633" s="2"/>
      </tp>
      <tp t="s">
        <v>#N/A N/A</v>
        <stp/>
        <stp>BDP|8759553283243785856</stp>
        <tr r="C3645" s="2"/>
      </tp>
      <tp t="s">
        <v>#N/A N/A</v>
        <stp/>
        <stp>BDP|5410859449797927020</stp>
        <tr r="G675" s="2"/>
      </tp>
      <tp t="s">
        <v>#N/A N/A</v>
        <stp/>
        <stp>BDP|6411788096413094598</stp>
        <tr r="B1743" s="2"/>
      </tp>
      <tp t="s">
        <v>#N/A N/A</v>
        <stp/>
        <stp>BDP|9249408575965296160</stp>
        <tr r="A1287" s="2"/>
      </tp>
      <tp t="s">
        <v>#N/A N/A</v>
        <stp/>
        <stp>BDP|5313495862310808938</stp>
        <tr r="G1845" s="2"/>
      </tp>
      <tp t="s">
        <v>#N/A N/A</v>
        <stp/>
        <stp>BDP|8266144723275365059</stp>
        <tr r="H1041" s="2"/>
      </tp>
      <tp t="s">
        <v>#N/A N/A</v>
        <stp/>
        <stp>BDP|1059440501178031368</stp>
        <tr r="A2358" s="2"/>
      </tp>
      <tp t="s">
        <v>#N/A N/A</v>
        <stp/>
        <stp>BDP|4174214390841676052</stp>
        <tr r="F1751" s="2"/>
      </tp>
      <tp t="s">
        <v>#N/A N/A</v>
        <stp/>
        <stp>BDP|7345199317021902873</stp>
        <tr r="H2574" s="2"/>
      </tp>
      <tp t="s">
        <v>#N/A N/A</v>
        <stp/>
        <stp>BDP|8239453650903512416</stp>
        <tr r="I2457" s="2"/>
      </tp>
      <tp t="s">
        <v>#N/A N/A</v>
        <stp/>
        <stp>BDP|1146342747631578949</stp>
        <tr r="G4867" s="2"/>
      </tp>
      <tp t="s">
        <v>#N/A N/A</v>
        <stp/>
        <stp>BDP|2595577934078481218</stp>
        <tr r="F166" s="2"/>
      </tp>
      <tp t="s">
        <v>#N/A N/A</v>
        <stp/>
        <stp>BDP|8406576944644761338</stp>
        <tr r="H2424" s="2"/>
      </tp>
      <tp t="s">
        <v>#N/A N/A</v>
        <stp/>
        <stp>BDP|4269699876232745998</stp>
        <tr r="B2758" s="2"/>
      </tp>
      <tp t="s">
        <v>#N/A N/A</v>
        <stp/>
        <stp>BDP|9549722842137022364</stp>
        <tr r="D3877" s="2"/>
      </tp>
      <tp t="s">
        <v>#N/A N/A</v>
        <stp/>
        <stp>BDP|1479911449790745284</stp>
        <tr r="I577" s="2"/>
      </tp>
      <tp t="s">
        <v>#N/A N/A</v>
        <stp/>
        <stp>BDP|9758115066687228715</stp>
        <tr r="D3381" s="2"/>
      </tp>
      <tp t="s">
        <v>#N/A N/A</v>
        <stp/>
        <stp>BDP|2468246697616735134</stp>
        <tr r="A4066" s="2"/>
      </tp>
      <tp t="s">
        <v>#N/A N/A</v>
        <stp/>
        <stp>BDP|8370620817260438116</stp>
        <tr r="H4405" s="2"/>
      </tp>
      <tp t="s">
        <v>#N/A N/A</v>
        <stp/>
        <stp>BDP|9338971514299414671</stp>
        <tr r="C2738" s="2"/>
      </tp>
      <tp t="s">
        <v>#N/A N/A</v>
        <stp/>
        <stp>BDP|8877388673273194114</stp>
        <tr r="H1989" s="2"/>
      </tp>
      <tp t="s">
        <v>#N/A N/A</v>
        <stp/>
        <stp>BDP|9403983931505701896</stp>
        <tr r="C4708" s="2"/>
      </tp>
      <tp t="s">
        <v>#N/A N/A</v>
        <stp/>
        <stp>BDP|2935240337049045494</stp>
        <tr r="B3922" s="2"/>
      </tp>
      <tp t="s">
        <v>#N/A N/A</v>
        <stp/>
        <stp>BDP|2991601159668781745</stp>
        <tr r="F1253" s="2"/>
      </tp>
      <tp t="s">
        <v>#N/A N/A</v>
        <stp/>
        <stp>BDP|8937651033727911456</stp>
        <tr r="C4196" s="2"/>
      </tp>
      <tp t="s">
        <v>#N/A N/A</v>
        <stp/>
        <stp>BDP|8156262001047062353</stp>
        <tr r="D3987" s="2"/>
      </tp>
      <tp t="s">
        <v>#N/A N/A</v>
        <stp/>
        <stp>BDP|3829830962706373590</stp>
        <tr r="G3153" s="2"/>
      </tp>
      <tp t="s">
        <v>#N/A N/A</v>
        <stp/>
        <stp>BDP|9968921938074435946</stp>
        <tr r="H4892" s="2"/>
      </tp>
      <tp t="s">
        <v>#N/A N/A</v>
        <stp/>
        <stp>BDP|8380552892038615219</stp>
        <tr r="B1926" s="2"/>
      </tp>
      <tp t="s">
        <v>#N/A N/A</v>
        <stp/>
        <stp>BDP|1797565089901878330</stp>
        <tr r="F1589" s="2"/>
      </tp>
      <tp t="s">
        <v>#N/A N/A</v>
        <stp/>
        <stp>BDP|4605933977401428551</stp>
        <tr r="F3950" s="2"/>
      </tp>
      <tp t="s">
        <v>#N/A N/A</v>
        <stp/>
        <stp>BDP|9684658481870043918</stp>
        <tr r="G1567" s="2"/>
      </tp>
      <tp t="s">
        <v>#N/A N/A</v>
        <stp/>
        <stp>BDP|5957351067109962717</stp>
        <tr r="C4785" s="2"/>
      </tp>
      <tp t="s">
        <v>#N/A N/A</v>
        <stp/>
        <stp>BDP|5786040830759691162</stp>
        <tr r="H1095" s="2"/>
      </tp>
      <tp t="s">
        <v>#N/A N/A</v>
        <stp/>
        <stp>BDP|8576088002494964259</stp>
        <tr r="I3573" s="2"/>
      </tp>
      <tp t="s">
        <v>#N/A N/A</v>
        <stp/>
        <stp>BDP|7086974012667294644</stp>
        <tr r="F1010" s="2"/>
      </tp>
      <tp t="s">
        <v>#N/A N/A</v>
        <stp/>
        <stp>BDP|7334837073407010106</stp>
        <tr r="C1486" s="2"/>
      </tp>
      <tp t="s">
        <v>#N/A N/A</v>
        <stp/>
        <stp>BDP|8148458903737486504</stp>
        <tr r="C3539" s="2"/>
      </tp>
      <tp t="s">
        <v>#N/A N/A</v>
        <stp/>
        <stp>BDP|9641374243619486959</stp>
        <tr r="C3245" s="2"/>
      </tp>
      <tp t="s">
        <v>#N/A N/A</v>
        <stp/>
        <stp>BDP|7902391380222151021</stp>
        <tr r="D4030" s="2"/>
      </tp>
      <tp t="s">
        <v>#N/A N/A</v>
        <stp/>
        <stp>BDP|9659801470580026854</stp>
        <tr r="B3556" s="2"/>
      </tp>
      <tp t="s">
        <v>#N/A N/A</v>
        <stp/>
        <stp>BDP|8571551904524777703</stp>
        <tr r="D1348" s="2"/>
      </tp>
      <tp t="s">
        <v>#N/A N/A</v>
        <stp/>
        <stp>BDP|8375841853339267254</stp>
        <tr r="B610" s="2"/>
      </tp>
      <tp t="s">
        <v>#N/A N/A</v>
        <stp/>
        <stp>BDP|8724934115329547777</stp>
        <tr r="H4935" s="2"/>
      </tp>
      <tp t="s">
        <v>#N/A N/A</v>
        <stp/>
        <stp>BDP|1042453816728615267</stp>
        <tr r="G4660" s="2"/>
      </tp>
      <tp t="s">
        <v>#N/A N/A</v>
        <stp/>
        <stp>BDP|1729901192489509631</stp>
        <tr r="I503" s="2"/>
      </tp>
      <tp t="s">
        <v>#N/A N/A</v>
        <stp/>
        <stp>BDP|7318167591010487138</stp>
        <tr r="G1955" s="2"/>
      </tp>
      <tp t="s">
        <v>#N/A N/A</v>
        <stp/>
        <stp>BDP|2547157056179287143</stp>
        <tr r="D3471" s="2"/>
      </tp>
      <tp t="s">
        <v>#N/A N/A</v>
        <stp/>
        <stp>BDP|7049373798091896277</stp>
        <tr r="C2917" s="2"/>
      </tp>
      <tp t="s">
        <v>#N/A N/A</v>
        <stp/>
        <stp>BDP|9077828198084360290</stp>
        <tr r="A1085" s="2"/>
      </tp>
      <tp t="s">
        <v>#N/A N/A</v>
        <stp/>
        <stp>BDP|6809555047859974033</stp>
        <tr r="F2692" s="2"/>
      </tp>
      <tp t="s">
        <v>#N/A N/A</v>
        <stp/>
        <stp>BDP|8836248189248328462</stp>
        <tr r="I3753" s="2"/>
      </tp>
      <tp t="s">
        <v>#N/A N/A</v>
        <stp/>
        <stp>BDP|9501272734351091760</stp>
        <tr r="G729" s="2"/>
      </tp>
      <tp t="s">
        <v>#N/A N/A</v>
        <stp/>
        <stp>BDP|5535385892286689794</stp>
        <tr r="B72" s="2"/>
      </tp>
      <tp t="s">
        <v>#N/A N/A</v>
        <stp/>
        <stp>BDP|2287618996806671537</stp>
        <tr r="H508" s="2"/>
      </tp>
      <tp t="s">
        <v>#N/A N/A</v>
        <stp/>
        <stp>BDP|8520059942392709050</stp>
        <tr r="D4262" s="2"/>
      </tp>
      <tp t="s">
        <v>#N/A N/A</v>
        <stp/>
        <stp>BDP|2431811493689389457</stp>
        <tr r="I3906" s="2"/>
      </tp>
      <tp t="s">
        <v>#N/A N/A</v>
        <stp/>
        <stp>BDP|8176932393261056719</stp>
        <tr r="D2875" s="2"/>
      </tp>
      <tp t="s">
        <v>#N/A N/A</v>
        <stp/>
        <stp>BDP|5597198586160983233</stp>
        <tr r="D1340" s="2"/>
      </tp>
      <tp t="s">
        <v>#N/A N/A</v>
        <stp/>
        <stp>BDP|9026457402990120365</stp>
        <tr r="C1728" s="2"/>
      </tp>
      <tp t="s">
        <v>#N/A N/A</v>
        <stp/>
        <stp>BDP|2615825050506092742</stp>
        <tr r="I3452" s="2"/>
      </tp>
      <tp t="s">
        <v>#N/A N/A</v>
        <stp/>
        <stp>BDP|7296910160283048535</stp>
        <tr r="F680" s="2"/>
      </tp>
      <tp t="s">
        <v>#N/A N/A</v>
        <stp/>
        <stp>BDP|2787083469479104375</stp>
        <tr r="G484" s="2"/>
      </tp>
      <tp t="s">
        <v>#N/A N/A</v>
        <stp/>
        <stp>BDP|1301202929968234785</stp>
        <tr r="I3503" s="2"/>
      </tp>
      <tp t="s">
        <v>#N/A N/A</v>
        <stp/>
        <stp>BDP|7147731940982067826</stp>
        <tr r="A1373" s="2"/>
      </tp>
      <tp t="s">
        <v>#N/A N/A</v>
        <stp/>
        <stp>BDP|5587907040967783122</stp>
        <tr r="D3443" s="2"/>
      </tp>
      <tp t="s">
        <v>#N/A N/A</v>
        <stp/>
        <stp>BDP|1472141026014328858</stp>
        <tr r="G4483" s="2"/>
      </tp>
      <tp t="s">
        <v>#N/A N/A</v>
        <stp/>
        <stp>BDP|1983012360519836003</stp>
        <tr r="D2938" s="2"/>
      </tp>
      <tp t="s">
        <v>#N/A N/A</v>
        <stp/>
        <stp>BDP|4404555434004590803</stp>
        <tr r="F2915" s="2"/>
      </tp>
      <tp t="s">
        <v>#N/A N/A</v>
        <stp/>
        <stp>BDP|4676148914608533235</stp>
        <tr r="H983" s="2"/>
      </tp>
      <tp t="s">
        <v>#N/A N/A</v>
        <stp/>
        <stp>BDP|6426770685724698303</stp>
        <tr r="F3080" s="2"/>
      </tp>
      <tp t="s">
        <v>#N/A N/A</v>
        <stp/>
        <stp>BDP|3421268195484198269</stp>
        <tr r="C1872" s="2"/>
      </tp>
      <tp t="s">
        <v>#N/A N/A</v>
        <stp/>
        <stp>BDP|8109500843244089324</stp>
        <tr r="B236" s="2"/>
      </tp>
      <tp t="s">
        <v>#N/A N/A</v>
        <stp/>
        <stp>BDP|9448635100438386943</stp>
        <tr r="I4773" s="2"/>
      </tp>
      <tp t="s">
        <v>#N/A N/A</v>
        <stp/>
        <stp>BDP|9200134756543089077</stp>
        <tr r="G246" s="2"/>
      </tp>
      <tp t="s">
        <v>#N/A N/A</v>
        <stp/>
        <stp>BDP|6563781451923861949</stp>
        <tr r="I3908" s="2"/>
      </tp>
      <tp t="s">
        <v>#N/A N/A</v>
        <stp/>
        <stp>BDP|9671476842665338205</stp>
        <tr r="D2559" s="2"/>
      </tp>
      <tp t="s">
        <v>#N/A N/A</v>
        <stp/>
        <stp>BDP|4312915354352435425</stp>
        <tr r="C1176" s="2"/>
      </tp>
      <tp t="s">
        <v>#N/A N/A</v>
        <stp/>
        <stp>BDP|6127559674342887881</stp>
        <tr r="A4879" s="2"/>
      </tp>
      <tp t="s">
        <v>#N/A N/A</v>
        <stp/>
        <stp>BDP|8082553362991441437</stp>
        <tr r="G4355" s="2"/>
      </tp>
      <tp t="s">
        <v>#N/A N/A</v>
        <stp/>
        <stp>BDP|4877742644009814004</stp>
        <tr r="A4286" s="2"/>
      </tp>
      <tp t="s">
        <v>#N/A N/A</v>
        <stp/>
        <stp>BDP|1806822069125333400</stp>
        <tr r="G4761" s="2"/>
      </tp>
      <tp t="s">
        <v>#N/A N/A</v>
        <stp/>
        <stp>BDP|9254546112734504714</stp>
        <tr r="D3959" s="2"/>
      </tp>
      <tp t="s">
        <v>#N/A N/A</v>
        <stp/>
        <stp>BDP|9470013530624325060</stp>
        <tr r="D1463" s="2"/>
      </tp>
      <tp t="s">
        <v>#N/A N/A</v>
        <stp/>
        <stp>BDP|7019470324568611755</stp>
        <tr r="G4179" s="2"/>
      </tp>
      <tp t="s">
        <v>#N/A N/A</v>
        <stp/>
        <stp>BDP|8835536955347668183</stp>
        <tr r="B2932" s="2"/>
      </tp>
      <tp t="s">
        <v>#N/A N/A</v>
        <stp/>
        <stp>BDP|7692309674325775857</stp>
        <tr r="G2673" s="2"/>
      </tp>
      <tp t="s">
        <v>#N/A N/A</v>
        <stp/>
        <stp>BDP|3193223996874342265</stp>
        <tr r="G1476" s="2"/>
      </tp>
      <tp t="s">
        <v>#N/A N/A</v>
        <stp/>
        <stp>BDP|3442966206502274662</stp>
        <tr r="C3711" s="2"/>
      </tp>
      <tp t="s">
        <v>#N/A N/A</v>
        <stp/>
        <stp>BDP|7249993718497551664</stp>
        <tr r="H4409" s="2"/>
      </tp>
      <tp t="s">
        <v>#N/A N/A</v>
        <stp/>
        <stp>BDP|9658565222667107734</stp>
        <tr r="H1999" s="2"/>
      </tp>
      <tp t="s">
        <v>#N/A N/A</v>
        <stp/>
        <stp>BDP|9679365365930712228</stp>
        <tr r="G3363" s="2"/>
      </tp>
      <tp t="s">
        <v>#N/A N/A</v>
        <stp/>
        <stp>BDP|2611626585565223735</stp>
        <tr r="B4125" s="2"/>
      </tp>
      <tp t="s">
        <v>#N/A N/A</v>
        <stp/>
        <stp>BDP|1285758336069512244</stp>
        <tr r="I3164" s="2"/>
      </tp>
      <tp t="s">
        <v>#N/A N/A</v>
        <stp/>
        <stp>BDP|9697534013015689600</stp>
        <tr r="F2149" s="2"/>
      </tp>
      <tp t="s">
        <v>#N/A N/A</v>
        <stp/>
        <stp>BDP|4736422834104404955</stp>
        <tr r="D3276" s="2"/>
      </tp>
      <tp t="s">
        <v>#N/A N/A</v>
        <stp/>
        <stp>BDP|5820123941808993625</stp>
        <tr r="B61" s="2"/>
      </tp>
      <tp t="s">
        <v>#N/A N/A</v>
        <stp/>
        <stp>BDP|8113932929769828432</stp>
        <tr r="F3401" s="2"/>
      </tp>
      <tp t="s">
        <v>#N/A N/A</v>
        <stp/>
        <stp>BDP|8343208525112603409</stp>
        <tr r="I3000" s="2"/>
      </tp>
      <tp t="s">
        <v>#N/A N/A</v>
        <stp/>
        <stp>BDP|8423103421853256678</stp>
        <tr r="H1623" s="2"/>
      </tp>
      <tp t="s">
        <v>#N/A N/A</v>
        <stp/>
        <stp>BDP|8934985617349542735</stp>
        <tr r="C4404" s="2"/>
      </tp>
      <tp t="s">
        <v>#N/A N/A</v>
        <stp/>
        <stp>BDP|3445261344538330357</stp>
        <tr r="G3821" s="2"/>
      </tp>
      <tp t="s">
        <v>#N/A N/A</v>
        <stp/>
        <stp>BDP|8526547762407344201</stp>
        <tr r="C2221" s="2"/>
      </tp>
      <tp t="s">
        <v>#N/A N/A</v>
        <stp/>
        <stp>BDP|5186208784447543604</stp>
        <tr r="F1226" s="2"/>
      </tp>
      <tp t="s">
        <v>#N/A N/A</v>
        <stp/>
        <stp>BDP|2802688472105041829</stp>
        <tr r="B4064" s="2"/>
      </tp>
      <tp t="s">
        <v>#N/A N/A</v>
        <stp/>
        <stp>BDP|6529011904518411043</stp>
        <tr r="I2278" s="2"/>
      </tp>
      <tp t="s">
        <v>#N/A N/A</v>
        <stp/>
        <stp>BDP|3648044003569086419</stp>
        <tr r="G413" s="2"/>
      </tp>
      <tp t="s">
        <v>#N/A N/A</v>
        <stp/>
        <stp>BDP|5092005457676189866</stp>
        <tr r="F4621" s="2"/>
      </tp>
      <tp t="s">
        <v>#N/A N/A</v>
        <stp/>
        <stp>BDP|9132671855253346700</stp>
        <tr r="F4709" s="2"/>
      </tp>
      <tp t="s">
        <v>#N/A N/A</v>
        <stp/>
        <stp>BDP|7123041797776753656</stp>
        <tr r="I2521" s="2"/>
      </tp>
      <tp t="s">
        <v>#N/A N/A</v>
        <stp/>
        <stp>BDP|7577612320419027444</stp>
        <tr r="D4732" s="2"/>
      </tp>
      <tp t="s">
        <v>#N/A N/A</v>
        <stp/>
        <stp>BDP|4428372286207037656</stp>
        <tr r="F2263" s="2"/>
      </tp>
      <tp t="s">
        <v>#N/A N/A</v>
        <stp/>
        <stp>BDP|6446443847468031077</stp>
        <tr r="I660" s="2"/>
      </tp>
      <tp t="s">
        <v>#N/A N/A</v>
        <stp/>
        <stp>BDP|4511842742410780649</stp>
        <tr r="I2310" s="2"/>
      </tp>
      <tp t="s">
        <v>#N/A N/A</v>
        <stp/>
        <stp>BDP|3611893236736831010</stp>
        <tr r="H4849" s="2"/>
      </tp>
      <tp t="s">
        <v>#N/A N/A</v>
        <stp/>
        <stp>BDP|1044995619656945195</stp>
        <tr r="A1466" s="2"/>
      </tp>
      <tp t="s">
        <v>#N/A N/A</v>
        <stp/>
        <stp>BDP|7722263721510409942</stp>
        <tr r="A711" s="2"/>
      </tp>
      <tp t="s">
        <v>#N/A N/A</v>
        <stp/>
        <stp>BDP|1653718483424131443</stp>
        <tr r="I4531" s="2"/>
      </tp>
      <tp t="s">
        <v>#N/A N/A</v>
        <stp/>
        <stp>BDP|2045895692715272888</stp>
        <tr r="F1340" s="2"/>
      </tp>
      <tp t="s">
        <v>#N/A N/A</v>
        <stp/>
        <stp>BDP|6888023769579238704</stp>
        <tr r="B1014" s="2"/>
      </tp>
      <tp t="s">
        <v>#N/A N/A</v>
        <stp/>
        <stp>BDP|2618651247668462619</stp>
        <tr r="G14" s="2"/>
      </tp>
      <tp t="s">
        <v>#N/A N/A</v>
        <stp/>
        <stp>BDP|4512027854408284703</stp>
        <tr r="D3870" s="2"/>
      </tp>
      <tp t="s">
        <v>#N/A N/A</v>
        <stp/>
        <stp>BDP|8463670416652434308</stp>
        <tr r="D1311" s="2"/>
      </tp>
      <tp t="s">
        <v>#N/A N/A</v>
        <stp/>
        <stp>BDP|6446071482745311538</stp>
        <tr r="I3289" s="2"/>
      </tp>
      <tp t="s">
        <v>#N/A N/A</v>
        <stp/>
        <stp>BDP|4585756096217635314</stp>
        <tr r="I4548" s="2"/>
      </tp>
      <tp t="s">
        <v>#N/A N/A</v>
        <stp/>
        <stp>BDP|6404072514970477927</stp>
        <tr r="C4469" s="2"/>
      </tp>
      <tp t="s">
        <v>#N/A N/A</v>
        <stp/>
        <stp>BDP|8835274046886100694</stp>
        <tr r="D4677" s="2"/>
      </tp>
      <tp t="s">
        <v>#N/A N/A</v>
        <stp/>
        <stp>BDP|3276947783764648828</stp>
        <tr r="D3488" s="2"/>
      </tp>
      <tp t="s">
        <v>#N/A N/A</v>
        <stp/>
        <stp>BDP|1161795498686874799</stp>
        <tr r="H485" s="2"/>
      </tp>
      <tp t="s">
        <v>#N/A N/A</v>
        <stp/>
        <stp>BDP|7109021670958053626</stp>
        <tr r="B4736" s="2"/>
      </tp>
      <tp t="s">
        <v>#N/A N/A</v>
        <stp/>
        <stp>BDP|1232879004082590558</stp>
        <tr r="I2818" s="2"/>
      </tp>
      <tp t="s">
        <v>#N/A N/A</v>
        <stp/>
        <stp>BDP|4467998801070523387</stp>
        <tr r="C2654" s="2"/>
      </tp>
      <tp t="s">
        <v>#N/A N/A</v>
        <stp/>
        <stp>BDP|7762851692701180902</stp>
        <tr r="H3170" s="2"/>
      </tp>
      <tp t="s">
        <v>#N/A N/A</v>
        <stp/>
        <stp>BDP|8986284121823589546</stp>
        <tr r="C1441" s="2"/>
      </tp>
      <tp t="s">
        <v>#N/A N/A</v>
        <stp/>
        <stp>BDP|2237114880146495365</stp>
        <tr r="H1288" s="2"/>
      </tp>
      <tp t="s">
        <v>#N/A N/A</v>
        <stp/>
        <stp>BDP|5096452275609151105</stp>
        <tr r="G1436" s="2"/>
      </tp>
      <tp t="s">
        <v>#N/A N/A</v>
        <stp/>
        <stp>BDP|7578524772689609228</stp>
        <tr r="D2390" s="2"/>
      </tp>
      <tp t="s">
        <v>#N/A N/A</v>
        <stp/>
        <stp>BDP|5631449201499641647</stp>
        <tr r="H3703" s="2"/>
      </tp>
      <tp t="s">
        <v>#N/A N/A</v>
        <stp/>
        <stp>BDP|9586025602794162351</stp>
        <tr r="D1802" s="2"/>
      </tp>
      <tp t="s">
        <v>#N/A N/A</v>
        <stp/>
        <stp>BDP|9111724479674980327</stp>
        <tr r="F4330" s="2"/>
      </tp>
      <tp t="s">
        <v>#N/A N/A</v>
        <stp/>
        <stp>BDP|5027334465898434631</stp>
        <tr r="D2469" s="2"/>
      </tp>
      <tp t="s">
        <v>#N/A N/A</v>
        <stp/>
        <stp>BDP|9161078270676701607</stp>
        <tr r="H715" s="2"/>
      </tp>
      <tp t="s">
        <v>#N/A N/A</v>
        <stp/>
        <stp>BDP|5745214583868534914</stp>
        <tr r="D1705" s="2"/>
      </tp>
      <tp t="s">
        <v>#N/A N/A</v>
        <stp/>
        <stp>BDP|2610867310942614771</stp>
        <tr r="G2786" s="2"/>
      </tp>
      <tp t="s">
        <v>#N/A N/A</v>
        <stp/>
        <stp>BDP|7099714599915123289</stp>
        <tr r="A55" s="2"/>
      </tp>
      <tp t="s">
        <v>#N/A N/A</v>
        <stp/>
        <stp>BDP|2939309269360120905</stp>
        <tr r="I2063" s="2"/>
      </tp>
      <tp t="s">
        <v>#N/A N/A</v>
        <stp/>
        <stp>BDP|6544879997551457803</stp>
        <tr r="B718" s="2"/>
      </tp>
      <tp t="s">
        <v>#N/A N/A</v>
        <stp/>
        <stp>BDP|4489376545418305544</stp>
        <tr r="B4990" s="2"/>
      </tp>
      <tp t="s">
        <v>#N/A N/A</v>
        <stp/>
        <stp>BDP|4795927940162342575</stp>
        <tr r="C2866" s="2"/>
      </tp>
      <tp t="s">
        <v>#N/A N/A</v>
        <stp/>
        <stp>BDP|6632909982131623837</stp>
        <tr r="D535" s="2"/>
      </tp>
      <tp t="s">
        <v>#N/A N/A</v>
        <stp/>
        <stp>BDP|9243200327991122651</stp>
        <tr r="G2419" s="2"/>
      </tp>
      <tp t="s">
        <v>#N/A N/A</v>
        <stp/>
        <stp>BDP|3227637112109166333</stp>
        <tr r="D4549" s="2"/>
      </tp>
      <tp t="s">
        <v>#N/A N/A</v>
        <stp/>
        <stp>BDP|4784859170422319705</stp>
        <tr r="I2690" s="2"/>
      </tp>
      <tp t="s">
        <v>#N/A N/A</v>
        <stp/>
        <stp>BDP|8447152155395431717</stp>
        <tr r="F2141" s="2"/>
      </tp>
      <tp t="s">
        <v>#N/A N/A</v>
        <stp/>
        <stp>BDP|9468174136805331078</stp>
        <tr r="D762" s="2"/>
      </tp>
      <tp t="s">
        <v>#N/A N/A</v>
        <stp/>
        <stp>BDP|9619346032222443550</stp>
        <tr r="G2945" s="2"/>
      </tp>
      <tp t="s">
        <v>#N/A N/A</v>
        <stp/>
        <stp>BDP|4337350212741301964</stp>
        <tr r="C3608" s="2"/>
      </tp>
      <tp t="s">
        <v>#N/A N/A</v>
        <stp/>
        <stp>BDP|3757456890418143823</stp>
        <tr r="A2340" s="2"/>
      </tp>
      <tp t="s">
        <v>#N/A N/A</v>
        <stp/>
        <stp>BDP|7958293480227857491</stp>
        <tr r="I1809" s="2"/>
      </tp>
      <tp t="s">
        <v>#N/A N/A</v>
        <stp/>
        <stp>BDP|9445633614054003424</stp>
        <tr r="D3233" s="2"/>
      </tp>
      <tp t="s">
        <v>#N/A N/A</v>
        <stp/>
        <stp>BDP|1719441997657163543</stp>
        <tr r="A2232" s="2"/>
      </tp>
      <tp t="s">
        <v>#N/A N/A</v>
        <stp/>
        <stp>BDP|4505125443136003957</stp>
        <tr r="B2584" s="2"/>
      </tp>
      <tp t="s">
        <v>#N/A N/A</v>
        <stp/>
        <stp>BDP|8452001025783217721</stp>
        <tr r="D1835" s="2"/>
      </tp>
      <tp t="s">
        <v>#N/A N/A</v>
        <stp/>
        <stp>BDP|2033575933743136941</stp>
        <tr r="I2500" s="2"/>
      </tp>
      <tp t="s">
        <v>#N/A N/A</v>
        <stp/>
        <stp>BDP|8991242433181906669</stp>
        <tr r="A3514" s="2"/>
      </tp>
      <tp t="s">
        <v>#N/A N/A</v>
        <stp/>
        <stp>BDP|2539152058588136085</stp>
        <tr r="F1654" s="2"/>
      </tp>
      <tp t="s">
        <v>#N/A N/A</v>
        <stp/>
        <stp>BDP|8177368729856852170</stp>
        <tr r="H4361" s="2"/>
      </tp>
      <tp t="s">
        <v>#N/A N/A</v>
        <stp/>
        <stp>BDP|7612117380388508837</stp>
        <tr r="D2618" s="2"/>
      </tp>
      <tp t="s">
        <v>#N/A N/A</v>
        <stp/>
        <stp>BDP|2560959140870524147</stp>
        <tr r="C1126" s="2"/>
      </tp>
      <tp t="s">
        <v>#N/A N/A</v>
        <stp/>
        <stp>BDP|2646073108809883502</stp>
        <tr r="F4805" s="2"/>
      </tp>
      <tp t="s">
        <v>#N/A N/A</v>
        <stp/>
        <stp>BDP|3950736130108926125</stp>
        <tr r="H3109" s="2"/>
      </tp>
      <tp t="s">
        <v>#N/A N/A</v>
        <stp/>
        <stp>BDP|8426012610665528211</stp>
        <tr r="C1185" s="2"/>
      </tp>
      <tp t="s">
        <v>#N/A N/A</v>
        <stp/>
        <stp>BDP|9461575438798214980</stp>
        <tr r="B4761" s="2"/>
      </tp>
      <tp t="s">
        <v>#N/A N/A</v>
        <stp/>
        <stp>BDP|5420365683264474446</stp>
        <tr r="G2214" s="2"/>
      </tp>
      <tp t="s">
        <v>#N/A N/A</v>
        <stp/>
        <stp>BDP|9201903424708585428</stp>
        <tr r="B2518" s="2"/>
      </tp>
      <tp t="s">
        <v>#N/A N/A</v>
        <stp/>
        <stp>BDP|2346877213716588338</stp>
        <tr r="A4358" s="2"/>
      </tp>
      <tp t="s">
        <v>#N/A N/A</v>
        <stp/>
        <stp>BDP|5286933126883200347</stp>
        <tr r="A4263" s="2"/>
      </tp>
      <tp t="s">
        <v>#N/A N/A</v>
        <stp/>
        <stp>BDP|6300879144497401359</stp>
        <tr r="D926" s="2"/>
      </tp>
      <tp t="s">
        <v>#N/A N/A</v>
        <stp/>
        <stp>BDP|8955147720427839241</stp>
        <tr r="G1350" s="2"/>
      </tp>
      <tp t="s">
        <v>#N/A N/A</v>
        <stp/>
        <stp>BDP|6190238953989783677</stp>
        <tr r="G2180" s="2"/>
      </tp>
      <tp t="s">
        <v>#N/A N/A</v>
        <stp/>
        <stp>BDP|1593915972249792800</stp>
        <tr r="H1450" s="2"/>
      </tp>
      <tp t="s">
        <v>#N/A N/A</v>
        <stp/>
        <stp>BDP|6308663087544782249</stp>
        <tr r="C3346" s="2"/>
      </tp>
      <tp t="s">
        <v>#N/A N/A</v>
        <stp/>
        <stp>BDP|5040801477693779712</stp>
        <tr r="G4177" s="2"/>
      </tp>
      <tp t="s">
        <v>#N/A N/A</v>
        <stp/>
        <stp>BDP|8307970596421206712</stp>
        <tr r="A2424" s="2"/>
      </tp>
      <tp t="s">
        <v>#N/A N/A</v>
        <stp/>
        <stp>BDP|5278716229187922924</stp>
        <tr r="D1222" s="2"/>
      </tp>
      <tp t="s">
        <v>#N/A N/A</v>
        <stp/>
        <stp>BDP|6178326272915594957</stp>
        <tr r="B2773" s="2"/>
      </tp>
      <tp t="s">
        <v>#N/A N/A</v>
        <stp/>
        <stp>BDP|3596189990716957354</stp>
        <tr r="A509" s="2"/>
      </tp>
      <tp t="s">
        <v>#N/A N/A</v>
        <stp/>
        <stp>BDP|9474478515415564754</stp>
        <tr r="F1236" s="2"/>
      </tp>
      <tp t="s">
        <v>#N/A N/A</v>
        <stp/>
        <stp>BDP|5935423254078093290</stp>
        <tr r="C3254" s="2"/>
      </tp>
      <tp t="s">
        <v>#N/A N/A</v>
        <stp/>
        <stp>BDP|5422110494917469434</stp>
        <tr r="A4766" s="2"/>
      </tp>
      <tp t="s">
        <v>#N/A N/A</v>
        <stp/>
        <stp>BDP|7236254286624109768</stp>
        <tr r="A2679" s="2"/>
      </tp>
      <tp t="s">
        <v>#N/A N/A</v>
        <stp/>
        <stp>BDP|7715300084893445114</stp>
        <tr r="A3917" s="2"/>
      </tp>
      <tp t="s">
        <v>#N/A N/A</v>
        <stp/>
        <stp>BDP|2143147827526573918</stp>
        <tr r="A88" s="2"/>
      </tp>
      <tp t="s">
        <v>#N/A N/A</v>
        <stp/>
        <stp>BDP|9576041502307546009</stp>
        <tr r="G3308" s="2"/>
      </tp>
      <tp t="s">
        <v>#N/A N/A</v>
        <stp/>
        <stp>BDP|5405244654158686445</stp>
        <tr r="H4566" s="2"/>
      </tp>
      <tp t="s">
        <v>#N/A N/A</v>
        <stp/>
        <stp>BDP|2457648093767673435</stp>
        <tr r="I3355" s="2"/>
      </tp>
      <tp t="s">
        <v>#N/A N/A</v>
        <stp/>
        <stp>BDP|2598421290093209230</stp>
        <tr r="H443" s="2"/>
      </tp>
      <tp t="s">
        <v>#N/A N/A</v>
        <stp/>
        <stp>BDP|8421231636917291058</stp>
        <tr r="G1360" s="2"/>
      </tp>
      <tp t="s">
        <v>#N/A N/A</v>
        <stp/>
        <stp>BDP|6459953263127345078</stp>
        <tr r="D804" s="2"/>
      </tp>
      <tp t="s">
        <v>#N/A N/A</v>
        <stp/>
        <stp>BDP|2674483466919814766</stp>
        <tr r="C1251" s="2"/>
      </tp>
      <tp t="s">
        <v>#N/A N/A</v>
        <stp/>
        <stp>BDP|5225501275118601178</stp>
        <tr r="H3091" s="2"/>
      </tp>
      <tp t="s">
        <v>#N/A N/A</v>
        <stp/>
        <stp>BDP|7885657472309078191</stp>
        <tr r="C4622" s="2"/>
      </tp>
      <tp t="s">
        <v>#N/A N/A</v>
        <stp/>
        <stp>BDP|9553589329798032822</stp>
        <tr r="F796" s="2"/>
      </tp>
      <tp t="s">
        <v>#N/A N/A</v>
        <stp/>
        <stp>BDP|9731078477578746867</stp>
        <tr r="F1420" s="2"/>
      </tp>
      <tp t="s">
        <v>#N/A N/A</v>
        <stp/>
        <stp>BDP|8191027230526207376</stp>
        <tr r="I567" s="2"/>
      </tp>
      <tp t="s">
        <v>#N/A N/A</v>
        <stp/>
        <stp>BDP|7629382753196956929</stp>
        <tr r="C4529" s="2"/>
      </tp>
      <tp t="s">
        <v>#N/A N/A</v>
        <stp/>
        <stp>BDP|3635658080806279579</stp>
        <tr r="G2444" s="2"/>
      </tp>
      <tp t="s">
        <v>#N/A N/A</v>
        <stp/>
        <stp>BDP|4265972407210725338</stp>
        <tr r="H4137" s="2"/>
      </tp>
      <tp t="s">
        <v>#N/A N/A</v>
        <stp/>
        <stp>BDP|7836088875757158925</stp>
        <tr r="D333" s="2"/>
      </tp>
      <tp t="s">
        <v>#N/A N/A</v>
        <stp/>
        <stp>BDP|1877790897413486247</stp>
        <tr r="F1983" s="2"/>
      </tp>
      <tp t="s">
        <v>#N/A N/A</v>
        <stp/>
        <stp>BDP|1424278128386404995</stp>
        <tr r="B1042" s="2"/>
      </tp>
      <tp t="s">
        <v>#N/A N/A</v>
        <stp/>
        <stp>BDP|9017384870915757695</stp>
        <tr r="B3797" s="2"/>
      </tp>
      <tp t="s">
        <v>#N/A N/A</v>
        <stp/>
        <stp>BDP|1024544465929140564</stp>
        <tr r="I1988" s="2"/>
      </tp>
      <tp t="s">
        <v>#N/A N/A</v>
        <stp/>
        <stp>BDP|9079344380009689544</stp>
        <tr r="H1341" s="2"/>
      </tp>
      <tp t="s">
        <v>#N/A N/A</v>
        <stp/>
        <stp>BDP|1376714951949063453</stp>
        <tr r="D1563" s="2"/>
      </tp>
      <tp t="s">
        <v>#N/A N/A</v>
        <stp/>
        <stp>BDP|5415844737923578344</stp>
        <tr r="B2928" s="2"/>
      </tp>
      <tp t="s">
        <v>#N/A N/A</v>
        <stp/>
        <stp>BDP|8369827433968062541</stp>
        <tr r="F387" s="2"/>
      </tp>
      <tp t="s">
        <v>#N/A N/A</v>
        <stp/>
        <stp>BDP|2612347384370082703</stp>
        <tr r="C4296" s="2"/>
      </tp>
      <tp t="s">
        <v>#N/A N/A</v>
        <stp/>
        <stp>BDP|3324845025255394272</stp>
        <tr r="D513" s="2"/>
      </tp>
      <tp t="s">
        <v>#N/A N/A</v>
        <stp/>
        <stp>BDP|1260680582219822868</stp>
        <tr r="I1063" s="2"/>
      </tp>
      <tp t="s">
        <v>#N/A N/A</v>
        <stp/>
        <stp>BDP|5854988687672133806</stp>
        <tr r="F4245" s="2"/>
      </tp>
      <tp t="s">
        <v>#N/A N/A</v>
        <stp/>
        <stp>BDP|6642445380830764431</stp>
        <tr r="I2001" s="2"/>
      </tp>
      <tp t="s">
        <v>#N/A N/A</v>
        <stp/>
        <stp>BDP|3197321245218464242</stp>
        <tr r="G73" s="2"/>
      </tp>
      <tp t="s">
        <v>#N/A N/A</v>
        <stp/>
        <stp>BDP|3595406597351005142</stp>
        <tr r="C310" s="2"/>
      </tp>
      <tp t="s">
        <v>#N/A N/A</v>
        <stp/>
        <stp>BDP|5869650099235488162</stp>
        <tr r="H514" s="2"/>
      </tp>
      <tp t="s">
        <v>#N/A N/A</v>
        <stp/>
        <stp>BDP|8263177947817618426</stp>
        <tr r="A1113" s="2"/>
      </tp>
      <tp t="s">
        <v>#N/A N/A</v>
        <stp/>
        <stp>BDP|8029139313532781418</stp>
        <tr r="A2098" s="2"/>
      </tp>
      <tp t="s">
        <v>#N/A N/A</v>
        <stp/>
        <stp>BDP|2376102979902965854</stp>
        <tr r="C1481" s="2"/>
      </tp>
      <tp t="s">
        <v>#N/A N/A</v>
        <stp/>
        <stp>BDP|7311576833496717963</stp>
        <tr r="G4778" s="2"/>
      </tp>
      <tp t="s">
        <v>#N/A N/A</v>
        <stp/>
        <stp>BDP|5379430157589340327</stp>
        <tr r="D2021" s="2"/>
      </tp>
      <tp t="s">
        <v>#N/A N/A</v>
        <stp/>
        <stp>BDP|8671853946819194324</stp>
        <tr r="H1652" s="2"/>
      </tp>
      <tp t="s">
        <v>#N/A N/A</v>
        <stp/>
        <stp>BDP|5762932545761356746</stp>
        <tr r="C1890" s="2"/>
      </tp>
      <tp t="s">
        <v>#N/A N/A</v>
        <stp/>
        <stp>BDP|7427062981591377062</stp>
        <tr r="A447" s="2"/>
      </tp>
      <tp t="s">
        <v>#N/A N/A</v>
        <stp/>
        <stp>BDP|9264993680652405493</stp>
        <tr r="I2533" s="2"/>
      </tp>
      <tp t="s">
        <v>#N/A N/A</v>
        <stp/>
        <stp>BDP|3423353272108038153</stp>
        <tr r="A3197" s="2"/>
      </tp>
      <tp t="s">
        <v>#N/A N/A</v>
        <stp/>
        <stp>BDP|4030915577482857687</stp>
        <tr r="I2207" s="2"/>
      </tp>
      <tp t="s">
        <v>#N/A N/A</v>
        <stp/>
        <stp>BDP|1529223725109738630</stp>
        <tr r="G4765" s="2"/>
      </tp>
      <tp t="s">
        <v>#N/A N/A</v>
        <stp/>
        <stp>BDP|7276541198155114095</stp>
        <tr r="G4499" s="2"/>
      </tp>
      <tp t="s">
        <v>#N/A N/A</v>
        <stp/>
        <stp>BDP|8165755364600647702</stp>
        <tr r="D1308" s="2"/>
      </tp>
      <tp t="s">
        <v>#N/A N/A</v>
        <stp/>
        <stp>BDP|6564179312551390950</stp>
        <tr r="H3812" s="2"/>
      </tp>
      <tp t="s">
        <v>#N/A N/A</v>
        <stp/>
        <stp>BDP|8943747733326846406</stp>
        <tr r="D3630" s="2"/>
      </tp>
      <tp t="s">
        <v>#N/A N/A</v>
        <stp/>
        <stp>BDP|9460055913343255567</stp>
        <tr r="F3315" s="2"/>
      </tp>
      <tp t="s">
        <v>#N/A N/A</v>
        <stp/>
        <stp>BDP|7086208512712409805</stp>
        <tr r="F2348" s="2"/>
      </tp>
      <tp t="s">
        <v>#N/A N/A</v>
        <stp/>
        <stp>BDP|3073622680803200068</stp>
        <tr r="G3537" s="2"/>
      </tp>
      <tp t="s">
        <v>#N/A N/A</v>
        <stp/>
        <stp>BDP|5152932624307235722</stp>
        <tr r="D3218" s="2"/>
      </tp>
      <tp t="s">
        <v>#N/A N/A</v>
        <stp/>
        <stp>BDP|3365674688887299486</stp>
        <tr r="G451" s="2"/>
      </tp>
      <tp t="s">
        <v>#N/A N/A</v>
        <stp/>
        <stp>BDP|8675607628505861706</stp>
        <tr r="B2816" s="2"/>
      </tp>
      <tp t="s">
        <v>#N/A N/A</v>
        <stp/>
        <stp>BDP|1322779120098576279</stp>
        <tr r="A1327" s="2"/>
      </tp>
      <tp t="s">
        <v>#N/A N/A</v>
        <stp/>
        <stp>BDP|3496840872657294563</stp>
        <tr r="D267" s="2"/>
      </tp>
      <tp t="s">
        <v>#N/A N/A</v>
        <stp/>
        <stp>BDP|4536732971402137803</stp>
        <tr r="G68" s="2"/>
      </tp>
      <tp t="s">
        <v>#N/A N/A</v>
        <stp/>
        <stp>BDP|7627603413209408776</stp>
        <tr r="D4830" s="2"/>
      </tp>
      <tp t="s">
        <v>#N/A N/A</v>
        <stp/>
        <stp>BDP|8706756292358260047</stp>
        <tr r="G902" s="2"/>
      </tp>
      <tp t="s">
        <v>#N/A N/A</v>
        <stp/>
        <stp>BDP|8217411547114120237</stp>
        <tr r="G1185" s="2"/>
      </tp>
      <tp t="s">
        <v>#N/A N/A</v>
        <stp/>
        <stp>BDP|6724620330085231815</stp>
        <tr r="F2615" s="2"/>
      </tp>
      <tp t="s">
        <v>#N/A N/A</v>
        <stp/>
        <stp>BDP|8193730003552423339</stp>
        <tr r="B306" s="2"/>
      </tp>
      <tp t="s">
        <v>#N/A N/A</v>
        <stp/>
        <stp>BDP|1147499353056431899</stp>
        <tr r="H674" s="2"/>
      </tp>
      <tp t="s">
        <v>#N/A N/A</v>
        <stp/>
        <stp>BDP|6850159581379391891</stp>
        <tr r="B2840" s="2"/>
      </tp>
      <tp t="s">
        <v>#N/A N/A</v>
        <stp/>
        <stp>BDP|9247901991307492018</stp>
        <tr r="H2798" s="2"/>
      </tp>
      <tp t="s">
        <v>#N/A N/A</v>
        <stp/>
        <stp>BDP|8342005809273523596</stp>
        <tr r="F1132" s="2"/>
      </tp>
      <tp t="s">
        <v>#N/A N/A</v>
        <stp/>
        <stp>BDP|1232277699826332299</stp>
        <tr r="B4388" s="2"/>
      </tp>
      <tp t="s">
        <v>#N/A N/A</v>
        <stp/>
        <stp>BDP|2175341478279353187</stp>
        <tr r="H3890" s="2"/>
      </tp>
      <tp t="s">
        <v>#N/A N/A</v>
        <stp/>
        <stp>BDP|3562842604634112125</stp>
        <tr r="H2526" s="2"/>
      </tp>
      <tp t="s">
        <v>#N/A N/A</v>
        <stp/>
        <stp>BDP|8374285598628136541</stp>
        <tr r="F1264" s="2"/>
      </tp>
      <tp t="s">
        <v>#N/A N/A</v>
        <stp/>
        <stp>BDP|6741930122377171416</stp>
        <tr r="A1947" s="2"/>
      </tp>
      <tp t="s">
        <v>#N/A N/A</v>
        <stp/>
        <stp>BDP|7115860531853075108</stp>
        <tr r="F1419" s="2"/>
      </tp>
      <tp t="s">
        <v>#N/A N/A</v>
        <stp/>
        <stp>BDP|9681278443136467701</stp>
        <tr r="F1501" s="2"/>
      </tp>
      <tp t="s">
        <v>#N/A N/A</v>
        <stp/>
        <stp>BDP|5378041736740562821</stp>
        <tr r="C1909" s="2"/>
      </tp>
      <tp t="s">
        <v>#N/A N/A</v>
        <stp/>
        <stp>BDP|2771766603883585817</stp>
        <tr r="A2114" s="2"/>
      </tp>
      <tp t="s">
        <v>#N/A N/A</v>
        <stp/>
        <stp>BDP|5693343939303870858</stp>
        <tr r="G2554" s="2"/>
      </tp>
      <tp t="s">
        <v>#N/A N/A</v>
        <stp/>
        <stp>BDP|8891064829444249024</stp>
        <tr r="I388" s="2"/>
      </tp>
      <tp t="s">
        <v>#N/A N/A</v>
        <stp/>
        <stp>BDP|6605205082422612059</stp>
        <tr r="A113" s="2"/>
      </tp>
      <tp t="s">
        <v>#N/A N/A</v>
        <stp/>
        <stp>BDP|3176952036507711028</stp>
        <tr r="A757" s="2"/>
      </tp>
      <tp t="s">
        <v>#N/A N/A</v>
        <stp/>
        <stp>BDP|7677210243337744849</stp>
        <tr r="G2922" s="2"/>
      </tp>
      <tp t="s">
        <v>#N/A N/A</v>
        <stp/>
        <stp>BDP|8070530981233599805</stp>
        <tr r="G1391" s="2"/>
      </tp>
      <tp t="s">
        <v>#N/A N/A</v>
        <stp/>
        <stp>BDP|8576430445485696323</stp>
        <tr r="F3605" s="2"/>
      </tp>
      <tp t="s">
        <v>#N/A N/A</v>
        <stp/>
        <stp>BDP|1727533193497082404</stp>
        <tr r="G2616" s="2"/>
      </tp>
      <tp t="s">
        <v>#N/A N/A</v>
        <stp/>
        <stp>BDP|1797559796597253419</stp>
        <tr r="A2846" s="2"/>
      </tp>
      <tp t="s">
        <v>#N/A N/A</v>
        <stp/>
        <stp>BDP|4480735244340773931</stp>
        <tr r="H1818" s="2"/>
      </tp>
      <tp t="s">
        <v>#N/A N/A</v>
        <stp/>
        <stp>BDP|2888198208035797891</stp>
        <tr r="H312" s="2"/>
      </tp>
      <tp t="s">
        <v>#N/A N/A</v>
        <stp/>
        <stp>BDP|4377208434683504851</stp>
        <tr r="D4839" s="2"/>
      </tp>
      <tp t="s">
        <v>#N/A N/A</v>
        <stp/>
        <stp>BDP|2196862152658342912</stp>
        <tr r="A3044" s="2"/>
      </tp>
      <tp t="s">
        <v>#N/A N/A</v>
        <stp/>
        <stp>BDP|1377353188652887610</stp>
        <tr r="H1171" s="2"/>
      </tp>
      <tp t="s">
        <v>#N/A N/A</v>
        <stp/>
        <stp>BDP|6433958690741526934</stp>
        <tr r="I2863" s="2"/>
      </tp>
      <tp t="s">
        <v>#N/A N/A</v>
        <stp/>
        <stp>BDP|7549383294390865368</stp>
        <tr r="B4065" s="2"/>
      </tp>
      <tp t="s">
        <v>#N/A N/A</v>
        <stp/>
        <stp>BDP|7677700085955331377</stp>
        <tr r="F3119" s="2"/>
      </tp>
      <tp t="s">
        <v>#N/A N/A</v>
        <stp/>
        <stp>BDP|3382927715436653353</stp>
        <tr r="B1883" s="2"/>
      </tp>
      <tp t="s">
        <v>#N/A N/A</v>
        <stp/>
        <stp>BDP|6618837956470371578</stp>
        <tr r="A624" s="2"/>
      </tp>
      <tp t="s">
        <v>#N/A N/A</v>
        <stp/>
        <stp>BDP|6159481385925288198</stp>
        <tr r="C612" s="2"/>
      </tp>
      <tp t="s">
        <v>#N/A N/A</v>
        <stp/>
        <stp>BDP|3293871051049152921</stp>
        <tr r="B3278" s="2"/>
      </tp>
      <tp t="s">
        <v>#N/A N/A</v>
        <stp/>
        <stp>BDP|3277560381721795155</stp>
        <tr r="D433" s="2"/>
      </tp>
      <tp t="s">
        <v>#N/A N/A</v>
        <stp/>
        <stp>BDP|8426518806823677029</stp>
        <tr r="B1160" s="2"/>
      </tp>
      <tp t="s">
        <v>#N/A N/A</v>
        <stp/>
        <stp>BDP|3216205275141787972</stp>
        <tr r="G1527" s="2"/>
      </tp>
      <tp t="s">
        <v>#N/A N/A</v>
        <stp/>
        <stp>BDP|8733527806907546416</stp>
        <tr r="B3850" s="2"/>
      </tp>
      <tp t="s">
        <v>#N/A N/A</v>
        <stp/>
        <stp>BDP|2351857942916756641</stp>
        <tr r="A1391" s="2"/>
      </tp>
      <tp t="s">
        <v>#N/A N/A</v>
        <stp/>
        <stp>BDP|4767714956538705008</stp>
        <tr r="F2761" s="2"/>
      </tp>
      <tp t="s">
        <v>#N/A N/A</v>
        <stp/>
        <stp>BDP|8363217664907651573</stp>
        <tr r="F4518" s="2"/>
      </tp>
      <tp t="s">
        <v>#N/A N/A</v>
        <stp/>
        <stp>BDP|1971788786865386531</stp>
        <tr r="C4518" s="2"/>
      </tp>
      <tp t="s">
        <v>#N/A N/A</v>
        <stp/>
        <stp>BDP|8194664083108572065</stp>
        <tr r="F2020" s="2"/>
      </tp>
      <tp t="s">
        <v>#N/A N/A</v>
        <stp/>
        <stp>BDP|3365931356541593045</stp>
        <tr r="G4957" s="2"/>
      </tp>
      <tp t="s">
        <v>#N/A N/A</v>
        <stp/>
        <stp>BDP|7595101893397606675</stp>
        <tr r="F2200" s="2"/>
      </tp>
      <tp t="s">
        <v>#N/A N/A</v>
        <stp/>
        <stp>BDP|9271167321875757153</stp>
        <tr r="H923" s="2"/>
      </tp>
      <tp t="s">
        <v>#N/A N/A</v>
        <stp/>
        <stp>BDP|1927468565534972946</stp>
        <tr r="B1531" s="2"/>
      </tp>
      <tp t="s">
        <v>#N/A N/A</v>
        <stp/>
        <stp>BDP|4918720298137374379</stp>
        <tr r="I2625" s="2"/>
      </tp>
      <tp t="s">
        <v>#N/A N/A</v>
        <stp/>
        <stp>BDP|8711332473737670562</stp>
        <tr r="H4646" s="2"/>
      </tp>
      <tp t="s">
        <v>#N/A N/A</v>
        <stp/>
        <stp>BDP|9783047223711287451</stp>
        <tr r="H657" s="2"/>
      </tp>
      <tp t="s">
        <v>#N/A N/A</v>
        <stp/>
        <stp>BDP|8217958491207691173</stp>
        <tr r="C4765" s="2"/>
      </tp>
      <tp t="s">
        <v>#N/A N/A</v>
        <stp/>
        <stp>BDP|3700859809874443184</stp>
        <tr r="G1657" s="2"/>
      </tp>
      <tp t="s">
        <v>#N/A N/A</v>
        <stp/>
        <stp>BDP|9079954476179765035</stp>
        <tr r="H4710" s="2"/>
      </tp>
      <tp t="s">
        <v>#N/A N/A</v>
        <stp/>
        <stp>BDP|9572090346484546786</stp>
        <tr r="B2313" s="2"/>
      </tp>
      <tp t="s">
        <v>#N/A N/A</v>
        <stp/>
        <stp>BDP|8114680373417930046</stp>
        <tr r="G1989" s="2"/>
      </tp>
      <tp t="s">
        <v>#N/A N/A</v>
        <stp/>
        <stp>BDP|1685951101964461216</stp>
        <tr r="F2911" s="2"/>
      </tp>
      <tp t="s">
        <v>#N/A N/A</v>
        <stp/>
        <stp>BDP|3407453114831089923</stp>
        <tr r="B4279" s="2"/>
      </tp>
      <tp t="s">
        <v>#N/A N/A</v>
        <stp/>
        <stp>BDP|3177143902639555557</stp>
        <tr r="I1776" s="2"/>
      </tp>
      <tp t="s">
        <v>#N/A N/A</v>
        <stp/>
        <stp>BDP|5286851802091733259</stp>
        <tr r="I1696" s="2"/>
      </tp>
      <tp t="s">
        <v>#N/A N/A</v>
        <stp/>
        <stp>BDP|8507233154707466611</stp>
        <tr r="I1256" s="2"/>
      </tp>
      <tp t="s">
        <v>#N/A N/A</v>
        <stp/>
        <stp>BDP|7195090187488862908</stp>
        <tr r="C3183" s="2"/>
      </tp>
      <tp t="s">
        <v>#N/A N/A</v>
        <stp/>
        <stp>BDP|8315745761323139407</stp>
        <tr r="C1234" s="2"/>
      </tp>
      <tp t="s">
        <v>#N/A N/A</v>
        <stp/>
        <stp>BDP|3926661551319012793</stp>
        <tr r="G4815" s="2"/>
      </tp>
      <tp t="s">
        <v>#N/A N/A</v>
        <stp/>
        <stp>BDP|5205841944144542306</stp>
        <tr r="I4767" s="2"/>
      </tp>
      <tp t="s">
        <v>#N/A N/A</v>
        <stp/>
        <stp>BDP|7793374891765289647</stp>
        <tr r="G4985" s="2"/>
      </tp>
      <tp t="s">
        <v>#N/A N/A</v>
        <stp/>
        <stp>BDP|7804915011619652893</stp>
        <tr r="B806" s="2"/>
      </tp>
      <tp t="s">
        <v>#N/A N/A</v>
        <stp/>
        <stp>BDP|6709903006487030661</stp>
        <tr r="H4701" s="2"/>
      </tp>
      <tp t="s">
        <v>#N/A N/A</v>
        <stp/>
        <stp>BDP|3298365508467998924</stp>
        <tr r="D483" s="2"/>
      </tp>
      <tp t="s">
        <v>#N/A N/A</v>
        <stp/>
        <stp>BDP|3740743147157511963</stp>
        <tr r="H2461" s="2"/>
      </tp>
      <tp t="s">
        <v>#N/A N/A</v>
        <stp/>
        <stp>BDP|7334612604538947784</stp>
        <tr r="D3158" s="2"/>
      </tp>
      <tp t="s">
        <v>#N/A N/A</v>
        <stp/>
        <stp>BDP|5678938524571594137</stp>
        <tr r="A2117" s="2"/>
      </tp>
      <tp t="s">
        <v>#N/A N/A</v>
        <stp/>
        <stp>BDP|4753648381482343669</stp>
        <tr r="I1037" s="2"/>
      </tp>
      <tp t="s">
        <v>#N/A N/A</v>
        <stp/>
        <stp>BDP|7428132491826279738</stp>
        <tr r="A4015" s="2"/>
      </tp>
      <tp t="s">
        <v>#N/A N/A</v>
        <stp/>
        <stp>BDP|7792906567604366248</stp>
        <tr r="A3193" s="2"/>
      </tp>
      <tp t="s">
        <v>#N/A N/A</v>
        <stp/>
        <stp>BDP|5256316376519367617</stp>
        <tr r="D1698" s="2"/>
      </tp>
      <tp t="s">
        <v>#N/A N/A</v>
        <stp/>
        <stp>BDP|2168995578747345547</stp>
        <tr r="H1026" s="2"/>
      </tp>
      <tp t="s">
        <v>#N/A N/A</v>
        <stp/>
        <stp>BDP|1483910741884753642</stp>
        <tr r="F163" s="2"/>
      </tp>
      <tp t="s">
        <v>#N/A N/A</v>
        <stp/>
        <stp>BDP|2185915320210608718</stp>
        <tr r="F1522" s="2"/>
      </tp>
      <tp t="s">
        <v>#N/A N/A</v>
        <stp/>
        <stp>BDP|6989562194832571692</stp>
        <tr r="C3289" s="2"/>
      </tp>
      <tp t="s">
        <v>#N/A N/A</v>
        <stp/>
        <stp>BDP|8200129028855750082</stp>
        <tr r="A3355" s="2"/>
      </tp>
      <tp t="s">
        <v>#N/A N/A</v>
        <stp/>
        <stp>BDP|8822756449763360603</stp>
        <tr r="I2796" s="2"/>
      </tp>
      <tp t="s">
        <v>#N/A N/A</v>
        <stp/>
        <stp>BDP|5779934335193629206</stp>
        <tr r="I502" s="2"/>
      </tp>
      <tp t="s">
        <v>#N/A N/A</v>
        <stp/>
        <stp>BDP|1068705613060353970</stp>
        <tr r="F554" s="2"/>
      </tp>
      <tp t="s">
        <v>#N/A N/A</v>
        <stp/>
        <stp>BDP|9008447371670307417</stp>
        <tr r="I621" s="2"/>
      </tp>
      <tp t="s">
        <v>#N/A N/A</v>
        <stp/>
        <stp>BDP|6694443421527435935</stp>
        <tr r="A3907" s="2"/>
      </tp>
      <tp t="s">
        <v>#N/A N/A</v>
        <stp/>
        <stp>BDP|3291465196362424224</stp>
        <tr r="C2441" s="2"/>
      </tp>
      <tp t="s">
        <v>#N/A N/A</v>
        <stp/>
        <stp>BDP|8728958327029174404</stp>
        <tr r="C4952" s="2"/>
      </tp>
      <tp t="s">
        <v>#N/A N/A</v>
        <stp/>
        <stp>BDP|2548038799170941520</stp>
        <tr r="H226" s="2"/>
      </tp>
      <tp t="s">
        <v>#N/A N/A</v>
        <stp/>
        <stp>BDP|7922351803698897234</stp>
        <tr r="C1534" s="2"/>
      </tp>
      <tp t="s">
        <v>#N/A N/A</v>
        <stp/>
        <stp>BDP|8334253687849050555</stp>
        <tr r="A4812" s="2"/>
      </tp>
      <tp t="s">
        <v>#N/A N/A</v>
        <stp/>
        <stp>BDP|3020340010106787973</stp>
        <tr r="I746" s="2"/>
      </tp>
      <tp t="s">
        <v>#N/A N/A</v>
        <stp/>
        <stp>BDP|1694247644911392816</stp>
        <tr r="A2657" s="2"/>
      </tp>
      <tp t="s">
        <v>#N/A N/A</v>
        <stp/>
        <stp>BDP|7778746542952696839</stp>
        <tr r="C4011" s="2"/>
      </tp>
      <tp t="s">
        <v>#N/A N/A</v>
        <stp/>
        <stp>BDP|1111624816361280936</stp>
        <tr r="B231" s="2"/>
      </tp>
      <tp t="s">
        <v>#N/A N/A</v>
        <stp/>
        <stp>BDP|8154358740127858681</stp>
        <tr r="G2134" s="2"/>
      </tp>
      <tp t="s">
        <v>#N/A N/A</v>
        <stp/>
        <stp>BDP|8383040564210497038</stp>
        <tr r="B3781" s="2"/>
      </tp>
      <tp t="s">
        <v>#N/A N/A</v>
        <stp/>
        <stp>BDP|3899550089002734271</stp>
        <tr r="D3474" s="2"/>
      </tp>
      <tp t="s">
        <v>#N/A N/A</v>
        <stp/>
        <stp>BDP|5642698081215927036</stp>
        <tr r="F404" s="2"/>
      </tp>
      <tp t="s">
        <v>#N/A N/A</v>
        <stp/>
        <stp>BDP|6023378087220636326</stp>
        <tr r="G3050" s="2"/>
      </tp>
      <tp t="s">
        <v>#N/A N/A</v>
        <stp/>
        <stp>BDP|8141413127221593161</stp>
        <tr r="G550" s="2"/>
      </tp>
      <tp t="s">
        <v>#N/A N/A</v>
        <stp/>
        <stp>BDP|5368659482281336433</stp>
        <tr r="A2074" s="2"/>
      </tp>
      <tp t="s">
        <v>#N/A N/A</v>
        <stp/>
        <stp>BDP|4835927532813875347</stp>
        <tr r="C4994" s="2"/>
      </tp>
      <tp t="s">
        <v>#N/A N/A</v>
        <stp/>
        <stp>BDP|5446555539839874442</stp>
        <tr r="C2537" s="2"/>
      </tp>
      <tp t="s">
        <v>#N/A N/A</v>
        <stp/>
        <stp>BDP|6410254275478841589</stp>
        <tr r="G2348" s="2"/>
      </tp>
      <tp t="s">
        <v>#N/A N/A</v>
        <stp/>
        <stp>BDP|7443338681936180431</stp>
        <tr r="B2158" s="2"/>
      </tp>
      <tp t="s">
        <v>#N/A N/A</v>
        <stp/>
        <stp>BDP|9044411120810506101</stp>
        <tr r="H4827" s="2"/>
      </tp>
      <tp t="s">
        <v>#N/A N/A</v>
        <stp/>
        <stp>BDP|3673711051678147738</stp>
        <tr r="A576" s="2"/>
      </tp>
      <tp t="s">
        <v>#N/A N/A</v>
        <stp/>
        <stp>BDP|5630400941768213319</stp>
        <tr r="F4090" s="2"/>
      </tp>
      <tp t="s">
        <v>#N/A N/A</v>
        <stp/>
        <stp>BDP|2081178831086399815</stp>
        <tr r="G3622" s="2"/>
      </tp>
      <tp t="s">
        <v>#N/A N/A</v>
        <stp/>
        <stp>BDP|8527164096238531648</stp>
        <tr r="A4193" s="2"/>
      </tp>
      <tp t="s">
        <v>#N/A N/A</v>
        <stp/>
        <stp>BDP|9283296262333933041</stp>
        <tr r="D4812" s="2"/>
      </tp>
      <tp t="s">
        <v>#N/A N/A</v>
        <stp/>
        <stp>BDP|3565844869137542498</stp>
        <tr r="C3764" s="2"/>
      </tp>
      <tp t="s">
        <v>#N/A N/A</v>
        <stp/>
        <stp>BDP|8609608536042675120</stp>
        <tr r="H3362" s="2"/>
      </tp>
      <tp t="s">
        <v>#N/A N/A</v>
        <stp/>
        <stp>BDP|7905413384863878603</stp>
        <tr r="I913" s="2"/>
      </tp>
      <tp t="s">
        <v>#N/A N/A</v>
        <stp/>
        <stp>BDP|9702236572957456564</stp>
        <tr r="B4795" s="2"/>
      </tp>
      <tp t="s">
        <v>#N/A N/A</v>
        <stp/>
        <stp>BDP|8734064814902284538</stp>
        <tr r="B2984" s="2"/>
      </tp>
      <tp t="s">
        <v>#N/A N/A</v>
        <stp/>
        <stp>BDP|9723241043842196353</stp>
        <tr r="I1615" s="2"/>
      </tp>
      <tp t="s">
        <v>#N/A N/A</v>
        <stp/>
        <stp>BDP|2778544751855087962</stp>
        <tr r="B4007" s="2"/>
      </tp>
      <tp t="s">
        <v>#N/A N/A</v>
        <stp/>
        <stp>BDP|5325773879023942804</stp>
        <tr r="H3805" s="2"/>
      </tp>
      <tp t="s">
        <v>#N/A N/A</v>
        <stp/>
        <stp>BDP|2358526586113203213</stp>
        <tr r="F3132" s="2"/>
      </tp>
      <tp t="s">
        <v>#N/A N/A</v>
        <stp/>
        <stp>BDP|8566475436288763976</stp>
        <tr r="H3806" s="2"/>
      </tp>
      <tp t="s">
        <v>#N/A N/A</v>
        <stp/>
        <stp>BDP|8545601069607925111</stp>
        <tr r="B2519" s="2"/>
      </tp>
      <tp t="s">
        <v>#N/A N/A</v>
        <stp/>
        <stp>BDP|9179171370777620643</stp>
        <tr r="D580" s="2"/>
      </tp>
      <tp t="s">
        <v>#N/A N/A</v>
        <stp/>
        <stp>BDP|9916250371304158687</stp>
        <tr r="C811" s="2"/>
      </tp>
      <tp t="s">
        <v>#N/A N/A</v>
        <stp/>
        <stp>BDP|3921435496292014284</stp>
        <tr r="A688" s="2"/>
      </tp>
      <tp t="s">
        <v>#N/A N/A</v>
        <stp/>
        <stp>BDP|2071969507377699234</stp>
        <tr r="H3509" s="2"/>
      </tp>
      <tp t="s">
        <v>#N/A N/A</v>
        <stp/>
        <stp>BDP|1627967891148220776</stp>
        <tr r="A1690" s="2"/>
      </tp>
      <tp t="s">
        <v>#N/A N/A</v>
        <stp/>
        <stp>BDP|3446851541559513812</stp>
        <tr r="I2253" s="2"/>
      </tp>
      <tp t="s">
        <v>#N/A N/A</v>
        <stp/>
        <stp>BDP|5738378815870141904</stp>
        <tr r="I3020" s="2"/>
      </tp>
      <tp t="s">
        <v>#N/A N/A</v>
        <stp/>
        <stp>BDP|7488728625799637517</stp>
        <tr r="A1781" s="2"/>
      </tp>
      <tp t="s">
        <v>#N/A N/A</v>
        <stp/>
        <stp>BDP|6420590444361923840</stp>
        <tr r="A2446" s="2"/>
      </tp>
      <tp t="s">
        <v>#N/A N/A</v>
        <stp/>
        <stp>BDP|5048136884874104629</stp>
        <tr r="H748" s="2"/>
      </tp>
      <tp t="s">
        <v>#N/A N/A</v>
        <stp/>
        <stp>BDP|8131757263190001736</stp>
        <tr r="C3393" s="2"/>
      </tp>
      <tp t="s">
        <v>#N/A N/A</v>
        <stp/>
        <stp>BDP|9766771401695150547</stp>
        <tr r="H1242" s="2"/>
      </tp>
      <tp t="s">
        <v>#N/A N/A</v>
        <stp/>
        <stp>BDP|4796055228891829964</stp>
        <tr r="B3434" s="2"/>
      </tp>
      <tp t="s">
        <v>#N/A N/A</v>
        <stp/>
        <stp>BDP|6726529937786097867</stp>
        <tr r="F4724" s="2"/>
      </tp>
      <tp t="s">
        <v>#N/A N/A</v>
        <stp/>
        <stp>BDP|7155607848443478893</stp>
        <tr r="H4921" s="2"/>
      </tp>
      <tp t="s">
        <v>#N/A N/A</v>
        <stp/>
        <stp>BDP|8017260900982687642</stp>
        <tr r="I3402" s="2"/>
      </tp>
      <tp t="s">
        <v>#N/A N/A</v>
        <stp/>
        <stp>BDP|6508871688301692989</stp>
        <tr r="A2953" s="2"/>
      </tp>
      <tp t="s">
        <v>#N/A N/A</v>
        <stp/>
        <stp>BDP|9470268955919254911</stp>
        <tr r="D718" s="2"/>
      </tp>
      <tp t="s">
        <v>#N/A N/A</v>
        <stp/>
        <stp>BDP|6097459529506979810</stp>
        <tr r="F1299" s="2"/>
      </tp>
      <tp t="s">
        <v>#N/A N/A</v>
        <stp/>
        <stp>BDP|1002849173866670653</stp>
        <tr r="F1069" s="2"/>
      </tp>
      <tp t="s">
        <v>#N/A N/A</v>
        <stp/>
        <stp>BDP|8131968215747692900</stp>
        <tr r="G4375" s="2"/>
      </tp>
      <tp t="s">
        <v>#N/A N/A</v>
        <stp/>
        <stp>BDP|7394371474175595815</stp>
        <tr r="F1728" s="2"/>
      </tp>
      <tp t="s">
        <v>#N/A N/A</v>
        <stp/>
        <stp>BDP|4422633377219643222</stp>
        <tr r="C540" s="2"/>
      </tp>
      <tp t="s">
        <v>#N/A N/A</v>
        <stp/>
        <stp>BDP|2215020786744358016</stp>
        <tr r="A381" s="2"/>
      </tp>
      <tp t="s">
        <v>#N/A N/A</v>
        <stp/>
        <stp>BDP|1510407096487777500</stp>
        <tr r="I4198" s="2"/>
      </tp>
      <tp t="s">
        <v>#N/A N/A</v>
        <stp/>
        <stp>BDP|8540947897361631746</stp>
        <tr r="B299" s="2"/>
      </tp>
      <tp t="s">
        <v>#N/A N/A</v>
        <stp/>
        <stp>BDP|7343417603135100846</stp>
        <tr r="D1472" s="2"/>
      </tp>
      <tp t="s">
        <v>#N/A N/A</v>
        <stp/>
        <stp>BDP|1830797535149361237</stp>
        <tr r="B3575" s="2"/>
      </tp>
      <tp t="s">
        <v>#N/A N/A</v>
        <stp/>
        <stp>BDP|6337799469808361140</stp>
        <tr r="C1358" s="2"/>
      </tp>
      <tp t="s">
        <v>#N/A N/A</v>
        <stp/>
        <stp>BDP|3271721179289833453</stp>
        <tr r="A4712" s="2"/>
      </tp>
      <tp t="s">
        <v>#N/A N/A</v>
        <stp/>
        <stp>BDP|9627684634245712792</stp>
        <tr r="F1030" s="2"/>
      </tp>
      <tp t="s">
        <v>#N/A N/A</v>
        <stp/>
        <stp>BDP|3198338172338079142</stp>
        <tr r="G1017" s="2"/>
      </tp>
      <tp t="s">
        <v>#N/A N/A</v>
        <stp/>
        <stp>BDP|2182978720727769056</stp>
        <tr r="C3309" s="2"/>
      </tp>
      <tp t="s">
        <v>#N/A N/A</v>
        <stp/>
        <stp>BDP|4369728817488246409</stp>
        <tr r="F243" s="2"/>
      </tp>
      <tp t="s">
        <v>#N/A N/A</v>
        <stp/>
        <stp>BDP|9122045812527637156</stp>
        <tr r="A2434" s="2"/>
      </tp>
      <tp t="s">
        <v>#N/A N/A</v>
        <stp/>
        <stp>BDP|6708366423939597031</stp>
        <tr r="G4716" s="2"/>
      </tp>
      <tp t="s">
        <v>#N/A N/A</v>
        <stp/>
        <stp>BDP|9711113047437679536</stp>
        <tr r="F1366" s="2"/>
      </tp>
      <tp t="s">
        <v>#N/A N/A</v>
        <stp/>
        <stp>BDP|7357771986625559331</stp>
        <tr r="F2113" s="2"/>
      </tp>
      <tp t="s">
        <v>#N/A N/A</v>
        <stp/>
        <stp>BDP|2374534931223102947</stp>
        <tr r="A1858" s="2"/>
      </tp>
      <tp t="s">
        <v>#N/A N/A</v>
        <stp/>
        <stp>BDP|5962748286257711394</stp>
        <tr r="I3790" s="2"/>
      </tp>
      <tp t="s">
        <v>#N/A N/A</v>
        <stp/>
        <stp>BDP|9362732254213166609</stp>
        <tr r="F2135" s="2"/>
      </tp>
      <tp t="s">
        <v>#N/A N/A</v>
        <stp/>
        <stp>BDP|4349480518056598934</stp>
        <tr r="G2993" s="2"/>
      </tp>
      <tp t="s">
        <v>#N/A N/A</v>
        <stp/>
        <stp>BDP|4865888437028352912</stp>
        <tr r="D3722" s="2"/>
      </tp>
      <tp t="s">
        <v>#N/A N/A</v>
        <stp/>
        <stp>BDP|3419618394671100356</stp>
        <tr r="B4219" s="2"/>
      </tp>
      <tp t="s">
        <v>#N/A N/A</v>
        <stp/>
        <stp>BDP|1577670114399640159</stp>
        <tr r="C2305" s="2"/>
      </tp>
      <tp t="s">
        <v>#N/A N/A</v>
        <stp/>
        <stp>BDP|6685732575829188143</stp>
        <tr r="G1972" s="2"/>
      </tp>
      <tp t="s">
        <v>#N/A N/A</v>
        <stp/>
        <stp>BDP|8506731415228227849</stp>
        <tr r="C66" s="2"/>
      </tp>
      <tp t="s">
        <v>#N/A N/A</v>
        <stp/>
        <stp>BDP|9413302023572193437</stp>
        <tr r="G293" s="2"/>
      </tp>
      <tp t="s">
        <v>#N/A N/A</v>
        <stp/>
        <stp>BDP|9751968114307873881</stp>
        <tr r="G983" s="2"/>
      </tp>
      <tp t="s">
        <v>#N/A N/A</v>
        <stp/>
        <stp>BDP|8156341195878758422</stp>
        <tr r="B1630" s="2"/>
      </tp>
      <tp t="s">
        <v>#N/A N/A</v>
        <stp/>
        <stp>BDP|5352412703989111655</stp>
        <tr r="G247" s="2"/>
      </tp>
      <tp t="s">
        <v>#N/A N/A</v>
        <stp/>
        <stp>BDP|5928422169960207953</stp>
        <tr r="A894" s="2"/>
      </tp>
      <tp t="s">
        <v>#N/A N/A</v>
        <stp/>
        <stp>BDP|2021523886801350021</stp>
        <tr r="H1966" s="2"/>
      </tp>
      <tp t="s">
        <v>#N/A N/A</v>
        <stp/>
        <stp>BDP|6733969585820670979</stp>
        <tr r="I2064" s="2"/>
      </tp>
      <tp t="s">
        <v>#N/A N/A</v>
        <stp/>
        <stp>BDP|3666037124877137856</stp>
        <tr r="I4099" s="2"/>
      </tp>
      <tp t="s">
        <v>#N/A N/A</v>
        <stp/>
        <stp>BDP|2647914925881458631</stp>
        <tr r="G1324" s="2"/>
      </tp>
      <tp t="s">
        <v>#N/A N/A</v>
        <stp/>
        <stp>BDP|2240887557872078380</stp>
        <tr r="G1611" s="2"/>
      </tp>
      <tp t="s">
        <v>#N/A N/A</v>
        <stp/>
        <stp>BDP|7755666444339197216</stp>
        <tr r="I3306" s="2"/>
      </tp>
      <tp t="s">
        <v>#N/A N/A</v>
        <stp/>
        <stp>BDP|2188557449194197998</stp>
        <tr r="D2466" s="2"/>
      </tp>
      <tp t="s">
        <v>#N/A N/A</v>
        <stp/>
        <stp>BDP|1994290960658174347</stp>
        <tr r="B1833" s="2"/>
      </tp>
      <tp t="s">
        <v>#N/A N/A</v>
        <stp/>
        <stp>BDP|8702163866836754751</stp>
        <tr r="B90" s="2"/>
      </tp>
      <tp t="s">
        <v>#N/A N/A</v>
        <stp/>
        <stp>BDP|4307787202334989953</stp>
        <tr r="D342" s="2"/>
      </tp>
      <tp t="s">
        <v>#N/A N/A</v>
        <stp/>
        <stp>BDP|5850254443994879931</stp>
        <tr r="A2533" s="2"/>
      </tp>
      <tp t="s">
        <v>#N/A N/A</v>
        <stp/>
        <stp>BDP|4996738764439897232</stp>
        <tr r="F148" s="2"/>
      </tp>
      <tp t="s">
        <v>#N/A N/A</v>
        <stp/>
        <stp>BDP|3290542471227171830</stp>
        <tr r="B4271" s="2"/>
      </tp>
      <tp t="s">
        <v>#N/A N/A</v>
        <stp/>
        <stp>BDP|6749288227410448892</stp>
        <tr r="H297" s="2"/>
      </tp>
      <tp t="s">
        <v>#N/A N/A</v>
        <stp/>
        <stp>BDP|8822991982602735518</stp>
        <tr r="G3429" s="2"/>
      </tp>
      <tp t="s">
        <v>#N/A N/A</v>
        <stp/>
        <stp>BDP|6254729803909186673</stp>
        <tr r="C432" s="2"/>
      </tp>
      <tp t="s">
        <v>#N/A N/A</v>
        <stp/>
        <stp>BDP|3424127813115786872</stp>
        <tr r="H4176" s="2"/>
      </tp>
      <tp t="s">
        <v>#N/A N/A</v>
        <stp/>
        <stp>BDP|1840193020234776833</stp>
        <tr r="I4888" s="2"/>
      </tp>
      <tp t="s">
        <v>#N/A N/A</v>
        <stp/>
        <stp>BDP|8435523614555013775</stp>
        <tr r="A4183" s="2"/>
      </tp>
      <tp t="s">
        <v>#N/A N/A</v>
        <stp/>
        <stp>BDP|8791062717672041538</stp>
        <tr r="H3389" s="2"/>
      </tp>
      <tp t="s">
        <v>#N/A N/A</v>
        <stp/>
        <stp>BDP|5553895479822714678</stp>
        <tr r="F1199" s="2"/>
      </tp>
      <tp t="s">
        <v>#N/A N/A</v>
        <stp/>
        <stp>BDP|3401164756900184904</stp>
        <tr r="A915" s="2"/>
      </tp>
      <tp t="s">
        <v>#N/A N/A</v>
        <stp/>
        <stp>BDP|4136031706713853991</stp>
        <tr r="B241" s="2"/>
      </tp>
      <tp t="s">
        <v>#N/A N/A</v>
        <stp/>
        <stp>BDP|3329322340118665226</stp>
        <tr r="C2408" s="2"/>
      </tp>
      <tp t="s">
        <v>#N/A N/A</v>
        <stp/>
        <stp>BDP|1298946242360745269</stp>
        <tr r="C2261" s="2"/>
      </tp>
      <tp t="s">
        <v>#N/A N/A</v>
        <stp/>
        <stp>BDP|4635730081496618376</stp>
        <tr r="C4079" s="2"/>
      </tp>
      <tp t="s">
        <v>#N/A N/A</v>
        <stp/>
        <stp>BDP|8408126463409013803</stp>
        <tr r="C1308" s="2"/>
      </tp>
      <tp t="s">
        <v>#N/A N/A</v>
        <stp/>
        <stp>BDP|2274928908441921449</stp>
        <tr r="I2701" s="2"/>
      </tp>
      <tp t="s">
        <v>#N/A N/A</v>
        <stp/>
        <stp>BDP|5015319881940113040</stp>
        <tr r="B277" s="2"/>
      </tp>
      <tp t="s">
        <v>#N/A N/A</v>
        <stp/>
        <stp>BDP|2506022757130219972</stp>
        <tr r="D4551" s="2"/>
      </tp>
      <tp t="s">
        <v>#N/A N/A</v>
        <stp/>
        <stp>BDP|3456317755658673330</stp>
        <tr r="F4358" s="2"/>
      </tp>
      <tp t="s">
        <v>#N/A N/A</v>
        <stp/>
        <stp>BDP|5586631335916708813</stp>
        <tr r="C3579" s="2"/>
      </tp>
      <tp t="s">
        <v>#N/A N/A</v>
        <stp/>
        <stp>BDP|2215190416108039480</stp>
        <tr r="G2366" s="2"/>
      </tp>
      <tp t="s">
        <v>#N/A N/A</v>
        <stp/>
        <stp>BDP|6008414360419711332</stp>
        <tr r="F1480" s="2"/>
      </tp>
      <tp t="s">
        <v>#N/A N/A</v>
        <stp/>
        <stp>BDP|3492399303646240890</stp>
        <tr r="F4599" s="2"/>
      </tp>
      <tp t="s">
        <v>#N/A N/A</v>
        <stp/>
        <stp>BDP|8293361646529277858</stp>
        <tr r="D2987" s="2"/>
      </tp>
      <tp t="s">
        <v>#N/A N/A</v>
        <stp/>
        <stp>BDP|8983360290918211482</stp>
        <tr r="D3203" s="2"/>
      </tp>
      <tp t="s">
        <v>#N/A N/A</v>
        <stp/>
        <stp>BDP|7326112542634533807</stp>
        <tr r="G3988" s="2"/>
      </tp>
      <tp t="s">
        <v>#N/A N/A</v>
        <stp/>
        <stp>BDP|5878216207780819935</stp>
        <tr r="I2232" s="2"/>
      </tp>
      <tp t="s">
        <v>#N/A N/A</v>
        <stp/>
        <stp>BDP|7582857948866931341</stp>
        <tr r="A4920" s="2"/>
      </tp>
      <tp t="s">
        <v>#N/A N/A</v>
        <stp/>
        <stp>BDP|2091974913925692178</stp>
        <tr r="D1293" s="2"/>
      </tp>
      <tp t="s">
        <v>#N/A N/A</v>
        <stp/>
        <stp>BDP|5395360550519714479</stp>
        <tr r="A2369" s="2"/>
      </tp>
      <tp t="s">
        <v>#N/A N/A</v>
        <stp/>
        <stp>BDP|9030655205626500704</stp>
        <tr r="I4048" s="2"/>
      </tp>
      <tp t="s">
        <v>#N/A N/A</v>
        <stp/>
        <stp>BDP|1731545500432465820</stp>
        <tr r="D734" s="2"/>
      </tp>
      <tp t="s">
        <v>#N/A N/A</v>
        <stp/>
        <stp>BDP|7020475775188341246</stp>
        <tr r="F2937" s="2"/>
      </tp>
      <tp t="s">
        <v>#N/A N/A</v>
        <stp/>
        <stp>BDP|9721446773090116441</stp>
        <tr r="A2259" s="2"/>
      </tp>
      <tp t="s">
        <v>#N/A N/A</v>
        <stp/>
        <stp>BDP|3582960170915735615</stp>
        <tr r="G1771" s="2"/>
      </tp>
      <tp t="s">
        <v>#N/A N/A</v>
        <stp/>
        <stp>BDP|5356565692157316017</stp>
        <tr r="F642" s="2"/>
      </tp>
      <tp t="s">
        <v>#N/A N/A</v>
        <stp/>
        <stp>BDP|8078406531429663824</stp>
        <tr r="D1126" s="2"/>
      </tp>
      <tp t="s">
        <v>#N/A N/A</v>
        <stp/>
        <stp>BDP|4722533926824473939</stp>
        <tr r="F767" s="2"/>
      </tp>
      <tp t="s">
        <v>#N/A N/A</v>
        <stp/>
        <stp>BDP|9854452943686214196</stp>
        <tr r="H580" s="2"/>
      </tp>
      <tp t="s">
        <v>#N/A N/A</v>
        <stp/>
        <stp>BDP|4316684711555877871</stp>
        <tr r="A2629" s="2"/>
      </tp>
      <tp t="s">
        <v>#N/A N/A</v>
        <stp/>
        <stp>BDP|5449784115718966557</stp>
        <tr r="D4390" s="2"/>
      </tp>
      <tp t="s">
        <v>#N/A N/A</v>
        <stp/>
        <stp>BDP|5537194285913105027</stp>
        <tr r="G4042" s="2"/>
      </tp>
      <tp t="s">
        <v>#N/A N/A</v>
        <stp/>
        <stp>BDP|1615304807824971923</stp>
        <tr r="I4855" s="2"/>
      </tp>
      <tp t="s">
        <v>#N/A N/A</v>
        <stp/>
        <stp>BDP|9842568705326679571</stp>
        <tr r="G4149" s="2"/>
      </tp>
      <tp t="s">
        <v>#N/A N/A</v>
        <stp/>
        <stp>BDP|1331793507931548824</stp>
        <tr r="I3036" s="2"/>
      </tp>
      <tp t="s">
        <v>#N/A N/A</v>
        <stp/>
        <stp>BDP|5635582794952508451</stp>
        <tr r="I4917" s="2"/>
      </tp>
      <tp t="s">
        <v>#N/A N/A</v>
        <stp/>
        <stp>BDP|5599700498723427735</stp>
        <tr r="H1799" s="2"/>
      </tp>
      <tp t="s">
        <v>#N/A N/A</v>
        <stp/>
        <stp>BDP|2708458387011990069</stp>
        <tr r="B2182" s="2"/>
      </tp>
      <tp t="s">
        <v>#N/A N/A</v>
        <stp/>
        <stp>BDP|7572091166306198814</stp>
        <tr r="I4772" s="2"/>
      </tp>
      <tp t="s">
        <v>#N/A N/A</v>
        <stp/>
        <stp>BDP|2024188333868009719</stp>
        <tr r="H3855" s="2"/>
      </tp>
      <tp t="s">
        <v>#N/A N/A</v>
        <stp/>
        <stp>BDP|8332584716551292251</stp>
        <tr r="F3747" s="2"/>
      </tp>
      <tp t="s">
        <v>#N/A N/A</v>
        <stp/>
        <stp>BDP|9680848093190995722</stp>
        <tr r="I2455" s="2"/>
      </tp>
      <tp t="s">
        <v>#N/A N/A</v>
        <stp/>
        <stp>BDP|2236609974694428884</stp>
        <tr r="D4700" s="2"/>
      </tp>
      <tp t="s">
        <v>#N/A N/A</v>
        <stp/>
        <stp>BDP|8809639697870491822</stp>
        <tr r="G545" s="2"/>
      </tp>
      <tp t="s">
        <v>#N/A N/A</v>
        <stp/>
        <stp>BDP|6893598659998769152</stp>
        <tr r="H2820" s="2"/>
      </tp>
      <tp t="s">
        <v>#N/A N/A</v>
        <stp/>
        <stp>BDP|8374096644440303379</stp>
        <tr r="H2814" s="2"/>
      </tp>
      <tp t="s">
        <v>#N/A N/A</v>
        <stp/>
        <stp>BDP|7226384039820875815</stp>
        <tr r="D4580" s="2"/>
      </tp>
      <tp t="s">
        <v>#N/A N/A</v>
        <stp/>
        <stp>BDP|7952964310423500309</stp>
        <tr r="H3859" s="2"/>
      </tp>
      <tp t="s">
        <v>#N/A N/A</v>
        <stp/>
        <stp>BDP|1223464824159893122</stp>
        <tr r="B3414" s="2"/>
      </tp>
      <tp t="s">
        <v>#N/A N/A</v>
        <stp/>
        <stp>BDP|4140789684333559724</stp>
        <tr r="F873" s="2"/>
      </tp>
      <tp t="s">
        <v>#N/A N/A</v>
        <stp/>
        <stp>BDP|4352505703506339899</stp>
        <tr r="B2853" s="2"/>
      </tp>
      <tp t="s">
        <v>#N/A N/A</v>
        <stp/>
        <stp>BDP|4488511468269017175</stp>
        <tr r="A1106" s="2"/>
      </tp>
      <tp t="s">
        <v>#N/A N/A</v>
        <stp/>
        <stp>BDP|6413408328638796718</stp>
        <tr r="I3732" s="2"/>
      </tp>
      <tp t="s">
        <v>#N/A N/A</v>
        <stp/>
        <stp>BDP|2190770168275311974</stp>
        <tr r="D4475" s="2"/>
      </tp>
      <tp t="s">
        <v>#N/A N/A</v>
        <stp/>
        <stp>BDP|8387703320626967405</stp>
        <tr r="C595" s="2"/>
      </tp>
      <tp t="s">
        <v>#N/A N/A</v>
        <stp/>
        <stp>BDP|5211830444804876270</stp>
        <tr r="H866" s="2"/>
      </tp>
      <tp t="s">
        <v>#N/A N/A</v>
        <stp/>
        <stp>BDP|7090086880774103436</stp>
        <tr r="I4868" s="2"/>
      </tp>
      <tp t="s">
        <v>#N/A N/A</v>
        <stp/>
        <stp>BDP|8591453337891547188</stp>
        <tr r="G416" s="2"/>
      </tp>
      <tp t="s">
        <v>#N/A N/A</v>
        <stp/>
        <stp>BDP|3255712914929963346</stp>
        <tr r="D132" s="2"/>
      </tp>
      <tp t="s">
        <v>#N/A N/A</v>
        <stp/>
        <stp>BDP|1624168880031921636</stp>
        <tr r="C972" s="2"/>
      </tp>
      <tp t="s">
        <v>#N/A N/A</v>
        <stp/>
        <stp>BDP|1862268396692612747</stp>
        <tr r="F4395" s="2"/>
      </tp>
      <tp t="s">
        <v>#N/A N/A</v>
        <stp/>
        <stp>BDP|5942983210992323082</stp>
        <tr r="B951" s="2"/>
      </tp>
      <tp t="s">
        <v>#N/A N/A</v>
        <stp/>
        <stp>BDP|3534062615474576993</stp>
        <tr r="A4961" s="2"/>
      </tp>
      <tp t="s">
        <v>#N/A N/A</v>
        <stp/>
        <stp>BDP|8461154922750048491</stp>
        <tr r="A1501" s="2"/>
      </tp>
      <tp t="s">
        <v>#N/A N/A</v>
        <stp/>
        <stp>BDP|3393198455308015053</stp>
        <tr r="D4415" s="2"/>
      </tp>
      <tp t="s">
        <v>#N/A N/A</v>
        <stp/>
        <stp>BDP|9665994473488164070</stp>
        <tr r="C3952" s="2"/>
      </tp>
      <tp t="s">
        <v>#N/A N/A</v>
        <stp/>
        <stp>BDP|7419840903083180389</stp>
        <tr r="D1855" s="2"/>
      </tp>
      <tp t="s">
        <v>#N/A N/A</v>
        <stp/>
        <stp>BDP|1936044057063055801</stp>
        <tr r="G4023" s="2"/>
      </tp>
      <tp t="s">
        <v>#N/A N/A</v>
        <stp/>
        <stp>BDP|6531923500723412394</stp>
        <tr r="H2825" s="2"/>
      </tp>
      <tp t="s">
        <v>#N/A N/A</v>
        <stp/>
        <stp>BDP|1454951305456637181</stp>
        <tr r="F1793" s="2"/>
      </tp>
      <tp t="s">
        <v>#N/A N/A</v>
        <stp/>
        <stp>BDP|5880425940898017201</stp>
        <tr r="G3832" s="2"/>
      </tp>
      <tp t="s">
        <v>#N/A N/A</v>
        <stp/>
        <stp>BDP|3538591417181846992</stp>
        <tr r="F665" s="2"/>
      </tp>
      <tp t="s">
        <v>#N/A N/A</v>
        <stp/>
        <stp>BDP|8096343238120584736</stp>
        <tr r="A4069" s="2"/>
      </tp>
      <tp t="s">
        <v>#N/A N/A</v>
        <stp/>
        <stp>BDP|3115403442484171884</stp>
        <tr r="F1702" s="2"/>
      </tp>
      <tp t="s">
        <v>#N/A N/A</v>
        <stp/>
        <stp>BDP|7215005088547039707</stp>
        <tr r="F1836" s="2"/>
      </tp>
      <tp t="s">
        <v>#N/A N/A</v>
        <stp/>
        <stp>BDP|9516892927425715963</stp>
        <tr r="G2053" s="2"/>
      </tp>
      <tp t="s">
        <v>#N/A N/A</v>
        <stp/>
        <stp>BDP|4021762562358858262</stp>
        <tr r="F2738" s="2"/>
      </tp>
      <tp t="s">
        <v>#N/A N/A</v>
        <stp/>
        <stp>BDP|1703030915678839732</stp>
        <tr r="F4387" s="2"/>
      </tp>
      <tp t="s">
        <v>#N/A N/A</v>
        <stp/>
        <stp>BDP|9456999483376292161</stp>
        <tr r="G3584" s="2"/>
      </tp>
      <tp t="s">
        <v>#N/A N/A</v>
        <stp/>
        <stp>BDP|4332650731457441994</stp>
        <tr r="C1970" s="2"/>
      </tp>
      <tp t="s">
        <v>#N/A N/A</v>
        <stp/>
        <stp>BDP|5643958741747041088</stp>
        <tr r="I1057" s="2"/>
      </tp>
      <tp t="s">
        <v>#N/A N/A</v>
        <stp/>
        <stp>BDP|9858845453229753220</stp>
        <tr r="A82" s="2"/>
      </tp>
      <tp t="s">
        <v>#N/A N/A</v>
        <stp/>
        <stp>BDP|7939541354569487178</stp>
        <tr r="A203" s="2"/>
      </tp>
      <tp t="s">
        <v>#N/A N/A</v>
        <stp/>
        <stp>BDP|8378446262423973665</stp>
        <tr r="H3235" s="2"/>
      </tp>
      <tp t="s">
        <v>#N/A N/A</v>
        <stp/>
        <stp>BDP|2278100182944319099</stp>
        <tr r="A2079" s="2"/>
      </tp>
      <tp t="s">
        <v>#N/A N/A</v>
        <stp/>
        <stp>BDP|5917855625516274610</stp>
        <tr r="H304" s="2"/>
      </tp>
      <tp t="s">
        <v>#N/A N/A</v>
        <stp/>
        <stp>BDP|3426853048722682258</stp>
        <tr r="I4479" s="2"/>
      </tp>
      <tp t="s">
        <v>#N/A N/A</v>
        <stp/>
        <stp>BDP|4159280702460214936</stp>
        <tr r="D3343" s="2"/>
      </tp>
      <tp t="s">
        <v>#N/A N/A</v>
        <stp/>
        <stp>BDP|1854950711691342751</stp>
        <tr r="I2714" s="2"/>
      </tp>
      <tp t="s">
        <v>#N/A N/A</v>
        <stp/>
        <stp>BDP|2149845511724797099</stp>
        <tr r="G708" s="2"/>
      </tp>
      <tp t="s">
        <v>#N/A N/A</v>
        <stp/>
        <stp>BDP|6261349083243673183</stp>
        <tr r="D3873" s="2"/>
      </tp>
      <tp t="s">
        <v>#N/A N/A</v>
        <stp/>
        <stp>BDP|5664371729162281916</stp>
        <tr r="H823" s="2"/>
      </tp>
      <tp t="s">
        <v>#N/A N/A</v>
        <stp/>
        <stp>BDP|9567217580544643898</stp>
        <tr r="I3967" s="2"/>
      </tp>
      <tp t="s">
        <v>#N/A N/A</v>
        <stp/>
        <stp>BDP|7373049280112476280</stp>
        <tr r="F3953" s="2"/>
      </tp>
      <tp t="s">
        <v>#N/A N/A</v>
        <stp/>
        <stp>BDP|3156662982730890261</stp>
        <tr r="F2756" s="2"/>
      </tp>
      <tp t="s">
        <v>#N/A N/A</v>
        <stp/>
        <stp>BDP|3249100585973543691</stp>
        <tr r="H1424" s="2"/>
      </tp>
      <tp t="s">
        <v>#N/A N/A</v>
        <stp/>
        <stp>BDP|1707721388975558435</stp>
        <tr r="A2867" s="2"/>
      </tp>
      <tp t="s">
        <v>#N/A N/A</v>
        <stp/>
        <stp>BDP|9037333517446972268</stp>
        <tr r="C3953" s="2"/>
      </tp>
      <tp t="s">
        <v>#N/A N/A</v>
        <stp/>
        <stp>BDP|8723941506828736693</stp>
        <tr r="G3124" s="2"/>
      </tp>
      <tp t="s">
        <v>#N/A N/A</v>
        <stp/>
        <stp>BDP|1528257398916076330</stp>
        <tr r="D3899" s="2"/>
      </tp>
      <tp t="s">
        <v>#N/A N/A</v>
        <stp/>
        <stp>BDP|4536907156694010388</stp>
        <tr r="C2291" s="2"/>
      </tp>
      <tp t="s">
        <v>#N/A N/A</v>
        <stp/>
        <stp>BDP|7569608788304250243</stp>
        <tr r="H1761" s="2"/>
      </tp>
      <tp t="s">
        <v>#N/A N/A</v>
        <stp/>
        <stp>BDP|7103993004879722803</stp>
        <tr r="D4380" s="2"/>
      </tp>
      <tp t="s">
        <v>#N/A N/A</v>
        <stp/>
        <stp>BDP|1136485093720423359</stp>
        <tr r="I4830" s="2"/>
      </tp>
      <tp t="s">
        <v>#N/A N/A</v>
        <stp/>
        <stp>BDP|7881333692624559672</stp>
        <tr r="D86" s="2"/>
      </tp>
      <tp t="s">
        <v>#N/A N/A</v>
        <stp/>
        <stp>BDP|8617502651312445589</stp>
        <tr r="A1929" s="2"/>
      </tp>
      <tp t="s">
        <v>#N/A N/A</v>
        <stp/>
        <stp>BDP|7747306291660881251</stp>
        <tr r="H1396" s="2"/>
      </tp>
      <tp t="s">
        <v>#N/A N/A</v>
        <stp/>
        <stp>BDP|1621699714401265824</stp>
        <tr r="H1352" s="2"/>
      </tp>
      <tp t="s">
        <v>#N/A N/A</v>
        <stp/>
        <stp>BDP|1183475219438432306</stp>
        <tr r="A4486" s="2"/>
      </tp>
      <tp t="s">
        <v>#N/A N/A</v>
        <stp/>
        <stp>BDP|3165908560237820421</stp>
        <tr r="A2522" s="2"/>
      </tp>
      <tp t="s">
        <v>#N/A N/A</v>
        <stp/>
        <stp>BDP|3001398273061461950</stp>
        <tr r="H838" s="2"/>
      </tp>
      <tp t="s">
        <v>#N/A N/A</v>
        <stp/>
        <stp>BDP|1873636172968137735</stp>
        <tr r="C3323" s="2"/>
      </tp>
      <tp t="s">
        <v>#N/A N/A</v>
        <stp/>
        <stp>BDP|9628796167467286016</stp>
        <tr r="A2267" s="2"/>
      </tp>
      <tp t="s">
        <v>#N/A N/A</v>
        <stp/>
        <stp>BDP|9835932762150402961</stp>
        <tr r="D2678" s="2"/>
      </tp>
      <tp t="s">
        <v>#N/A N/A</v>
        <stp/>
        <stp>BDP|1951531323501105830</stp>
        <tr r="F2720" s="2"/>
      </tp>
      <tp t="s">
        <v>#N/A N/A</v>
        <stp/>
        <stp>BDP|3139399239934869824</stp>
        <tr r="F4747" s="2"/>
      </tp>
      <tp t="s">
        <v>#N/A N/A</v>
        <stp/>
        <stp>BDP|2119463598795349570</stp>
        <tr r="C3596" s="2"/>
      </tp>
      <tp t="s">
        <v>#N/A N/A</v>
        <stp/>
        <stp>BDP|9913321546789103876</stp>
        <tr r="D3478" s="2"/>
      </tp>
      <tp t="s">
        <v>#N/A N/A</v>
        <stp/>
        <stp>BDP|1815799784106701799</stp>
        <tr r="H4214" s="2"/>
      </tp>
      <tp t="s">
        <v>#N/A N/A</v>
        <stp/>
        <stp>BDP|6116217525378768193</stp>
        <tr r="I2254" s="2"/>
      </tp>
      <tp t="s">
        <v>#N/A N/A</v>
        <stp/>
        <stp>BDP|2783210417146897823</stp>
        <tr r="A2958" s="2"/>
      </tp>
      <tp t="s">
        <v>#N/A N/A</v>
        <stp/>
        <stp>BDP|4918294854594615892</stp>
        <tr r="G66" s="2"/>
      </tp>
      <tp t="s">
        <v>#N/A N/A</v>
        <stp/>
        <stp>BDP|6438959199850511960</stp>
        <tr r="I4034" s="2"/>
      </tp>
      <tp t="s">
        <v>#N/A N/A</v>
        <stp/>
        <stp>BDP|5350264462888532699</stp>
        <tr r="A2420" s="2"/>
      </tp>
      <tp t="s">
        <v>#N/A N/A</v>
        <stp/>
        <stp>BDP|6215107702048959020</stp>
        <tr r="I1223" s="2"/>
      </tp>
      <tp t="s">
        <v>#N/A N/A</v>
        <stp/>
        <stp>BDP|9908410846370498619</stp>
        <tr r="D3231" s="2"/>
      </tp>
      <tp t="s">
        <v>#N/A N/A</v>
        <stp/>
        <stp>BDP|9008784203023050202</stp>
        <tr r="B1134" s="2"/>
      </tp>
      <tp t="s">
        <v>#N/A N/A</v>
        <stp/>
        <stp>BDP|5226737191771999528</stp>
        <tr r="C3171" s="2"/>
      </tp>
      <tp t="s">
        <v>#N/A N/A</v>
        <stp/>
        <stp>BDP|5812627820218202637</stp>
        <tr r="C55" s="2"/>
      </tp>
      <tp t="s">
        <v>#N/A N/A</v>
        <stp/>
        <stp>BDP|8279167582246451894</stp>
        <tr r="C1424" s="2"/>
      </tp>
      <tp t="s">
        <v>#N/A N/A</v>
        <stp/>
        <stp>BDP|2851235819006903803</stp>
        <tr r="A3934" s="2"/>
      </tp>
      <tp t="s">
        <v>#N/A N/A</v>
        <stp/>
        <stp>BDP|1025435285540987248</stp>
        <tr r="G1550" s="2"/>
      </tp>
      <tp t="s">
        <v>#N/A N/A</v>
        <stp/>
        <stp>BDP|4535794126117319925</stp>
        <tr r="A1467" s="2"/>
      </tp>
      <tp t="s">
        <v>#N/A N/A</v>
        <stp/>
        <stp>BDP|5079595272700627865</stp>
        <tr r="I4707" s="2"/>
      </tp>
      <tp t="s">
        <v>#N/A N/A</v>
        <stp/>
        <stp>BDP|7882830636902738117</stp>
        <tr r="A4424" s="2"/>
      </tp>
      <tp t="s">
        <v>#N/A N/A</v>
        <stp/>
        <stp>BDP|8840541936348601973</stp>
        <tr r="H881" s="2"/>
      </tp>
      <tp t="s">
        <v>#N/A N/A</v>
        <stp/>
        <stp>BDP|2851373928575845942</stp>
        <tr r="B2108" s="2"/>
      </tp>
      <tp t="s">
        <v>#N/A N/A</v>
        <stp/>
        <stp>BDP|4786864875474859079</stp>
        <tr r="G3941" s="2"/>
      </tp>
      <tp t="s">
        <v>#N/A N/A</v>
        <stp/>
        <stp>BDP|4761494742773580829</stp>
        <tr r="B2624" s="2"/>
      </tp>
      <tp t="s">
        <v>#N/A N/A</v>
        <stp/>
        <stp>BDP|6947217146098116746</stp>
        <tr r="H2361" s="2"/>
      </tp>
      <tp t="s">
        <v>#N/A N/A</v>
        <stp/>
        <stp>BDP|8145766723680770287</stp>
        <tr r="B4418" s="2"/>
      </tp>
      <tp t="s">
        <v>#N/A N/A</v>
        <stp/>
        <stp>BDP|7202914804458418986</stp>
        <tr r="B2446" s="2"/>
      </tp>
      <tp t="s">
        <v>#N/A N/A</v>
        <stp/>
        <stp>BDP|1974918741724279708</stp>
        <tr r="H2915" s="2"/>
      </tp>
      <tp t="s">
        <v>#N/A N/A</v>
        <stp/>
        <stp>BDP|9098497423304397423</stp>
        <tr r="C1823" s="2"/>
      </tp>
      <tp t="s">
        <v>#N/A N/A</v>
        <stp/>
        <stp>BDP|6255855379263134547</stp>
        <tr r="D1256" s="2"/>
      </tp>
      <tp t="s">
        <v>#N/A N/A</v>
        <stp/>
        <stp>BDP|3888303096845000355</stp>
        <tr r="H3561" s="2"/>
      </tp>
      <tp t="s">
        <v>#N/A N/A</v>
        <stp/>
        <stp>BDP|3963343020285757814</stp>
        <tr r="G3586" s="2"/>
      </tp>
      <tp t="s">
        <v>#N/A N/A</v>
        <stp/>
        <stp>BDP|2809459178928920674</stp>
        <tr r="G4741" s="2"/>
      </tp>
      <tp t="s">
        <v>#N/A N/A</v>
        <stp/>
        <stp>BDP|5376778748210254961</stp>
        <tr r="H2137" s="2"/>
      </tp>
      <tp t="s">
        <v>#N/A N/A</v>
        <stp/>
        <stp>BDP|5084752972052805873</stp>
        <tr r="A1468" s="2"/>
      </tp>
      <tp t="s">
        <v>#N/A N/A</v>
        <stp/>
        <stp>BDP|5000880689002199880</stp>
        <tr r="H2518" s="2"/>
      </tp>
      <tp t="s">
        <v>#N/A N/A</v>
        <stp/>
        <stp>BDP|2493847998849766579</stp>
        <tr r="G1358" s="2"/>
      </tp>
      <tp t="s">
        <v>#N/A N/A</v>
        <stp/>
        <stp>BDP|3259699171418131532</stp>
        <tr r="F1321" s="2"/>
      </tp>
      <tp t="s">
        <v>#N/A N/A</v>
        <stp/>
        <stp>BDP|6615968130247968414</stp>
        <tr r="A3330" s="2"/>
      </tp>
      <tp t="s">
        <v>#N/A N/A</v>
        <stp/>
        <stp>BDP|9380275541595525583</stp>
        <tr r="F4268" s="2"/>
      </tp>
      <tp t="s">
        <v>#N/A N/A</v>
        <stp/>
        <stp>BDP|6107788852689541262</stp>
        <tr r="C3975" s="2"/>
      </tp>
      <tp t="s">
        <v>#N/A N/A</v>
        <stp/>
        <stp>BDP|9981333252763103314</stp>
        <tr r="G3272" s="2"/>
      </tp>
      <tp t="s">
        <v>#N/A N/A</v>
        <stp/>
        <stp>BDP|6906936176346282165</stp>
        <tr r="G1478" s="2"/>
      </tp>
      <tp t="s">
        <v>#N/A N/A</v>
        <stp/>
        <stp>BDP|9015316108006196306</stp>
        <tr r="G1078" s="2"/>
      </tp>
      <tp t="s">
        <v>#N/A N/A</v>
        <stp/>
        <stp>BDP|9325387164920535327</stp>
        <tr r="B3564" s="2"/>
      </tp>
      <tp t="s">
        <v>#N/A N/A</v>
        <stp/>
        <stp>BDP|2935842467950361315</stp>
        <tr r="C2893" s="2"/>
      </tp>
      <tp t="s">
        <v>#N/A N/A</v>
        <stp/>
        <stp>BDP|4558497155942541844</stp>
        <tr r="I4771" s="2"/>
      </tp>
      <tp t="s">
        <v>#N/A N/A</v>
        <stp/>
        <stp>BDP|8438119259624565711</stp>
        <tr r="A2110" s="2"/>
      </tp>
      <tp t="s">
        <v>#N/A N/A</v>
        <stp/>
        <stp>BDP|2857671984855714646</stp>
        <tr r="B2981" s="2"/>
      </tp>
      <tp t="s">
        <v>#N/A N/A</v>
        <stp/>
        <stp>BDP|4458096063914456924</stp>
        <tr r="H4171" s="2"/>
      </tp>
      <tp t="s">
        <v>#N/A N/A</v>
        <stp/>
        <stp>BDP|7881024281786153624</stp>
        <tr r="A1043" s="2"/>
      </tp>
      <tp t="s">
        <v>#N/A N/A</v>
        <stp/>
        <stp>BDP|4583249097565904579</stp>
        <tr r="D2972" s="2"/>
      </tp>
      <tp t="s">
        <v>#N/A N/A</v>
        <stp/>
        <stp>BDP|8676771292089284093</stp>
        <tr r="B1571" s="2"/>
      </tp>
      <tp t="s">
        <v>#N/A N/A</v>
        <stp/>
        <stp>BDP|1741899004385640347</stp>
        <tr r="I2731" s="2"/>
      </tp>
      <tp t="s">
        <v>#N/A N/A</v>
        <stp/>
        <stp>BDP|6569692028819463487</stp>
        <tr r="H114" s="2"/>
      </tp>
      <tp t="s">
        <v>#N/A N/A</v>
        <stp/>
        <stp>BDP|7566351801432979908</stp>
        <tr r="B4587" s="2"/>
      </tp>
      <tp t="s">
        <v>#N/A N/A</v>
        <stp/>
        <stp>BDP|2641993713266389371</stp>
        <tr r="H3816" s="2"/>
      </tp>
      <tp t="s">
        <v>#N/A N/A</v>
        <stp/>
        <stp>BDP|4669298390334603411</stp>
        <tr r="C1301" s="2"/>
      </tp>
      <tp t="s">
        <v>#N/A N/A</v>
        <stp/>
        <stp>BDP|9215157327920891509</stp>
        <tr r="H220" s="2"/>
      </tp>
      <tp t="s">
        <v>#N/A N/A</v>
        <stp/>
        <stp>BDP|8624099466498809990</stp>
        <tr r="C143" s="2"/>
      </tp>
      <tp t="s">
        <v>#N/A N/A</v>
        <stp/>
        <stp>BDP|2819204047222486930</stp>
        <tr r="D3648" s="2"/>
      </tp>
      <tp t="s">
        <v>#N/A N/A</v>
        <stp/>
        <stp>BDP|8658937428868025457</stp>
        <tr r="D2236" s="2"/>
      </tp>
      <tp t="s">
        <v>#N/A N/A</v>
        <stp/>
        <stp>BDP|4976884338890307024</stp>
        <tr r="G4644" s="2"/>
      </tp>
      <tp t="s">
        <v>#N/A N/A</v>
        <stp/>
        <stp>BDP|7071737008297443879</stp>
        <tr r="H2869" s="2"/>
      </tp>
      <tp t="s">
        <v>#N/A N/A</v>
        <stp/>
        <stp>BDP|1493561745157607897</stp>
        <tr r="B4372" s="2"/>
      </tp>
      <tp t="s">
        <v>#N/A N/A</v>
        <stp/>
        <stp>BDP|2419828808675384059</stp>
        <tr r="G1119" s="2"/>
      </tp>
      <tp t="s">
        <v>#N/A N/A</v>
        <stp/>
        <stp>BDP|5619870259855624265</stp>
        <tr r="A2735" s="2"/>
      </tp>
      <tp t="s">
        <v>#N/A N/A</v>
        <stp/>
        <stp>BDP|8801428922779535852</stp>
        <tr r="B2490" s="2"/>
      </tp>
      <tp t="s">
        <v>#N/A N/A</v>
        <stp/>
        <stp>BDP|1704118746618896306</stp>
        <tr r="D1216" s="2"/>
      </tp>
      <tp t="s">
        <v>#N/A N/A</v>
        <stp/>
        <stp>BDP|7260496497777456203</stp>
        <tr r="A1662" s="2"/>
      </tp>
      <tp t="s">
        <v>#N/A N/A</v>
        <stp/>
        <stp>BDP|8043185540332817082</stp>
        <tr r="I1177" s="2"/>
      </tp>
      <tp t="s">
        <v>#N/A N/A</v>
        <stp/>
        <stp>BDP|1480226728499482723</stp>
        <tr r="I1143" s="2"/>
      </tp>
      <tp t="s">
        <v>#N/A N/A</v>
        <stp/>
        <stp>BDP|5672706683697855253</stp>
        <tr r="D1598" s="2"/>
      </tp>
      <tp t="s">
        <v>#N/A N/A</v>
        <stp/>
        <stp>BDP|2246901456278920955</stp>
        <tr r="A967" s="2"/>
      </tp>
      <tp t="s">
        <v>#N/A N/A</v>
        <stp/>
        <stp>BDP|2467556404438433097</stp>
        <tr r="D3963" s="2"/>
      </tp>
      <tp t="s">
        <v>#N/A N/A</v>
        <stp/>
        <stp>BDP|1026579888520775309</stp>
        <tr r="B56" s="2"/>
      </tp>
      <tp t="s">
        <v>#N/A N/A</v>
        <stp/>
        <stp>BDP|3750325898447469111</stp>
        <tr r="G710" s="2"/>
      </tp>
      <tp t="s">
        <v>#N/A N/A</v>
        <stp/>
        <stp>BDP|7144815068021049706</stp>
        <tr r="C4588" s="2"/>
      </tp>
      <tp t="s">
        <v>#N/A N/A</v>
        <stp/>
        <stp>BDP|4478851532205257592</stp>
        <tr r="C4448" s="2"/>
      </tp>
      <tp t="s">
        <v>#N/A N/A</v>
        <stp/>
        <stp>BDP|2852452491143134357</stp>
        <tr r="A887" s="2"/>
      </tp>
      <tp t="s">
        <v>#N/A N/A</v>
        <stp/>
        <stp>BDP|6188488574582743823</stp>
        <tr r="F2245" s="2"/>
      </tp>
      <tp t="s">
        <v>#N/A N/A</v>
        <stp/>
        <stp>BDP|6386668599524127255</stp>
        <tr r="C652" s="2"/>
      </tp>
      <tp t="s">
        <v>#N/A N/A</v>
        <stp/>
        <stp>BDP|3345982402722203733</stp>
        <tr r="F277" s="2"/>
      </tp>
      <tp t="s">
        <v>#N/A N/A</v>
        <stp/>
        <stp>BDP|1978552900879174258</stp>
        <tr r="G3629" s="2"/>
      </tp>
      <tp t="s">
        <v>#N/A N/A</v>
        <stp/>
        <stp>BDP|2617483337042552845</stp>
        <tr r="G2800" s="2"/>
      </tp>
      <tp t="s">
        <v>#N/A N/A</v>
        <stp/>
        <stp>BDP|6524574635616711983</stp>
        <tr r="F1451" s="2"/>
      </tp>
      <tp t="s">
        <v>#N/A N/A</v>
        <stp/>
        <stp>BDP|9315686984000630816</stp>
        <tr r="A4650" s="2"/>
      </tp>
      <tp t="s">
        <v>#N/A N/A</v>
        <stp/>
        <stp>BDP|1774682350799630413</stp>
        <tr r="B4128" s="2"/>
      </tp>
      <tp t="s">
        <v>#N/A N/A</v>
        <stp/>
        <stp>BDP|3447482816108650140</stp>
        <tr r="D1737" s="2"/>
      </tp>
      <tp t="s">
        <v>#N/A N/A</v>
        <stp/>
        <stp>BDP|1442743994548924852</stp>
        <tr r="D3152" s="2"/>
      </tp>
      <tp t="s">
        <v>#N/A N/A</v>
        <stp/>
        <stp>BDP|5835341881381421016</stp>
        <tr r="A2068" s="2"/>
      </tp>
      <tp t="s">
        <v>#N/A N/A</v>
        <stp/>
        <stp>BDP|9886158335157776373</stp>
        <tr r="A67" s="2"/>
      </tp>
      <tp t="s">
        <v>#N/A N/A</v>
        <stp/>
        <stp>BDP|7767465906538973464</stp>
        <tr r="I52" s="2"/>
      </tp>
      <tp t="s">
        <v>#N/A N/A</v>
        <stp/>
        <stp>BDP|5870109193993147126</stp>
        <tr r="I1456" s="2"/>
      </tp>
      <tp t="s">
        <v>#N/A N/A</v>
        <stp/>
        <stp>BDP|1119929345892746190</stp>
        <tr r="I2422" s="2"/>
      </tp>
      <tp t="s">
        <v>#N/A N/A</v>
        <stp/>
        <stp>BDP|4957896039532645276</stp>
        <tr r="G1547" s="2"/>
      </tp>
      <tp t="s">
        <v>#N/A N/A</v>
        <stp/>
        <stp>BDP|2412500099180548100</stp>
        <tr r="G1998" s="2"/>
      </tp>
      <tp t="s">
        <v>#N/A N/A</v>
        <stp/>
        <stp>BDP|2407820918041616505</stp>
        <tr r="H3621" s="2"/>
      </tp>
      <tp t="s">
        <v>#N/A N/A</v>
        <stp/>
        <stp>BDP|9708841886401404792</stp>
        <tr r="H1210" s="2"/>
      </tp>
      <tp t="s">
        <v>#N/A N/A</v>
        <stp/>
        <stp>BDP|3355819171276886531</stp>
        <tr r="D2770" s="2"/>
      </tp>
      <tp t="s">
        <v>#N/A N/A</v>
        <stp/>
        <stp>BDP|9949531971515436174</stp>
        <tr r="F283" s="2"/>
      </tp>
      <tp t="s">
        <v>#N/A N/A</v>
        <stp/>
        <stp>BDP|4077222393744110484</stp>
        <tr r="F3871" s="2"/>
      </tp>
      <tp t="s">
        <v>#N/A N/A</v>
        <stp/>
        <stp>BDP|1556265698243246611</stp>
        <tr r="C4974" s="2"/>
      </tp>
      <tp t="s">
        <v>#N/A N/A</v>
        <stp/>
        <stp>BDP|4717204669686434927</stp>
        <tr r="C4426" s="2"/>
      </tp>
      <tp t="s">
        <v>#N/A N/A</v>
        <stp/>
        <stp>BDP|1935408013039489264</stp>
        <tr r="D2437" s="2"/>
      </tp>
      <tp t="s">
        <v>#N/A N/A</v>
        <stp/>
        <stp>BDP|7600558988301440478</stp>
        <tr r="B751" s="2"/>
      </tp>
      <tp t="s">
        <v>#N/A N/A</v>
        <stp/>
        <stp>BDP|9786139489646690938</stp>
        <tr r="H2177" s="2"/>
      </tp>
      <tp t="s">
        <v>#N/A N/A</v>
        <stp/>
        <stp>BDP|6972761156333360825</stp>
        <tr r="B1508" s="2"/>
      </tp>
      <tp t="s">
        <v>#N/A N/A</v>
        <stp/>
        <stp>BDP|8469509433764697597</stp>
        <tr r="H1608" s="2"/>
      </tp>
      <tp t="s">
        <v>#N/A N/A</v>
        <stp/>
        <stp>BDP|9939125324620741502</stp>
        <tr r="A2515" s="2"/>
      </tp>
      <tp t="s">
        <v>#N/A N/A</v>
        <stp/>
        <stp>BDP|3802904801470077511</stp>
        <tr r="A2082" s="2"/>
      </tp>
      <tp t="s">
        <v>#N/A N/A</v>
        <stp/>
        <stp>BDP|4096968339866516731</stp>
        <tr r="F2619" s="2"/>
      </tp>
      <tp t="s">
        <v>#N/A N/A</v>
        <stp/>
        <stp>BDP|5603898015460129327</stp>
        <tr r="G4586" s="2"/>
      </tp>
      <tp t="s">
        <v>#N/A N/A</v>
        <stp/>
        <stp>BDP|3010211879539853099</stp>
        <tr r="D4897" s="2"/>
      </tp>
      <tp t="s">
        <v>#N/A N/A</v>
        <stp/>
        <stp>BDP|9357514928014115529</stp>
        <tr r="C1333" s="2"/>
      </tp>
      <tp t="s">
        <v>#N/A N/A</v>
        <stp/>
        <stp>BDP|8016538138531312015</stp>
        <tr r="A4300" s="2"/>
      </tp>
      <tp t="s">
        <v>#N/A N/A</v>
        <stp/>
        <stp>BDP|8573014069848340977</stp>
        <tr r="I3926" s="2"/>
      </tp>
      <tp t="s">
        <v>#N/A N/A</v>
        <stp/>
        <stp>BDP|2449836354580281087</stp>
        <tr r="I861" s="2"/>
      </tp>
      <tp t="s">
        <v>#N/A N/A</v>
        <stp/>
        <stp>BDP|8805122124671080574</stp>
        <tr r="A1383" s="2"/>
      </tp>
      <tp t="s">
        <v>#N/A N/A</v>
        <stp/>
        <stp>BDP|1900532420410679959</stp>
        <tr r="C3488" s="2"/>
      </tp>
      <tp t="s">
        <v>#N/A N/A</v>
        <stp/>
        <stp>BDP|5753029436488222182</stp>
        <tr r="A2677" s="2"/>
      </tp>
      <tp t="s">
        <v>#N/A N/A</v>
        <stp/>
        <stp>BDP|3403890232960572735</stp>
        <tr r="A4540" s="2"/>
      </tp>
      <tp t="s">
        <v>#N/A N/A</v>
        <stp/>
        <stp>BDP|2815803982874186929</stp>
        <tr r="D3879" s="2"/>
      </tp>
      <tp t="s">
        <v>#N/A N/A</v>
        <stp/>
        <stp>BDP|9845676759265881072</stp>
        <tr r="C852" s="2"/>
      </tp>
      <tp t="s">
        <v>#N/A N/A</v>
        <stp/>
        <stp>BDP|1391932976093936362</stp>
        <tr r="C1637" s="2"/>
      </tp>
      <tp t="s">
        <v>#N/A N/A</v>
        <stp/>
        <stp>BDP|7454597287393430678</stp>
        <tr r="F213" s="2"/>
      </tp>
      <tp t="s">
        <v>#N/A N/A</v>
        <stp/>
        <stp>BDP|3515981765705289635</stp>
        <tr r="I563" s="2"/>
      </tp>
      <tp t="s">
        <v>#N/A N/A</v>
        <stp/>
        <stp>BDP|3952832340659251919</stp>
        <tr r="F2973" s="2"/>
      </tp>
      <tp t="s">
        <v>#N/A N/A</v>
        <stp/>
        <stp>BDP|9304626338937117413</stp>
        <tr r="F1615" s="2"/>
      </tp>
      <tp t="s">
        <v>#N/A N/A</v>
        <stp/>
        <stp>BDP|4935025505849767204</stp>
        <tr r="B2774" s="2"/>
      </tp>
      <tp t="s">
        <v>#N/A N/A</v>
        <stp/>
        <stp>BDP|4955850466520777549</stp>
        <tr r="I4240" s="2"/>
      </tp>
      <tp t="s">
        <v>#N/A N/A</v>
        <stp/>
        <stp>BDP|8357064537703217799</stp>
        <tr r="C3728" s="2"/>
      </tp>
      <tp t="s">
        <v>#N/A N/A</v>
        <stp/>
        <stp>BDP|2873444746015359808</stp>
        <tr r="B4505" s="2"/>
      </tp>
      <tp t="s">
        <v>#N/A N/A</v>
        <stp/>
        <stp>BDP|6795210999757570538</stp>
        <tr r="I4966" s="2"/>
      </tp>
      <tp t="s">
        <v>#N/A N/A</v>
        <stp/>
        <stp>BDP|1535152021709031485</stp>
        <tr r="H3513" s="2"/>
      </tp>
      <tp t="s">
        <v>#N/A N/A</v>
        <stp/>
        <stp>BDP|3139994515024028045</stp>
        <tr r="B2064" s="2"/>
      </tp>
      <tp t="s">
        <v>#N/A N/A</v>
        <stp/>
        <stp>BDP|3247403196624533582</stp>
        <tr r="F1107" s="2"/>
      </tp>
      <tp t="s">
        <v>#N/A N/A</v>
        <stp/>
        <stp>BDP|3585444380371881107</stp>
        <tr r="C4000" s="2"/>
      </tp>
      <tp t="s">
        <v>#N/A N/A</v>
        <stp/>
        <stp>BDP|7877020242739357525</stp>
        <tr r="F1239" s="2"/>
      </tp>
      <tp t="s">
        <v>#N/A N/A</v>
        <stp/>
        <stp>BDP|8459554717361850277</stp>
        <tr r="B3058" s="2"/>
      </tp>
      <tp t="s">
        <v>#N/A N/A</v>
        <stp/>
        <stp>BDP|5120682213039654456</stp>
        <tr r="H4324" s="2"/>
      </tp>
      <tp t="s">
        <v>#N/A N/A</v>
        <stp/>
        <stp>BDP|5426289385903174316</stp>
        <tr r="B527" s="2"/>
      </tp>
      <tp t="s">
        <v>#N/A N/A</v>
        <stp/>
        <stp>BDP|5624599766880802980</stp>
        <tr r="H4350" s="2"/>
      </tp>
      <tp t="s">
        <v>#N/A N/A</v>
        <stp/>
        <stp>BDP|1262841341516671487</stp>
        <tr r="G2429" s="2"/>
      </tp>
      <tp t="s">
        <v>#N/A N/A</v>
        <stp/>
        <stp>BDP|7698698398014610382</stp>
        <tr r="H588" s="2"/>
      </tp>
      <tp t="s">
        <v>#N/A N/A</v>
        <stp/>
        <stp>BDP|4773108596542989110</stp>
        <tr r="G1654" s="2"/>
      </tp>
      <tp t="s">
        <v>#N/A N/A</v>
        <stp/>
        <stp>BDP|2520931775551362295</stp>
        <tr r="H441" s="2"/>
      </tp>
      <tp t="s">
        <v>#N/A N/A</v>
        <stp/>
        <stp>BDP|3820985866202918161</stp>
        <tr r="F648" s="2"/>
      </tp>
      <tp t="s">
        <v>#N/A N/A</v>
        <stp/>
        <stp>BDP|7411081835692121911</stp>
        <tr r="A2618" s="2"/>
      </tp>
      <tp t="s">
        <v>#N/A N/A</v>
        <stp/>
        <stp>BDP|9876081553484345793</stp>
        <tr r="C4267" s="2"/>
      </tp>
      <tp t="s">
        <v>#N/A N/A</v>
        <stp/>
        <stp>BDP|5857362615429017126</stp>
        <tr r="I2431" s="2"/>
      </tp>
      <tp t="s">
        <v>#N/A N/A</v>
        <stp/>
        <stp>BDP|7440912716424241482</stp>
        <tr r="C585" s="2"/>
      </tp>
      <tp t="s">
        <v>#N/A N/A</v>
        <stp/>
        <stp>BDP|3336847001217610393</stp>
        <tr r="I2350" s="2"/>
      </tp>
      <tp t="s">
        <v>#N/A N/A</v>
        <stp/>
        <stp>BDP|2034800517191829564</stp>
        <tr r="B2813" s="2"/>
      </tp>
      <tp t="s">
        <v>#N/A N/A</v>
        <stp/>
        <stp>BDP|5246287802630833892</stp>
        <tr r="F4105" s="2"/>
      </tp>
      <tp t="s">
        <v>#N/A N/A</v>
        <stp/>
        <stp>BDP|1617994079293841377</stp>
        <tr r="C427" s="2"/>
      </tp>
      <tp t="s">
        <v>#N/A N/A</v>
        <stp/>
        <stp>BDP|2434951453478363987</stp>
        <tr r="H4133" s="2"/>
      </tp>
      <tp t="s">
        <v>#N/A N/A</v>
        <stp/>
        <stp>BDP|7900970994790744844</stp>
        <tr r="H2871" s="2"/>
      </tp>
      <tp t="s">
        <v>#N/A N/A</v>
        <stp/>
        <stp>BDP|6274207382860862319</stp>
        <tr r="A2636" s="2"/>
      </tp>
      <tp t="s">
        <v>#N/A N/A</v>
        <stp/>
        <stp>BDP|3954169973679057358</stp>
        <tr r="C3357" s="2"/>
      </tp>
      <tp t="s">
        <v>#N/A N/A</v>
        <stp/>
        <stp>BDP|4552524857559076294</stp>
        <tr r="G2804" s="2"/>
      </tp>
      <tp t="s">
        <v>#N/A N/A</v>
        <stp/>
        <stp>BDP|8246866361370569990</stp>
        <tr r="C4442" s="2"/>
      </tp>
      <tp t="s">
        <v>#N/A N/A</v>
        <stp/>
        <stp>BDP|2231400673327043982</stp>
        <tr r="I2585" s="2"/>
      </tp>
      <tp t="s">
        <v>#N/A N/A</v>
        <stp/>
        <stp>BDP|6072552358298566117</stp>
        <tr r="I4587" s="2"/>
      </tp>
      <tp t="s">
        <v>#N/A N/A</v>
        <stp/>
        <stp>BDP|3459914588379554411</stp>
        <tr r="B3228" s="2"/>
      </tp>
      <tp t="s">
        <v>#N/A N/A</v>
        <stp/>
        <stp>BDP|3599697775989262458</stp>
        <tr r="G4593" s="2"/>
      </tp>
      <tp t="s">
        <v>#N/A N/A</v>
        <stp/>
        <stp>BDP|1061003421148958468</stp>
        <tr r="B1731" s="2"/>
      </tp>
      <tp t="s">
        <v>#N/A N/A</v>
        <stp/>
        <stp>BDP|4631903766350882463</stp>
        <tr r="D4911" s="2"/>
      </tp>
      <tp t="s">
        <v>#N/A N/A</v>
        <stp/>
        <stp>BDP|4983220661207527810</stp>
        <tr r="F3209" s="2"/>
      </tp>
      <tp t="s">
        <v>#N/A N/A</v>
        <stp/>
        <stp>BDP|6253861948624698140</stp>
        <tr r="C590" s="2"/>
      </tp>
      <tp t="s">
        <v>#N/A N/A</v>
        <stp/>
        <stp>BDP|7323798302336261944</stp>
        <tr r="I2960" s="2"/>
      </tp>
      <tp t="s">
        <v>#N/A N/A</v>
        <stp/>
        <stp>BDP|9200428305454249693</stp>
        <tr r="C2450" s="2"/>
      </tp>
      <tp t="s">
        <v>#N/A N/A</v>
        <stp/>
        <stp>BDP|5565140839278670008</stp>
        <tr r="F450" s="2"/>
      </tp>
      <tp t="s">
        <v>#N/A N/A</v>
        <stp/>
        <stp>BDP|9409532207287829469</stp>
        <tr r="B4504" s="2"/>
      </tp>
      <tp t="s">
        <v>#N/A N/A</v>
        <stp/>
        <stp>BDP|2699772206008130283</stp>
        <tr r="G1586" s="2"/>
      </tp>
      <tp t="s">
        <v>#N/A N/A</v>
        <stp/>
        <stp>BDP|6381295997395045730</stp>
        <tr r="F2494" s="2"/>
      </tp>
      <tp t="s">
        <v>#N/A N/A</v>
        <stp/>
        <stp>BDP|4669586213447598867</stp>
        <tr r="B4401" s="2"/>
      </tp>
      <tp t="s">
        <v>#N/A N/A</v>
        <stp/>
        <stp>BDP|8075494828345735489</stp>
        <tr r="H2149" s="2"/>
      </tp>
      <tp t="s">
        <v>#N/A N/A</v>
        <stp/>
        <stp>BDP|3367703922400880973</stp>
        <tr r="G4830" s="2"/>
      </tp>
      <tp t="s">
        <v>#N/A N/A</v>
        <stp/>
        <stp>BDP|5762683680697069318</stp>
        <tr r="I3750" s="2"/>
      </tp>
      <tp t="s">
        <v>#N/A N/A</v>
        <stp/>
        <stp>BDP|3707149695960191494</stp>
        <tr r="I390" s="2"/>
      </tp>
      <tp t="s">
        <v>#N/A N/A</v>
        <stp/>
        <stp>BDP|9299092171954060549</stp>
        <tr r="B1649" s="2"/>
      </tp>
      <tp t="s">
        <v>#N/A N/A</v>
        <stp/>
        <stp>BDP|3844558776578410614</stp>
        <tr r="F1561" s="2"/>
      </tp>
      <tp t="s">
        <v>#N/A N/A</v>
        <stp/>
        <stp>BDP|4885851350021268713</stp>
        <tr r="I313" s="2"/>
      </tp>
      <tp t="s">
        <v>#N/A N/A</v>
        <stp/>
        <stp>BDP|7143229898127137443</stp>
        <tr r="H591" s="2"/>
      </tp>
      <tp t="s">
        <v>#N/A N/A</v>
        <stp/>
        <stp>BDP|5498310900789819030</stp>
        <tr r="F2442" s="2"/>
      </tp>
      <tp t="s">
        <v>#N/A N/A</v>
        <stp/>
        <stp>BDP|6028135236283921828</stp>
        <tr r="B3873" s="2"/>
      </tp>
      <tp t="s">
        <v>#N/A N/A</v>
        <stp/>
        <stp>BDP|5314528660420664995</stp>
        <tr r="F538" s="2"/>
      </tp>
      <tp t="s">
        <v>#N/A N/A</v>
        <stp/>
        <stp>BDP|8376301574542185185</stp>
        <tr r="H2050" s="2"/>
      </tp>
      <tp t="s">
        <v>#N/A N/A</v>
        <stp/>
        <stp>BDP|5130747544498892177</stp>
        <tr r="F2822" s="2"/>
      </tp>
      <tp t="s">
        <v>#N/A N/A</v>
        <stp/>
        <stp>BDP|2529361063141842968</stp>
        <tr r="H739" s="2"/>
      </tp>
      <tp t="s">
        <v>#N/A N/A</v>
        <stp/>
        <stp>BDP|3812995068042134166</stp>
        <tr r="G2956" s="2"/>
      </tp>
      <tp t="s">
        <v>#N/A N/A</v>
        <stp/>
        <stp>BDP|3928467126072241850</stp>
        <tr r="A3606" s="2"/>
      </tp>
      <tp t="s">
        <v>#N/A N/A</v>
        <stp/>
        <stp>BDP|2167699787657305429</stp>
        <tr r="I888" s="2"/>
      </tp>
      <tp t="s">
        <v>#N/A N/A</v>
        <stp/>
        <stp>BDP|9860323533334637215</stp>
        <tr r="C3775" s="2"/>
      </tp>
      <tp t="s">
        <v>#N/A N/A</v>
        <stp/>
        <stp>BDP|5822653182670954481</stp>
        <tr r="A923" s="2"/>
      </tp>
      <tp t="s">
        <v>#N/A N/A</v>
        <stp/>
        <stp>BDP|8800511835116561775</stp>
        <tr r="H2531" s="2"/>
      </tp>
      <tp t="s">
        <v>#N/A N/A</v>
        <stp/>
        <stp>BDP|8487168659253239073</stp>
        <tr r="H4860" s="2"/>
      </tp>
      <tp t="s">
        <v>#N/A N/A</v>
        <stp/>
        <stp>BDP|6281981856940353517</stp>
        <tr r="F3933" s="2"/>
      </tp>
      <tp t="s">
        <v>#N/A N/A</v>
        <stp/>
        <stp>BDP|7623944502302770397</stp>
        <tr r="I2075" s="2"/>
      </tp>
      <tp t="s">
        <v>#N/A N/A</v>
        <stp/>
        <stp>BDP|6283821779904577222</stp>
        <tr r="A3257" s="2"/>
      </tp>
      <tp t="s">
        <v>#N/A N/A</v>
        <stp/>
        <stp>BDP|1779419498145536659</stp>
        <tr r="I3378" s="2"/>
      </tp>
      <tp t="s">
        <v>#N/A N/A</v>
        <stp/>
        <stp>BDP|5150712602415408886</stp>
        <tr r="C248" s="2"/>
      </tp>
      <tp t="s">
        <v>#N/A N/A</v>
        <stp/>
        <stp>BDP|1119072411918164789</stp>
        <tr r="C2084" s="2"/>
      </tp>
      <tp t="s">
        <v>#N/A N/A</v>
        <stp/>
        <stp>BDP|4907584779338457126</stp>
        <tr r="A1640" s="2"/>
      </tp>
      <tp t="s">
        <v>#N/A N/A</v>
        <stp/>
        <stp>BDP|1811643080433507372</stp>
        <tr r="G2589" s="2"/>
      </tp>
      <tp t="s">
        <v>#N/A N/A</v>
        <stp/>
        <stp>BDP|1168596157489177707</stp>
        <tr r="D2376" s="2"/>
      </tp>
      <tp t="s">
        <v>#N/A N/A</v>
        <stp/>
        <stp>BDP|5531070729210021857</stp>
        <tr r="A916" s="2"/>
      </tp>
      <tp t="s">
        <v>#N/A N/A</v>
        <stp/>
        <stp>BDP|6392009485009030887</stp>
        <tr r="H900" s="2"/>
      </tp>
      <tp t="s">
        <v>#N/A N/A</v>
        <stp/>
        <stp>BDP|4972852582869783271</stp>
        <tr r="F2857" s="2"/>
      </tp>
      <tp t="s">
        <v>#N/A N/A</v>
        <stp/>
        <stp>BDP|4148970021021877117</stp>
        <tr r="I985" s="2"/>
      </tp>
      <tp t="s">
        <v>#N/A N/A</v>
        <stp/>
        <stp>BDP|7394393173345175969</stp>
        <tr r="G2342" s="2"/>
      </tp>
      <tp t="s">
        <v>#N/A N/A</v>
        <stp/>
        <stp>BDP|8413217477710907256</stp>
        <tr r="B260" s="2"/>
      </tp>
      <tp t="s">
        <v>#N/A N/A</v>
        <stp/>
        <stp>BDP|7224037439359758214</stp>
        <tr r="H2630" s="2"/>
      </tp>
      <tp t="s">
        <v>#N/A N/A</v>
        <stp/>
        <stp>BDP|9845053616430214774</stp>
        <tr r="D4041" s="2"/>
      </tp>
      <tp t="s">
        <v>#N/A N/A</v>
        <stp/>
        <stp>BDP|7287874108872727240</stp>
        <tr r="I4179" s="2"/>
      </tp>
      <tp t="s">
        <v>#N/A N/A</v>
        <stp/>
        <stp>BDP|8534286005562455723</stp>
        <tr r="A400" s="2"/>
      </tp>
      <tp t="s">
        <v>#N/A N/A</v>
        <stp/>
        <stp>BDP|3045301273610876852</stp>
        <tr r="F3156" s="2"/>
      </tp>
      <tp t="s">
        <v>#N/A N/A</v>
        <stp/>
        <stp>BDP|2209084575738926287</stp>
        <tr r="B948" s="2"/>
      </tp>
      <tp t="s">
        <v>#N/A N/A</v>
        <stp/>
        <stp>BDP|2437517786421913158</stp>
        <tr r="G2809" s="2"/>
      </tp>
      <tp t="s">
        <v>#N/A N/A</v>
        <stp/>
        <stp>BDP|6842949013953742278</stp>
        <tr r="I1126" s="2"/>
      </tp>
      <tp t="s">
        <v>#N/A N/A</v>
        <stp/>
        <stp>BDP|5282698155420083914</stp>
        <tr r="F1274" s="2"/>
      </tp>
      <tp t="s">
        <v>#N/A N/A</v>
        <stp/>
        <stp>BDP|2554544196091813008</stp>
        <tr r="B4907" s="2"/>
      </tp>
      <tp t="s">
        <v>#N/A N/A</v>
        <stp/>
        <stp>BDP|6967564874703194857</stp>
        <tr r="C3635" s="2"/>
      </tp>
      <tp t="s">
        <v>#N/A N/A</v>
        <stp/>
        <stp>BDP|4623690737978287659</stp>
        <tr r="A3677" s="2"/>
      </tp>
      <tp t="s">
        <v>#N/A N/A</v>
        <stp/>
        <stp>BDP|3887202712436736927</stp>
        <tr r="C3144" s="2"/>
      </tp>
      <tp t="s">
        <v>#N/A N/A</v>
        <stp/>
        <stp>BDP|9913801587870151607</stp>
        <tr r="I820" s="2"/>
      </tp>
      <tp t="s">
        <v>#N/A N/A</v>
        <stp/>
        <stp>BDP|4099953316610547392</stp>
        <tr r="F2461" s="2"/>
      </tp>
      <tp t="s">
        <v>#N/A N/A</v>
        <stp/>
        <stp>BDP|1162170087480782790</stp>
        <tr r="D1112" s="2"/>
      </tp>
      <tp t="s">
        <v>#N/A N/A</v>
        <stp/>
        <stp>BDP|8668974534508829528</stp>
        <tr r="D3716" s="2"/>
      </tp>
      <tp t="s">
        <v>#N/A N/A</v>
        <stp/>
        <stp>BDP|4874534924918709477</stp>
        <tr r="B2644" s="2"/>
      </tp>
      <tp t="s">
        <v>#N/A N/A</v>
        <stp/>
        <stp>BDP|2539023291823130786</stp>
        <tr r="D4825" s="2"/>
      </tp>
      <tp t="s">
        <v>#N/A N/A</v>
        <stp/>
        <stp>BDP|9565680847066081253</stp>
        <tr r="H4698" s="2"/>
      </tp>
      <tp t="s">
        <v>#N/A N/A</v>
        <stp/>
        <stp>BDP|8830226738833468594</stp>
        <tr r="H2457" s="2"/>
      </tp>
      <tp t="s">
        <v>#N/A N/A</v>
        <stp/>
        <stp>BDP|9060175967855757481</stp>
        <tr r="B3836" s="2"/>
      </tp>
      <tp t="s">
        <v>#N/A N/A</v>
        <stp/>
        <stp>BDP|3711468518838163179</stp>
        <tr r="B2261" s="2"/>
      </tp>
      <tp t="s">
        <v>#N/A N/A</v>
        <stp/>
        <stp>BDP|6257260506893947847</stp>
        <tr r="G4610" s="2"/>
      </tp>
      <tp t="s">
        <v>#N/A N/A</v>
        <stp/>
        <stp>BDP|2832289560509963068</stp>
        <tr r="I3764" s="2"/>
      </tp>
      <tp t="s">
        <v>#N/A N/A</v>
        <stp/>
        <stp>BDP|3857547704198470135</stp>
        <tr r="B1240" s="2"/>
      </tp>
      <tp t="s">
        <v>#N/A N/A</v>
        <stp/>
        <stp>BDP|5419546595650333693</stp>
        <tr r="F1948" s="2"/>
      </tp>
      <tp t="s">
        <v>#N/A N/A</v>
        <stp/>
        <stp>BDP|4048643714625876977</stp>
        <tr r="C299" s="2"/>
      </tp>
      <tp t="s">
        <v>#N/A N/A</v>
        <stp/>
        <stp>BDP|2153336506356296899</stp>
        <tr r="A2444" s="2"/>
      </tp>
      <tp t="s">
        <v>#N/A N/A</v>
        <stp/>
        <stp>BDP|7769064992218483988</stp>
        <tr r="H4617" s="2"/>
      </tp>
      <tp t="s">
        <v>#N/A N/A</v>
        <stp/>
        <stp>BDP|7544495680887017338</stp>
        <tr r="C1294" s="2"/>
      </tp>
      <tp t="s">
        <v>#N/A N/A</v>
        <stp/>
        <stp>BDP|1966263893642504763</stp>
        <tr r="H890" s="2"/>
      </tp>
      <tp t="s">
        <v>#N/A N/A</v>
        <stp/>
        <stp>BDP|1643843539077329275</stp>
        <tr r="F4250" s="2"/>
      </tp>
      <tp t="s">
        <v>#N/A N/A</v>
        <stp/>
        <stp>BDP|5505217893163033285</stp>
        <tr r="H2718" s="2"/>
      </tp>
      <tp t="s">
        <v>#N/A N/A</v>
        <stp/>
        <stp>BDP|5724954467340860520</stp>
        <tr r="F4155" s="2"/>
      </tp>
      <tp t="s">
        <v>#N/A N/A</v>
        <stp/>
        <stp>BDP|4029891370275448126</stp>
        <tr r="C4810" s="2"/>
      </tp>
      <tp t="s">
        <v>#N/A N/A</v>
        <stp/>
        <stp>BDP|7759006383488854831</stp>
        <tr r="C1229" s="2"/>
      </tp>
      <tp t="s">
        <v>#N/A N/A</v>
        <stp/>
        <stp>BDP|4137326389496722620</stp>
        <tr r="B1182" s="2"/>
      </tp>
      <tp t="s">
        <v>#N/A N/A</v>
        <stp/>
        <stp>BDP|3802136557560069836</stp>
        <tr r="F668" s="2"/>
      </tp>
      <tp t="s">
        <v>#N/A N/A</v>
        <stp/>
        <stp>BDP|5267137848546270940</stp>
        <tr r="F925" s="2"/>
      </tp>
      <tp t="s">
        <v>#N/A N/A</v>
        <stp/>
        <stp>BDP|4055905448696155061</stp>
        <tr r="F3663" s="2"/>
      </tp>
      <tp t="s">
        <v>#N/A N/A</v>
        <stp/>
        <stp>BDP|3962100486912148719</stp>
        <tr r="B2046" s="2"/>
      </tp>
      <tp t="s">
        <v>#N/A N/A</v>
        <stp/>
        <stp>BDP|4105053623738028184</stp>
        <tr r="H4208" s="2"/>
      </tp>
      <tp t="s">
        <v>#N/A N/A</v>
        <stp/>
        <stp>BDP|5563984855473577523</stp>
        <tr r="C4503" s="2"/>
      </tp>
      <tp t="s">
        <v>#N/A N/A</v>
        <stp/>
        <stp>BDP|1026393677258770261</stp>
        <tr r="I675" s="2"/>
      </tp>
      <tp t="s">
        <v>#N/A N/A</v>
        <stp/>
        <stp>BDP|5509772827277200885</stp>
        <tr r="A2823" s="2"/>
      </tp>
      <tp t="s">
        <v>#N/A N/A</v>
        <stp/>
        <stp>BDP|9144910569178485128</stp>
        <tr r="I2353" s="2"/>
      </tp>
      <tp t="s">
        <v>#N/A N/A</v>
        <stp/>
        <stp>BDP|6372696876251013937</stp>
        <tr r="B2192" s="2"/>
      </tp>
      <tp t="s">
        <v>#N/A N/A</v>
        <stp/>
        <stp>BDP|2150287094402008423</stp>
        <tr r="C4771" s="2"/>
      </tp>
      <tp t="s">
        <v>#N/A N/A</v>
        <stp/>
        <stp>BDP|7083398885701425271</stp>
        <tr r="F257" s="2"/>
      </tp>
      <tp t="s">
        <v>#N/A N/A</v>
        <stp/>
        <stp>BDP|6375843700325829401</stp>
        <tr r="G4715" s="2"/>
      </tp>
      <tp t="s">
        <v>#N/A N/A</v>
        <stp/>
        <stp>BDP|9979343208122922733</stp>
        <tr r="H4820" s="2"/>
      </tp>
      <tp t="s">
        <v>#N/A N/A</v>
        <stp/>
        <stp>BDP|2996979597735036863</stp>
        <tr r="G189" s="2"/>
      </tp>
      <tp t="s">
        <v>#N/A N/A</v>
        <stp/>
        <stp>BDP|5982106187301323228</stp>
        <tr r="B3480" s="2"/>
      </tp>
      <tp t="s">
        <v>#N/A N/A</v>
        <stp/>
        <stp>BDP|1358890046216444474</stp>
        <tr r="I4638" s="2"/>
      </tp>
      <tp t="s">
        <v>#N/A N/A</v>
        <stp/>
        <stp>BDP|2581746417952115980</stp>
        <tr r="G976" s="2"/>
      </tp>
      <tp t="s">
        <v>#N/A N/A</v>
        <stp/>
        <stp>BDP|8444792126291721330</stp>
        <tr r="D4153" s="2"/>
      </tp>
      <tp t="s">
        <v>#N/A N/A</v>
        <stp/>
        <stp>BDP|4984068892655291709</stp>
        <tr r="H1445" s="2"/>
      </tp>
      <tp t="s">
        <v>#N/A N/A</v>
        <stp/>
        <stp>BDP|9066757753876913231</stp>
        <tr r="D3019" s="2"/>
      </tp>
      <tp t="s">
        <v>#N/A N/A</v>
        <stp/>
        <stp>BDP|3788978697929980528</stp>
        <tr r="B381" s="2"/>
      </tp>
      <tp t="s">
        <v>#N/A N/A</v>
        <stp/>
        <stp>BDP|9966754366633799414</stp>
        <tr r="D2601" s="2"/>
      </tp>
      <tp t="s">
        <v>#N/A N/A</v>
        <stp/>
        <stp>BDP|9849025433821145444</stp>
        <tr r="G1591" s="2"/>
      </tp>
      <tp t="s">
        <v>#N/A N/A</v>
        <stp/>
        <stp>BDP|9576155905322108589</stp>
        <tr r="C2817" s="2"/>
      </tp>
      <tp t="s">
        <v>#N/A N/A</v>
        <stp/>
        <stp>BDP|7902808839751558292</stp>
        <tr r="A1510" s="2"/>
      </tp>
      <tp t="s">
        <v>#N/A N/A</v>
        <stp/>
        <stp>BDP|9340320533557803169</stp>
        <tr r="F3063" s="2"/>
      </tp>
      <tp t="s">
        <v>#N/A N/A</v>
        <stp/>
        <stp>BDP|5954319683538448935</stp>
        <tr r="C448" s="2"/>
      </tp>
      <tp t="s">
        <v>#N/A N/A</v>
        <stp/>
        <stp>BDP|4258433410877500986</stp>
        <tr r="C437" s="2"/>
      </tp>
      <tp t="s">
        <v>#N/A N/A</v>
        <stp/>
        <stp>BDP|1480440509139463314</stp>
        <tr r="A2806" s="2"/>
      </tp>
      <tp t="s">
        <v>#N/A N/A</v>
        <stp/>
        <stp>BDP|2105018200045425881</stp>
        <tr r="I3939" s="2"/>
      </tp>
      <tp t="s">
        <v>#N/A N/A</v>
        <stp/>
        <stp>BDP|8489285552163130334</stp>
        <tr r="G30" s="2"/>
      </tp>
      <tp t="s">
        <v>#N/A N/A</v>
        <stp/>
        <stp>BDP|8976660854775793102</stp>
        <tr r="C776" s="2"/>
      </tp>
      <tp t="s">
        <v>#N/A N/A</v>
        <stp/>
        <stp>BDP|4760770987996347281</stp>
        <tr r="G1095" s="2"/>
      </tp>
      <tp t="s">
        <v>#N/A N/A</v>
        <stp/>
        <stp>BDP|8545510679266642378</stp>
        <tr r="B3933" s="2"/>
      </tp>
      <tp t="s">
        <v>#N/A N/A</v>
        <stp/>
        <stp>BDP|3652740061339953469</stp>
        <tr r="H1377" s="2"/>
      </tp>
      <tp t="s">
        <v>#N/A N/A</v>
        <stp/>
        <stp>BDP|4716689595376027263</stp>
        <tr r="G161" s="2"/>
      </tp>
      <tp t="s">
        <v>#N/A N/A</v>
        <stp/>
        <stp>BDP|5594494961031373920</stp>
        <tr r="I1495" s="2"/>
      </tp>
      <tp t="s">
        <v>#N/A N/A</v>
        <stp/>
        <stp>BDP|7344988419548921876</stp>
        <tr r="H1431" s="2"/>
      </tp>
      <tp t="s">
        <v>#N/A N/A</v>
        <stp/>
        <stp>BDP|6865914071820451702</stp>
        <tr r="D2477" s="2"/>
      </tp>
      <tp t="s">
        <v>#N/A N/A</v>
        <stp/>
        <stp>BDP|6313808368412786508</stp>
        <tr r="B3842" s="2"/>
      </tp>
      <tp t="s">
        <v>#N/A N/A</v>
        <stp/>
        <stp>BDP|4047834563610993552</stp>
        <tr r="I1372" s="2"/>
      </tp>
      <tp t="s">
        <v>#N/A N/A</v>
        <stp/>
        <stp>BDP|2047842643035920429</stp>
        <tr r="C2855" s="2"/>
      </tp>
      <tp t="s">
        <v>#N/A N/A</v>
        <stp/>
        <stp>BDP|9322448636001867051</stp>
        <tr r="A3418" s="2"/>
      </tp>
      <tp t="s">
        <v>#N/A N/A</v>
        <stp/>
        <stp>BDP|3368493635348091332</stp>
        <tr r="A3548" s="2"/>
      </tp>
      <tp t="s">
        <v>#N/A N/A</v>
        <stp/>
        <stp>BDP|9377742791990258885</stp>
        <tr r="G2660" s="2"/>
      </tp>
      <tp t="s">
        <v>#N/A N/A</v>
        <stp/>
        <stp>BDP|6524727634478999564</stp>
        <tr r="G2345" s="2"/>
      </tp>
      <tp t="s">
        <v>#N/A N/A</v>
        <stp/>
        <stp>BDP|4932944122499470978</stp>
        <tr r="G938" s="2"/>
      </tp>
      <tp t="s">
        <v>#N/A N/A</v>
        <stp/>
        <stp>BDP|1175168387666555193</stp>
        <tr r="A230" s="2"/>
      </tp>
      <tp t="s">
        <v>#N/A N/A</v>
        <stp/>
        <stp>BDP|4271128038558101155</stp>
        <tr r="I1470" s="2"/>
      </tp>
      <tp t="s">
        <v>#N/A N/A</v>
        <stp/>
        <stp>BDP|9226026319396099151</stp>
        <tr r="H2107" s="2"/>
      </tp>
      <tp t="s">
        <v>#N/A N/A</v>
        <stp/>
        <stp>BDP|3839939643309019847</stp>
        <tr r="F2068" s="2"/>
      </tp>
      <tp t="s">
        <v>#N/A N/A</v>
        <stp/>
        <stp>BDP|1232348784414665186</stp>
        <tr r="A1711" s="2"/>
      </tp>
      <tp t="s">
        <v>#N/A N/A</v>
        <stp/>
        <stp>BDP|1691909640087882427</stp>
        <tr r="F2131" s="2"/>
      </tp>
      <tp t="s">
        <v>#N/A N/A</v>
        <stp/>
        <stp>BDP|4944928138603958260</stp>
        <tr r="C642" s="2"/>
      </tp>
      <tp t="s">
        <v>#N/A N/A</v>
        <stp/>
        <stp>BDP|8521784672631270619</stp>
        <tr r="C639" s="2"/>
      </tp>
      <tp t="s">
        <v>#N/A N/A</v>
        <stp/>
        <stp>BDP|2837003764609582250</stp>
        <tr r="F1937" s="2"/>
      </tp>
      <tp t="s">
        <v>#N/A N/A</v>
        <stp/>
        <stp>BDP|9329899866558527052</stp>
        <tr r="D3543" s="2"/>
      </tp>
      <tp t="s">
        <v>#N/A N/A</v>
        <stp/>
        <stp>BDP|9189523619161472323</stp>
        <tr r="A364" s="2"/>
      </tp>
      <tp t="s">
        <v>#N/A N/A</v>
        <stp/>
        <stp>BDP|4894018293515354750</stp>
        <tr r="I4219" s="2"/>
      </tp>
      <tp t="s">
        <v>#N/A N/A</v>
        <stp/>
        <stp>BDP|6328799647348810298</stp>
        <tr r="C197" s="2"/>
      </tp>
      <tp t="s">
        <v>#N/A N/A</v>
        <stp/>
        <stp>BDP|9094689211397675635</stp>
        <tr r="B898" s="2"/>
      </tp>
      <tp t="s">
        <v>#N/A N/A</v>
        <stp/>
        <stp>BDP|6458407704379893449</stp>
        <tr r="D2581" s="2"/>
      </tp>
      <tp t="s">
        <v>#N/A N/A</v>
        <stp/>
        <stp>BDP|8444016790106928801</stp>
        <tr r="B3196" s="2"/>
      </tp>
      <tp t="s">
        <v>#N/A N/A</v>
        <stp/>
        <stp>BDP|2410604590410962214</stp>
        <tr r="D285" s="2"/>
      </tp>
      <tp t="s">
        <v>#N/A N/A</v>
        <stp/>
        <stp>BDP|8440369457838815917</stp>
        <tr r="I809" s="2"/>
      </tp>
      <tp t="s">
        <v>#N/A N/A</v>
        <stp/>
        <stp>BDP|1738688970969524663</stp>
        <tr r="F3186" s="2"/>
      </tp>
      <tp t="s">
        <v>#N/A N/A</v>
        <stp/>
        <stp>BDP|1761224473722866921</stp>
        <tr r="I1707" s="2"/>
      </tp>
      <tp t="s">
        <v>#N/A N/A</v>
        <stp/>
        <stp>BDP|6290988816222756374</stp>
        <tr r="A1648" s="2"/>
      </tp>
      <tp t="s">
        <v>#N/A N/A</v>
        <stp/>
        <stp>BDP|9315890999155741286</stp>
        <tr r="H3113" s="2"/>
      </tp>
      <tp t="s">
        <v>#N/A N/A</v>
        <stp/>
        <stp>BDP|6875752148288106285</stp>
        <tr r="C519" s="2"/>
      </tp>
      <tp t="s">
        <v>#N/A N/A</v>
        <stp/>
        <stp>BDP|1906605221278517213</stp>
        <tr r="H4408" s="2"/>
      </tp>
      <tp t="s">
        <v>#N/A N/A</v>
        <stp/>
        <stp>BDP|1260950312124977205</stp>
        <tr r="B2286" s="2"/>
      </tp>
      <tp t="s">
        <v>#N/A N/A</v>
        <stp/>
        <stp>BDP|2267321384717904115</stp>
        <tr r="F2624" s="2"/>
      </tp>
      <tp t="s">
        <v>#N/A N/A</v>
        <stp/>
        <stp>BDP|7313584892073318760</stp>
        <tr r="H1060" s="2"/>
      </tp>
      <tp t="s">
        <v>#N/A N/A</v>
        <stp/>
        <stp>BDP|6838313997321769251</stp>
        <tr r="F1610" s="2"/>
      </tp>
      <tp t="s">
        <v>#N/A N/A</v>
        <stp/>
        <stp>BDP|8850754127874569638</stp>
        <tr r="G3229" s="2"/>
      </tp>
      <tp t="s">
        <v>#N/A N/A</v>
        <stp/>
        <stp>BDP|2330883237207758170</stp>
        <tr r="G3825" s="2"/>
      </tp>
      <tp t="s">
        <v>#N/A N/A</v>
        <stp/>
        <stp>BDP|4904736485780442472</stp>
        <tr r="H2907" s="2"/>
      </tp>
      <tp t="s">
        <v>#N/A N/A</v>
        <stp/>
        <stp>BDP|6122621189254422325</stp>
        <tr r="F4067" s="2"/>
      </tp>
      <tp t="s">
        <v>#N/A N/A</v>
        <stp/>
        <stp>BDP|8100581113674466727</stp>
        <tr r="H3226" s="2"/>
      </tp>
      <tp t="s">
        <v>#N/A N/A</v>
        <stp/>
        <stp>BDP|4178026115362851821</stp>
        <tr r="D1315" s="2"/>
      </tp>
      <tp t="s">
        <v>#N/A N/A</v>
        <stp/>
        <stp>BDP|2835145336196390958</stp>
        <tr r="C9" s="2"/>
      </tp>
      <tp t="s">
        <v>#N/A N/A</v>
        <stp/>
        <stp>BDP|2292633830911522987</stp>
        <tr r="I3118" s="2"/>
      </tp>
      <tp t="s">
        <v>#N/A N/A</v>
        <stp/>
        <stp>BDP|9287987306359538659</stp>
        <tr r="D2738" s="2"/>
      </tp>
      <tp t="s">
        <v>#N/A N/A</v>
        <stp/>
        <stp>BDP|4038455748172482959</stp>
        <tr r="H2499" s="2"/>
      </tp>
      <tp t="s">
        <v>#N/A N/A</v>
        <stp/>
        <stp>BDP|3300989099728854472</stp>
        <tr r="G4497" s="2"/>
      </tp>
      <tp t="s">
        <v>#N/A N/A</v>
        <stp/>
        <stp>BDP|2381001690571653580</stp>
        <tr r="F1383" s="2"/>
      </tp>
      <tp t="s">
        <v>#N/A N/A</v>
        <stp/>
        <stp>BDP|7752950815082986235</stp>
        <tr r="I2815" s="2"/>
      </tp>
      <tp t="s">
        <v>#N/A N/A</v>
        <stp/>
        <stp>BDP|8204176025801900546</stp>
        <tr r="A2970" s="2"/>
      </tp>
      <tp t="s">
        <v>#N/A N/A</v>
        <stp/>
        <stp>BDP|9304763527253701089</stp>
        <tr r="H1151" s="2"/>
      </tp>
      <tp t="s">
        <v>#N/A N/A</v>
        <stp/>
        <stp>BDP|8687972460008825040</stp>
        <tr r="A1329" s="2"/>
      </tp>
      <tp t="s">
        <v>#N/A N/A</v>
        <stp/>
        <stp>BDP|7539009287301686199</stp>
        <tr r="H1678" s="2"/>
      </tp>
      <tp t="s">
        <v>#N/A N/A</v>
        <stp/>
        <stp>BDP|9619340816062121688</stp>
        <tr r="B1510" s="2"/>
      </tp>
      <tp t="s">
        <v>#N/A N/A</v>
        <stp/>
        <stp>BDP|1018892348086502498</stp>
        <tr r="A4991" s="2"/>
      </tp>
      <tp t="s">
        <v>#N/A N/A</v>
        <stp/>
        <stp>BDP|4435888534376609633</stp>
        <tr r="H2933" s="2"/>
      </tp>
      <tp t="s">
        <v>#N/A N/A</v>
        <stp/>
        <stp>BDP|1480766589860748118</stp>
        <tr r="G4194" s="2"/>
      </tp>
      <tp t="s">
        <v>#N/A N/A</v>
        <stp/>
        <stp>BDP|1884465420690111827</stp>
        <tr r="C2186" s="2"/>
      </tp>
      <tp t="s">
        <v>#N/A N/A</v>
        <stp/>
        <stp>BDP|9424661044162287696</stp>
        <tr r="A4462" s="2"/>
      </tp>
      <tp t="s">
        <v>#N/A N/A</v>
        <stp/>
        <stp>BDP|8832058145817662439</stp>
        <tr r="H1539" s="2"/>
      </tp>
      <tp t="s">
        <v>#N/A N/A</v>
        <stp/>
        <stp>BDP|2216696795436080434</stp>
        <tr r="C3051" s="2"/>
      </tp>
      <tp t="s">
        <v>#N/A N/A</v>
        <stp/>
        <stp>BDP|1251962732342838638</stp>
        <tr r="A3792" s="2"/>
      </tp>
      <tp t="s">
        <v>#N/A N/A</v>
        <stp/>
        <stp>BDP|2004084077909340317</stp>
        <tr r="F2199" s="2"/>
      </tp>
      <tp t="s">
        <v>#N/A N/A</v>
        <stp/>
        <stp>BDP|1111898220001633534</stp>
        <tr r="H1814" s="2"/>
      </tp>
      <tp t="s">
        <v>#N/A N/A</v>
        <stp/>
        <stp>BDP|1227852716891839645</stp>
        <tr r="C243" s="2"/>
      </tp>
      <tp t="s">
        <v>#N/A N/A</v>
        <stp/>
        <stp>BDP|7776306017412802854</stp>
        <tr r="B4105" s="2"/>
      </tp>
      <tp t="s">
        <v>#N/A N/A</v>
        <stp/>
        <stp>BDP|2906284911957846958</stp>
        <tr r="I3128" s="2"/>
      </tp>
      <tp t="s">
        <v>#N/A N/A</v>
        <stp/>
        <stp>BDP|9473481762394375003</stp>
        <tr r="B4011" s="2"/>
      </tp>
      <tp t="s">
        <v>#N/A N/A</v>
        <stp/>
        <stp>BDP|1598112952403995926</stp>
        <tr r="D236" s="2"/>
      </tp>
      <tp t="s">
        <v>#N/A N/A</v>
        <stp/>
        <stp>BDP|4462964858175529221</stp>
        <tr r="D3226" s="2"/>
      </tp>
      <tp t="s">
        <v>#N/A N/A</v>
        <stp/>
        <stp>BDP|9987261636506055149</stp>
        <tr r="B1777" s="2"/>
      </tp>
      <tp t="s">
        <v>#N/A N/A</v>
        <stp/>
        <stp>BDP|1832660747078331470</stp>
        <tr r="A3195" s="2"/>
      </tp>
      <tp t="s">
        <v>#N/A N/A</v>
        <stp/>
        <stp>BDP|4925362492082656365</stp>
        <tr r="D3254" s="2"/>
      </tp>
      <tp t="s">
        <v>#N/A N/A</v>
        <stp/>
        <stp>BDP|8384287562896720535</stp>
        <tr r="D1006" s="2"/>
      </tp>
      <tp t="s">
        <v>#N/A N/A</v>
        <stp/>
        <stp>BDP|9817426881409339353</stp>
        <tr r="F4849" s="2"/>
      </tp>
      <tp t="s">
        <v>#N/A N/A</v>
        <stp/>
        <stp>BDP|5847026060858215458</stp>
        <tr r="A2710" s="2"/>
      </tp>
      <tp t="s">
        <v>#N/A N/A</v>
        <stp/>
        <stp>BDP|9766065313043751485</stp>
        <tr r="C1364" s="2"/>
      </tp>
      <tp t="s">
        <v>#N/A N/A</v>
        <stp/>
        <stp>BDP|2891460786742053358</stp>
        <tr r="H4182" s="2"/>
      </tp>
      <tp t="s">
        <v>#N/A N/A</v>
        <stp/>
        <stp>BDP|5358930875520048487</stp>
        <tr r="H1777" s="2"/>
      </tp>
      <tp t="s">
        <v>#N/A N/A</v>
        <stp/>
        <stp>BDP|1352243119364020935</stp>
        <tr r="D2807" s="2"/>
      </tp>
      <tp t="s">
        <v>#N/A N/A</v>
        <stp/>
        <stp>BDP|6101803873384944266</stp>
        <tr r="G163" s="2"/>
      </tp>
      <tp t="s">
        <v>#N/A N/A</v>
        <stp/>
        <stp>BDP|5123858479733262629</stp>
        <tr r="G194" s="2"/>
      </tp>
      <tp t="s">
        <v>#N/A N/A</v>
        <stp/>
        <stp>BDP|5821372639453824934</stp>
        <tr r="D4930" s="2"/>
      </tp>
      <tp t="s">
        <v>#N/A N/A</v>
        <stp/>
        <stp>BDP|1256879709071196707</stp>
        <tr r="H600" s="2"/>
      </tp>
      <tp t="s">
        <v>#N/A N/A</v>
        <stp/>
        <stp>BDP|2870921664202546062</stp>
        <tr r="G1716" s="2"/>
      </tp>
      <tp t="s">
        <v>#N/A N/A</v>
        <stp/>
        <stp>BDP|9995380629247507009</stp>
        <tr r="A4788" s="2"/>
      </tp>
      <tp t="s">
        <v>#N/A N/A</v>
        <stp/>
        <stp>BDP|1868679089738837839</stp>
        <tr r="F903" s="2"/>
      </tp>
      <tp t="s">
        <v>#N/A N/A</v>
        <stp/>
        <stp>BDP|9843621874114174321</stp>
        <tr r="A1766" s="2"/>
      </tp>
      <tp t="s">
        <v>#N/A N/A</v>
        <stp/>
        <stp>BDP|7813295319773040852</stp>
        <tr r="B1153" s="2"/>
      </tp>
      <tp t="s">
        <v>#N/A N/A</v>
        <stp/>
        <stp>BDP|3706186744131110873</stp>
        <tr r="B2949" s="2"/>
      </tp>
      <tp t="s">
        <v>#N/A N/A</v>
        <stp/>
        <stp>BDP|1893304972643276959</stp>
        <tr r="C3271" s="2"/>
      </tp>
      <tp t="s">
        <v>#N/A N/A</v>
        <stp/>
        <stp>BDP|4171190937570334914</stp>
        <tr r="B2044" s="2"/>
      </tp>
      <tp t="s">
        <v>#N/A N/A</v>
        <stp/>
        <stp>BDP|1170070429588539475</stp>
        <tr r="I327" s="2"/>
      </tp>
      <tp t="s">
        <v>#N/A N/A</v>
        <stp/>
        <stp>BDP|4485488844478027352</stp>
        <tr r="G3000" s="2"/>
      </tp>
      <tp t="s">
        <v>#N/A N/A</v>
        <stp/>
        <stp>BDP|2410377251122617991</stp>
        <tr r="I2391" s="2"/>
      </tp>
      <tp t="s">
        <v>#N/A N/A</v>
        <stp/>
        <stp>BDP|4700922828635029501</stp>
        <tr r="I3792" s="2"/>
      </tp>
      <tp t="s">
        <v>#N/A N/A</v>
        <stp/>
        <stp>BDP|9903234753570341172</stp>
        <tr r="A743" s="2"/>
      </tp>
      <tp t="s">
        <v>#N/A N/A</v>
        <stp/>
        <stp>BDP|5875015401202262871</stp>
        <tr r="F420" s="2"/>
      </tp>
      <tp t="s">
        <v>#N/A N/A</v>
        <stp/>
        <stp>BDP|1988762345479417438</stp>
        <tr r="G1019" s="2"/>
      </tp>
      <tp t="s">
        <v>#N/A N/A</v>
        <stp/>
        <stp>BDP|7188979318089036934</stp>
        <tr r="F3016" s="2"/>
      </tp>
      <tp t="s">
        <v>#N/A N/A</v>
        <stp/>
        <stp>BDP|8288385245845558576</stp>
        <tr r="F1567" s="2"/>
      </tp>
      <tp t="s">
        <v>#N/A N/A</v>
        <stp/>
        <stp>BDP|3525082633048560760</stp>
        <tr r="F3440" s="2"/>
      </tp>
      <tp t="s">
        <v>#N/A N/A</v>
        <stp/>
        <stp>BDP|4837993709507141547</stp>
        <tr r="C492" s="2"/>
      </tp>
      <tp t="s">
        <v>#N/A N/A</v>
        <stp/>
        <stp>BDP|4841032785197547465</stp>
        <tr r="H4598" s="2"/>
      </tp>
      <tp t="s">
        <v>#N/A N/A</v>
        <stp/>
        <stp>BDP|6241100424673878933</stp>
        <tr r="A1996" s="2"/>
      </tp>
      <tp t="s">
        <v>#N/A N/A</v>
        <stp/>
        <stp>BDP|7968059109660509820</stp>
        <tr r="D3439" s="2"/>
      </tp>
      <tp t="s">
        <v>#N/A N/A</v>
        <stp/>
        <stp>BDP|5106148912092481819</stp>
        <tr r="C4508" s="2"/>
      </tp>
      <tp t="s">
        <v>#N/A N/A</v>
        <stp/>
        <stp>BDP|5010950863965353074</stp>
        <tr r="G4518" s="2"/>
      </tp>
      <tp t="s">
        <v>#N/A N/A</v>
        <stp/>
        <stp>BDP|3238571847305498841</stp>
        <tr r="C249" s="2"/>
      </tp>
      <tp t="s">
        <v>#N/A N/A</v>
        <stp/>
        <stp>BDP|8737111417504466379</stp>
        <tr r="H274" s="2"/>
      </tp>
      <tp t="s">
        <v>#N/A N/A</v>
        <stp/>
        <stp>BDP|1182545282001041251</stp>
        <tr r="H1708" s="2"/>
      </tp>
      <tp t="s">
        <v>#N/A N/A</v>
        <stp/>
        <stp>BDP|8804191968445847539</stp>
        <tr r="H4100" s="2"/>
      </tp>
      <tp t="s">
        <v>#N/A N/A</v>
        <stp/>
        <stp>BDP|7786806812899398847</stp>
        <tr r="I1855" s="2"/>
      </tp>
      <tp t="s">
        <v>#N/A N/A</v>
        <stp/>
        <stp>BDP|1294994052521210392</stp>
        <tr r="I110" s="2"/>
      </tp>
      <tp t="s">
        <v>#N/A N/A</v>
        <stp/>
        <stp>BDP|4661873343411034609</stp>
        <tr r="A596" s="2"/>
      </tp>
      <tp t="s">
        <v>#N/A N/A</v>
        <stp/>
        <stp>BDP|5693929266873676664</stp>
        <tr r="A2690" s="2"/>
      </tp>
      <tp t="s">
        <v>#N/A N/A</v>
        <stp/>
        <stp>BDP|5731177369325953829</stp>
        <tr r="B4946" s="2"/>
      </tp>
      <tp t="s">
        <v>#N/A N/A</v>
        <stp/>
        <stp>BDP|8978582743857272121</stp>
        <tr r="I898" s="2"/>
      </tp>
      <tp t="s">
        <v>#N/A N/A</v>
        <stp/>
        <stp>BDP|5639729759648771080</stp>
        <tr r="D4882" s="2"/>
      </tp>
      <tp t="s">
        <v>#N/A N/A</v>
        <stp/>
        <stp>BDP|3853925945679849858</stp>
        <tr r="D1934" s="2"/>
      </tp>
      <tp t="s">
        <v>#N/A N/A</v>
        <stp/>
        <stp>BDP|6657471176859161340</stp>
        <tr r="C1099" s="2"/>
      </tp>
      <tp t="s">
        <v>#N/A N/A</v>
        <stp/>
        <stp>BDP|5819869506170972234</stp>
        <tr r="F2573" s="2"/>
      </tp>
      <tp t="s">
        <v>#N/A N/A</v>
        <stp/>
        <stp>BDP|6133956469326720089</stp>
        <tr r="C2844" s="2"/>
      </tp>
      <tp t="s">
        <v>#N/A N/A</v>
        <stp/>
        <stp>BDP|9716272042420794073</stp>
        <tr r="B3090" s="2"/>
      </tp>
      <tp t="s">
        <v>#N/A N/A</v>
        <stp/>
        <stp>BDP|9035557516103181100</stp>
        <tr r="H2953" s="2"/>
      </tp>
      <tp t="s">
        <v>#N/A N/A</v>
        <stp/>
        <stp>BDP|9167865880512482413</stp>
        <tr r="A2038" s="2"/>
      </tp>
      <tp t="s">
        <v>#N/A N/A</v>
        <stp/>
        <stp>BDP|6145876220830549313</stp>
        <tr r="I3267" s="2"/>
      </tp>
      <tp t="s">
        <v>#N/A N/A</v>
        <stp/>
        <stp>BDP|3611806544894063404</stp>
        <tr r="D1262" s="2"/>
      </tp>
      <tp t="s">
        <v>#N/A N/A</v>
        <stp/>
        <stp>BDP|9441027732390357558</stp>
        <tr r="A1428" s="2"/>
      </tp>
      <tp t="s">
        <v>#N/A N/A</v>
        <stp/>
        <stp>BDP|3401243463309754169</stp>
        <tr r="F3833" s="2"/>
      </tp>
      <tp t="s">
        <v>#N/A N/A</v>
        <stp/>
        <stp>BDP|9517378882008540571</stp>
        <tr r="B1719" s="2"/>
      </tp>
      <tp t="s">
        <v>#N/A N/A</v>
        <stp/>
        <stp>BDP|5310773707898808595</stp>
        <tr r="C877" s="2"/>
      </tp>
      <tp t="s">
        <v>#N/A N/A</v>
        <stp/>
        <stp>BDP|6743078637549678331</stp>
        <tr r="C592" s="2"/>
      </tp>
      <tp t="s">
        <v>#N/A N/A</v>
        <stp/>
        <stp>BDP|4046978473757202245</stp>
        <tr r="B3627" s="2"/>
      </tp>
      <tp t="s">
        <v>#N/A N/A</v>
        <stp/>
        <stp>BDP|7596816525640042233</stp>
        <tr r="G1072" s="2"/>
      </tp>
      <tp t="s">
        <v>#N/A N/A</v>
        <stp/>
        <stp>BDP|2626957664753382164</stp>
        <tr r="A2878" s="2"/>
      </tp>
      <tp t="s">
        <v>#N/A N/A</v>
        <stp/>
        <stp>BDP|3547630489866402492</stp>
        <tr r="C2977" s="2"/>
      </tp>
      <tp t="s">
        <v>#N/A N/A</v>
        <stp/>
        <stp>BDP|5758029890666637517</stp>
        <tr r="F784" s="2"/>
      </tp>
      <tp t="s">
        <v>#N/A N/A</v>
        <stp/>
        <stp>BDP|8648558160396418250</stp>
        <tr r="H3029" s="2"/>
      </tp>
      <tp t="s">
        <v>#N/A N/A</v>
        <stp/>
        <stp>BDP|2500412796242136212</stp>
        <tr r="D2440" s="2"/>
      </tp>
      <tp t="s">
        <v>#N/A N/A</v>
        <stp/>
        <stp>BDP|8030942616039116611</stp>
        <tr r="B3690" s="2"/>
      </tp>
      <tp t="s">
        <v>#N/A N/A</v>
        <stp/>
        <stp>BDP|9182409935513776212</stp>
        <tr r="F2871" s="2"/>
      </tp>
      <tp t="s">
        <v>#N/A N/A</v>
        <stp/>
        <stp>BDP|8569532003133475133</stp>
        <tr r="H4297" s="2"/>
      </tp>
      <tp t="s">
        <v>#N/A N/A</v>
        <stp/>
        <stp>BDP|1065192782687123081</stp>
        <tr r="G4338" s="2"/>
      </tp>
      <tp t="s">
        <v>#N/A N/A</v>
        <stp/>
        <stp>BDP|3506467306389428136</stp>
        <tr r="C3874" s="2"/>
      </tp>
      <tp t="s">
        <v>#N/A N/A</v>
        <stp/>
        <stp>BDP|1651114797562309414</stp>
        <tr r="F4552" s="2"/>
      </tp>
      <tp t="s">
        <v>#N/A N/A</v>
        <stp/>
        <stp>BDP|5348857976311675444</stp>
        <tr r="B539" s="2"/>
      </tp>
      <tp t="s">
        <v>#N/A N/A</v>
        <stp/>
        <stp>BDP|4164253188654691589</stp>
        <tr r="H2417" s="2"/>
      </tp>
      <tp t="s">
        <v>#N/A N/A</v>
        <stp/>
        <stp>BDP|8505923268550863853</stp>
        <tr r="F869" s="2"/>
      </tp>
      <tp t="s">
        <v>#N/A N/A</v>
        <stp/>
        <stp>BDP|4356151597404740747</stp>
        <tr r="H1917" s="2"/>
      </tp>
      <tp t="s">
        <v>#N/A N/A</v>
        <stp/>
        <stp>BDP|1181286084353778789</stp>
        <tr r="D1099" s="2"/>
      </tp>
      <tp t="s">
        <v>#N/A N/A</v>
        <stp/>
        <stp>BDP|7235635866521723922</stp>
        <tr r="I4703" s="2"/>
      </tp>
      <tp t="s">
        <v>#N/A N/A</v>
        <stp/>
        <stp>BDP|2381478954115274905</stp>
        <tr r="H1092" s="2"/>
      </tp>
      <tp t="s">
        <v>#N/A N/A</v>
        <stp/>
        <stp>BDP|6914549724947909922</stp>
        <tr r="I2720" s="2"/>
      </tp>
      <tp t="s">
        <v>#N/A N/A</v>
        <stp/>
        <stp>BDP|2021963466341739352</stp>
        <tr r="H3999" s="2"/>
      </tp>
      <tp t="s">
        <v>#N/A N/A</v>
        <stp/>
        <stp>BDP|1240752820763327860</stp>
        <tr r="H434" s="2"/>
      </tp>
      <tp t="s">
        <v>#N/A N/A</v>
        <stp/>
        <stp>BDP|9186838440052743876</stp>
        <tr r="G549" s="2"/>
      </tp>
      <tp t="s">
        <v>#N/A N/A</v>
        <stp/>
        <stp>BDP|9318412273195347004</stp>
        <tr r="H1642" s="2"/>
      </tp>
      <tp t="s">
        <v>#N/A N/A</v>
        <stp/>
        <stp>BDP|8172449423917506615</stp>
        <tr r="G258" s="2"/>
      </tp>
      <tp t="s">
        <v>#N/A N/A</v>
        <stp/>
        <stp>BDP|2528530838409868242</stp>
        <tr r="B3102" s="2"/>
      </tp>
      <tp t="s">
        <v>#N/A N/A</v>
        <stp/>
        <stp>BDP|5185414949203856939</stp>
        <tr r="C4209" s="2"/>
      </tp>
      <tp t="s">
        <v>#N/A N/A</v>
        <stp/>
        <stp>BDP|7532079930862707970</stp>
        <tr r="G2262" s="2"/>
      </tp>
      <tp t="s">
        <v>#N/A N/A</v>
        <stp/>
        <stp>BDP|4561694007659890418</stp>
        <tr r="C2329" s="2"/>
      </tp>
      <tp t="s">
        <v>#N/A N/A</v>
        <stp/>
        <stp>BDP|2614610180162603135</stp>
        <tr r="A3363" s="2"/>
      </tp>
      <tp t="s">
        <v>#N/A N/A</v>
        <stp/>
        <stp>BDP|8694693689901411807</stp>
        <tr r="B1819" s="2"/>
      </tp>
      <tp t="s">
        <v>#N/A N/A</v>
        <stp/>
        <stp>BDP|7621347504398032340</stp>
        <tr r="I172" s="2"/>
      </tp>
      <tp t="s">
        <v>#N/A N/A</v>
        <stp/>
        <stp>BDP|1468854267956377679</stp>
        <tr r="H2878" s="2"/>
      </tp>
      <tp t="s">
        <v>#N/A N/A</v>
        <stp/>
        <stp>BDP|7851119249864416961</stp>
        <tr r="I1726" s="2"/>
      </tp>
      <tp t="s">
        <v>#N/A N/A</v>
        <stp/>
        <stp>BDP|1539640568808260699</stp>
        <tr r="A4371" s="2"/>
      </tp>
      <tp t="s">
        <v>#N/A N/A</v>
        <stp/>
        <stp>BDP|9919201168406496479</stp>
        <tr r="C2388" s="2"/>
      </tp>
      <tp t="s">
        <v>#N/A N/A</v>
        <stp/>
        <stp>BDP|3144109447019408009</stp>
        <tr r="G4596" s="2"/>
      </tp>
      <tp t="s">
        <v>#N/A N/A</v>
        <stp/>
        <stp>BDP|6873284616859679328</stp>
        <tr r="F1138" s="2"/>
      </tp>
      <tp t="s">
        <v>#N/A N/A</v>
        <stp/>
        <stp>BDP|6040278211918029243</stp>
        <tr r="D3423" s="2"/>
      </tp>
      <tp t="s">
        <v>#N/A N/A</v>
        <stp/>
        <stp>BDP|5236867251242740505</stp>
        <tr r="I3539" s="2"/>
      </tp>
      <tp t="s">
        <v>#N/A N/A</v>
        <stp/>
        <stp>BDP|8065083215843929568</stp>
        <tr r="A925" s="2"/>
      </tp>
      <tp t="s">
        <v>#N/A N/A</v>
        <stp/>
        <stp>BDP|4616764083793933787</stp>
        <tr r="G213" s="2"/>
      </tp>
      <tp t="s">
        <v>#N/A N/A</v>
        <stp/>
        <stp>BDP|3057412484086011670</stp>
        <tr r="D4836" s="2"/>
      </tp>
      <tp t="s">
        <v>#N/A N/A</v>
        <stp/>
        <stp>BDP|5489377684387341671</stp>
        <tr r="B3364" s="2"/>
      </tp>
      <tp t="s">
        <v>#N/A N/A</v>
        <stp/>
        <stp>BDP|8352083062923917237</stp>
        <tr r="F1890" s="2"/>
      </tp>
      <tp t="s">
        <v>#N/A N/A</v>
        <stp/>
        <stp>BDP|4000337360938161611</stp>
        <tr r="F2183" s="2"/>
      </tp>
      <tp t="s">
        <v>#N/A N/A</v>
        <stp/>
        <stp>BDP|9452382375646997431</stp>
        <tr r="A3880" s="2"/>
      </tp>
      <tp t="s">
        <v>#N/A N/A</v>
        <stp/>
        <stp>BDP|9951151367378877909</stp>
        <tr r="H995" s="2"/>
      </tp>
      <tp t="s">
        <v>#N/A N/A</v>
        <stp/>
        <stp>BDP|8797755810106463752</stp>
        <tr r="F3302" s="2"/>
      </tp>
      <tp t="s">
        <v>#N/A N/A</v>
        <stp/>
        <stp>BDP|7129979761062545516</stp>
        <tr r="I3288" s="2"/>
      </tp>
      <tp t="s">
        <v>#N/A N/A</v>
        <stp/>
        <stp>BDP|1944482431800249913</stp>
        <tr r="B4827" s="2"/>
      </tp>
      <tp t="s">
        <v>#N/A N/A</v>
        <stp/>
        <stp>BDP|5462479275250110944</stp>
        <tr r="D3095" s="2"/>
      </tp>
      <tp t="s">
        <v>#N/A N/A</v>
        <stp/>
        <stp>BDP|7666828655477230201</stp>
        <tr r="H30" s="2"/>
      </tp>
      <tp t="s">
        <v>#N/A N/A</v>
        <stp/>
        <stp>BDP|9602313469930532381</stp>
        <tr r="H1274" s="2"/>
      </tp>
      <tp t="s">
        <v>#N/A N/A</v>
        <stp/>
        <stp>BDP|9933127938947349331</stp>
        <tr r="H4662" s="2"/>
      </tp>
      <tp t="s">
        <v>#N/A N/A</v>
        <stp/>
        <stp>BDP|8404547010552693153</stp>
        <tr r="C4060" s="2"/>
      </tp>
      <tp t="s">
        <v>#N/A N/A</v>
        <stp/>
        <stp>BDP|1556526382211018268</stp>
        <tr r="A2478" s="2"/>
      </tp>
      <tp t="s">
        <v>#N/A N/A</v>
        <stp/>
        <stp>BDP|4413010924028410168</stp>
        <tr r="H797" s="2"/>
      </tp>
      <tp t="s">
        <v>#N/A N/A</v>
        <stp/>
        <stp>BDP|9898008592748062798</stp>
        <tr r="I3407" s="2"/>
      </tp>
      <tp t="s">
        <v>#N/A N/A</v>
        <stp/>
        <stp>BDP|7754466455870553925</stp>
        <tr r="D2515" s="2"/>
      </tp>
      <tp t="s">
        <v>#N/A N/A</v>
        <stp/>
        <stp>BDP|4462369440935553948</stp>
        <tr r="D1996" s="2"/>
      </tp>
      <tp t="s">
        <v>#N/A N/A</v>
        <stp/>
        <stp>BDP|4519571986504360248</stp>
        <tr r="F3169" s="2"/>
      </tp>
      <tp t="s">
        <v>#N/A N/A</v>
        <stp/>
        <stp>BDP|2208103161112514858</stp>
        <tr r="F4654" s="2"/>
      </tp>
      <tp t="s">
        <v>#N/A N/A</v>
        <stp/>
        <stp>BDP|8160651936254092617</stp>
        <tr r="D2298" s="2"/>
      </tp>
      <tp t="s">
        <v>#N/A N/A</v>
        <stp/>
        <stp>BDP|9858003179217683647</stp>
        <tr r="G2717" s="2"/>
      </tp>
      <tp t="s">
        <v>#N/A N/A</v>
        <stp/>
        <stp>BDP|8379361013496581300</stp>
        <tr r="A2141" s="2"/>
      </tp>
      <tp t="s">
        <v>#N/A N/A</v>
        <stp/>
        <stp>BDP|8699080056003205194</stp>
        <tr r="A731" s="2"/>
      </tp>
      <tp t="s">
        <v>#N/A N/A</v>
        <stp/>
        <stp>BDP|2900334789191403748</stp>
        <tr r="D2034" s="2"/>
      </tp>
      <tp t="s">
        <v>#N/A N/A</v>
        <stp/>
        <stp>BDP|5301985573032309688</stp>
        <tr r="D579" s="2"/>
      </tp>
      <tp t="s">
        <v>#N/A N/A</v>
        <stp/>
        <stp>BDP|3915808562566959414</stp>
        <tr r="G241" s="2"/>
      </tp>
      <tp t="s">
        <v>#N/A N/A</v>
        <stp/>
        <stp>BDP|5133985928821322011</stp>
        <tr r="I1284" s="2"/>
      </tp>
      <tp t="s">
        <v>#N/A N/A</v>
        <stp/>
        <stp>BDP|5161571795987574154</stp>
        <tr r="B1541" s="2"/>
      </tp>
      <tp t="s">
        <v>#N/A N/A</v>
        <stp/>
        <stp>BDP|4099047671938027468</stp>
        <tr r="A138" s="2"/>
      </tp>
      <tp t="s">
        <v>#N/A N/A</v>
        <stp/>
        <stp>BDP|9689831674508108130</stp>
        <tr r="C1249" s="2"/>
      </tp>
      <tp t="s">
        <v>#N/A N/A</v>
        <stp/>
        <stp>BDP|3267394098424795273</stp>
        <tr r="A4908" s="2"/>
      </tp>
      <tp t="s">
        <v>#N/A N/A</v>
        <stp/>
        <stp>BDP|9420329943700288148</stp>
        <tr r="I509" s="2"/>
      </tp>
      <tp t="s">
        <v>#N/A N/A</v>
        <stp/>
        <stp>BDP|2913599861478345614</stp>
        <tr r="I2558" s="2"/>
      </tp>
      <tp t="s">
        <v>#N/A N/A</v>
        <stp/>
        <stp>BDP|2430723268718838458</stp>
        <tr r="I3569" s="2"/>
      </tp>
      <tp t="s">
        <v>#N/A N/A</v>
        <stp/>
        <stp>BDP|8798050313163426566</stp>
        <tr r="G1489" s="2"/>
      </tp>
      <tp t="s">
        <v>#N/A N/A</v>
        <stp/>
        <stp>BDP|5886802570643847637</stp>
        <tr r="C3502" s="2"/>
      </tp>
      <tp t="s">
        <v>#N/A N/A</v>
        <stp/>
        <stp>BDP|2661923053978064945</stp>
        <tr r="H4341" s="2"/>
      </tp>
      <tp t="s">
        <v>#N/A N/A</v>
        <stp/>
        <stp>BDP|5915132679544085801</stp>
        <tr r="A1505" s="2"/>
      </tp>
      <tp t="s">
        <v>#N/A N/A</v>
        <stp/>
        <stp>BDP|5279431981412142429</stp>
        <tr r="A803" s="2"/>
      </tp>
      <tp t="s">
        <v>#N/A N/A</v>
        <stp/>
        <stp>BDP|8449042266829770826</stp>
        <tr r="A4399" s="2"/>
      </tp>
      <tp t="s">
        <v>#N/A N/A</v>
        <stp/>
        <stp>BDP|8643676851981408574</stp>
        <tr r="G1635" s="2"/>
      </tp>
      <tp t="s">
        <v>#N/A N/A</v>
        <stp/>
        <stp>BDP|8423366194268313569</stp>
        <tr r="D721" s="2"/>
      </tp>
      <tp t="s">
        <v>#N/A N/A</v>
        <stp/>
        <stp>BDP|2366005913769439579</stp>
        <tr r="I694" s="2"/>
      </tp>
      <tp t="s">
        <v>#N/A N/A</v>
        <stp/>
        <stp>BDP|7506728927539421471</stp>
        <tr r="G3203" s="2"/>
      </tp>
      <tp t="s">
        <v>#N/A N/A</v>
        <stp/>
        <stp>BDP|7608096133338835378</stp>
        <tr r="I2006" s="2"/>
      </tp>
      <tp t="s">
        <v>#N/A N/A</v>
        <stp/>
        <stp>BDP|9798956044209258279</stp>
        <tr r="I2520" s="2"/>
      </tp>
      <tp t="s">
        <v>#N/A N/A</v>
        <stp/>
        <stp>BDP|8299873137815508943</stp>
        <tr r="B700" s="2"/>
      </tp>
      <tp t="s">
        <v>#N/A N/A</v>
        <stp/>
        <stp>BDP|8633195014212853500</stp>
        <tr r="B2820" s="2"/>
      </tp>
      <tp t="s">
        <v>#N/A N/A</v>
        <stp/>
        <stp>BDP|7883280122698796066</stp>
        <tr r="A4679" s="2"/>
      </tp>
      <tp t="s">
        <v>#N/A N/A</v>
        <stp/>
        <stp>BDP|6579967402113254305</stp>
        <tr r="F978" s="2"/>
      </tp>
      <tp t="s">
        <v>#N/A N/A</v>
        <stp/>
        <stp>BDP|4657894244546918114</stp>
        <tr r="G884" s="2"/>
      </tp>
      <tp t="s">
        <v>#N/A N/A</v>
        <stp/>
        <stp>BDP|4051470054232634864</stp>
        <tr r="B1435" s="2"/>
      </tp>
      <tp t="s">
        <v>#N/A N/A</v>
        <stp/>
        <stp>BDP|8056083755625764796</stp>
        <tr r="A1525" s="2"/>
      </tp>
      <tp t="s">
        <v>#N/A N/A</v>
        <stp/>
        <stp>BDP|2605923853320327172</stp>
        <tr r="D1515" s="2"/>
      </tp>
      <tp t="s">
        <v>#N/A N/A</v>
        <stp/>
        <stp>BDP|9316378241955139473</stp>
        <tr r="A4414" s="2"/>
      </tp>
      <tp t="s">
        <v>#N/A N/A</v>
        <stp/>
        <stp>BDP|8362374937043554457</stp>
        <tr r="I3008" s="2"/>
      </tp>
      <tp t="s">
        <v>#N/A N/A</v>
        <stp/>
        <stp>BDP|6768833836616464456</stp>
        <tr r="H2294" s="2"/>
      </tp>
      <tp t="s">
        <v>#N/A N/A</v>
        <stp/>
        <stp>BDP|6303100225302671837</stp>
        <tr r="H4694" s="2"/>
      </tp>
      <tp t="s">
        <v>#N/A N/A</v>
        <stp/>
        <stp>BDP|5894940852000984642</stp>
        <tr r="B4671" s="2"/>
      </tp>
      <tp t="s">
        <v>#N/A N/A</v>
        <stp/>
        <stp>BDP|6510774773541649847</stp>
        <tr r="H3832" s="2"/>
      </tp>
      <tp t="s">
        <v>#N/A N/A</v>
        <stp/>
        <stp>BDP|3918025739606198909</stp>
        <tr r="I1071" s="2"/>
      </tp>
      <tp t="s">
        <v>#N/A N/A</v>
        <stp/>
        <stp>BDP|8245245642132712303</stp>
        <tr r="H4720" s="2"/>
      </tp>
      <tp t="s">
        <v>#N/A N/A</v>
        <stp/>
        <stp>BDP|7130431912174253914</stp>
        <tr r="A252" s="2"/>
      </tp>
      <tp t="s">
        <v>#N/A N/A</v>
        <stp/>
        <stp>BDP|5273673883930697436</stp>
        <tr r="F2636" s="2"/>
      </tp>
      <tp t="s">
        <v>#N/A N/A</v>
        <stp/>
        <stp>BDP|1251813815305249274</stp>
        <tr r="G2399" s="2"/>
      </tp>
      <tp t="s">
        <v>#N/A N/A</v>
        <stp/>
        <stp>BDP|8912181617770331761</stp>
        <tr r="I1326" s="2"/>
      </tp>
      <tp t="s">
        <v>#N/A N/A</v>
        <stp/>
        <stp>BDP|1592546057208501608</stp>
        <tr r="I2179" s="2"/>
      </tp>
      <tp t="s">
        <v>#N/A N/A</v>
        <stp/>
        <stp>BDP|8780069072148857880</stp>
        <tr r="D3914" s="2"/>
      </tp>
      <tp t="s">
        <v>#N/A N/A</v>
        <stp/>
        <stp>BDP|5565520927455676850</stp>
        <tr r="C2247" s="2"/>
      </tp>
      <tp t="s">
        <v>#N/A N/A</v>
        <stp/>
        <stp>BDP|2579152021786479860</stp>
        <tr r="D3260" s="2"/>
      </tp>
      <tp t="s">
        <v>#N/A N/A</v>
        <stp/>
        <stp>BDP|4951433558793657971</stp>
        <tr r="F735" s="2"/>
      </tp>
      <tp t="s">
        <v>#N/A N/A</v>
        <stp/>
        <stp>BDP|5946850954274922321</stp>
        <tr r="C812" s="2"/>
      </tp>
      <tp t="s">
        <v>#N/A N/A</v>
        <stp/>
        <stp>BDP|6530902940504053064</stp>
        <tr r="G1708" s="2"/>
      </tp>
      <tp t="s">
        <v>#N/A N/A</v>
        <stp/>
        <stp>BDP|3171751282473771021</stp>
        <tr r="I4222" s="2"/>
      </tp>
      <tp t="s">
        <v>#N/A N/A</v>
        <stp/>
        <stp>BDP|6544505473528695339</stp>
        <tr r="F1201" s="2"/>
      </tp>
      <tp t="s">
        <v>#N/A N/A</v>
        <stp/>
        <stp>BDP|4996483506878675721</stp>
        <tr r="C1633" s="2"/>
      </tp>
      <tp t="s">
        <v>#N/A N/A</v>
        <stp/>
        <stp>BDP|2433983403440571497</stp>
        <tr r="B672" s="2"/>
      </tp>
      <tp t="s">
        <v>#N/A N/A</v>
        <stp/>
        <stp>BDP|3162356485683532471</stp>
        <tr r="G1749" s="2"/>
      </tp>
      <tp t="s">
        <v>#N/A N/A</v>
        <stp/>
        <stp>BDP|6796693834975156982</stp>
        <tr r="I1399" s="2"/>
      </tp>
      <tp t="s">
        <v>#N/A N/A</v>
        <stp/>
        <stp>BDP|7368137252295318926</stp>
        <tr r="I627" s="2"/>
      </tp>
      <tp t="s">
        <v>#N/A N/A</v>
        <stp/>
        <stp>BDP|8353582150815186290</stp>
        <tr r="I4908" s="2"/>
      </tp>
      <tp t="s">
        <v>#N/A N/A</v>
        <stp/>
        <stp>BDP|5072907422396641770</stp>
        <tr r="H4804" s="2"/>
      </tp>
      <tp t="s">
        <v>#N/A N/A</v>
        <stp/>
        <stp>BDP|2782536999833660287</stp>
        <tr r="A1600" s="2"/>
      </tp>
      <tp t="s">
        <v>#N/A N/A</v>
        <stp/>
        <stp>BDP|3035050511088331547</stp>
        <tr r="A3524" s="2"/>
      </tp>
      <tp t="s">
        <v>#N/A N/A</v>
        <stp/>
        <stp>BDP|2058554068468724690</stp>
        <tr r="D697" s="2"/>
      </tp>
      <tp t="s">
        <v>#N/A N/A</v>
        <stp/>
        <stp>BDP|2444903491039589438</stp>
        <tr r="F173" s="2"/>
      </tp>
      <tp t="s">
        <v>#N/A N/A</v>
        <stp/>
        <stp>BDP|9790940797757498130</stp>
        <tr r="C4081" s="2"/>
      </tp>
      <tp t="s">
        <v>#N/A N/A</v>
        <stp/>
        <stp>BDP|6131750796712377525</stp>
        <tr r="I3545" s="2"/>
      </tp>
      <tp t="s">
        <v>#N/A N/A</v>
        <stp/>
        <stp>BDP|2004471271267221977</stp>
        <tr r="I4161" s="2"/>
      </tp>
      <tp t="s">
        <v>#N/A N/A</v>
        <stp/>
        <stp>BDP|6570941978793312496</stp>
        <tr r="A2748" s="2"/>
      </tp>
      <tp t="s">
        <v>#N/A N/A</v>
        <stp/>
        <stp>BDP|9704595379630718434</stp>
        <tr r="A4230" s="2"/>
      </tp>
      <tp t="s">
        <v>#N/A N/A</v>
        <stp/>
        <stp>BDP|3194785688995364615</stp>
        <tr r="D4353" s="2"/>
      </tp>
      <tp t="s">
        <v>#N/A N/A</v>
        <stp/>
        <stp>BDP|7259356882035518634</stp>
        <tr r="G4241" s="2"/>
      </tp>
      <tp t="s">
        <v>#N/A N/A</v>
        <stp/>
        <stp>BDP|7595065900928424041</stp>
        <tr r="F1130" s="2"/>
      </tp>
      <tp t="s">
        <v>#N/A N/A</v>
        <stp/>
        <stp>BDP|1348171463018498135</stp>
        <tr r="H4283" s="2"/>
      </tp>
      <tp t="s">
        <v>#N/A N/A</v>
        <stp/>
        <stp>BDP|4475219555428477444</stp>
        <tr r="D1536" s="2"/>
      </tp>
      <tp t="s">
        <v>#N/A N/A</v>
        <stp/>
        <stp>BDP|1316705596165684534</stp>
        <tr r="G4411" s="2"/>
      </tp>
      <tp t="s">
        <v>#N/A N/A</v>
        <stp/>
        <stp>BDP|1449555926858574127</stp>
        <tr r="A2987" s="2"/>
      </tp>
      <tp t="s">
        <v>#N/A N/A</v>
        <stp/>
        <stp>BDP|6483264484715044666</stp>
        <tr r="D195" s="2"/>
      </tp>
      <tp t="s">
        <v>#N/A N/A</v>
        <stp/>
        <stp>BDP|8490126067820761068</stp>
        <tr r="C2499" s="2"/>
      </tp>
      <tp t="s">
        <v>#N/A N/A</v>
        <stp/>
        <stp>BDP|9790920270388612032</stp>
        <tr r="D3650" s="2"/>
      </tp>
      <tp t="s">
        <v>#N/A N/A</v>
        <stp/>
        <stp>BDP|3094564637693822990</stp>
        <tr r="G2714" s="2"/>
      </tp>
      <tp t="s">
        <v>#N/A N/A</v>
        <stp/>
        <stp>BDP|8172068005262261503</stp>
        <tr r="B4942" s="2"/>
      </tp>
      <tp t="s">
        <v>#N/A N/A</v>
        <stp/>
        <stp>BDP|9407507430484139458</stp>
        <tr r="I1720" s="2"/>
      </tp>
      <tp t="s">
        <v>#N/A N/A</v>
        <stp/>
        <stp>BDP|5321411293661488655</stp>
        <tr r="G2069" s="2"/>
      </tp>
      <tp t="s">
        <v>#N/A N/A</v>
        <stp/>
        <stp>BDP|7899807722425241786</stp>
        <tr r="C3649" s="2"/>
      </tp>
      <tp t="s">
        <v>#N/A N/A</v>
        <stp/>
        <stp>BDP|4137142224240829899</stp>
        <tr r="F3794" s="2"/>
      </tp>
      <tp t="s">
        <v>#N/A N/A</v>
        <stp/>
        <stp>BDP|4440987606677248589</stp>
        <tr r="C3332" s="2"/>
      </tp>
      <tp t="s">
        <v>#N/A N/A</v>
        <stp/>
        <stp>BDP|9070518974882788627</stp>
        <tr r="H1851" s="2"/>
      </tp>
      <tp t="s">
        <v>#N/A N/A</v>
        <stp/>
        <stp>BDP|7492903411182110241</stp>
        <tr r="H2202" s="2"/>
      </tp>
      <tp t="s">
        <v>#N/A N/A</v>
        <stp/>
        <stp>BDP|2188321396467469011</stp>
        <tr r="B1170" s="2"/>
      </tp>
      <tp t="s">
        <v>#N/A N/A</v>
        <stp/>
        <stp>BDP|8418509322704472422</stp>
        <tr r="G57" s="2"/>
      </tp>
      <tp t="s">
        <v>#N/A N/A</v>
        <stp/>
        <stp>BDP|9833580205977735424</stp>
        <tr r="B2255" s="2"/>
      </tp>
      <tp t="s">
        <v>#N/A N/A</v>
        <stp/>
        <stp>BDP|5897206473948228799</stp>
        <tr r="G3078" s="2"/>
      </tp>
      <tp t="s">
        <v>#N/A N/A</v>
        <stp/>
        <stp>BDP|2974868828111675614</stp>
        <tr r="C2842" s="2"/>
      </tp>
      <tp t="s">
        <v>#N/A N/A</v>
        <stp/>
        <stp>BDP|6486468449330269998</stp>
        <tr r="H389" s="2"/>
      </tp>
      <tp t="s">
        <v>#N/A N/A</v>
        <stp/>
        <stp>BDP|2472139384025739140</stp>
        <tr r="D4515" s="2"/>
      </tp>
      <tp t="s">
        <v>#N/A N/A</v>
        <stp/>
        <stp>BDP|6676945365772110468</stp>
        <tr r="A750" s="2"/>
      </tp>
      <tp t="s">
        <v>#N/A N/A</v>
        <stp/>
        <stp>BDP|6729071557925403936</stp>
        <tr r="C2506" s="2"/>
      </tp>
      <tp t="s">
        <v>#N/A N/A</v>
        <stp/>
        <stp>BDP|9921919353759969326</stp>
        <tr r="C743" s="2"/>
      </tp>
      <tp t="s">
        <v>#N/A N/A</v>
        <stp/>
        <stp>BDP|5962910650312831409</stp>
        <tr r="D1963" s="2"/>
      </tp>
      <tp t="s">
        <v>#N/A N/A</v>
        <stp/>
        <stp>BDP|9366331096209120578</stp>
        <tr r="H2112" s="2"/>
      </tp>
      <tp t="s">
        <v>#N/A N/A</v>
        <stp/>
        <stp>BDP|8656518149010916673</stp>
        <tr r="F758" s="2"/>
      </tp>
      <tp t="s">
        <v>#N/A N/A</v>
        <stp/>
        <stp>BDP|4417059597895099766</stp>
        <tr r="D1615" s="2"/>
      </tp>
      <tp t="s">
        <v>#N/A N/A</v>
        <stp/>
        <stp>BDP|5759569540798968382</stp>
        <tr r="B1302" s="2"/>
      </tp>
      <tp t="s">
        <v>#N/A N/A</v>
        <stp/>
        <stp>BDP|8209939872060659953</stp>
        <tr r="G143" s="2"/>
      </tp>
      <tp t="s">
        <v>#N/A N/A</v>
        <stp/>
        <stp>BDP|7339837215050381163</stp>
        <tr r="A4932" s="2"/>
      </tp>
      <tp t="s">
        <v>#N/A N/A</v>
        <stp/>
        <stp>BDP|1154024873421427848</stp>
        <tr r="H3215" s="2"/>
      </tp>
      <tp t="s">
        <v>#N/A N/A</v>
        <stp/>
        <stp>BDP|7085313957058430627</stp>
        <tr r="A4765" s="2"/>
      </tp>
      <tp t="s">
        <v>#N/A N/A</v>
        <stp/>
        <stp>BDP|9915889888062831414</stp>
        <tr r="B3803" s="2"/>
      </tp>
      <tp t="s">
        <v>#N/A N/A</v>
        <stp/>
        <stp>BDP|6631759957663603822</stp>
        <tr r="H53" s="2"/>
      </tp>
      <tp t="s">
        <v>#N/A N/A</v>
        <stp/>
        <stp>BDP|3433907844861103012</stp>
        <tr r="C1663" s="2"/>
      </tp>
      <tp t="s">
        <v>#N/A N/A</v>
        <stp/>
        <stp>BDP|8686702725600428270</stp>
        <tr r="H3186" s="2"/>
      </tp>
      <tp t="s">
        <v>#N/A N/A</v>
        <stp/>
        <stp>BDP|2103207170318489052</stp>
        <tr r="H883" s="2"/>
      </tp>
      <tp t="s">
        <v>#N/A N/A</v>
        <stp/>
        <stp>BDP|1730427094251832294</stp>
        <tr r="F21" s="2"/>
      </tp>
      <tp t="s">
        <v>#N/A N/A</v>
        <stp/>
        <stp>BDP|7683688973711904846</stp>
        <tr r="D4309" s="2"/>
      </tp>
      <tp t="s">
        <v>#N/A N/A</v>
        <stp/>
        <stp>BDP|8719389352465495494</stp>
        <tr r="F367" s="2"/>
      </tp>
      <tp t="s">
        <v>#N/A N/A</v>
        <stp/>
        <stp>BDP|9516453782633350911</stp>
        <tr r="C3437" s="2"/>
      </tp>
      <tp t="s">
        <v>#N/A N/A</v>
        <stp/>
        <stp>BDP|3961231094855897266</stp>
        <tr r="A2684" s="2"/>
      </tp>
      <tp t="s">
        <v>#N/A N/A</v>
        <stp/>
        <stp>BDP|5235406087110747620</stp>
        <tr r="D398" s="2"/>
      </tp>
      <tp t="s">
        <v>#N/A N/A</v>
        <stp/>
        <stp>BDP|8693114603640422609</stp>
        <tr r="B937" s="2"/>
      </tp>
      <tp t="s">
        <v>#N/A N/A</v>
        <stp/>
        <stp>BDP|4701937882462611802</stp>
        <tr r="F2696" s="2"/>
      </tp>
      <tp t="s">
        <v>#N/A N/A</v>
        <stp/>
        <stp>BDP|9799761162815477277</stp>
        <tr r="I3264" s="2"/>
      </tp>
      <tp t="s">
        <v>#N/A N/A</v>
        <stp/>
        <stp>BDP|8560268793899017507</stp>
        <tr r="H4543" s="2"/>
      </tp>
      <tp t="s">
        <v>#N/A N/A</v>
        <stp/>
        <stp>BDP|8885308166381878367</stp>
        <tr r="G655" s="2"/>
      </tp>
      <tp t="s">
        <v>#N/A N/A</v>
        <stp/>
        <stp>BDP|8731322482668564422</stp>
        <tr r="C1428" s="2"/>
      </tp>
      <tp t="s">
        <v>#N/A N/A</v>
        <stp/>
        <stp>BDP|5669612516939493457</stp>
        <tr r="B22" s="2"/>
      </tp>
      <tp t="s">
        <v>#N/A N/A</v>
        <stp/>
        <stp>BDP|1468623317431635871</stp>
        <tr r="I2786" s="2"/>
      </tp>
      <tp t="s">
        <v>#N/A N/A</v>
        <stp/>
        <stp>BDP|2358856909570972563</stp>
        <tr r="A4630" s="2"/>
      </tp>
      <tp t="s">
        <v>#N/A N/A</v>
        <stp/>
        <stp>BDP|4252135665399418500</stp>
        <tr r="H3512" s="2"/>
      </tp>
      <tp t="s">
        <v>#N/A N/A</v>
        <stp/>
        <stp>BDP|7406461866183020940</stp>
        <tr r="H3640" s="2"/>
      </tp>
      <tp t="s">
        <v>#N/A N/A</v>
        <stp/>
        <stp>BDP|5480322727842282938</stp>
        <tr r="C1496" s="2"/>
      </tp>
      <tp t="s">
        <v>#N/A N/A</v>
        <stp/>
        <stp>BDP|2633755985910199274</stp>
        <tr r="C2229" s="2"/>
      </tp>
      <tp t="s">
        <v>#N/A N/A</v>
        <stp/>
        <stp>BDP|2145834661695369602</stp>
        <tr r="B3296" s="2"/>
      </tp>
      <tp t="s">
        <v>#N/A N/A</v>
        <stp/>
        <stp>BDP|9385664277980203707</stp>
        <tr r="D4768" s="2"/>
      </tp>
      <tp t="s">
        <v>#N/A N/A</v>
        <stp/>
        <stp>BDP|9784770303793682255</stp>
        <tr r="C4913" s="2"/>
      </tp>
      <tp t="s">
        <v>#N/A N/A</v>
        <stp/>
        <stp>BDP|9503571019093355186</stp>
        <tr r="B4874" s="2"/>
      </tp>
      <tp t="s">
        <v>#N/A N/A</v>
        <stp/>
        <stp>BDP|2945673533738949046</stp>
        <tr r="B1259" s="2"/>
      </tp>
      <tp t="s">
        <v>#N/A N/A</v>
        <stp/>
        <stp>BDP|4001917093743024827</stp>
        <tr r="G4818" s="2"/>
      </tp>
      <tp t="s">
        <v>#N/A N/A</v>
        <stp/>
        <stp>BDP|2429471104649495039</stp>
        <tr r="I789" s="2"/>
      </tp>
      <tp t="s">
        <v>#N/A N/A</v>
        <stp/>
        <stp>BDP|7540832805485759542</stp>
        <tr r="A3172" s="2"/>
      </tp>
      <tp t="s">
        <v>#N/A N/A</v>
        <stp/>
        <stp>BDP|4511060177419183559</stp>
        <tr r="C1989" s="2"/>
      </tp>
      <tp t="s">
        <v>#N/A N/A</v>
        <stp/>
        <stp>BDP|5820558423799902479</stp>
        <tr r="I4256" s="2"/>
      </tp>
      <tp t="s">
        <v>#N/A N/A</v>
        <stp/>
        <stp>BDP|3513150864812552918</stp>
        <tr r="A2930" s="2"/>
      </tp>
      <tp t="s">
        <v>#N/A N/A</v>
        <stp/>
        <stp>BDP|3788136215234413859</stp>
        <tr r="A1229" s="2"/>
      </tp>
      <tp t="s">
        <v>#N/A N/A</v>
        <stp/>
        <stp>BDP|4895255533429989374</stp>
        <tr r="B4454" s="2"/>
      </tp>
      <tp t="s">
        <v>#N/A N/A</v>
        <stp/>
        <stp>BDP|6761811101405624416</stp>
        <tr r="I983" s="2"/>
      </tp>
      <tp t="s">
        <v>#N/A N/A</v>
        <stp/>
        <stp>BDP|9856488001514492656</stp>
        <tr r="F4946" s="2"/>
      </tp>
      <tp t="s">
        <v>#N/A N/A</v>
        <stp/>
        <stp>BDP|1236458998811968262</stp>
        <tr r="I376" s="2"/>
      </tp>
      <tp t="s">
        <v>#N/A N/A</v>
        <stp/>
        <stp>BDP|8639515285373021920</stp>
        <tr r="G750" s="2"/>
      </tp>
      <tp t="s">
        <v>#N/A N/A</v>
        <stp/>
        <stp>BDP|8058946588461434783</stp>
        <tr r="I3227" s="2"/>
      </tp>
      <tp t="s">
        <v>#N/A N/A</v>
        <stp/>
        <stp>BDP|3683850494959208456</stp>
        <tr r="F271" s="2"/>
      </tp>
      <tp t="s">
        <v>#N/A N/A</v>
        <stp/>
        <stp>BDP|8802656896539379182</stp>
        <tr r="C3213" s="2"/>
      </tp>
      <tp t="s">
        <v>#N/A N/A</v>
        <stp/>
        <stp>BDP|6113403259710811802</stp>
        <tr r="B912" s="2"/>
      </tp>
      <tp t="s">
        <v>#N/A N/A</v>
        <stp/>
        <stp>BDP|8478968498872328593</stp>
        <tr r="B3843" s="2"/>
      </tp>
      <tp t="s">
        <v>#N/A N/A</v>
        <stp/>
        <stp>BDP|3293161693881640512</stp>
        <tr r="G4015" s="2"/>
      </tp>
      <tp t="s">
        <v>#N/A N/A</v>
        <stp/>
        <stp>BDP|5748612506035420942</stp>
        <tr r="C2963" s="2"/>
      </tp>
      <tp t="s">
        <v>#N/A N/A</v>
        <stp/>
        <stp>BDP|2587296261028903157</stp>
        <tr r="C1992" s="2"/>
      </tp>
      <tp t="s">
        <v>#N/A N/A</v>
        <stp/>
        <stp>BDP|5630415080465786313</stp>
        <tr r="H3425" s="2"/>
      </tp>
      <tp t="s">
        <v>#N/A N/A</v>
        <stp/>
        <stp>BDP|3341312102098075718</stp>
        <tr r="B688" s="2"/>
      </tp>
      <tp t="s">
        <v>#N/A N/A</v>
        <stp/>
        <stp>BDP|5629053483982389029</stp>
        <tr r="A2514" s="2"/>
      </tp>
      <tp t="s">
        <v>#N/A N/A</v>
        <stp/>
        <stp>BDP|6395070690142068257</stp>
        <tr r="B3768" s="2"/>
      </tp>
      <tp t="s">
        <v>#N/A N/A</v>
        <stp/>
        <stp>BDP|7398842659057871275</stp>
        <tr r="I4872" s="2"/>
      </tp>
      <tp t="s">
        <v>#N/A N/A</v>
        <stp/>
        <stp>BDP|6883948668521453718</stp>
        <tr r="D3739" s="2"/>
      </tp>
      <tp t="s">
        <v>#N/A N/A</v>
        <stp/>
        <stp>BDP|7785267679669917400</stp>
        <tr r="F3138" s="2"/>
      </tp>
      <tp t="s">
        <v>#N/A N/A</v>
        <stp/>
        <stp>BDP|6245034846409747418</stp>
        <tr r="C4607" s="2"/>
      </tp>
      <tp t="s">
        <v>#N/A N/A</v>
        <stp/>
        <stp>BDP|7784832424825638779</stp>
        <tr r="I857" s="2"/>
      </tp>
      <tp t="s">
        <v>#N/A N/A</v>
        <stp/>
        <stp>BDP|3050234697932364565</stp>
        <tr r="I59" s="2"/>
      </tp>
      <tp t="s">
        <v>#N/A N/A</v>
        <stp/>
        <stp>BDP|6280994038993692047</stp>
        <tr r="H3296" s="2"/>
      </tp>
      <tp t="s">
        <v>#N/A N/A</v>
        <stp/>
        <stp>BDP|4733808323779323864</stp>
        <tr r="A1655" s="2"/>
      </tp>
      <tp t="s">
        <v>#N/A N/A</v>
        <stp/>
        <stp>BDP|5839947609793091040</stp>
        <tr r="G645" s="2"/>
      </tp>
      <tp t="s">
        <v>#N/A N/A</v>
        <stp/>
        <stp>BDP|4750978103234432666</stp>
        <tr r="D3618" s="2"/>
      </tp>
      <tp t="s">
        <v>#N/A N/A</v>
        <stp/>
        <stp>BDP|6559128904600690848</stp>
        <tr r="G1732" s="2"/>
      </tp>
      <tp t="s">
        <v>#N/A N/A</v>
        <stp/>
        <stp>BDP|7205530324158092742</stp>
        <tr r="B945" s="2"/>
      </tp>
      <tp t="s">
        <v>#N/A N/A</v>
        <stp/>
        <stp>BDP|7016051982234111479</stp>
        <tr r="C729" s="2"/>
      </tp>
      <tp t="s">
        <v>#N/A N/A</v>
        <stp/>
        <stp>BDP|5598834834443260212</stp>
        <tr r="I41" s="2"/>
      </tp>
      <tp t="s">
        <v>#N/A N/A</v>
        <stp/>
        <stp>BDP|3685356284564104376</stp>
        <tr r="A2490" s="2"/>
      </tp>
      <tp t="s">
        <v>#N/A N/A</v>
        <stp/>
        <stp>BDP|8445344719840151590</stp>
        <tr r="F3816" s="2"/>
      </tp>
      <tp t="s">
        <v>#N/A N/A</v>
        <stp/>
        <stp>BDP|8909609738642824080</stp>
        <tr r="H592" s="2"/>
      </tp>
      <tp t="s">
        <v>#N/A N/A</v>
        <stp/>
        <stp>BDP|9066669040373639712</stp>
        <tr r="G2794" s="2"/>
      </tp>
      <tp t="s">
        <v>#N/A N/A</v>
        <stp/>
        <stp>BDP|4661309834588504366</stp>
        <tr r="C2475" s="2"/>
      </tp>
      <tp t="s">
        <v>#N/A N/A</v>
        <stp/>
        <stp>BDP|8167729215283138262</stp>
        <tr r="G1168" s="2"/>
      </tp>
      <tp t="s">
        <v>#N/A N/A</v>
        <stp/>
        <stp>BDP|8031444240536273179</stp>
        <tr r="D4506" s="2"/>
      </tp>
      <tp t="s">
        <v>#N/A N/A</v>
        <stp/>
        <stp>BDP|6831375098325188671</stp>
        <tr r="I1885" s="2"/>
      </tp>
      <tp t="s">
        <v>#N/A N/A</v>
        <stp/>
        <stp>BDP|9935498261561666567</stp>
        <tr r="I3382" s="2"/>
      </tp>
      <tp t="s">
        <v>#N/A N/A</v>
        <stp/>
        <stp>BDP|9211424554555792226</stp>
        <tr r="B2602" s="2"/>
      </tp>
      <tp t="s">
        <v>#N/A N/A</v>
        <stp/>
        <stp>BDP|3730774655949037743</stp>
        <tr r="G248" s="2"/>
      </tp>
      <tp t="s">
        <v>#N/A N/A</v>
        <stp/>
        <stp>BDP|3936736559309596771</stp>
        <tr r="G4749" s="2"/>
      </tp>
      <tp t="s">
        <v>#N/A N/A</v>
        <stp/>
        <stp>BDP|9116933855648239249</stp>
        <tr r="B4988" s="2"/>
      </tp>
      <tp t="s">
        <v>#N/A N/A</v>
        <stp/>
        <stp>BDP|7791533683290606506</stp>
        <tr r="B3569" s="2"/>
      </tp>
      <tp t="s">
        <v>#N/A N/A</v>
        <stp/>
        <stp>BDP|9209361464233746069</stp>
        <tr r="B1402" s="2"/>
      </tp>
      <tp t="s">
        <v>#N/A N/A</v>
        <stp/>
        <stp>BDP|4052472668309850060</stp>
        <tr r="I4277" s="2"/>
      </tp>
      <tp t="s">
        <v>#N/A N/A</v>
        <stp/>
        <stp>BDP|4353824446423063462</stp>
        <tr r="A4705" s="2"/>
      </tp>
      <tp t="s">
        <v>#N/A N/A</v>
        <stp/>
        <stp>BDP|4073505385213099548</stp>
        <tr r="B101" s="2"/>
      </tp>
      <tp t="s">
        <v>#N/A N/A</v>
        <stp/>
        <stp>BDP|6318314363475976997</stp>
        <tr r="G3904" s="2"/>
      </tp>
      <tp t="s">
        <v>#N/A N/A</v>
        <stp/>
        <stp>BDP|2227858323285507209</stp>
        <tr r="F4769" s="2"/>
      </tp>
      <tp t="s">
        <v>#N/A N/A</v>
        <stp/>
        <stp>BDP|8728555274850668519</stp>
        <tr r="H3055" s="2"/>
      </tp>
      <tp t="s">
        <v>#N/A N/A</v>
        <stp/>
        <stp>BDP|3423725090211473332</stp>
        <tr r="G3591" s="2"/>
      </tp>
      <tp t="s">
        <v>#N/A N/A</v>
        <stp/>
        <stp>BDP|7871907978403759561</stp>
        <tr r="B1423" s="2"/>
      </tp>
      <tp t="s">
        <v>#N/A N/A</v>
        <stp/>
        <stp>BDP|1289442042928407613</stp>
        <tr r="F1205" s="2"/>
      </tp>
      <tp t="s">
        <v>#N/A N/A</v>
        <stp/>
        <stp>BDP|8608372464892398073</stp>
        <tr r="F2366" s="2"/>
      </tp>
      <tp t="s">
        <v>#N/A N/A</v>
        <stp/>
        <stp>BDP|8717561181498221236</stp>
        <tr r="H2053" s="2"/>
      </tp>
      <tp t="s">
        <v>#N/A N/A</v>
        <stp/>
        <stp>BDP|9329292664080978267</stp>
        <tr r="D1467" s="2"/>
      </tp>
      <tp t="s">
        <v>#N/A N/A</v>
        <stp/>
        <stp>BDP|2257876798329902553</stp>
        <tr r="I2448" s="2"/>
      </tp>
      <tp t="s">
        <v>#N/A N/A</v>
        <stp/>
        <stp>BDP|8882197471604496553</stp>
        <tr r="A1872" s="2"/>
      </tp>
      <tp t="s">
        <v>#N/A N/A</v>
        <stp/>
        <stp>BDP|7144731051443443966</stp>
        <tr r="G3455" s="2"/>
      </tp>
      <tp t="s">
        <v>#N/A N/A</v>
        <stp/>
        <stp>BDP|5278317733202530842</stp>
        <tr r="F4530" s="2"/>
      </tp>
      <tp t="s">
        <v>#N/A N/A</v>
        <stp/>
        <stp>BDP|8151532794182751900</stp>
        <tr r="I2953" s="2"/>
      </tp>
      <tp t="s">
        <v>#N/A N/A</v>
        <stp/>
        <stp>BDP|3773063148379911114</stp>
        <tr r="F4931" s="2"/>
      </tp>
      <tp t="s">
        <v>#N/A N/A</v>
        <stp/>
        <stp>BDP|6412518019969436491</stp>
        <tr r="C1245" s="2"/>
      </tp>
      <tp t="s">
        <v>#N/A N/A</v>
        <stp/>
        <stp>BDP|9260103940852665159</stp>
        <tr r="F2474" s="2"/>
      </tp>
      <tp t="s">
        <v>#N/A N/A</v>
        <stp/>
        <stp>BDP|2683478977867237959</stp>
        <tr r="I4131" s="2"/>
      </tp>
      <tp t="s">
        <v>#N/A N/A</v>
        <stp/>
        <stp>BDP|8793524270957542215</stp>
        <tr r="F4009" s="2"/>
      </tp>
      <tp t="s">
        <v>#N/A N/A</v>
        <stp/>
        <stp>BDP|1454824411251565630</stp>
        <tr r="A3345" s="2"/>
      </tp>
      <tp t="s">
        <v>#N/A N/A</v>
        <stp/>
        <stp>BDP|5535102280336744533</stp>
        <tr r="I1933" s="2"/>
      </tp>
      <tp t="s">
        <v>#N/A N/A</v>
        <stp/>
        <stp>BDP|5520277294655715407</stp>
        <tr r="F1982" s="2"/>
      </tp>
      <tp t="s">
        <v>#N/A N/A</v>
        <stp/>
        <stp>BDP|7645725799195579392</stp>
        <tr r="F1525" s="2"/>
      </tp>
      <tp t="s">
        <v>#N/A N/A</v>
        <stp/>
        <stp>BDP|3743847099599269495</stp>
        <tr r="B3738" s="2"/>
      </tp>
      <tp t="s">
        <v>#N/A N/A</v>
        <stp/>
        <stp>BDP|7370709774141128978</stp>
        <tr r="H9" s="2"/>
      </tp>
      <tp t="s">
        <v>#N/A N/A</v>
        <stp/>
        <stp>BDP|2199130916939357461</stp>
        <tr r="D2331" s="2"/>
      </tp>
      <tp t="s">
        <v>#N/A N/A</v>
        <stp/>
        <stp>BDP|8682760205912035246</stp>
        <tr r="I4797" s="2"/>
      </tp>
      <tp t="s">
        <v>#N/A N/A</v>
        <stp/>
        <stp>BDP|1416516042369505630</stp>
        <tr r="G4005" s="2"/>
      </tp>
      <tp t="s">
        <v>#N/A N/A</v>
        <stp/>
        <stp>BDP|1169144404797425843</stp>
        <tr r="I3754" s="2"/>
      </tp>
      <tp t="s">
        <v>#N/A N/A</v>
        <stp/>
        <stp>BDP|2175836520350574761</stp>
        <tr r="H1087" s="2"/>
      </tp>
      <tp t="s">
        <v>#N/A N/A</v>
        <stp/>
        <stp>BDP|8229111369637245795</stp>
        <tr r="A135" s="2"/>
      </tp>
      <tp t="s">
        <v>#N/A N/A</v>
        <stp/>
        <stp>BDP|1204478253229499637</stp>
        <tr r="F3758" s="2"/>
      </tp>
      <tp t="s">
        <v>#N/A N/A</v>
        <stp/>
        <stp>BDP|8973397048126125684</stp>
        <tr r="B51" s="2"/>
      </tp>
      <tp t="s">
        <v>#N/A N/A</v>
        <stp/>
        <stp>BDP|1198863170598416929</stp>
        <tr r="I1542" s="2"/>
      </tp>
      <tp t="s">
        <v>#N/A N/A</v>
        <stp/>
        <stp>BDP|9747013563340215062</stp>
        <tr r="H1583" s="2"/>
      </tp>
      <tp t="s">
        <v>#N/A N/A</v>
        <stp/>
        <stp>BDP|3416431821569305342</stp>
        <tr r="C1405" s="2"/>
      </tp>
      <tp t="s">
        <v>#N/A N/A</v>
        <stp/>
        <stp>BDP|8704000602754178357</stp>
        <tr r="G1698" s="2"/>
      </tp>
      <tp t="s">
        <v>#N/A N/A</v>
        <stp/>
        <stp>BDP|8118122586677161954</stp>
        <tr r="H615" s="2"/>
      </tp>
      <tp t="s">
        <v>#N/A N/A</v>
        <stp/>
        <stp>BDP|9676420135003848285</stp>
        <tr r="C1492" s="2"/>
      </tp>
      <tp t="s">
        <v>#N/A N/A</v>
        <stp/>
        <stp>BDP|2558279290854364204</stp>
        <tr r="B88" s="2"/>
      </tp>
      <tp t="s">
        <v>#N/A N/A</v>
        <stp/>
        <stp>BDP|1698558897000518279</stp>
        <tr r="C3796" s="2"/>
      </tp>
      <tp t="s">
        <v>#N/A N/A</v>
        <stp/>
        <stp>BDP|3934200029895165974</stp>
        <tr r="F3946" s="2"/>
      </tp>
      <tp t="s">
        <v>#N/A N/A</v>
        <stp/>
        <stp>BDP|8673142046036098425</stp>
        <tr r="I2437" s="2"/>
      </tp>
      <tp t="s">
        <v>#N/A N/A</v>
        <stp/>
        <stp>BDP|1995451973959992401</stp>
        <tr r="B2931" s="2"/>
      </tp>
      <tp t="s">
        <v>#N/A N/A</v>
        <stp/>
        <stp>BDP|7145631794812963593</stp>
        <tr r="A2838" s="2"/>
      </tp>
      <tp t="s">
        <v>#N/A N/A</v>
        <stp/>
        <stp>BDP|7786349465935002800</stp>
        <tr r="H4280" s="2"/>
      </tp>
      <tp t="s">
        <v>#N/A N/A</v>
        <stp/>
        <stp>BDP|2696323887465670331</stp>
        <tr r="F155" s="2"/>
      </tp>
      <tp t="s">
        <v>#N/A N/A</v>
        <stp/>
        <stp>BDP|6211639302699571601</stp>
        <tr r="H438" s="2"/>
      </tp>
      <tp t="s">
        <v>#N/A N/A</v>
        <stp/>
        <stp>BDP|5971571605989564681</stp>
        <tr r="D1156" s="2"/>
      </tp>
      <tp t="s">
        <v>#N/A N/A</v>
        <stp/>
        <stp>BDP|2268008847669115022</stp>
        <tr r="B3660" s="2"/>
      </tp>
      <tp t="s">
        <v>#N/A N/A</v>
        <stp/>
        <stp>BDP|9680243651328332961</stp>
        <tr r="A57" s="2"/>
      </tp>
      <tp t="s">
        <v>#N/A N/A</v>
        <stp/>
        <stp>BDP|3578513620789794250</stp>
        <tr r="C3225" s="2"/>
      </tp>
      <tp t="s">
        <v>#N/A N/A</v>
        <stp/>
        <stp>BDP|6779929345892651609</stp>
        <tr r="H2083" s="2"/>
      </tp>
      <tp t="s">
        <v>#N/A N/A</v>
        <stp/>
        <stp>BDP|7627872810379084871</stp>
        <tr r="G3967" s="2"/>
      </tp>
      <tp t="s">
        <v>#N/A N/A</v>
        <stp/>
        <stp>BDP|2031224348538566399</stp>
        <tr r="A2624" s="2"/>
      </tp>
      <tp t="s">
        <v>#N/A N/A</v>
        <stp/>
        <stp>BDP|9064162956594595635</stp>
        <tr r="F1147" s="2"/>
      </tp>
      <tp t="s">
        <v>#N/A N/A</v>
        <stp/>
        <stp>BDP|3172478686310656004</stp>
        <tr r="C3664" s="2"/>
      </tp>
      <tp t="s">
        <v>#N/A N/A</v>
        <stp/>
        <stp>BDP|1596257738318989778</stp>
        <tr r="A3005" s="2"/>
      </tp>
      <tp t="s">
        <v>#N/A N/A</v>
        <stp/>
        <stp>BDP|1782763682693034253</stp>
        <tr r="G2213" s="2"/>
      </tp>
      <tp t="s">
        <v>#N/A N/A</v>
        <stp/>
        <stp>BDP|8154751834963010061</stp>
        <tr r="F4309" s="2"/>
      </tp>
      <tp t="s">
        <v>#N/A N/A</v>
        <stp/>
        <stp>BDP|9791071698598632782</stp>
        <tr r="F4669" s="2"/>
      </tp>
      <tp t="s">
        <v>#N/A N/A</v>
        <stp/>
        <stp>BDP|3479928665401431214</stp>
        <tr r="C593" s="2"/>
      </tp>
      <tp t="s">
        <v>#N/A N/A</v>
        <stp/>
        <stp>BDP|7242549954009625123</stp>
        <tr r="B1822" s="2"/>
      </tp>
      <tp t="s">
        <v>#N/A N/A</v>
        <stp/>
        <stp>BDP|4339810130942274261</stp>
        <tr r="A62" s="2"/>
      </tp>
      <tp t="s">
        <v>#N/A N/A</v>
        <stp/>
        <stp>BDP|9698227337873694433</stp>
        <tr r="G1601" s="2"/>
      </tp>
      <tp t="s">
        <v>#N/A N/A</v>
        <stp/>
        <stp>BDP|7140504500229347449</stp>
        <tr r="I3958" s="2"/>
      </tp>
      <tp t="s">
        <v>#N/A N/A</v>
        <stp/>
        <stp>BDP|5705949552007138165</stp>
        <tr r="G3084" s="2"/>
      </tp>
      <tp t="s">
        <v>#N/A N/A</v>
        <stp/>
        <stp>BDP|8961020029637674229</stp>
        <tr r="H1739" s="2"/>
      </tp>
      <tp t="s">
        <v>#N/A N/A</v>
        <stp/>
        <stp>BDP|9201415233184628508</stp>
        <tr r="F3299" s="2"/>
      </tp>
      <tp t="s">
        <v>#N/A N/A</v>
        <stp/>
        <stp>BDP|2425269384157019005</stp>
        <tr r="D3511" s="2"/>
      </tp>
      <tp t="s">
        <v>#N/A N/A</v>
        <stp/>
        <stp>BDP|9834170668991761062</stp>
        <tr r="G2056" s="2"/>
      </tp>
      <tp t="s">
        <v>#N/A N/A</v>
        <stp/>
        <stp>BDP|9635393078871159303</stp>
        <tr r="H954" s="2"/>
      </tp>
      <tp t="s">
        <v>#N/A N/A</v>
        <stp/>
        <stp>BDP|9163063373933390214</stp>
        <tr r="B371" s="2"/>
      </tp>
      <tp t="s">
        <v>#N/A N/A</v>
        <stp/>
        <stp>BDP|6881525919875403814</stp>
        <tr r="I2298" s="2"/>
      </tp>
      <tp t="s">
        <v>#N/A N/A</v>
        <stp/>
        <stp>BDP|5326832814000743355</stp>
        <tr r="D3550" s="2"/>
      </tp>
      <tp t="s">
        <v>#N/A N/A</v>
        <stp/>
        <stp>BDP|2663885858179924991</stp>
        <tr r="A2659" s="2"/>
      </tp>
      <tp t="s">
        <v>#N/A N/A</v>
        <stp/>
        <stp>BDP|3109039922077013968</stp>
        <tr r="D1511" s="2"/>
      </tp>
      <tp t="s">
        <v>#N/A N/A</v>
        <stp/>
        <stp>BDP|1790118370989795171</stp>
        <tr r="I817" s="2"/>
      </tp>
      <tp t="s">
        <v>#N/A N/A</v>
        <stp/>
        <stp>BDP|3087940912962100611</stp>
        <tr r="H3217" s="2"/>
      </tp>
      <tp t="s">
        <v>#N/A N/A</v>
        <stp/>
        <stp>BDP|4374049743929278600</stp>
        <tr r="B3199" s="2"/>
      </tp>
      <tp t="s">
        <v>#N/A N/A</v>
        <stp/>
        <stp>BDP|8702514580352068801</stp>
        <tr r="G1799" s="2"/>
      </tp>
      <tp t="s">
        <v>#N/A N/A</v>
        <stp/>
        <stp>BDP|2476804355395357545</stp>
        <tr r="I2346" s="2"/>
      </tp>
      <tp t="s">
        <v>#N/A N/A</v>
        <stp/>
        <stp>BDP|5647844306372004020</stp>
        <tr r="G1423" s="2"/>
      </tp>
      <tp t="s">
        <v>#N/A N/A</v>
        <stp/>
        <stp>BDP|8721241316301320501</stp>
        <tr r="H4011" s="2"/>
      </tp>
      <tp t="s">
        <v>#N/A N/A</v>
        <stp/>
        <stp>BDP|5577450432364668921</stp>
        <tr r="D4391" s="2"/>
      </tp>
      <tp t="s">
        <v>#N/A N/A</v>
        <stp/>
        <stp>BDP|4974865525692857342</stp>
        <tr r="B2350" s="2"/>
      </tp>
      <tp t="s">
        <v>#N/A N/A</v>
        <stp/>
        <stp>BDP|5374269022073849999</stp>
        <tr r="G820" s="2"/>
      </tp>
      <tp t="s">
        <v>#N/A N/A</v>
        <stp/>
        <stp>BDP|3925970327600613797</stp>
        <tr r="C4726" s="2"/>
      </tp>
      <tp t="s">
        <v>#N/A N/A</v>
        <stp/>
        <stp>BDP|4733946817695707651</stp>
        <tr r="C3560" s="2"/>
      </tp>
      <tp t="s">
        <v>#N/A N/A</v>
        <stp/>
        <stp>BDP|3824905318285159172</stp>
        <tr r="H3101" s="2"/>
      </tp>
      <tp t="s">
        <v>#N/A N/A</v>
        <stp/>
        <stp>BDP|7157936656392249606</stp>
        <tr r="I3829" s="2"/>
      </tp>
      <tp t="s">
        <v>#N/A N/A</v>
        <stp/>
        <stp>BDP|3516951677204143604</stp>
        <tr r="C753" s="2"/>
      </tp>
      <tp t="s">
        <v>#N/A N/A</v>
        <stp/>
        <stp>BDP|5800276783090253081</stp>
        <tr r="H1793" s="2"/>
      </tp>
      <tp t="s">
        <v>#N/A N/A</v>
        <stp/>
        <stp>BDP|9097027617794030338</stp>
        <tr r="G2710" s="2"/>
      </tp>
      <tp t="s">
        <v>#N/A N/A</v>
        <stp/>
        <stp>BDP|8246415316484264611</stp>
        <tr r="H3088" s="2"/>
      </tp>
      <tp t="s">
        <v>#N/A N/A</v>
        <stp/>
        <stp>BDP|3630910443892096320</stp>
        <tr r="G4172" s="2"/>
      </tp>
      <tp t="s">
        <v>#N/A N/A</v>
        <stp/>
        <stp>BDP|6434473406555232813</stp>
        <tr r="D4611" s="2"/>
      </tp>
      <tp t="s">
        <v>#N/A N/A</v>
        <stp/>
        <stp>BDP|9576007368502812231</stp>
        <tr r="C1632" s="2"/>
      </tp>
      <tp t="s">
        <v>#N/A N/A</v>
        <stp/>
        <stp>BDP|8516447346433464451</stp>
        <tr r="G4339" s="2"/>
      </tp>
      <tp t="s">
        <v>#N/A N/A</v>
        <stp/>
        <stp>BDP|9639770549497749296</stp>
        <tr r="F4304" s="2"/>
      </tp>
      <tp t="s">
        <v>#N/A N/A</v>
        <stp/>
        <stp>BDP|1434165474459658162</stp>
        <tr r="H2715" s="2"/>
      </tp>
      <tp t="s">
        <v>#N/A N/A</v>
        <stp/>
        <stp>BDP|2930289796992907486</stp>
        <tr r="D4209" s="2"/>
      </tp>
      <tp t="s">
        <v>#N/A N/A</v>
        <stp/>
        <stp>BDP|4084806247767391024</stp>
        <tr r="H2632" s="2"/>
      </tp>
      <tp t="s">
        <v>#N/A N/A</v>
        <stp/>
        <stp>BDP|8693746024014623669</stp>
        <tr r="C1967" s="2"/>
      </tp>
      <tp t="s">
        <v>#N/A N/A</v>
        <stp/>
        <stp>BDP|7875630790413521485</stp>
        <tr r="I2922" s="2"/>
      </tp>
      <tp t="s">
        <v>#N/A N/A</v>
        <stp/>
        <stp>BDP|5141497259488106363</stp>
        <tr r="G2594" s="2"/>
      </tp>
      <tp t="s">
        <v>#N/A N/A</v>
        <stp/>
        <stp>BDP|4930597092477358071</stp>
        <tr r="G1005" s="2"/>
      </tp>
      <tp t="s">
        <v>#N/A N/A</v>
        <stp/>
        <stp>BDP|6492052392002789227</stp>
        <tr r="G4920" s="2"/>
      </tp>
      <tp t="s">
        <v>#N/A N/A</v>
        <stp/>
        <stp>BDP|6434743752713708833</stp>
        <tr r="F2054" s="2"/>
      </tp>
      <tp t="s">
        <v>#N/A N/A</v>
        <stp/>
        <stp>BDP|1334880134902183784</stp>
        <tr r="G2531" s="2"/>
      </tp>
      <tp t="s">
        <v>#N/A N/A</v>
        <stp/>
        <stp>BDP|5849912402385802653</stp>
        <tr r="F2501" s="2"/>
      </tp>
      <tp t="s">
        <v>#N/A N/A</v>
        <stp/>
        <stp>BDP|8412390138741070637</stp>
        <tr r="D1924" s="2"/>
      </tp>
      <tp t="s">
        <v>#N/A N/A</v>
        <stp/>
        <stp>BDP|5920891326659575954</stp>
        <tr r="A4930" s="2"/>
      </tp>
      <tp t="s">
        <v>#N/A N/A</v>
        <stp/>
        <stp>BDP|5512997675491757581</stp>
        <tr r="C3303" s="2"/>
      </tp>
      <tp t="s">
        <v>#N/A N/A</v>
        <stp/>
        <stp>BDP|8338263568993821022</stp>
        <tr r="A835" s="2"/>
      </tp>
      <tp t="s">
        <v>#N/A N/A</v>
        <stp/>
        <stp>BDP|8481709610552352308</stp>
        <tr r="I1849" s="2"/>
      </tp>
      <tp t="s">
        <v>#N/A N/A</v>
        <stp/>
        <stp>BDP|7882951031061339383</stp>
        <tr r="G489" s="2"/>
      </tp>
      <tp t="s">
        <v>#N/A N/A</v>
        <stp/>
        <stp>BDP|9696067546632678076</stp>
        <tr r="A94" s="2"/>
      </tp>
      <tp t="s">
        <v>#N/A N/A</v>
        <stp/>
        <stp>BDP|7347043419760892911</stp>
        <tr r="I4403" s="2"/>
      </tp>
      <tp t="s">
        <v>#N/A N/A</v>
        <stp/>
        <stp>BDP|8138612912780088056</stp>
        <tr r="I4575" s="2"/>
      </tp>
      <tp t="s">
        <v>#N/A N/A</v>
        <stp/>
        <stp>BDP|4613844647596294101</stp>
        <tr r="G476" s="2"/>
      </tp>
      <tp t="s">
        <v>#N/A N/A</v>
        <stp/>
        <stp>BDP|4007892365927983228</stp>
        <tr r="A4441" s="2"/>
      </tp>
      <tp t="s">
        <v>#N/A N/A</v>
        <stp/>
        <stp>BDP|9792302631651848792</stp>
        <tr r="C761" s="2"/>
      </tp>
      <tp t="s">
        <v>#N/A N/A</v>
        <stp/>
        <stp>BDP|1524553696887650576</stp>
        <tr r="H1896" s="2"/>
      </tp>
      <tp t="s">
        <v>#N/A N/A</v>
        <stp/>
        <stp>BDP|6071918351501646413</stp>
        <tr r="I2162" s="2"/>
      </tp>
      <tp t="s">
        <v>#N/A N/A</v>
        <stp/>
        <stp>BDP|4221996146034996230</stp>
        <tr r="B4121" s="2"/>
      </tp>
      <tp t="s">
        <v>#N/A N/A</v>
        <stp/>
        <stp>BDP|9400109573549377936</stp>
        <tr r="B2258" s="2"/>
      </tp>
      <tp t="s">
        <v>#N/A N/A</v>
        <stp/>
        <stp>BDP|7577192897512983255</stp>
        <tr r="G818" s="2"/>
      </tp>
      <tp t="s">
        <v>#N/A N/A</v>
        <stp/>
        <stp>BDP|7543519782827008218</stp>
        <tr r="H607" s="2"/>
      </tp>
      <tp t="s">
        <v>#N/A N/A</v>
        <stp/>
        <stp>BDP|6816896305081720049</stp>
        <tr r="A4122" s="2"/>
      </tp>
      <tp t="s">
        <v>#N/A N/A</v>
        <stp/>
        <stp>BDP|9487226834673311465</stp>
        <tr r="F1853" s="2"/>
      </tp>
      <tp t="s">
        <v>#N/A N/A</v>
        <stp/>
        <stp>BDP|3929888218090663583</stp>
        <tr r="C573" s="2"/>
      </tp>
      <tp t="s">
        <v>#N/A N/A</v>
        <stp/>
        <stp>BDP|5197125737200578866</stp>
        <tr r="D44" s="2"/>
      </tp>
      <tp t="s">
        <v>#N/A N/A</v>
        <stp/>
        <stp>BDP|7564414534219799606</stp>
        <tr r="B1605" s="2"/>
      </tp>
      <tp t="s">
        <v>#N/A N/A</v>
        <stp/>
        <stp>BDP|9793097168592852291</stp>
        <tr r="G1734" s="2"/>
      </tp>
      <tp t="s">
        <v>#N/A N/A</v>
        <stp/>
        <stp>BDP|4665685847351882866</stp>
        <tr r="G3545" s="2"/>
      </tp>
      <tp t="s">
        <v>#N/A N/A</v>
        <stp/>
        <stp>BDP|1697808293716702957</stp>
        <tr r="F4165" s="2"/>
      </tp>
      <tp t="s">
        <v>#N/A N/A</v>
        <stp/>
        <stp>BDP|7299519790664338074</stp>
        <tr r="D114" s="2"/>
      </tp>
      <tp t="s">
        <v>#N/A N/A</v>
        <stp/>
        <stp>BDP|6312544702689272505</stp>
        <tr r="A3134" s="2"/>
      </tp>
      <tp t="s">
        <v>#N/A N/A</v>
        <stp/>
        <stp>BDP|2710070743868218169</stp>
        <tr r="F3064" s="2"/>
      </tp>
      <tp t="s">
        <v>#N/A N/A</v>
        <stp/>
        <stp>BDP|4270549642722110828</stp>
        <tr r="B3118" s="2"/>
      </tp>
      <tp t="s">
        <v>#N/A N/A</v>
        <stp/>
        <stp>BDP|4310295526358265391</stp>
        <tr r="C4158" s="2"/>
      </tp>
      <tp t="s">
        <v>#N/A N/A</v>
        <stp/>
        <stp>BDP|5250589109596004949</stp>
        <tr r="I3567" s="2"/>
      </tp>
      <tp t="s">
        <v>#N/A N/A</v>
        <stp/>
        <stp>BDP|5477266183086046665</stp>
        <tr r="C2108" s="2"/>
      </tp>
      <tp t="s">
        <v>#N/A N/A</v>
        <stp/>
        <stp>BDP|1125673728839994303</stp>
        <tr r="I384" s="2"/>
      </tp>
      <tp t="s">
        <v>#N/A N/A</v>
        <stp/>
        <stp>BDP|9285454917615108669</stp>
        <tr r="G1882" s="2"/>
      </tp>
      <tp t="s">
        <v>#N/A N/A</v>
        <stp/>
        <stp>BDP|2569927556052618303</stp>
        <tr r="C980" s="2"/>
      </tp>
      <tp t="s">
        <v>#N/A N/A</v>
        <stp/>
        <stp>BDP|5134130784170096318</stp>
        <tr r="B4535" s="2"/>
      </tp>
      <tp t="s">
        <v>#N/A N/A</v>
        <stp/>
        <stp>BDP|9214701737475508777</stp>
        <tr r="C3702" s="2"/>
      </tp>
      <tp t="s">
        <v>#N/A N/A</v>
        <stp/>
        <stp>BDP|4356992147894883224</stp>
        <tr r="B280" s="2"/>
      </tp>
      <tp t="s">
        <v>#N/A N/A</v>
        <stp/>
        <stp>BDP|6138468431378893692</stp>
        <tr r="H788" s="2"/>
      </tp>
      <tp t="s">
        <v>#N/A N/A</v>
        <stp/>
        <stp>BDP|6970084554055759955</stp>
        <tr r="F525" s="2"/>
      </tp>
      <tp t="s">
        <v>#N/A N/A</v>
        <stp/>
        <stp>BDP|1577840252291258262</stp>
        <tr r="I890" s="2"/>
      </tp>
      <tp t="s">
        <v>#N/A N/A</v>
        <stp/>
        <stp>BDP|7240400048429917143</stp>
        <tr r="C192" s="2"/>
      </tp>
      <tp t="s">
        <v>#N/A N/A</v>
        <stp/>
        <stp>BDP|8830836530239450580</stp>
        <tr r="H3129" s="2"/>
      </tp>
      <tp t="s">
        <v>#N/A N/A</v>
        <stp/>
        <stp>BDP|8114850044439110266</stp>
        <tr r="D3860" s="2"/>
      </tp>
      <tp t="s">
        <v>#N/A N/A</v>
        <stp/>
        <stp>BDP|6130843912245603560</stp>
        <tr r="I2307" s="2"/>
      </tp>
      <tp t="s">
        <v>#N/A N/A</v>
        <stp/>
        <stp>BDP|7679176750474152872</stp>
        <tr r="G4758" s="2"/>
      </tp>
      <tp t="s">
        <v>#N/A N/A</v>
        <stp/>
        <stp>BDP|9030033223822586625</stp>
        <tr r="F1554" s="2"/>
      </tp>
      <tp t="s">
        <v>#N/A N/A</v>
        <stp/>
        <stp>BDP|9340913473740330856</stp>
        <tr r="D1418" s="2"/>
      </tp>
      <tp t="s">
        <v>#N/A N/A</v>
        <stp/>
        <stp>BDP|8590875280970268776</stp>
        <tr r="I1052" s="2"/>
      </tp>
      <tp t="s">
        <v>#N/A N/A</v>
        <stp/>
        <stp>BDP|6477124581591475144</stp>
        <tr r="I4549" s="2"/>
      </tp>
      <tp t="s">
        <v>#N/A N/A</v>
        <stp/>
        <stp>BDP|7362497425607938911</stp>
        <tr r="A4822" s="2"/>
      </tp>
      <tp t="s">
        <v>#N/A N/A</v>
        <stp/>
        <stp>BDP|9412083623327948310</stp>
        <tr r="A3182" s="2"/>
      </tp>
      <tp t="s">
        <v>#N/A N/A</v>
        <stp/>
        <stp>BDP|3761551861727272862</stp>
        <tr r="F3843" s="2"/>
      </tp>
      <tp t="s">
        <v>#N/A N/A</v>
        <stp/>
        <stp>BDP|6563264489584416793</stp>
        <tr r="I2750" s="2"/>
      </tp>
      <tp t="s">
        <v>#N/A N/A</v>
        <stp/>
        <stp>BDP|7558635646732474835</stp>
        <tr r="H2241" s="2"/>
      </tp>
      <tp t="s">
        <v>#N/A N/A</v>
        <stp/>
        <stp>BDP|8797312374760499310</stp>
        <tr r="C1025" s="2"/>
      </tp>
      <tp t="s">
        <v>#N/A N/A</v>
        <stp/>
        <stp>BDP|2594667234399188111</stp>
        <tr r="F2313" s="2"/>
      </tp>
      <tp t="s">
        <v>#N/A N/A</v>
        <stp/>
        <stp>BDP|8122424620386121753</stp>
        <tr r="I4009" s="2"/>
      </tp>
      <tp t="s">
        <v>#N/A N/A</v>
        <stp/>
        <stp>BDP|7120200584681794359</stp>
        <tr r="G2206" s="2"/>
      </tp>
      <tp t="s">
        <v>#N/A N/A</v>
        <stp/>
        <stp>BDP|3594541405338447178</stp>
        <tr r="H2663" s="2"/>
      </tp>
      <tp t="s">
        <v>#N/A N/A</v>
        <stp/>
        <stp>BDP|7545557392200112447</stp>
        <tr r="C934" s="2"/>
      </tp>
      <tp t="s">
        <v>#N/A N/A</v>
        <stp/>
        <stp>BDP|7741638180671583765</stp>
        <tr r="B1141" s="2"/>
      </tp>
      <tp t="s">
        <v>#N/A N/A</v>
        <stp/>
        <stp>BDP|5650266682713012352</stp>
        <tr r="A1899" s="2"/>
      </tp>
      <tp t="s">
        <v>#N/A N/A</v>
        <stp/>
        <stp>BDP|6011422717615714953</stp>
        <tr r="D908" s="2"/>
      </tp>
      <tp t="s">
        <v>#N/A N/A</v>
        <stp/>
        <stp>BDP|3544855539790784799</stp>
        <tr r="B3513" s="2"/>
      </tp>
      <tp t="s">
        <v>#N/A N/A</v>
        <stp/>
        <stp>BDP|8216771862615559355</stp>
        <tr r="F897" s="2"/>
      </tp>
      <tp t="s">
        <v>#N/A N/A</v>
        <stp/>
        <stp>BDP|7321511782770563524</stp>
        <tr r="B3927" s="2"/>
      </tp>
      <tp t="s">
        <v>#N/A N/A</v>
        <stp/>
        <stp>BDP|3205711090431015342</stp>
        <tr r="I1515" s="2"/>
      </tp>
      <tp t="s">
        <v>#N/A N/A</v>
        <stp/>
        <stp>BDP|6692136516330711904</stp>
        <tr r="B1824" s="2"/>
      </tp>
      <tp t="s">
        <v>#N/A N/A</v>
        <stp/>
        <stp>BDP|1207254969759821328</stp>
        <tr r="C1596" s="2"/>
      </tp>
      <tp t="s">
        <v>#N/A N/A</v>
        <stp/>
        <stp>BDP|6227205182797299461</stp>
        <tr r="F830" s="2"/>
      </tp>
      <tp t="s">
        <v>#N/A N/A</v>
        <stp/>
        <stp>BDP|7897771698227704142</stp>
        <tr r="C4171" s="2"/>
      </tp>
      <tp t="s">
        <v>#N/A N/A</v>
        <stp/>
        <stp>BDP|2135868541794629546</stp>
        <tr r="A1889" s="2"/>
      </tp>
      <tp t="s">
        <v>#N/A N/A</v>
        <stp/>
        <stp>BDP|7669989071012274490</stp>
        <tr r="I4095" s="2"/>
      </tp>
      <tp t="s">
        <v>#N/A N/A</v>
        <stp/>
        <stp>BDP|8706201175493650108</stp>
        <tr r="I3259" s="2"/>
      </tp>
      <tp t="s">
        <v>#N/A N/A</v>
        <stp/>
        <stp>BDP|6613446997803241733</stp>
        <tr r="D2930" s="2"/>
      </tp>
      <tp t="s">
        <v>#N/A N/A</v>
        <stp/>
        <stp>BDP|2787480199089462965</stp>
        <tr r="B427" s="2"/>
      </tp>
      <tp t="s">
        <v>#N/A N/A</v>
        <stp/>
        <stp>BDP|7091115334642749865</stp>
        <tr r="H3794" s="2"/>
      </tp>
      <tp t="s">
        <v>#N/A N/A</v>
        <stp/>
        <stp>BDP|9992422409512668003</stp>
        <tr r="H3542" s="2"/>
      </tp>
      <tp t="s">
        <v>#N/A N/A</v>
        <stp/>
        <stp>BDP|8592390929963799563</stp>
        <tr r="F4471" s="2"/>
      </tp>
      <tp t="s">
        <v>#N/A N/A</v>
        <stp/>
        <stp>BDP|9105436476862701774</stp>
        <tr r="B4101" s="2"/>
      </tp>
      <tp t="s">
        <v>#N/A N/A</v>
        <stp/>
        <stp>BDP|8585480309836894583</stp>
        <tr r="B458" s="2"/>
      </tp>
      <tp t="s">
        <v>#N/A N/A</v>
        <stp/>
        <stp>BDP|6114626163189380074</stp>
        <tr r="D720" s="2"/>
      </tp>
      <tp t="s">
        <v>#N/A N/A</v>
        <stp/>
        <stp>BDP|8600906930978413564</stp>
        <tr r="F4119" s="2"/>
      </tp>
      <tp t="s">
        <v>#N/A N/A</v>
        <stp/>
        <stp>BDP|3328162653578062029</stp>
        <tr r="B346" s="2"/>
      </tp>
      <tp t="s">
        <v>#N/A N/A</v>
        <stp/>
        <stp>BDP|9021010765431795172</stp>
        <tr r="A4810" s="2"/>
      </tp>
      <tp t="s">
        <v>#N/A N/A</v>
        <stp/>
        <stp>BDP|9343686629144271649</stp>
        <tr r="C1947" s="2"/>
      </tp>
      <tp t="s">
        <v>#N/A N/A</v>
        <stp/>
        <stp>BDP|9681951405478723752</stp>
        <tr r="H2432" s="2"/>
      </tp>
      <tp t="s">
        <v>#N/A N/A</v>
        <stp/>
        <stp>BDP|6659937229533885102</stp>
        <tr r="C777" s="2"/>
      </tp>
      <tp t="s">
        <v>#N/A N/A</v>
        <stp/>
        <stp>BDP|9172771912201011108</stp>
        <tr r="B742" s="2"/>
      </tp>
      <tp t="s">
        <v>#N/A N/A</v>
        <stp/>
        <stp>BDP|9448340750575482504</stp>
        <tr r="A4609" s="2"/>
      </tp>
      <tp t="s">
        <v>#N/A N/A</v>
        <stp/>
        <stp>BDP|4655016673568427448</stp>
        <tr r="F191" s="2"/>
      </tp>
      <tp t="s">
        <v>#N/A N/A</v>
        <stp/>
        <stp>BDP|7651425857509184061</stp>
        <tr r="D3160" s="2"/>
      </tp>
      <tp t="s">
        <v>#N/A N/A</v>
        <stp/>
        <stp>BDP|3998687754659624676</stp>
        <tr r="H4732" s="2"/>
      </tp>
      <tp t="s">
        <v>#N/A N/A</v>
        <stp/>
        <stp>BDP|1761587870149847538</stp>
        <tr r="G218" s="2"/>
      </tp>
      <tp t="s">
        <v>#N/A N/A</v>
        <stp/>
        <stp>BDP|3889437223699463380</stp>
        <tr r="B816" s="2"/>
      </tp>
      <tp t="s">
        <v>#N/A N/A</v>
        <stp/>
        <stp>BDP|9586184552252895038</stp>
        <tr r="A3137" s="2"/>
      </tp>
      <tp t="s">
        <v>#N/A N/A</v>
        <stp/>
        <stp>BDP|7317405976622595944</stp>
        <tr r="F2999" s="2"/>
      </tp>
      <tp t="s">
        <v>#N/A N/A</v>
        <stp/>
        <stp>BDP|1393847496848514709</stp>
        <tr r="B3731" s="2"/>
      </tp>
      <tp t="s">
        <v>#N/A N/A</v>
        <stp/>
        <stp>BDP|3942570289802072335</stp>
        <tr r="G1974" s="2"/>
      </tp>
      <tp t="s">
        <v>#N/A N/A</v>
        <stp/>
        <stp>BDP|7574275047897714965</stp>
        <tr r="D1842" s="2"/>
      </tp>
      <tp t="s">
        <v>#N/A N/A</v>
        <stp/>
        <stp>BDP|8431701360616076002</stp>
        <tr r="G1812" s="2"/>
      </tp>
      <tp t="s">
        <v>#N/A N/A</v>
        <stp/>
        <stp>BDP|9464278407214644069</stp>
        <tr r="G1178" s="2"/>
      </tp>
      <tp t="s">
        <v>#N/A N/A</v>
        <stp/>
        <stp>BDP|1602471495431835287</stp>
        <tr r="C3882" s="2"/>
      </tp>
      <tp t="s">
        <v>#N/A N/A</v>
        <stp/>
        <stp>BDP|7710038698720976118</stp>
        <tr r="D222" s="2"/>
      </tp>
      <tp t="s">
        <v>#N/A N/A</v>
        <stp/>
        <stp>BDP|5450509779888932006</stp>
        <tr r="C4513" s="2"/>
      </tp>
      <tp t="s">
        <v>#N/A N/A</v>
        <stp/>
        <stp>BDP|3148640321510665866</stp>
        <tr r="D2148" s="2"/>
      </tp>
      <tp t="s">
        <v>#N/A N/A</v>
        <stp/>
        <stp>BDP|6140943110336167702</stp>
        <tr r="G4443" s="2"/>
      </tp>
      <tp t="s">
        <v>#N/A N/A</v>
        <stp/>
        <stp>BDP|2302972175732331166</stp>
        <tr r="F2874" s="2"/>
      </tp>
      <tp t="s">
        <v>#N/A N/A</v>
        <stp/>
        <stp>BDP|6245520615578329523</stp>
        <tr r="C3496" s="2"/>
      </tp>
      <tp t="s">
        <v>#N/A N/A</v>
        <stp/>
        <stp>BDP|8088311306992152626</stp>
        <tr r="I3469" s="2"/>
      </tp>
      <tp t="s">
        <v>#N/A N/A</v>
        <stp/>
        <stp>BDP|1420869822662190657</stp>
        <tr r="G1860" s="2"/>
      </tp>
      <tp t="s">
        <v>#N/A N/A</v>
        <stp/>
        <stp>BDP|9801655591181176890</stp>
        <tr r="C3901" s="2"/>
      </tp>
      <tp t="s">
        <v>#N/A N/A</v>
        <stp/>
        <stp>BDP|4610593427349564595</stp>
        <tr r="H1007" s="2"/>
      </tp>
      <tp t="s">
        <v>#N/A N/A</v>
        <stp/>
        <stp>BDP|3512111421188358726</stp>
        <tr r="I4997" s="2"/>
      </tp>
      <tp t="s">
        <v>#N/A N/A</v>
        <stp/>
        <stp>BDP|4814243874496444880</stp>
        <tr r="F4992" s="2"/>
      </tp>
      <tp t="s">
        <v>#N/A N/A</v>
        <stp/>
        <stp>BDP|1273480323611945940</stp>
        <tr r="A821" s="2"/>
      </tp>
      <tp t="s">
        <v>#N/A N/A</v>
        <stp/>
        <stp>BDP|6287436707455592876</stp>
        <tr r="F3113" s="2"/>
      </tp>
      <tp t="s">
        <v>#N/A N/A</v>
        <stp/>
        <stp>BDP|2430287028105361836</stp>
        <tr r="B2944" s="2"/>
      </tp>
      <tp t="s">
        <v>#N/A N/A</v>
        <stp/>
        <stp>BDP|3575422288026337683</stp>
        <tr r="B2930" s="2"/>
      </tp>
      <tp t="s">
        <v>#N/A N/A</v>
        <stp/>
        <stp>BDP|2333243661320674941</stp>
        <tr r="A1987" s="2"/>
      </tp>
      <tp t="s">
        <v>#N/A N/A</v>
        <stp/>
        <stp>BDP|1019655256624206957</stp>
        <tr r="H316" s="2"/>
      </tp>
      <tp t="s">
        <v>#N/A N/A</v>
        <stp/>
        <stp>BDP|2612227279089177184</stp>
        <tr r="B3277" s="2"/>
      </tp>
      <tp t="s">
        <v>#N/A N/A</v>
        <stp/>
        <stp>BDP|5654810003341975395</stp>
        <tr r="F3452" s="2"/>
      </tp>
      <tp t="s">
        <v>#N/A N/A</v>
        <stp/>
        <stp>BDP|2459469634882550875</stp>
        <tr r="G1395" s="2"/>
      </tp>
      <tp t="s">
        <v>#N/A N/A</v>
        <stp/>
        <stp>BDP|7790546783570480506</stp>
        <tr r="D1803" s="2"/>
      </tp>
      <tp t="s">
        <v>#N/A N/A</v>
        <stp/>
        <stp>BDP|5286470596806072173</stp>
        <tr r="C2435" s="2"/>
      </tp>
      <tp t="s">
        <v>#N/A N/A</v>
        <stp/>
        <stp>BDP|8643013056040324261</stp>
        <tr r="F3899" s="2"/>
      </tp>
      <tp t="s">
        <v>#N/A N/A</v>
        <stp/>
        <stp>BDP|8133481319797437502</stp>
        <tr r="G2507" s="2"/>
      </tp>
      <tp t="s">
        <v>#N/A N/A</v>
        <stp/>
        <stp>BDP|8530401341015436246</stp>
        <tr r="B3100" s="2"/>
      </tp>
      <tp t="s">
        <v>#N/A N/A</v>
        <stp/>
        <stp>BDP|8162118396979156635</stp>
        <tr r="B66" s="2"/>
      </tp>
      <tp t="s">
        <v>#N/A N/A</v>
        <stp/>
        <stp>BDP|8968236530186665080</stp>
        <tr r="H928" s="2"/>
      </tp>
      <tp t="s">
        <v>#N/A N/A</v>
        <stp/>
        <stp>BDP|1576917784407572814</stp>
        <tr r="H2643" s="2"/>
      </tp>
      <tp t="s">
        <v>#N/A N/A</v>
        <stp/>
        <stp>BDP|2411205214358615621</stp>
        <tr r="I1194" s="2"/>
      </tp>
      <tp t="s">
        <v>#N/A N/A</v>
        <stp/>
        <stp>BDP|4039941694312562910</stp>
        <tr r="D585" s="2"/>
      </tp>
      <tp t="s">
        <v>#N/A N/A</v>
        <stp/>
        <stp>BDP|5123914234187217721</stp>
        <tr r="D1510" s="2"/>
      </tp>
      <tp t="s">
        <v>#N/A N/A</v>
        <stp/>
        <stp>BDP|8652089728930458567</stp>
        <tr r="B946" s="2"/>
      </tp>
      <tp t="s">
        <v>#N/A N/A</v>
        <stp/>
        <stp>BDP|5738505835715209946</stp>
        <tr r="F465" s="2"/>
      </tp>
      <tp t="s">
        <v>#N/A N/A</v>
        <stp/>
        <stp>BDP|3452803455944118549</stp>
        <tr r="C4144" s="2"/>
      </tp>
      <tp t="s">
        <v>#N/A N/A</v>
        <stp/>
        <stp>BDP|7258640515606657911</stp>
        <tr r="A2356" s="2"/>
      </tp>
      <tp t="s">
        <v>#N/A N/A</v>
        <stp/>
        <stp>BDP|8746721621022718073</stp>
        <tr r="H4121" s="2"/>
      </tp>
      <tp t="s">
        <v>#N/A N/A</v>
        <stp/>
        <stp>BDP|4310083909502662906</stp>
        <tr r="B1811" s="2"/>
      </tp>
      <tp t="s">
        <v>#N/A N/A</v>
        <stp/>
        <stp>BDP|3352010487600673472</stp>
        <tr r="G4134" s="2"/>
      </tp>
      <tp t="s">
        <v>#N/A N/A</v>
        <stp/>
        <stp>BDP|9026041572205525475</stp>
        <tr r="C2504" s="2"/>
      </tp>
      <tp t="s">
        <v>#N/A N/A</v>
        <stp/>
        <stp>BDP|6438925840240233401</stp>
        <tr r="G2196" s="2"/>
      </tp>
      <tp t="s">
        <v>#N/A N/A</v>
        <stp/>
        <stp>BDP|6622866840067332271</stp>
        <tr r="B4070" s="2"/>
      </tp>
      <tp t="s">
        <v>#N/A N/A</v>
        <stp/>
        <stp>BDP|6110312882775247746</stp>
        <tr r="I4406" s="2"/>
      </tp>
      <tp t="s">
        <v>#N/A N/A</v>
        <stp/>
        <stp>BDP|2837540568816334820</stp>
        <tr r="A1052" s="2"/>
      </tp>
      <tp t="s">
        <v>#N/A N/A</v>
        <stp/>
        <stp>BDP|8227409665127353217</stp>
        <tr r="B1184" s="2"/>
      </tp>
      <tp t="s">
        <v>#N/A N/A</v>
        <stp/>
        <stp>BDP|9397349847037581600</stp>
        <tr r="H4174" s="2"/>
      </tp>
      <tp t="s">
        <v>#N/A N/A</v>
        <stp/>
        <stp>BDP|5302539822179004470</stp>
        <tr r="A3577" s="2"/>
      </tp>
      <tp t="s">
        <v>#N/A N/A</v>
        <stp/>
        <stp>BDP|4011623467458754378</stp>
        <tr r="D1151" s="2"/>
      </tp>
      <tp t="s">
        <v>#N/A N/A</v>
        <stp/>
        <stp>BDP|7019459096264387159</stp>
        <tr r="H3962" s="2"/>
      </tp>
      <tp t="s">
        <v>#N/A N/A</v>
        <stp/>
        <stp>BDP|9521320560856235503</stp>
        <tr r="F4110" s="2"/>
      </tp>
      <tp t="s">
        <v>#N/A N/A</v>
        <stp/>
        <stp>BDP|8870870729439301409</stp>
        <tr r="D525" s="2"/>
      </tp>
      <tp t="s">
        <v>#N/A N/A</v>
        <stp/>
        <stp>BDP|8220537301955447712</stp>
        <tr r="A4730" s="2"/>
      </tp>
      <tp t="s">
        <v>#N/A N/A</v>
        <stp/>
        <stp>BDP|6286617731445306941</stp>
        <tr r="C2609" s="2"/>
      </tp>
      <tp t="s">
        <v>#N/A N/A</v>
        <stp/>
        <stp>BDP|9552569773697285378</stp>
        <tr r="H1223" s="2"/>
      </tp>
      <tp t="s">
        <v>#N/A N/A</v>
        <stp/>
        <stp>BDP|7692478169188921248</stp>
        <tr r="H3873" s="2"/>
      </tp>
      <tp t="s">
        <v>#N/A N/A</v>
        <stp/>
        <stp>BDP|3794902575315325747</stp>
        <tr r="H2735" s="2"/>
      </tp>
      <tp t="s">
        <v>#N/A N/A</v>
        <stp/>
        <stp>BDP|6015147356824572924</stp>
        <tr r="I2899" s="2"/>
      </tp>
      <tp t="s">
        <v>#N/A N/A</v>
        <stp/>
        <stp>BDP|9761339565331646225</stp>
        <tr r="D4307" s="2"/>
      </tp>
      <tp t="s">
        <v>#N/A N/A</v>
        <stp/>
        <stp>BDP|2271649740066233910</stp>
        <tr r="H2276" s="2"/>
      </tp>
      <tp t="s">
        <v>#N/A N/A</v>
        <stp/>
        <stp>BDP|2828557285657963748</stp>
        <tr r="B4899" s="2"/>
      </tp>
      <tp t="s">
        <v>#N/A N/A</v>
        <stp/>
        <stp>BDP|1579577106969066212</stp>
        <tr r="F4419" s="2"/>
      </tp>
      <tp t="s">
        <v>#N/A N/A</v>
        <stp/>
        <stp>BDP|6407424493895283129</stp>
        <tr r="G595" s="2"/>
      </tp>
      <tp t="s">
        <v>#N/A N/A</v>
        <stp/>
        <stp>BDP|3540999816255968165</stp>
        <tr r="D887" s="2"/>
      </tp>
      <tp t="s">
        <v>#N/A N/A</v>
        <stp/>
        <stp>BDP|6667274724579780073</stp>
        <tr r="G1156" s="2"/>
      </tp>
      <tp t="s">
        <v>#N/A N/A</v>
        <stp/>
        <stp>BDP|3047575794457695700</stp>
        <tr r="H4087" s="2"/>
      </tp>
      <tp t="s">
        <v>#N/A N/A</v>
        <stp/>
        <stp>BDP|2787285583475067293</stp>
        <tr r="A2462" s="2"/>
      </tp>
      <tp t="s">
        <v>#N/A N/A</v>
        <stp/>
        <stp>BDP|4517176895833278007</stp>
        <tr r="F168" s="2"/>
      </tp>
      <tp t="s">
        <v>#N/A N/A</v>
        <stp/>
        <stp>BDP|5431246870447088856</stp>
        <tr r="I1927" s="2"/>
      </tp>
      <tp t="s">
        <v>#N/A N/A</v>
        <stp/>
        <stp>BDP|1614486238569386005</stp>
        <tr r="F4127" s="2"/>
      </tp>
      <tp t="s">
        <v>#N/A N/A</v>
        <stp/>
        <stp>BDP|9587035677065476405</stp>
        <tr r="A4820" s="2"/>
      </tp>
      <tp t="s">
        <v>#N/A N/A</v>
        <stp/>
        <stp>BDP|3005761095965051762</stp>
        <tr r="B2854" s="2"/>
      </tp>
      <tp t="s">
        <v>#N/A N/A</v>
        <stp/>
        <stp>BDP|2950928553090460194</stp>
        <tr r="H430" s="2"/>
      </tp>
      <tp t="s">
        <v>#N/A N/A</v>
        <stp/>
        <stp>BDP|2281767630479269032</stp>
        <tr r="C453" s="2"/>
      </tp>
      <tp t="s">
        <v>#N/A N/A</v>
        <stp/>
        <stp>BDP|5692300898373364383</stp>
        <tr r="A1118" s="2"/>
      </tp>
      <tp t="s">
        <v>#N/A N/A</v>
        <stp/>
        <stp>BDP|5234934565897133203</stp>
        <tr r="B3752" s="2"/>
      </tp>
      <tp t="s">
        <v>#N/A N/A</v>
        <stp/>
        <stp>BDP|6970691482772177568</stp>
        <tr r="D1235" s="2"/>
      </tp>
      <tp t="s">
        <v>#N/A N/A</v>
        <stp/>
        <stp>BDP|9206938142488032361</stp>
        <tr r="B2341" s="2"/>
      </tp>
      <tp t="s">
        <v>#N/A N/A</v>
        <stp/>
        <stp>BDP|3825089390163678633</stp>
        <tr r="B4477" s="2"/>
      </tp>
      <tp t="s">
        <v>#N/A N/A</v>
        <stp/>
        <stp>BDP|6339910314989730848</stp>
        <tr r="A1845" s="2"/>
      </tp>
      <tp t="s">
        <v>#N/A N/A</v>
        <stp/>
        <stp>BDP|9138834223695781938</stp>
        <tr r="H3746" s="2"/>
      </tp>
      <tp t="s">
        <v>#N/A N/A</v>
        <stp/>
        <stp>BDP|7801016945198148482</stp>
        <tr r="C1296" s="2"/>
      </tp>
      <tp t="s">
        <v>#N/A N/A</v>
        <stp/>
        <stp>BDP|6321217925370265901</stp>
        <tr r="A1259" s="2"/>
      </tp>
      <tp t="s">
        <v>#N/A N/A</v>
        <stp/>
        <stp>BDP|6408645162588195169</stp>
        <tr r="G3596" s="2"/>
      </tp>
      <tp t="s">
        <v>#N/A N/A</v>
        <stp/>
        <stp>BDP|1013574319173251991</stp>
        <tr r="G1377" s="2"/>
      </tp>
      <tp t="s">
        <v>#N/A N/A</v>
        <stp/>
        <stp>BDP|2428940220480134645</stp>
        <tr r="D4736" s="2"/>
      </tp>
      <tp t="s">
        <v>#N/A N/A</v>
        <stp/>
        <stp>BDP|3023255627058067471</stp>
        <tr r="D2089" s="2"/>
      </tp>
      <tp t="s">
        <v>#N/A N/A</v>
        <stp/>
        <stp>BDP|3445282300016866810</stp>
        <tr r="F3700" s="2"/>
      </tp>
      <tp t="s">
        <v>#N/A N/A</v>
        <stp/>
        <stp>BDP|2335226397470093638</stp>
        <tr r="D81" s="2"/>
      </tp>
      <tp t="s">
        <v>#N/A N/A</v>
        <stp/>
        <stp>BDP|4016619092821207540</stp>
        <tr r="B4081" s="2"/>
      </tp>
      <tp t="s">
        <v>#N/A N/A</v>
        <stp/>
        <stp>BDP|9994435708976477432</stp>
        <tr r="B4846" s="2"/>
      </tp>
      <tp t="s">
        <v>#N/A N/A</v>
        <stp/>
        <stp>BDP|3653060952419687019</stp>
        <tr r="G907" s="2"/>
      </tp>
      <tp t="s">
        <v>#N/A N/A</v>
        <stp/>
        <stp>BDP|4632292908668150132</stp>
        <tr r="I935" s="2"/>
      </tp>
      <tp t="s">
        <v>#N/A N/A</v>
        <stp/>
        <stp>BDP|4045738951620580922</stp>
        <tr r="B232" s="2"/>
      </tp>
      <tp t="s">
        <v>#N/A N/A</v>
        <stp/>
        <stp>BDP|1085550293991586369</stp>
        <tr r="B4712" s="2"/>
      </tp>
      <tp t="s">
        <v>#N/A N/A</v>
        <stp/>
        <stp>BDP|8262554134880623108</stp>
        <tr r="B3331" s="2"/>
      </tp>
      <tp t="s">
        <v>#N/A N/A</v>
        <stp/>
        <stp>BDP|2439294510189175792</stp>
        <tr r="F4858" s="2"/>
      </tp>
      <tp t="s">
        <v>#N/A N/A</v>
        <stp/>
        <stp>BDP|4455950583719610310</stp>
        <tr r="H1991" s="2"/>
      </tp>
      <tp t="s">
        <v>#N/A N/A</v>
        <stp/>
        <stp>BDP|1437702727199514232</stp>
        <tr r="B1270" s="2"/>
      </tp>
      <tp t="s">
        <v>#N/A N/A</v>
        <stp/>
        <stp>BDP|9391579726262119360</stp>
        <tr r="I854" s="2"/>
      </tp>
      <tp t="s">
        <v>#N/A N/A</v>
        <stp/>
        <stp>BDP|5375901025544597568</stp>
        <tr r="I3491" s="2"/>
      </tp>
      <tp t="s">
        <v>#N/A N/A</v>
        <stp/>
        <stp>BDP|6118151937449123274</stp>
        <tr r="I2320" s="2"/>
      </tp>
      <tp t="s">
        <v>#N/A N/A</v>
        <stp/>
        <stp>BDP|8673116503231727763</stp>
        <tr r="A1599" s="2"/>
      </tp>
      <tp t="s">
        <v>#N/A N/A</v>
        <stp/>
        <stp>BDP|9396888288200126673</stp>
        <tr r="C2989" s="2"/>
      </tp>
      <tp t="s">
        <v>#N/A N/A</v>
        <stp/>
        <stp>BDP|4701339895470482107</stp>
        <tr r="H4919" s="2"/>
      </tp>
      <tp t="s">
        <v>#N/A N/A</v>
        <stp/>
        <stp>BDP|5386254622278959289</stp>
        <tr r="B3062" s="2"/>
      </tp>
      <tp t="s">
        <v>#N/A N/A</v>
        <stp/>
        <stp>BDP|9421644409793916352</stp>
        <tr r="H2724" s="2"/>
      </tp>
      <tp t="s">
        <v>#N/A N/A</v>
        <stp/>
        <stp>BDP|4188637906839959480</stp>
        <tr r="I4556" s="2"/>
      </tp>
      <tp t="s">
        <v>#N/A N/A</v>
        <stp/>
        <stp>BDP|8450370536183166410</stp>
        <tr r="F1164" s="2"/>
      </tp>
      <tp t="s">
        <v>#N/A N/A</v>
        <stp/>
        <stp>BDP|1941300442310870965</stp>
        <tr r="C99" s="2"/>
      </tp>
      <tp t="s">
        <v>#N/A N/A</v>
        <stp/>
        <stp>BDP|9223338152321356159</stp>
        <tr r="F3550" s="2"/>
      </tp>
      <tp t="s">
        <v>#N/A N/A</v>
        <stp/>
        <stp>BDP|6763575649070569890</stp>
        <tr r="G1852" s="2"/>
      </tp>
      <tp t="s">
        <v>#N/A N/A</v>
        <stp/>
        <stp>BDP|2257844264364462730</stp>
        <tr r="B2089" s="2"/>
      </tp>
      <tp t="s">
        <v>#N/A N/A</v>
        <stp/>
        <stp>BDP|4757436586627032072</stp>
        <tr r="B4473" s="2"/>
      </tp>
      <tp t="s">
        <v>#N/A N/A</v>
        <stp/>
        <stp>BDP|4853969439853711251</stp>
        <tr r="F2688" s="2"/>
      </tp>
      <tp t="s">
        <v>#N/A N/A</v>
        <stp/>
        <stp>BDP|8305411517054509655</stp>
        <tr r="A3591" s="2"/>
      </tp>
      <tp t="s">
        <v>#N/A N/A</v>
        <stp/>
        <stp>BDP|7630341088472652194</stp>
        <tr r="D4321" s="2"/>
      </tp>
      <tp t="s">
        <v>#N/A N/A</v>
        <stp/>
        <stp>BDP|4165916936390412175</stp>
        <tr r="I1086" s="2"/>
      </tp>
      <tp t="s">
        <v>#N/A N/A</v>
        <stp/>
        <stp>BDP|5451427814208518726</stp>
        <tr r="H119" s="2"/>
      </tp>
      <tp t="s">
        <v>#N/A N/A</v>
        <stp/>
        <stp>BDP|6139403784090106517</stp>
        <tr r="B214" s="2"/>
      </tp>
      <tp t="s">
        <v>#N/A N/A</v>
        <stp/>
        <stp>BDP|1119741531639910380</stp>
        <tr r="D213" s="2"/>
      </tp>
      <tp t="s">
        <v>#N/A N/A</v>
        <stp/>
        <stp>BDP|7640554365652329903</stp>
        <tr r="G3745" s="2"/>
      </tp>
      <tp t="s">
        <v>#N/A N/A</v>
        <stp/>
        <stp>BDP|7598074031082538939</stp>
        <tr r="A804" s="2"/>
      </tp>
      <tp t="s">
        <v>#N/A N/A</v>
        <stp/>
        <stp>BDP|4179331884781642152</stp>
        <tr r="H4850" s="2"/>
      </tp>
      <tp t="s">
        <v>#N/A N/A</v>
        <stp/>
        <stp>BDP|2489345006997224910</stp>
        <tr r="A3026" s="2"/>
      </tp>
      <tp t="s">
        <v>#N/A N/A</v>
        <stp/>
        <stp>BDP|3340210599353647485</stp>
        <tr r="G919" s="2"/>
      </tp>
      <tp t="s">
        <v>#N/A N/A</v>
        <stp/>
        <stp>BDP|6783138623269624346</stp>
        <tr r="C4057" s="2"/>
      </tp>
      <tp t="s">
        <v>#N/A N/A</v>
        <stp/>
        <stp>BDP|4288060151306786875</stp>
        <tr r="A1617" s="2"/>
      </tp>
      <tp t="s">
        <v>#N/A N/A</v>
        <stp/>
        <stp>BDP|1026122830645622912</stp>
        <tr r="C3169" s="2"/>
      </tp>
      <tp t="s">
        <v>#N/A N/A</v>
        <stp/>
        <stp>BDP|8417879495961989050</stp>
        <tr r="I4378" s="2"/>
      </tp>
      <tp t="s">
        <v>#N/A N/A</v>
        <stp/>
        <stp>BDP|3865142997925204634</stp>
        <tr r="I2403" s="2"/>
      </tp>
      <tp t="s">
        <v>#N/A N/A</v>
        <stp/>
        <stp>BDP|6982648197778562959</stp>
        <tr r="B3259" s="2"/>
      </tp>
      <tp t="s">
        <v>#N/A N/A</v>
        <stp/>
        <stp>BDP|2238709422179947637</stp>
        <tr r="D469" s="2"/>
      </tp>
      <tp t="s">
        <v>#N/A N/A</v>
        <stp/>
        <stp>BDP|4387195547588307140</stp>
        <tr r="G1182" s="2"/>
      </tp>
      <tp t="s">
        <v>#N/A N/A</v>
        <stp/>
        <stp>BDP|2630000110182426988</stp>
        <tr r="A1446" s="2"/>
      </tp>
      <tp t="s">
        <v>#N/A N/A</v>
        <stp/>
        <stp>BDP|5381163657699816004</stp>
        <tr r="C3828" s="2"/>
      </tp>
      <tp t="s">
        <v>#N/A N/A</v>
        <stp/>
        <stp>BDP|9595132215612932304</stp>
        <tr r="I1532" s="2"/>
      </tp>
      <tp t="s">
        <v>#N/A N/A</v>
        <stp/>
        <stp>BDP|1019386893691139208</stp>
        <tr r="G614" s="2"/>
      </tp>
      <tp t="s">
        <v>#N/A N/A</v>
        <stp/>
        <stp>BDP|9406414998595185963</stp>
        <tr r="D1023" s="2"/>
      </tp>
      <tp t="s">
        <v>#N/A N/A</v>
        <stp/>
        <stp>BDP|3998832114016337472</stp>
        <tr r="I1135" s="2"/>
      </tp>
      <tp t="s">
        <v>#N/A N/A</v>
        <stp/>
        <stp>BDP|7410379515344577991</stp>
        <tr r="G2216" s="2"/>
      </tp>
      <tp t="s">
        <v>#N/A N/A</v>
        <stp/>
        <stp>BDP|4082882636001575610</stp>
        <tr r="C3214" s="2"/>
      </tp>
      <tp t="s">
        <v>#N/A N/A</v>
        <stp/>
        <stp>BDP|9287057713340977076</stp>
        <tr r="H363" s="2"/>
      </tp>
      <tp t="s">
        <v>#N/A N/A</v>
        <stp/>
        <stp>BDP|7097860810501411780</stp>
        <tr r="B1697" s="2"/>
      </tp>
      <tp t="s">
        <v>#N/A N/A</v>
        <stp/>
        <stp>BDP|3616872639886420664</stp>
        <tr r="D4535" s="2"/>
      </tp>
      <tp t="s">
        <v>#N/A N/A</v>
        <stp/>
        <stp>BDP|9397809760966940901</stp>
        <tr r="C810" s="2"/>
      </tp>
      <tp t="s">
        <v>#N/A N/A</v>
        <stp/>
        <stp>BDP|9082281221496579766</stp>
        <tr r="A276" s="2"/>
      </tp>
      <tp t="s">
        <v>#N/A N/A</v>
        <stp/>
        <stp>BDP|1195002324618904361</stp>
        <tr r="I2819" s="2"/>
      </tp>
      <tp t="s">
        <v>#N/A N/A</v>
        <stp/>
        <stp>BDP|9783492760512397179</stp>
        <tr r="G2285" s="2"/>
      </tp>
      <tp t="s">
        <v>#N/A N/A</v>
        <stp/>
        <stp>BDP|8093632408304300226</stp>
        <tr r="G4805" s="2"/>
      </tp>
      <tp t="s">
        <v>#N/A N/A</v>
        <stp/>
        <stp>BDP|9896767003517710104</stp>
        <tr r="A2128" s="2"/>
      </tp>
      <tp t="s">
        <v>#N/A N/A</v>
        <stp/>
        <stp>BDP|7236773790092968368</stp>
        <tr r="D2679" s="2"/>
      </tp>
      <tp t="s">
        <v>#N/A N/A</v>
        <stp/>
        <stp>BDP|2780217578269471604</stp>
        <tr r="F4084" s="2"/>
      </tp>
      <tp t="s">
        <v>#N/A N/A</v>
        <stp/>
        <stp>BDP|6612802958921605224</stp>
        <tr r="H1988" s="2"/>
      </tp>
      <tp t="s">
        <v>#N/A N/A</v>
        <stp/>
        <stp>BDP|5079081254559383155</stp>
        <tr r="H4305" s="2"/>
      </tp>
      <tp t="s">
        <v>#N/A N/A</v>
        <stp/>
        <stp>BDP|8806126678071873700</stp>
        <tr r="D3979" s="2"/>
      </tp>
      <tp t="s">
        <v>#N/A N/A</v>
        <stp/>
        <stp>BDP|4034720252316821823</stp>
        <tr r="I4185" s="2"/>
      </tp>
      <tp t="s">
        <v>#N/A N/A</v>
        <stp/>
        <stp>BDP|3055077558086071854</stp>
        <tr r="G2596" s="2"/>
      </tp>
      <tp t="s">
        <v>#N/A N/A</v>
        <stp/>
        <stp>BDP|9028185640402045626</stp>
        <tr r="D1161" s="2"/>
      </tp>
      <tp t="s">
        <v>#N/A N/A</v>
        <stp/>
        <stp>BDP|4949236981805295333</stp>
        <tr r="A1820" s="2"/>
      </tp>
      <tp t="s">
        <v>#N/A N/A</v>
        <stp/>
        <stp>BDP|5636496714138961082</stp>
        <tr r="F4659" s="2"/>
      </tp>
      <tp t="s">
        <v>#N/A N/A</v>
        <stp/>
        <stp>BDP|9030444938025718316</stp>
        <tr r="C3685" s="2"/>
      </tp>
      <tp t="s">
        <v>#N/A N/A</v>
        <stp/>
        <stp>BDP|9714552959592119307</stp>
        <tr r="I4134" s="2"/>
      </tp>
      <tp t="s">
        <v>#N/A N/A</v>
        <stp/>
        <stp>BDP|9163389033228448949</stp>
        <tr r="D1452" s="2"/>
      </tp>
      <tp t="s">
        <v>#N/A N/A</v>
        <stp/>
        <stp>BDP|8231810930378819312</stp>
        <tr r="A3103" s="2"/>
      </tp>
      <tp t="s">
        <v>#N/A N/A</v>
        <stp/>
        <stp>BDP|3620952914382931143</stp>
        <tr r="G137" s="2"/>
      </tp>
      <tp t="s">
        <v>#N/A N/A</v>
        <stp/>
        <stp>BDP|5789184303448023469</stp>
        <tr r="H3312" s="2"/>
      </tp>
      <tp t="s">
        <v>#N/A N/A</v>
        <stp/>
        <stp>BDP|1841998718371245019</stp>
        <tr r="B621" s="2"/>
      </tp>
      <tp t="s">
        <v>#N/A N/A</v>
        <stp/>
        <stp>BDP|8690536255726282682</stp>
        <tr r="H2476" s="2"/>
      </tp>
      <tp t="s">
        <v>#N/A N/A</v>
        <stp/>
        <stp>BDP|9977195196439817045</stp>
        <tr r="G360" s="2"/>
      </tp>
      <tp t="s">
        <v>#N/A N/A</v>
        <stp/>
        <stp>BDP|1923822252255561161</stp>
        <tr r="A4558" s="2"/>
      </tp>
      <tp t="s">
        <v>#N/A N/A</v>
        <stp/>
        <stp>BDP|8752682134966630378</stp>
        <tr r="A3374" s="2"/>
      </tp>
      <tp t="s">
        <v>#N/A N/A</v>
        <stp/>
        <stp>BDP|6062520033570318887</stp>
        <tr r="B3949" s="2"/>
      </tp>
      <tp t="s">
        <v>#N/A N/A</v>
        <stp/>
        <stp>BDP|7837664774936991893</stp>
        <tr r="D859" s="2"/>
      </tp>
      <tp t="s">
        <v>#N/A N/A</v>
        <stp/>
        <stp>BDP|1742904027107241582</stp>
        <tr r="C1772" s="2"/>
      </tp>
      <tp t="s">
        <v>#N/A N/A</v>
        <stp/>
        <stp>BDP|1387525888546470278</stp>
        <tr r="A39" s="2"/>
      </tp>
      <tp t="s">
        <v>#N/A N/A</v>
        <stp/>
        <stp>BDP|7226439528999721047</stp>
        <tr r="B2071" s="2"/>
      </tp>
      <tp t="s">
        <v>#N/A N/A</v>
        <stp/>
        <stp>BDP|5030322914096545993</stp>
        <tr r="B2565" s="2"/>
      </tp>
      <tp t="s">
        <v>#N/A N/A</v>
        <stp/>
        <stp>BDP|4995522778579814719</stp>
        <tr r="C4524" s="2"/>
      </tp>
      <tp t="s">
        <v>#N/A N/A</v>
        <stp/>
        <stp>BDP|7622781002529522132</stp>
        <tr r="G4966" s="2"/>
      </tp>
      <tp t="s">
        <v>#N/A N/A</v>
        <stp/>
        <stp>BDP|1114610159469256309</stp>
        <tr r="D2294" s="2"/>
      </tp>
      <tp t="s">
        <v>#N/A N/A</v>
        <stp/>
        <stp>BDP|9886999108888313011</stp>
        <tr r="A1498" s="2"/>
      </tp>
      <tp t="s">
        <v>#N/A N/A</v>
        <stp/>
        <stp>BDP|7260530570888963531</stp>
        <tr r="C1918" s="2"/>
      </tp>
      <tp t="s">
        <v>#N/A N/A</v>
        <stp/>
        <stp>BDP|5442697131801541927</stp>
        <tr r="I1491" s="2"/>
      </tp>
      <tp t="s">
        <v>#N/A N/A</v>
        <stp/>
        <stp>BDP|6390634699414584579</stp>
        <tr r="H472" s="2"/>
      </tp>
      <tp t="s">
        <v>#N/A N/A</v>
        <stp/>
        <stp>BDP|5965416963878497749</stp>
        <tr r="G2035" s="2"/>
      </tp>
      <tp t="s">
        <v>#N/A N/A</v>
        <stp/>
        <stp>BDP|9912608716235034343</stp>
        <tr r="I574" s="2"/>
      </tp>
      <tp t="s">
        <v>#N/A N/A</v>
        <stp/>
        <stp>BDP|9910411662340991381</stp>
        <tr r="H1788" s="2"/>
      </tp>
      <tp t="s">
        <v>#N/A N/A</v>
        <stp/>
        <stp>BDP|7607907837165297084</stp>
        <tr r="I355" s="2"/>
      </tp>
      <tp t="s">
        <v>#N/A N/A</v>
        <stp/>
        <stp>BDP|7265397498887103292</stp>
        <tr r="A232" s="2"/>
      </tp>
      <tp t="s">
        <v>#N/A N/A</v>
        <stp/>
        <stp>BDP|7234970153393497092</stp>
        <tr r="A3751" s="2"/>
      </tp>
      <tp t="s">
        <v>#N/A N/A</v>
        <stp/>
        <stp>BDP|7866977824722458649</stp>
        <tr r="B3800" s="2"/>
      </tp>
      <tp t="s">
        <v>#N/A N/A</v>
        <stp/>
        <stp>BDP|2467478358822044908</stp>
        <tr r="G2968" s="2"/>
      </tp>
      <tp t="s">
        <v>#N/A N/A</v>
        <stp/>
        <stp>BDP|6580681046048466445</stp>
        <tr r="I2059" s="2"/>
      </tp>
      <tp t="s">
        <v>#N/A N/A</v>
        <stp/>
        <stp>BDP|4149886463963065117</stp>
        <tr r="B2850" s="2"/>
      </tp>
      <tp t="s">
        <v>#N/A N/A</v>
        <stp/>
        <stp>BDP|5640988124791973786</stp>
        <tr r="F4641" s="2"/>
      </tp>
      <tp t="s">
        <v>#N/A N/A</v>
        <stp/>
        <stp>BDP|7445656847879803457</stp>
        <tr r="C53" s="2"/>
      </tp>
      <tp t="s">
        <v>#N/A N/A</v>
        <stp/>
        <stp>BDP|7776600553188892472</stp>
        <tr r="I2093" s="2"/>
      </tp>
      <tp t="s">
        <v>#N/A N/A</v>
        <stp/>
        <stp>BDP|6634559796177679580</stp>
        <tr r="B1366" s="2"/>
      </tp>
      <tp t="s">
        <v>#N/A N/A</v>
        <stp/>
        <stp>BDP|7076671788517069649</stp>
        <tr r="F1100" s="2"/>
      </tp>
      <tp t="s">
        <v>#N/A N/A</v>
        <stp/>
        <stp>BDP|6170164029385583804</stp>
        <tr r="G2566" s="2"/>
      </tp>
      <tp t="s">
        <v>#N/A N/A</v>
        <stp/>
        <stp>BDP|9867173106857618740</stp>
        <tr r="G4080" s="2"/>
      </tp>
      <tp t="s">
        <v>#N/A N/A</v>
        <stp/>
        <stp>BDP|2780917034635027594</stp>
        <tr r="F991" s="2"/>
      </tp>
      <tp t="s">
        <v>#N/A N/A</v>
        <stp/>
        <stp>BDP|4585944178697137536</stp>
        <tr r="I698" s="2"/>
      </tp>
      <tp t="s">
        <v>#N/A N/A</v>
        <stp/>
        <stp>BDP|1238212316042664888</stp>
        <tr r="C4345" s="2"/>
      </tp>
      <tp t="s">
        <v>#N/A N/A</v>
        <stp/>
        <stp>BDP|7183697298661245193</stp>
        <tr r="I651" s="2"/>
      </tp>
      <tp t="s">
        <v>#N/A N/A</v>
        <stp/>
        <stp>BDP|2219932543410801719</stp>
        <tr r="C1965" s="2"/>
      </tp>
      <tp t="s">
        <v>#N/A N/A</v>
        <stp/>
        <stp>BDP|5169403042955074885</stp>
        <tr r="H4030" s="2"/>
      </tp>
      <tp t="s">
        <v>#N/A N/A</v>
        <stp/>
        <stp>BDP|4699672485165852771</stp>
        <tr r="B1818" s="2"/>
      </tp>
      <tp t="s">
        <v>#N/A N/A</v>
        <stp/>
        <stp>BDP|6738582854169714770</stp>
        <tr r="G2755" s="2"/>
      </tp>
      <tp t="s">
        <v>#N/A N/A</v>
        <stp/>
        <stp>BDP|8369587375114229673</stp>
        <tr r="B983" s="2"/>
      </tp>
      <tp t="s">
        <v>#N/A N/A</v>
        <stp/>
        <stp>BDP|2756840713202242192</stp>
        <tr r="F1803" s="2"/>
      </tp>
      <tp t="s">
        <v>#N/A N/A</v>
        <stp/>
        <stp>BDP|6905878885227923999</stp>
        <tr r="D1746" s="2"/>
      </tp>
      <tp t="s">
        <v>#N/A N/A</v>
        <stp/>
        <stp>BDP|8998315521943764252</stp>
        <tr r="C4861" s="2"/>
      </tp>
      <tp t="s">
        <v>#N/A N/A</v>
        <stp/>
        <stp>BDP|9704584854784459547</stp>
        <tr r="I2744" s="2"/>
      </tp>
      <tp t="s">
        <v>#N/A N/A</v>
        <stp/>
        <stp>BDP|5861034390134925091</stp>
        <tr r="I843" s="2"/>
      </tp>
      <tp t="s">
        <v>#N/A N/A</v>
        <stp/>
        <stp>BDP|8963724318516864001</stp>
        <tr r="G3531" s="2"/>
      </tp>
      <tp t="s">
        <v>#N/A N/A</v>
        <stp/>
        <stp>BDP|5852611081522631152</stp>
        <tr r="D1895" s="2"/>
      </tp>
      <tp t="s">
        <v>#N/A N/A</v>
        <stp/>
        <stp>BDP|2768822157461063696</stp>
        <tr r="B3067" s="2"/>
      </tp>
      <tp t="s">
        <v>#N/A N/A</v>
        <stp/>
        <stp>BDP|7538755463706161897</stp>
        <tr r="I4189" s="2"/>
      </tp>
      <tp t="s">
        <v>#N/A N/A</v>
        <stp/>
        <stp>BDP|9450674999426903885</stp>
        <tr r="I193" s="2"/>
      </tp>
      <tp t="s">
        <v>#N/A N/A</v>
        <stp/>
        <stp>BDP|9946633473115349512</stp>
        <tr r="F2646" s="2"/>
      </tp>
      <tp t="s">
        <v>#N/A N/A</v>
        <stp/>
        <stp>BDP|2648368825839927275</stp>
        <tr r="C2264" s="2"/>
      </tp>
      <tp t="s">
        <v>#N/A N/A</v>
        <stp/>
        <stp>BDP|4625440140125171987</stp>
        <tr r="I1598" s="2"/>
      </tp>
      <tp t="s">
        <v>#N/A N/A</v>
        <stp/>
        <stp>BDP|9986134446903040772</stp>
        <tr r="I441" s="2"/>
      </tp>
      <tp t="s">
        <v>#N/A N/A</v>
        <stp/>
        <stp>BDP|6277419190595093681</stp>
        <tr r="G1569" s="2"/>
      </tp>
      <tp t="s">
        <v>#N/A N/A</v>
        <stp/>
        <stp>BDP|8483001564887311183</stp>
        <tr r="A907" s="2"/>
      </tp>
      <tp t="s">
        <v>#N/A N/A</v>
        <stp/>
        <stp>BDP|4745891116832780747</stp>
        <tr r="B915" s="2"/>
      </tp>
      <tp t="s">
        <v>#N/A N/A</v>
        <stp/>
        <stp>BDP|7131361147598353080</stp>
        <tr r="D2178" s="2"/>
      </tp>
      <tp t="s">
        <v>#N/A N/A</v>
        <stp/>
        <stp>BDP|1450995297719905082</stp>
        <tr r="I2671" s="2"/>
      </tp>
      <tp t="s">
        <v>#N/A N/A</v>
        <stp/>
        <stp>BDP|3860216791499026933</stp>
        <tr r="C3482" s="2"/>
      </tp>
      <tp t="s">
        <v>#N/A N/A</v>
        <stp/>
        <stp>BDP|1664890745037757267</stp>
        <tr r="C174" s="2"/>
      </tp>
      <tp t="s">
        <v>#N/A N/A</v>
        <stp/>
        <stp>BDP|7684679099223777340</stp>
        <tr r="F109" s="2"/>
      </tp>
      <tp t="s">
        <v>#N/A N/A</v>
        <stp/>
        <stp>BDP|1201409490700085491</stp>
        <tr r="F3701" s="2"/>
      </tp>
      <tp t="s">
        <v>#N/A N/A</v>
        <stp/>
        <stp>BDP|8846312952135300330</stp>
        <tr r="A196" s="2"/>
      </tp>
      <tp t="s">
        <v>#N/A N/A</v>
        <stp/>
        <stp>BDP|7859381043801836908</stp>
        <tr r="B3103" s="2"/>
      </tp>
      <tp t="s">
        <v>#N/A N/A</v>
        <stp/>
        <stp>BDP|3218731031238201795</stp>
        <tr r="G4872" s="2"/>
      </tp>
      <tp t="s">
        <v>#N/A N/A</v>
        <stp/>
        <stp>BDP|9104283292299214327</stp>
        <tr r="C622" s="2"/>
      </tp>
      <tp t="s">
        <v>#N/A N/A</v>
        <stp/>
        <stp>BDP|8462288046812986488</stp>
        <tr r="H1651" s="2"/>
      </tp>
      <tp t="s">
        <v>#N/A N/A</v>
        <stp/>
        <stp>BDP|3909895814276691498</stp>
        <tr r="G223" s="2"/>
      </tp>
      <tp t="s">
        <v>#N/A N/A</v>
        <stp/>
        <stp>BDP|5091367798501387665</stp>
        <tr r="B3304" s="2"/>
      </tp>
      <tp t="s">
        <v>#N/A N/A</v>
        <stp/>
        <stp>BDP|1863714905736602813</stp>
        <tr r="H2173" s="2"/>
      </tp>
      <tp t="s">
        <v>#N/A N/A</v>
        <stp/>
        <stp>BDP|4770865810827025291</stp>
        <tr r="F2375" s="2"/>
      </tp>
      <tp t="s">
        <v>#N/A N/A</v>
        <stp/>
        <stp>BDP|7523195944199868389</stp>
        <tr r="D4377" s="2"/>
      </tp>
      <tp t="s">
        <v>#N/A N/A</v>
        <stp/>
        <stp>BDP|6351094859893290898</stp>
        <tr r="D50" s="2"/>
      </tp>
      <tp t="s">
        <v>#N/A N/A</v>
        <stp/>
        <stp>BDP|4716040652998050195</stp>
        <tr r="H3172" s="2"/>
      </tp>
      <tp t="s">
        <v>#N/A N/A</v>
        <stp/>
        <stp>BDP|9598253718517219525</stp>
        <tr r="I1996" s="2"/>
      </tp>
      <tp t="s">
        <v>#N/A N/A</v>
        <stp/>
        <stp>BDP|3625863542642394595</stp>
        <tr r="H168" s="2"/>
      </tp>
      <tp t="s">
        <v>#N/A N/A</v>
        <stp/>
        <stp>BDP|9589206728698135940</stp>
        <tr r="F4150" s="2"/>
      </tp>
      <tp t="s">
        <v>#N/A N/A</v>
        <stp/>
        <stp>BDP|3829588196704852363</stp>
        <tr r="F1148" s="2"/>
      </tp>
      <tp t="s">
        <v>#N/A N/A</v>
        <stp/>
        <stp>BDP|2364699865038664212</stp>
        <tr r="C4871" s="2"/>
      </tp>
      <tp t="s">
        <v>#N/A N/A</v>
        <stp/>
        <stp>BDP|5688603886155112691</stp>
        <tr r="D2282" s="2"/>
      </tp>
      <tp t="s">
        <v>#N/A N/A</v>
        <stp/>
        <stp>BDP|9159218166445707093</stp>
        <tr r="B436" s="2"/>
      </tp>
      <tp t="s">
        <v>#N/A N/A</v>
        <stp/>
        <stp>BDP|3874058856496701846</stp>
        <tr r="A4404" s="2"/>
      </tp>
      <tp t="s">
        <v>#N/A N/A</v>
        <stp/>
        <stp>BDP|5187276741172772985</stp>
        <tr r="C4696" s="2"/>
      </tp>
      <tp t="s">
        <v>#N/A N/A</v>
        <stp/>
        <stp>BDP|9044741104810056685</stp>
        <tr r="G4701" s="2"/>
      </tp>
      <tp t="s">
        <v>#N/A N/A</v>
        <stp/>
        <stp>BDP|9057861839563596925</stp>
        <tr r="H2340" s="2"/>
      </tp>
      <tp t="s">
        <v>#N/A N/A</v>
        <stp/>
        <stp>BDP|7171169608987227959</stp>
        <tr r="D3593" s="2"/>
      </tp>
      <tp t="s">
        <v>#N/A N/A</v>
        <stp/>
        <stp>BDP|9933759764796428640</stp>
        <tr r="H2830" s="2"/>
      </tp>
      <tp t="s">
        <v>#N/A N/A</v>
        <stp/>
        <stp>BDP|9994705150114904782</stp>
        <tr r="A844" s="2"/>
      </tp>
      <tp t="s">
        <v>#N/A N/A</v>
        <stp/>
        <stp>BDP|9083704177020822170</stp>
        <tr r="B4914" s="2"/>
      </tp>
      <tp t="s">
        <v>#N/A N/A</v>
        <stp/>
        <stp>BDP|1689407314478823427</stp>
        <tr r="I4755" s="2"/>
      </tp>
      <tp t="s">
        <v>#N/A N/A</v>
        <stp/>
        <stp>BDP|2514880723138578839</stp>
        <tr r="I2855" s="2"/>
      </tp>
      <tp t="s">
        <v>#N/A N/A</v>
        <stp/>
        <stp>BDP|3850985593128212391</stp>
        <tr r="G3220" s="2"/>
      </tp>
      <tp t="s">
        <v>#N/A N/A</v>
        <stp/>
        <stp>BDP|3716297751145657913</stp>
        <tr r="C4359" s="2"/>
      </tp>
      <tp t="s">
        <v>#N/A N/A</v>
        <stp/>
        <stp>BDP|8549699315077087014</stp>
        <tr r="F403" s="2"/>
      </tp>
      <tp t="s">
        <v>#N/A N/A</v>
        <stp/>
        <stp>BDP|6033142389806595100</stp>
        <tr r="A2504" s="2"/>
      </tp>
      <tp t="s">
        <v>#N/A N/A</v>
        <stp/>
        <stp>BDP|5323996540725612542</stp>
        <tr r="G2719" s="2"/>
      </tp>
      <tp t="s">
        <v>#N/A N/A</v>
        <stp/>
        <stp>BDP|6542634572149491688</stp>
        <tr r="C2858" s="2"/>
      </tp>
      <tp t="s">
        <v>#N/A N/A</v>
        <stp/>
        <stp>BDP|3736874896079928376</stp>
        <tr r="F946" s="2"/>
      </tp>
      <tp t="s">
        <v>#N/A N/A</v>
        <stp/>
        <stp>BDP|4921566671016759812</stp>
        <tr r="B3264" s="2"/>
      </tp>
      <tp t="s">
        <v>#N/A N/A</v>
        <stp/>
        <stp>BDP|4893219895537741032</stp>
        <tr r="G3135" s="2"/>
      </tp>
      <tp t="s">
        <v>#N/A N/A</v>
        <stp/>
        <stp>BDP|5518608803209692280</stp>
        <tr r="A4869" s="2"/>
      </tp>
      <tp t="s">
        <v>#N/A N/A</v>
        <stp/>
        <stp>BDP|9525464021380822725</stp>
        <tr r="I1666" s="2"/>
      </tp>
      <tp t="s">
        <v>#N/A N/A</v>
        <stp/>
        <stp>BDP|3547012303702766982</stp>
        <tr r="F4055" s="2"/>
      </tp>
      <tp t="s">
        <v>#N/A N/A</v>
        <stp/>
        <stp>BDP|9573179119039623859</stp>
        <tr r="F4123" s="2"/>
      </tp>
      <tp t="s">
        <v>#N/A N/A</v>
        <stp/>
        <stp>BDP|5160269154779945329</stp>
        <tr r="I2098" s="2"/>
      </tp>
      <tp t="s">
        <v>#N/A N/A</v>
        <stp/>
        <stp>BDP|8548558960713183096</stp>
        <tr r="B3047" s="2"/>
      </tp>
      <tp t="s">
        <v>#N/A N/A</v>
        <stp/>
        <stp>BDP|1235136877168615780</stp>
        <tr r="D635" s="2"/>
      </tp>
      <tp t="s">
        <v>#N/A N/A</v>
        <stp/>
        <stp>BDP|4858958504842620772</stp>
        <tr r="D617" s="2"/>
      </tp>
      <tp t="s">
        <v>#N/A N/A</v>
        <stp/>
        <stp>BDP|2418084902589472322</stp>
        <tr r="B2002" s="2"/>
      </tp>
      <tp t="s">
        <v>#N/A N/A</v>
        <stp/>
        <stp>BDP|4237298502429985783</stp>
        <tr r="D347" s="2"/>
      </tp>
      <tp t="s">
        <v>#N/A N/A</v>
        <stp/>
        <stp>BDP|3709599826455303939</stp>
        <tr r="C4098" s="2"/>
      </tp>
      <tp t="s">
        <v>#N/A N/A</v>
        <stp/>
        <stp>BDP|5845967134647717050</stp>
        <tr r="A1010" s="2"/>
      </tp>
      <tp t="s">
        <v>#N/A N/A</v>
        <stp/>
        <stp>BDP|2995426516006191942</stp>
        <tr r="D1635" s="2"/>
      </tp>
      <tp t="s">
        <v>#N/A N/A</v>
        <stp/>
        <stp>BDP|9925838403920775963</stp>
        <tr r="F2584" s="2"/>
      </tp>
      <tp t="s">
        <v>#N/A N/A</v>
        <stp/>
        <stp>BDP|6037593390653521143</stp>
        <tr r="F1740" s="2"/>
      </tp>
      <tp t="s">
        <v>#N/A N/A</v>
        <stp/>
        <stp>BDP|8162092326663175172</stp>
        <tr r="B3454" s="2"/>
      </tp>
      <tp t="s">
        <v>#N/A N/A</v>
        <stp/>
        <stp>BDP|8913432257710432110</stp>
        <tr r="A2837" s="2"/>
      </tp>
      <tp t="s">
        <v>#N/A N/A</v>
        <stp/>
        <stp>BDP|8872688679390881193</stp>
        <tr r="G1137" s="2"/>
      </tp>
      <tp t="s">
        <v>#N/A N/A</v>
        <stp/>
        <stp>BDP|2406611884503831710</stp>
        <tr r="A281" s="2"/>
      </tp>
      <tp t="s">
        <v>#N/A N/A</v>
        <stp/>
        <stp>BDP|3719450068348626147</stp>
        <tr r="B3622" s="2"/>
      </tp>
      <tp t="s">
        <v>#N/A N/A</v>
        <stp/>
        <stp>BDP|8457786656904444668</stp>
        <tr r="B483" s="2"/>
      </tp>
      <tp t="s">
        <v>#N/A N/A</v>
        <stp/>
        <stp>BDP|5177535363316072890</stp>
        <tr r="F2058" s="2"/>
      </tp>
      <tp t="s">
        <v>#N/A N/A</v>
        <stp/>
        <stp>BDP|7476689542344456931</stp>
        <tr r="C3577" s="2"/>
      </tp>
      <tp t="s">
        <v>#N/A N/A</v>
        <stp/>
        <stp>BDP|1800184439262489947</stp>
        <tr r="B3056" s="2"/>
      </tp>
      <tp t="s">
        <v>#N/A N/A</v>
        <stp/>
        <stp>BDP|9389965591727905643</stp>
        <tr r="D4785" s="2"/>
      </tp>
      <tp t="s">
        <v>#N/A N/A</v>
        <stp/>
        <stp>BDP|7769274979943031900</stp>
        <tr r="D2835" s="2"/>
      </tp>
      <tp t="s">
        <v>#N/A N/A</v>
        <stp/>
        <stp>BDP|9895337012405125610</stp>
        <tr r="I1220" s="2"/>
      </tp>
      <tp t="s">
        <v>#N/A N/A</v>
        <stp/>
        <stp>BDP|4059080100754485852</stp>
        <tr r="A2615" s="2"/>
      </tp>
      <tp t="s">
        <v>#N/A N/A</v>
        <stp/>
        <stp>BDP|6890795221203149882</stp>
        <tr r="C3753" s="2"/>
      </tp>
      <tp t="s">
        <v>#N/A N/A</v>
        <stp/>
        <stp>BDP|7465796291868101943</stp>
        <tr r="B52" s="2"/>
      </tp>
      <tp t="s">
        <v>#N/A N/A</v>
        <stp/>
        <stp>BDP|5259488596293524306</stp>
        <tr r="F3775" s="2"/>
      </tp>
      <tp t="s">
        <v>#N/A N/A</v>
        <stp/>
        <stp>BDP|7945466891460457238</stp>
        <tr r="I492" s="2"/>
      </tp>
      <tp t="s">
        <v>#N/A N/A</v>
        <stp/>
        <stp>BDP|1997618917326384851</stp>
        <tr r="F4919" s="2"/>
      </tp>
      <tp t="s">
        <v>#N/A N/A</v>
        <stp/>
        <stp>BDP|2720463288680793675</stp>
        <tr r="B3212" s="2"/>
      </tp>
      <tp t="s">
        <v>#N/A N/A</v>
        <stp/>
        <stp>BDP|5852312398800805705</stp>
        <tr r="B4396" s="2"/>
      </tp>
      <tp t="s">
        <v>#N/A N/A</v>
        <stp/>
        <stp>BDP|9815683279769564959</stp>
        <tr r="H321" s="2"/>
      </tp>
      <tp t="s">
        <v>#N/A N/A</v>
        <stp/>
        <stp>BDP|1065552140811943952</stp>
        <tr r="D860" s="2"/>
      </tp>
      <tp t="s">
        <v>#N/A N/A</v>
        <stp/>
        <stp>BDP|9313912753039886401</stp>
        <tr r="B1137" s="2"/>
      </tp>
      <tp t="s">
        <v>#N/A N/A</v>
        <stp/>
        <stp>BDP|7764878402556227193</stp>
        <tr r="C1282" s="2"/>
      </tp>
      <tp t="s">
        <v>#N/A N/A</v>
        <stp/>
        <stp>BDP|4052888683929417568</stp>
        <tr r="H482" s="2"/>
      </tp>
      <tp t="s">
        <v>#N/A N/A</v>
        <stp/>
        <stp>BDP|8453729355711953333</stp>
        <tr r="C2965" s="2"/>
      </tp>
      <tp t="s">
        <v>#N/A N/A</v>
        <stp/>
        <stp>BDP|1216961207409984930</stp>
        <tr r="A3754" s="2"/>
      </tp>
      <tp t="s">
        <v>#N/A N/A</v>
        <stp/>
        <stp>BDP|6491806472897998661</stp>
        <tr r="D1398" s="2"/>
      </tp>
      <tp t="s">
        <v>#N/A N/A</v>
        <stp/>
        <stp>BDP|1531405008354327978</stp>
        <tr r="C1944" s="2"/>
      </tp>
      <tp t="s">
        <v>#N/A N/A</v>
        <stp/>
        <stp>BDP|8648857918341296806</stp>
        <tr r="F220" s="2"/>
      </tp>
      <tp t="s">
        <v>#N/A N/A</v>
        <stp/>
        <stp>BDP|1420395896951000221</stp>
        <tr r="B1899" s="2"/>
      </tp>
      <tp t="s">
        <v>#N/A N/A</v>
        <stp/>
        <stp>BDP|6272556299995347743</stp>
        <tr r="B4545" s="2"/>
      </tp>
      <tp t="s">
        <v>#N/A N/A</v>
        <stp/>
        <stp>BDP|8862425357594617528</stp>
        <tr r="F729" s="2"/>
      </tp>
      <tp t="s">
        <v>#N/A N/A</v>
        <stp/>
        <stp>BDP|8349298605107125570</stp>
        <tr r="C944" s="2"/>
      </tp>
      <tp t="s">
        <v>#N/A N/A</v>
        <stp/>
        <stp>BDP|9791089238984766691</stp>
        <tr r="A1622" s="2"/>
      </tp>
      <tp t="s">
        <v>#N/A N/A</v>
        <stp/>
        <stp>BDP|3659361113679241088</stp>
        <tr r="F3309" s="2"/>
      </tp>
      <tp t="s">
        <v>#N/A N/A</v>
        <stp/>
        <stp>BDP|2776821484009116396</stp>
        <tr r="F4691" s="2"/>
      </tp>
      <tp t="s">
        <v>#N/A N/A</v>
        <stp/>
        <stp>BDP|6250762315409974115</stp>
        <tr r="D3057" s="2"/>
      </tp>
      <tp t="s">
        <v>#N/A N/A</v>
        <stp/>
        <stp>BDP|9757546451487873631</stp>
        <tr r="H2969" s="2"/>
      </tp>
      <tp t="s">
        <v>#N/A N/A</v>
        <stp/>
        <stp>BDP|8336096937817399474</stp>
        <tr r="C3266" s="2"/>
      </tp>
      <tp t="s">
        <v>#N/A N/A</v>
        <stp/>
        <stp>BDP|8718987147694511941</stp>
        <tr r="C4979" s="2"/>
      </tp>
      <tp t="s">
        <v>#N/A N/A</v>
        <stp/>
        <stp>BDP|3630385331793362857</stp>
        <tr r="F882" s="2"/>
      </tp>
      <tp t="s">
        <v>#N/A N/A</v>
        <stp/>
        <stp>BDP|8829196475296860053</stp>
        <tr r="G3962" s="2"/>
      </tp>
      <tp t="s">
        <v>#N/A N/A</v>
        <stp/>
        <stp>BDP|8828773181018179765</stp>
        <tr r="A4450" s="2"/>
      </tp>
      <tp t="s">
        <v>#N/A N/A</v>
        <stp/>
        <stp>BDP|5627454495188659891</stp>
        <tr r="I3172" s="2"/>
      </tp>
      <tp t="s">
        <v>#N/A N/A</v>
        <stp/>
        <stp>BDP|7574650285417815641</stp>
        <tr r="I1676" s="2"/>
      </tp>
      <tp t="s">
        <v>#N/A N/A</v>
        <stp/>
        <stp>BDP|6208287454319159063</stp>
        <tr r="D4208" s="2"/>
      </tp>
      <tp t="s">
        <v>#N/A N/A</v>
        <stp/>
        <stp>BDP|9338925351149153480</stp>
        <tr r="I4708" s="2"/>
      </tp>
      <tp t="s">
        <v>#N/A N/A</v>
        <stp/>
        <stp>BDP|5838611821158711167</stp>
        <tr r="B3350" s="2"/>
      </tp>
      <tp t="s">
        <v>#N/A N/A</v>
        <stp/>
        <stp>BDP|4731954854672979263</stp>
        <tr r="F2308" s="2"/>
      </tp>
      <tp t="s">
        <v>#N/A N/A</v>
        <stp/>
        <stp>BDP|8753691560977496731</stp>
        <tr r="I1121" s="2"/>
      </tp>
      <tp t="s">
        <v>#N/A N/A</v>
        <stp/>
        <stp>BDP|3486865894963959964</stp>
        <tr r="D3111" s="2"/>
      </tp>
      <tp t="s">
        <v>#N/A N/A</v>
        <stp/>
        <stp>BDP|9360109354615990075</stp>
        <tr r="B2955" s="2"/>
      </tp>
      <tp t="s">
        <v>#N/A N/A</v>
        <stp/>
        <stp>BDP|8237083112098446951</stp>
        <tr r="G269" s="2"/>
      </tp>
      <tp t="s">
        <v>#N/A N/A</v>
        <stp/>
        <stp>BDP|1764167586634809462</stp>
        <tr r="C2067" s="2"/>
      </tp>
      <tp t="s">
        <v>#N/A N/A</v>
        <stp/>
        <stp>BDP|7609455909498762342</stp>
        <tr r="G2467" s="2"/>
      </tp>
      <tp t="s">
        <v>#N/A N/A</v>
        <stp/>
        <stp>BDP|9239253965352260791</stp>
        <tr r="G3382" s="2"/>
      </tp>
      <tp t="s">
        <v>#N/A N/A</v>
        <stp/>
        <stp>BDP|8662187741833094664</stp>
        <tr r="G930" s="2"/>
      </tp>
      <tp t="s">
        <v>#N/A N/A</v>
        <stp/>
        <stp>BDP|3756819253982967457</stp>
        <tr r="H2321" s="2"/>
      </tp>
      <tp t="s">
        <v>#N/A N/A</v>
        <stp/>
        <stp>BDP|8989133851934709056</stp>
        <tr r="A4118" s="2"/>
      </tp>
      <tp t="s">
        <v>#N/A N/A</v>
        <stp/>
        <stp>BDP|1017031277146539885</stp>
        <tr r="G2234" s="2"/>
      </tp>
      <tp t="s">
        <v>#N/A N/A</v>
        <stp/>
        <stp>BDP|2377316484907788687</stp>
        <tr r="G3991" s="2"/>
      </tp>
      <tp t="s">
        <v>#N/A N/A</v>
        <stp/>
        <stp>BDP|1760352044659881703</stp>
        <tr r="F1895" s="2"/>
      </tp>
      <tp t="s">
        <v>#N/A N/A</v>
        <stp/>
        <stp>BDP|3399657299383037717</stp>
        <tr r="G658" s="2"/>
      </tp>
      <tp t="s">
        <v>#N/A N/A</v>
        <stp/>
        <stp>BDP|1890846287601663836</stp>
        <tr r="G147" s="2"/>
      </tp>
      <tp t="s">
        <v>#N/A N/A</v>
        <stp/>
        <stp>BDP|1967277112859037322</stp>
        <tr r="G1737" s="2"/>
      </tp>
      <tp t="s">
        <v>#N/A N/A</v>
        <stp/>
        <stp>BDP|5283035004705346886</stp>
        <tr r="F3934" s="2"/>
      </tp>
      <tp t="s">
        <v>#N/A N/A</v>
        <stp/>
        <stp>BDP|9287593752725705404</stp>
        <tr r="A340" s="2"/>
      </tp>
      <tp t="s">
        <v>#N/A N/A</v>
        <stp/>
        <stp>BDP|1606783229868932400</stp>
        <tr r="D2187" s="2"/>
      </tp>
      <tp t="s">
        <v>#N/A N/A</v>
        <stp/>
        <stp>BDP|7248446690693087184</stp>
        <tr r="C3873" s="2"/>
      </tp>
      <tp t="s">
        <v>#N/A N/A</v>
        <stp/>
        <stp>BDP|5960437898909454985</stp>
        <tr r="F60" s="2"/>
      </tp>
      <tp t="s">
        <v>#N/A N/A</v>
        <stp/>
        <stp>BDP|7066376831649864608</stp>
        <tr r="D2586" s="2"/>
      </tp>
      <tp t="s">
        <v>#N/A N/A</v>
        <stp/>
        <stp>BDP|5428914168406623458</stp>
        <tr r="D594" s="2"/>
      </tp>
      <tp t="s">
        <v>#N/A N/A</v>
        <stp/>
        <stp>BDP|9191876498129275922</stp>
        <tr r="G1979" s="2"/>
      </tp>
      <tp t="s">
        <v>#N/A N/A</v>
        <stp/>
        <stp>BDP|3882508580806308053</stp>
        <tr r="C1960" s="2"/>
      </tp>
      <tp t="s">
        <v>#N/A N/A</v>
        <stp/>
        <stp>BDP|3538628102298219593</stp>
        <tr r="A1529" s="2"/>
      </tp>
      <tp t="s">
        <v>#N/A N/A</v>
        <stp/>
        <stp>BDP|8119759591466220895</stp>
        <tr r="A2802" s="2"/>
      </tp>
      <tp t="s">
        <v>#N/A N/A</v>
        <stp/>
        <stp>BDP|1699056418401259974</stp>
        <tr r="C3972" s="2"/>
      </tp>
      <tp t="s">
        <v>#N/A N/A</v>
        <stp/>
        <stp>BDP|4031529688140396178</stp>
        <tr r="C4711" s="2"/>
      </tp>
      <tp t="s">
        <v>#N/A N/A</v>
        <stp/>
        <stp>BDP|6506558448739474622</stp>
        <tr r="B634" s="2"/>
      </tp>
      <tp t="s">
        <v>#N/A N/A</v>
        <stp/>
        <stp>BDP|4802703399507643598</stp>
        <tr r="C4966" s="2"/>
      </tp>
      <tp t="s">
        <v>#N/A N/A</v>
        <stp/>
        <stp>BDP|5783539508271592970</stp>
        <tr r="C4263" s="2"/>
      </tp>
      <tp t="s">
        <v>#N/A N/A</v>
        <stp/>
        <stp>BDP|6611259704588823415</stp>
        <tr r="C896" s="2"/>
      </tp>
      <tp t="s">
        <v>#N/A N/A</v>
        <stp/>
        <stp>BDP|1513098822692276925</stp>
        <tr r="F1142" s="2"/>
      </tp>
      <tp t="s">
        <v>#N/A N/A</v>
        <stp/>
        <stp>BDP|2303870005911632397</stp>
        <tr r="I1730" s="2"/>
      </tp>
      <tp t="s">
        <v>#N/A N/A</v>
        <stp/>
        <stp>BDP|5942802111864244047</stp>
        <tr r="I2882" s="2"/>
      </tp>
      <tp t="s">
        <v>#N/A N/A</v>
        <stp/>
        <stp>BDP|4976355329714387980</stp>
        <tr r="I3037" s="2"/>
      </tp>
      <tp t="s">
        <v>#N/A N/A</v>
        <stp/>
        <stp>BDP|7304483492710213259</stp>
        <tr r="B4260" s="2"/>
      </tp>
      <tp t="s">
        <v>#N/A N/A</v>
        <stp/>
        <stp>BDP|8566061082061623999</stp>
        <tr r="H12" s="2"/>
      </tp>
      <tp t="s">
        <v>#N/A N/A</v>
        <stp/>
        <stp>BDP|6407129842839990234</stp>
        <tr r="C4401" s="2"/>
      </tp>
      <tp t="s">
        <v>#N/A N/A</v>
        <stp/>
        <stp>BDP|9221310188889004356</stp>
        <tr r="I1670" s="2"/>
      </tp>
      <tp t="s">
        <v>#N/A N/A</v>
        <stp/>
        <stp>BDP|1084321291123909044</stp>
        <tr r="D1586" s="2"/>
      </tp>
      <tp t="s">
        <v>#N/A N/A</v>
        <stp/>
        <stp>BDP|6414894830824080139</stp>
        <tr r="C3708" s="2"/>
      </tp>
      <tp t="s">
        <v>#N/A N/A</v>
        <stp/>
        <stp>BDP|5889988079756333548</stp>
        <tr r="A3953" s="2"/>
      </tp>
      <tp t="s">
        <v>#N/A N/A</v>
        <stp/>
        <stp>BDP|9166968896933822279</stp>
        <tr r="A474" s="2"/>
      </tp>
      <tp t="s">
        <v>#N/A N/A</v>
        <stp/>
        <stp>BDP|3852950689358889222</stp>
        <tr r="H4046" s="2"/>
      </tp>
      <tp t="s">
        <v>#N/A N/A</v>
        <stp/>
        <stp>BDP|6524689942418734460</stp>
        <tr r="I4897" s="2"/>
      </tp>
      <tp t="s">
        <v>#N/A N/A</v>
        <stp/>
        <stp>BDP|5129498796869688964</stp>
        <tr r="H2650" s="2"/>
      </tp>
      <tp t="s">
        <v>#N/A N/A</v>
        <stp/>
        <stp>BDP|8328016118306481701</stp>
        <tr r="G3300" s="2"/>
      </tp>
      <tp t="s">
        <v>#N/A N/A</v>
        <stp/>
        <stp>BDP|4770798575249408513</stp>
        <tr r="H1616" s="2"/>
      </tp>
      <tp t="s">
        <v>#N/A N/A</v>
        <stp/>
        <stp>BDP|2835925352943148575</stp>
        <tr r="G1146" s="2"/>
      </tp>
      <tp t="s">
        <v>#N/A N/A</v>
        <stp/>
        <stp>BDP|9530424749673817281</stp>
        <tr r="A1197" s="2"/>
      </tp>
      <tp t="s">
        <v>#N/A N/A</v>
        <stp/>
        <stp>BDP|1263825648437056263</stp>
        <tr r="A1342" s="2"/>
      </tp>
      <tp t="s">
        <v>#N/A N/A</v>
        <stp/>
        <stp>BDP|3632886535639078955</stp>
        <tr r="D1441" s="2"/>
      </tp>
      <tp t="s">
        <v>#N/A N/A</v>
        <stp/>
        <stp>BDP|9224278059452569479</stp>
        <tr r="C22" s="2"/>
      </tp>
      <tp t="s">
        <v>#N/A N/A</v>
        <stp/>
        <stp>BDP|4052460468356141812</stp>
        <tr r="F2363" s="2"/>
      </tp>
      <tp t="s">
        <v>#N/A N/A</v>
        <stp/>
        <stp>BDP|7837850364196241756</stp>
        <tr r="D4228" s="2"/>
      </tp>
      <tp t="s">
        <v>#N/A N/A</v>
        <stp/>
        <stp>BDP|8674215424494464490</stp>
        <tr r="F3862" s="2"/>
      </tp>
      <tp t="s">
        <v>#N/A N/A</v>
        <stp/>
        <stp>BDP|3983668883374543177</stp>
        <tr r="I3441" s="2"/>
      </tp>
      <tp t="s">
        <v>#N/A N/A</v>
        <stp/>
        <stp>BDP|9882231895863675966</stp>
        <tr r="D2078" s="2"/>
      </tp>
      <tp t="s">
        <v>#N/A N/A</v>
        <stp/>
        <stp>BDP|8122883280484773402</stp>
        <tr r="A2526" s="2"/>
      </tp>
      <tp t="s">
        <v>#N/A N/A</v>
        <stp/>
        <stp>BDP|2306693473773368841</stp>
        <tr r="H3436" s="2"/>
      </tp>
      <tp t="s">
        <v>#N/A N/A</v>
        <stp/>
        <stp>BDP|1316586334459548644</stp>
        <tr r="C4264" s="2"/>
      </tp>
      <tp t="s">
        <v>#N/A N/A</v>
        <stp/>
        <stp>BDP|5389080793191625509</stp>
        <tr r="D4831" s="2"/>
      </tp>
      <tp t="s">
        <v>#N/A N/A</v>
        <stp/>
        <stp>BDP|6981878029123876713</stp>
        <tr r="C176" s="2"/>
      </tp>
      <tp t="s">
        <v>#N/A N/A</v>
        <stp/>
        <stp>BDP|2110874164502517694</stp>
        <tr r="G4088" s="2"/>
      </tp>
      <tp t="s">
        <v>#N/A N/A</v>
        <stp/>
        <stp>BDP|3046192073604223966</stp>
        <tr r="A4634" s="2"/>
      </tp>
      <tp t="s">
        <v>#N/A N/A</v>
        <stp/>
        <stp>BDP|9166567969685719772</stp>
        <tr r="C1090" s="2"/>
      </tp>
      <tp t="s">
        <v>#N/A N/A</v>
        <stp/>
        <stp>BDP|8664861752745578893</stp>
        <tr r="C3045" s="2"/>
      </tp>
      <tp t="s">
        <v>#N/A N/A</v>
        <stp/>
        <stp>BDP|9864947893221621075</stp>
        <tr r="D1356" s="2"/>
      </tp>
      <tp t="s">
        <v>#N/A N/A</v>
        <stp/>
        <stp>BDP|7504600287553939252</stp>
        <tr r="C4504" s="2"/>
      </tp>
      <tp t="s">
        <v>#N/A N/A</v>
        <stp/>
        <stp>BDP|3912816469333601693</stp>
        <tr r="G205" s="2"/>
      </tp>
      <tp t="s">
        <v>#N/A N/A</v>
        <stp/>
        <stp>BDP|3808395940214640894</stp>
        <tr r="D2455" s="2"/>
      </tp>
      <tp t="s">
        <v>#N/A N/A</v>
        <stp/>
        <stp>BDP|6014480027320765863</stp>
        <tr r="B989" s="2"/>
      </tp>
      <tp t="s">
        <v>#N/A N/A</v>
        <stp/>
        <stp>BDP|5468291445039532233</stp>
        <tr r="A4842" s="2"/>
      </tp>
      <tp t="s">
        <v>#N/A N/A</v>
        <stp/>
        <stp>BDP|9868611891457512934</stp>
        <tr r="H2711" s="2"/>
      </tp>
      <tp t="s">
        <v>#N/A N/A</v>
        <stp/>
        <stp>BDP|9865574585205570911</stp>
        <tr r="B2999" s="2"/>
      </tp>
      <tp t="s">
        <v>#N/A N/A</v>
        <stp/>
        <stp>BDP|8211527440827905678</stp>
        <tr r="B1279" s="2"/>
      </tp>
      <tp t="s">
        <v>#N/A N/A</v>
        <stp/>
        <stp>BDP|2090397249988959574</stp>
        <tr r="I1413" s="2"/>
      </tp>
      <tp t="s">
        <v>#N/A N/A</v>
        <stp/>
        <stp>BDP|9231303603823876179</stp>
        <tr r="I141" s="2"/>
      </tp>
      <tp t="s">
        <v>#N/A N/A</v>
        <stp/>
        <stp>BDP|8319141174287559181</stp>
        <tr r="C27" s="2"/>
      </tp>
      <tp t="s">
        <v>#N/A N/A</v>
        <stp/>
        <stp>BDP|7541885501260086732</stp>
        <tr r="F865" s="2"/>
      </tp>
      <tp t="s">
        <v>#N/A N/A</v>
        <stp/>
        <stp>BDP|5876953961284395606</stp>
        <tr r="C4446" s="2"/>
      </tp>
      <tp t="s">
        <v>#N/A N/A</v>
        <stp/>
        <stp>BDP|8290054358997454248</stp>
        <tr r="D3645" s="2"/>
      </tp>
      <tp t="s">
        <v>#N/A N/A</v>
        <stp/>
        <stp>BDP|3596394053385361831</stp>
        <tr r="G1943" s="2"/>
      </tp>
      <tp t="s">
        <v>#N/A N/A</v>
        <stp/>
        <stp>BDP|8650250809922273072</stp>
        <tr r="A1041" s="2"/>
      </tp>
      <tp t="s">
        <v>#N/A N/A</v>
        <stp/>
        <stp>BDP|4389137240689729082</stp>
        <tr r="I2758" s="2"/>
      </tp>
      <tp t="s">
        <v>#N/A N/A</v>
        <stp/>
        <stp>BDP|9712843609681256878</stp>
        <tr r="A4959" s="2"/>
      </tp>
      <tp t="s">
        <v>#N/A N/A</v>
        <stp/>
        <stp>BDP|3815143513313185811</stp>
        <tr r="I3113" s="2"/>
      </tp>
      <tp t="s">
        <v>#N/A N/A</v>
        <stp/>
        <stp>BDP|8165494841934152475</stp>
        <tr r="F2991" s="2"/>
      </tp>
      <tp t="s">
        <v>#N/A N/A</v>
        <stp/>
        <stp>BDP|4793593891310811083</stp>
        <tr r="G2120" s="2"/>
      </tp>
      <tp t="s">
        <v>#N/A N/A</v>
        <stp/>
        <stp>BDP|7554834740776080594</stp>
        <tr r="H795" s="2"/>
      </tp>
      <tp t="s">
        <v>#N/A N/A</v>
        <stp/>
        <stp>BDP|4122825469834563603</stp>
        <tr r="G1334" s="2"/>
      </tp>
      <tp t="s">
        <v>#N/A N/A</v>
        <stp/>
        <stp>BDP|9877648467593169256</stp>
        <tr r="A2644" s="2"/>
      </tp>
      <tp t="s">
        <v>#N/A N/A</v>
        <stp/>
        <stp>BDP|8193183784529377015</stp>
        <tr r="F949" s="2"/>
      </tp>
      <tp t="s">
        <v>#N/A N/A</v>
        <stp/>
        <stp>BDP|9899593279086020575</stp>
        <tr r="G1960" s="2"/>
      </tp>
      <tp t="s">
        <v>#N/A N/A</v>
        <stp/>
        <stp>BDP|4057837111580827558</stp>
        <tr r="F2669" s="2"/>
      </tp>
      <tp t="s">
        <v>#N/A N/A</v>
        <stp/>
        <stp>BDP|3888777565389545304</stp>
        <tr r="I2918" s="2"/>
      </tp>
      <tp t="s">
        <v>#N/A N/A</v>
        <stp/>
        <stp>BDP|5480968944903019394</stp>
        <tr r="G4597" s="2"/>
      </tp>
      <tp t="s">
        <v>#N/A N/A</v>
        <stp/>
        <stp>BDP|6914888514753964434</stp>
        <tr r="F776" s="2"/>
      </tp>
      <tp t="s">
        <v>#N/A N/A</v>
        <stp/>
        <stp>BDP|3665448597375295388</stp>
        <tr r="A1032" s="2"/>
      </tp>
      <tp t="s">
        <v>#N/A N/A</v>
        <stp/>
        <stp>BDP|2598477204797060993</stp>
        <tr r="D56" s="2"/>
      </tp>
      <tp t="s">
        <v>#N/A N/A</v>
        <stp/>
        <stp>BDP|7949388404754345893</stp>
        <tr r="D2415" s="2"/>
      </tp>
      <tp t="s">
        <v>#N/A N/A</v>
        <stp/>
        <stp>BDP|6233246286983990769</stp>
        <tr r="A1506" s="2"/>
      </tp>
      <tp t="s">
        <v>#N/A N/A</v>
        <stp/>
        <stp>BDP|2993346966159344676</stp>
        <tr r="D3093" s="2"/>
      </tp>
      <tp t="s">
        <v>#N/A N/A</v>
        <stp/>
        <stp>BDP|4246094915785797861</stp>
        <tr r="B922" s="2"/>
      </tp>
      <tp t="s">
        <v>#N/A N/A</v>
        <stp/>
        <stp>BDP|6886441404409641316</stp>
        <tr r="H1299" s="2"/>
      </tp>
      <tp t="s">
        <v>#N/A N/A</v>
        <stp/>
        <stp>BDP|8971588962023989058</stp>
        <tr r="D2204" s="2"/>
      </tp>
      <tp t="s">
        <v>#N/A N/A</v>
        <stp/>
        <stp>BDP|9582698772555988582</stp>
        <tr r="B2262" s="2"/>
      </tp>
      <tp t="s">
        <v>#N/A N/A</v>
        <stp/>
        <stp>BDP|2343138720608940160</stp>
        <tr r="B3549" s="2"/>
      </tp>
      <tp t="s">
        <v>#N/A N/A</v>
        <stp/>
        <stp>BDP|1229296771705089955</stp>
        <tr r="A4447" s="2"/>
      </tp>
      <tp t="s">
        <v>#N/A N/A</v>
        <stp/>
        <stp>BDP|6735603048849766570</stp>
        <tr r="F3015" s="2"/>
      </tp>
      <tp t="s">
        <v>#N/A N/A</v>
        <stp/>
        <stp>BDP|3587890724130261151</stp>
        <tr r="A4568" s="2"/>
      </tp>
      <tp t="s">
        <v>#N/A N/A</v>
        <stp/>
        <stp>BDP|3383992249061444780</stp>
        <tr r="I1782" s="2"/>
      </tp>
      <tp t="s">
        <v>#N/A N/A</v>
        <stp/>
        <stp>BDP|8578532069982503152</stp>
        <tr r="G234" s="2"/>
      </tp>
      <tp t="s">
        <v>#N/A N/A</v>
        <stp/>
        <stp>BDP|2911017096257600475</stp>
        <tr r="D979" s="2"/>
      </tp>
      <tp t="s">
        <v>#N/A N/A</v>
        <stp/>
        <stp>BDP|3692369294557242690</stp>
        <tr r="A158" s="2"/>
      </tp>
      <tp t="s">
        <v>#N/A N/A</v>
        <stp/>
        <stp>BDP|8962950977717557915</stp>
        <tr r="I4847" s="2"/>
      </tp>
      <tp t="s">
        <v>#N/A N/A</v>
        <stp/>
        <stp>BDP|5708976542772455295</stp>
        <tr r="D4299" s="2"/>
      </tp>
      <tp t="s">
        <v>#N/A N/A</v>
        <stp/>
        <stp>BDP|1562529792941839424</stp>
        <tr r="B758" s="2"/>
      </tp>
      <tp t="s">
        <v>#N/A N/A</v>
        <stp/>
        <stp>BDP|8957463194064358972</stp>
        <tr r="F2663" s="2"/>
      </tp>
      <tp t="s">
        <v>#N/A N/A</v>
        <stp/>
        <stp>BDP|8977685737115809012</stp>
        <tr r="C4104" s="2"/>
      </tp>
      <tp t="s">
        <v>#N/A N/A</v>
        <stp/>
        <stp>BDP|2253330549359077471</stp>
        <tr r="B4694" s="2"/>
      </tp>
      <tp t="s">
        <v>#N/A N/A</v>
        <stp/>
        <stp>BDP|5904267058872196896</stp>
        <tr r="H3132" s="2"/>
      </tp>
      <tp t="s">
        <v>#N/A N/A</v>
        <stp/>
        <stp>BDP|4063833644120007084</stp>
        <tr r="H1420" s="2"/>
      </tp>
      <tp t="s">
        <v>#N/A N/A</v>
        <stp/>
        <stp>BDP|4940840494568072566</stp>
        <tr r="A696" s="2"/>
      </tp>
      <tp t="s">
        <v>#N/A N/A</v>
        <stp/>
        <stp>BDP|9775479349936705717</stp>
        <tr r="C1896" s="2"/>
      </tp>
      <tp t="s">
        <v>#N/A N/A</v>
        <stp/>
        <stp>BDP|8151693655366672542</stp>
        <tr r="F1491" s="2"/>
      </tp>
      <tp t="s">
        <v>#N/A N/A</v>
        <stp/>
        <stp>BDP|3807042466374238972</stp>
        <tr r="C3455" s="2"/>
      </tp>
      <tp t="s">
        <v>#N/A N/A</v>
        <stp/>
        <stp>BDP|3839139704008183212</stp>
        <tr r="C2789" s="2"/>
      </tp>
      <tp t="s">
        <v>#N/A N/A</v>
        <stp/>
        <stp>BDP|4270306239485524917</stp>
        <tr r="A4631" s="2"/>
      </tp>
      <tp t="s">
        <v>#N/A N/A</v>
        <stp/>
        <stp>BDP|4913000467358842295</stp>
        <tr r="B4662" s="2"/>
      </tp>
      <tp t="s">
        <v>#N/A N/A</v>
        <stp/>
        <stp>BDP|8246068448462335608</stp>
        <tr r="D2845" s="2"/>
      </tp>
      <tp t="s">
        <v>#N/A N/A</v>
        <stp/>
        <stp>BDP|4213954149693242234</stp>
        <tr r="G3579" s="2"/>
      </tp>
      <tp t="s">
        <v>#N/A N/A</v>
        <stp/>
        <stp>BDP|6112717642774955946</stp>
        <tr r="H537" s="2"/>
      </tp>
      <tp t="s">
        <v>#N/A N/A</v>
        <stp/>
        <stp>BDP|8182672159140785371</stp>
        <tr r="I1266" s="2"/>
      </tp>
      <tp t="s">
        <v>#N/A N/A</v>
        <stp/>
        <stp>BDP|2232836775320824536</stp>
        <tr r="D3521" s="2"/>
      </tp>
      <tp t="s">
        <v>#N/A N/A</v>
        <stp/>
        <stp>BDP|1375097400288034153</stp>
        <tr r="C3479" s="2"/>
      </tp>
      <tp t="s">
        <v>#N/A N/A</v>
        <stp/>
        <stp>BDP|4606519129832949987</stp>
        <tr r="B1030" s="2"/>
      </tp>
      <tp t="s">
        <v>#N/A N/A</v>
        <stp/>
        <stp>BDP|3340112238299460010</stp>
        <tr r="G151" s="2"/>
      </tp>
      <tp t="s">
        <v>#N/A N/A</v>
        <stp/>
        <stp>BDP|1358873909152260304</stp>
        <tr r="G3041" s="2"/>
      </tp>
      <tp t="s">
        <v>#N/A N/A</v>
        <stp/>
        <stp>BDP|6920901877542948287</stp>
        <tr r="H1365" s="2"/>
      </tp>
      <tp t="s">
        <v>#N/A N/A</v>
        <stp/>
        <stp>BDP|6489358156181111995</stp>
        <tr r="D4577" s="2"/>
      </tp>
      <tp t="s">
        <v>#N/A N/A</v>
        <stp/>
        <stp>BDP|2804134381483273072</stp>
        <tr r="H503" s="2"/>
      </tp>
      <tp t="s">
        <v>#N/A N/A</v>
        <stp/>
        <stp>BDP|7721671951979980577</stp>
        <tr r="D3524" s="2"/>
      </tp>
      <tp t="s">
        <v>#N/A N/A</v>
        <stp/>
        <stp>BDP|9347692310402552403</stp>
        <tr r="A769" s="2"/>
      </tp>
      <tp t="s">
        <v>#N/A N/A</v>
        <stp/>
        <stp>BDP|8440882159338870526</stp>
        <tr r="B3903" s="2"/>
      </tp>
      <tp t="s">
        <v>#N/A N/A</v>
        <stp/>
        <stp>BDP|8825116633280426210</stp>
        <tr r="F2677" s="2"/>
      </tp>
      <tp t="s">
        <v>#N/A N/A</v>
        <stp/>
        <stp>BDP|2347112373498922474</stp>
        <tr r="B1206" s="2"/>
      </tp>
      <tp t="s">
        <v>#N/A N/A</v>
        <stp/>
        <stp>BDP|6928535324378433153</stp>
        <tr r="A1172" s="2"/>
      </tp>
      <tp t="s">
        <v>#N/A N/A</v>
        <stp/>
        <stp>BDP|1864866130913571149</stp>
        <tr r="F3841" s="2"/>
      </tp>
      <tp t="s">
        <v>#N/A N/A</v>
        <stp/>
        <stp>BDP|9290799531346074353</stp>
        <tr r="I2601" s="2"/>
      </tp>
      <tp t="s">
        <v>#N/A N/A</v>
        <stp/>
        <stp>BDP|6544493097316144557</stp>
        <tr r="H1800" s="2"/>
      </tp>
      <tp t="s">
        <v>#N/A N/A</v>
        <stp/>
        <stp>BDP|1535443169742583928</stp>
        <tr r="A145" s="2"/>
      </tp>
      <tp t="s">
        <v>#N/A N/A</v>
        <stp/>
        <stp>BDP|3501190911228417364</stp>
        <tr r="F133" s="2"/>
      </tp>
      <tp t="s">
        <v>#N/A N/A</v>
        <stp/>
        <stp>BDP|5492822949877443640</stp>
        <tr r="D3207" s="2"/>
      </tp>
      <tp t="s">
        <v>#N/A N/A</v>
        <stp/>
        <stp>BDP|3265628792804429093</stp>
        <tr r="A877" s="2"/>
      </tp>
      <tp t="s">
        <v>#N/A N/A</v>
        <stp/>
        <stp>BDP|2757952059311632721</stp>
        <tr r="C2013" s="2"/>
      </tp>
      <tp t="s">
        <v>#N/A N/A</v>
        <stp/>
        <stp>BDP|1218572408594333813</stp>
        <tr r="F4134" s="2"/>
      </tp>
      <tp t="s">
        <v>#N/A N/A</v>
        <stp/>
        <stp>BDP|3623164258207552827</stp>
        <tr r="C3454" s="2"/>
      </tp>
      <tp t="s">
        <v>#N/A N/A</v>
        <stp/>
        <stp>BDP|8818092013008864953</stp>
        <tr r="I2051" s="2"/>
      </tp>
      <tp t="s">
        <v>#N/A N/A</v>
        <stp/>
        <stp>BDP|7800416791501423308</stp>
        <tr r="D3960" s="2"/>
      </tp>
      <tp t="s">
        <v>#N/A N/A</v>
        <stp/>
        <stp>BDP|9562947122249823378</stp>
        <tr r="G1291" s="2"/>
      </tp>
      <tp t="s">
        <v>#N/A N/A</v>
        <stp/>
        <stp>BDP|6533212699983078616</stp>
        <tr r="D2860" s="2"/>
      </tp>
      <tp t="s">
        <v>#N/A N/A</v>
        <stp/>
        <stp>BDP|6170382570973000955</stp>
        <tr r="I4443" s="2"/>
      </tp>
      <tp t="s">
        <v>#N/A N/A</v>
        <stp/>
        <stp>BDP|6137060256938923340</stp>
        <tr r="C2251" s="2"/>
      </tp>
      <tp t="s">
        <v>#N/A N/A</v>
        <stp/>
        <stp>BDP|6721953792976983858</stp>
        <tr r="H3546" s="2"/>
      </tp>
      <tp t="s">
        <v>#N/A N/A</v>
        <stp/>
        <stp>BDP|4172759904529571294</stp>
        <tr r="I3286" s="2"/>
      </tp>
      <tp t="s">
        <v>#N/A N/A</v>
        <stp/>
        <stp>BDP|2131360089186693743</stp>
        <tr r="A3090" s="2"/>
      </tp>
      <tp t="s">
        <v>#N/A N/A</v>
        <stp/>
        <stp>BDP|6269577589956328531</stp>
        <tr r="B4804" s="2"/>
      </tp>
      <tp t="s">
        <v>#N/A N/A</v>
        <stp/>
        <stp>BDP|8434389940232969594</stp>
        <tr r="G1030" s="2"/>
      </tp>
      <tp t="s">
        <v>#N/A N/A</v>
        <stp/>
        <stp>BDP|7689055736739860516</stp>
        <tr r="G4201" s="2"/>
      </tp>
      <tp t="s">
        <v>#N/A N/A</v>
        <stp/>
        <stp>BDP|7722711100239339198</stp>
        <tr r="G769" s="2"/>
      </tp>
      <tp t="s">
        <v>#N/A N/A</v>
        <stp/>
        <stp>BDP|5879973105781265548</stp>
        <tr r="C3145" s="2"/>
      </tp>
      <tp t="s">
        <v>#N/A N/A</v>
        <stp/>
        <stp>BDP|1564893215329725929</stp>
        <tr r="B4187" s="2"/>
      </tp>
      <tp t="s">
        <v>#N/A N/A</v>
        <stp/>
        <stp>BDP|9414970148834664812</stp>
        <tr r="B740" s="2"/>
      </tp>
      <tp t="s">
        <v>#N/A N/A</v>
        <stp/>
        <stp>BDP|7504350357950959921</stp>
        <tr r="G2168" s="2"/>
      </tp>
      <tp t="s">
        <v>#N/A N/A</v>
        <stp/>
        <stp>BDP|9834847198875879506</stp>
        <tr r="C4368" s="2"/>
      </tp>
      <tp t="s">
        <v>#N/A N/A</v>
        <stp/>
        <stp>BDP|5243994011961311454</stp>
        <tr r="H2809" s="2"/>
      </tp>
      <tp t="s">
        <v>#N/A N/A</v>
        <stp/>
        <stp>BDP|4921386158699160348</stp>
        <tr r="I2174" s="2"/>
      </tp>
      <tp t="s">
        <v>#N/A N/A</v>
        <stp/>
        <stp>BDP|2420249990032870340</stp>
        <tr r="G2106" s="2"/>
      </tp>
      <tp t="s">
        <v>#N/A N/A</v>
        <stp/>
        <stp>BDP|6150970271817949725</stp>
        <tr r="B1493" s="2"/>
      </tp>
      <tp t="s">
        <v>#N/A N/A</v>
        <stp/>
        <stp>BDP|4146816220234882247</stp>
        <tr r="A945" s="2"/>
      </tp>
      <tp t="s">
        <v>#N/A N/A</v>
        <stp/>
        <stp>BDP|6002937598757687917</stp>
        <tr r="C4685" s="2"/>
      </tp>
      <tp t="s">
        <v>#N/A N/A</v>
        <stp/>
        <stp>BDP|8038740992028285684</stp>
        <tr r="D2562" s="2"/>
      </tp>
      <tp t="s">
        <v>#N/A N/A</v>
        <stp/>
        <stp>BDP|8671032681810041886</stp>
        <tr r="G1373" s="2"/>
      </tp>
      <tp t="s">
        <v>#N/A N/A</v>
        <stp/>
        <stp>BDP|1280264518253532952</stp>
        <tr r="F2994" s="2"/>
      </tp>
      <tp t="s">
        <v>#N/A N/A</v>
        <stp/>
        <stp>BDP|8236920603859607094</stp>
        <tr r="C2774" s="2"/>
      </tp>
      <tp t="s">
        <v>#N/A N/A</v>
        <stp/>
        <stp>BDP|6960970362348234929</stp>
        <tr r="F541" s="2"/>
      </tp>
      <tp t="s">
        <v>#N/A N/A</v>
        <stp/>
        <stp>BDP|8019367274047603389</stp>
        <tr r="G3972" s="2"/>
      </tp>
      <tp t="s">
        <v>#N/A N/A</v>
        <stp/>
        <stp>BDP|8664442891024991962</stp>
        <tr r="G646" s="2"/>
      </tp>
      <tp t="s">
        <v>#N/A N/A</v>
        <stp/>
        <stp>BDP|3809110126949365100</stp>
        <tr r="B2425" s="2"/>
      </tp>
      <tp t="s">
        <v>#N/A N/A</v>
        <stp/>
        <stp>BDP|3101426394317887133</stp>
        <tr r="D1812" s="2"/>
      </tp>
      <tp t="s">
        <v>#N/A N/A</v>
        <stp/>
        <stp>BDP|2985261133393201824</stp>
        <tr r="I1446" s="2"/>
      </tp>
      <tp t="s">
        <v>#N/A N/A</v>
        <stp/>
        <stp>BDP|1333453775878959263</stp>
        <tr r="F1735" s="2"/>
      </tp>
      <tp t="s">
        <v>#N/A N/A</v>
        <stp/>
        <stp>BDP|4189001559911371876</stp>
        <tr r="H2954" s="2"/>
      </tp>
      <tp t="s">
        <v>#N/A N/A</v>
        <stp/>
        <stp>BDP|7877094878391022952</stp>
        <tr r="H2046" s="2"/>
      </tp>
      <tp t="s">
        <v>#N/A N/A</v>
        <stp/>
        <stp>BDP|7819422481505158663</stp>
        <tr r="A593" s="2"/>
      </tp>
      <tp t="s">
        <v>#N/A N/A</v>
        <stp/>
        <stp>BDP|7300942611707951030</stp>
        <tr r="A4134" s="2"/>
      </tp>
      <tp t="s">
        <v>#N/A N/A</v>
        <stp/>
        <stp>BDP|7958923001376338056</stp>
        <tr r="B4732" s="2"/>
      </tp>
      <tp t="s">
        <v>#N/A N/A</v>
        <stp/>
        <stp>BDP|1384269797545967772</stp>
        <tr r="C3052" s="2"/>
      </tp>
      <tp t="s">
        <v>#N/A N/A</v>
        <stp/>
        <stp>BDP|9075223409435412631</stp>
        <tr r="G1470" s="2"/>
      </tp>
      <tp t="s">
        <v>#N/A N/A</v>
        <stp/>
        <stp>BDP|4177597545484849990</stp>
        <tr r="D3714" s="2"/>
      </tp>
      <tp t="s">
        <v>#N/A N/A</v>
        <stp/>
        <stp>BDP|1476102209888040019</stp>
        <tr r="G2225" s="2"/>
      </tp>
      <tp t="s">
        <v>#N/A N/A</v>
        <stp/>
        <stp>BDP|2834111721781376872</stp>
        <tr r="G4525" s="2"/>
      </tp>
      <tp t="s">
        <v>#N/A N/A</v>
        <stp/>
        <stp>BDP|1150866888180760947</stp>
        <tr r="I1794" s="2"/>
      </tp>
      <tp t="s">
        <v>#N/A N/A</v>
        <stp/>
        <stp>BDP|9908487587734224981</stp>
        <tr r="D1319" s="2"/>
      </tp>
      <tp t="s">
        <v>#N/A N/A</v>
        <stp/>
        <stp>BDP|9370932872679894669</stp>
        <tr r="F1825" s="2"/>
      </tp>
      <tp t="s">
        <v>#N/A N/A</v>
        <stp/>
        <stp>BDP|4006923379561433337</stp>
        <tr r="I4939" s="2"/>
      </tp>
      <tp t="s">
        <v>#N/A N/A</v>
        <stp/>
        <stp>BDP|3266619760973857871</stp>
        <tr r="F4357" s="2"/>
      </tp>
      <tp t="s">
        <v>#N/A N/A</v>
        <stp/>
        <stp>BDP|1269562481890996407</stp>
        <tr r="I2161" s="2"/>
      </tp>
      <tp t="s">
        <v>#N/A N/A</v>
        <stp/>
        <stp>BDP|7991430670484262849</stp>
        <tr r="G522" s="2"/>
      </tp>
      <tp t="s">
        <v>#N/A N/A</v>
        <stp/>
        <stp>BDP|7872336304795627956</stp>
        <tr r="A2831" s="2"/>
      </tp>
      <tp t="s">
        <v>#N/A N/A</v>
        <stp/>
        <stp>BDP|1851851950170865491</stp>
        <tr r="I429" s="2"/>
      </tp>
      <tp t="s">
        <v>#N/A N/A</v>
        <stp/>
        <stp>BDP|8971002573396308153</stp>
        <tr r="G192" s="2"/>
      </tp>
      <tp t="s">
        <v>#N/A N/A</v>
        <stp/>
        <stp>BDP|4164674566628831442</stp>
        <tr r="I2090" s="2"/>
      </tp>
      <tp t="s">
        <v>#N/A N/A</v>
        <stp/>
        <stp>BDP|5464560588680177072</stp>
        <tr r="G4387" s="2"/>
      </tp>
      <tp t="s">
        <v>#N/A N/A</v>
        <stp/>
        <stp>BDP|9088818469639219663</stp>
        <tr r="H1501" s="2"/>
      </tp>
      <tp t="s">
        <v>#N/A N/A</v>
        <stp/>
        <stp>BDP|2307295328328956277</stp>
        <tr r="D1645" s="2"/>
      </tp>
      <tp t="s">
        <v>#N/A N/A</v>
        <stp/>
        <stp>BDP|2296887518296785590</stp>
        <tr r="A4269" s="2"/>
      </tp>
      <tp t="s">
        <v>#N/A N/A</v>
        <stp/>
        <stp>BDP|2909976728208887928</stp>
        <tr r="A1237" s="2"/>
      </tp>
      <tp t="s">
        <v>#N/A N/A</v>
        <stp/>
        <stp>BDP|4015062489672753647</stp>
        <tr r="D769" s="2"/>
      </tp>
      <tp t="s">
        <v>#N/A N/A</v>
        <stp/>
        <stp>BDP|9134844209148107111</stp>
        <tr r="A4784" s="2"/>
      </tp>
      <tp t="s">
        <v>#N/A N/A</v>
        <stp/>
        <stp>BDP|1993406363648175379</stp>
        <tr r="F2962" s="2"/>
      </tp>
      <tp t="s">
        <v>#N/A N/A</v>
        <stp/>
        <stp>BDP|9840443751150978086</stp>
        <tr r="B914" s="2"/>
      </tp>
      <tp t="s">
        <v>#N/A N/A</v>
        <stp/>
        <stp>BDP|9554363641260866664</stp>
        <tr r="H1615" s="2"/>
      </tp>
      <tp t="s">
        <v>#N/A N/A</v>
        <stp/>
        <stp>BDP|9696139327826875469</stp>
        <tr r="B3705" s="2"/>
      </tp>
      <tp t="s">
        <v>#N/A N/A</v>
        <stp/>
        <stp>BDP|6723444297320170394</stp>
        <tr r="B2728" s="2"/>
      </tp>
      <tp t="s">
        <v>#N/A N/A</v>
        <stp/>
        <stp>BDP|1059951092508204197</stp>
        <tr r="B3538" s="2"/>
      </tp>
      <tp t="s">
        <v>#N/A N/A</v>
        <stp/>
        <stp>BDP|4203981364823679048</stp>
        <tr r="C3093" s="2"/>
      </tp>
      <tp t="s">
        <v>#N/A N/A</v>
        <stp/>
        <stp>BDP|5639933548493085305</stp>
        <tr r="I4861" s="2"/>
      </tp>
      <tp t="s">
        <v>#N/A N/A</v>
        <stp/>
        <stp>BDP|8413842716559962029</stp>
        <tr r="H4886" s="2"/>
      </tp>
      <tp t="s">
        <v>#N/A N/A</v>
        <stp/>
        <stp>BDP|5129648170054873804</stp>
        <tr r="B1714" s="2"/>
      </tp>
      <tp t="s">
        <v>#N/A N/A</v>
        <stp/>
        <stp>BDP|3596420789695230215</stp>
        <tr r="H1591" s="2"/>
      </tp>
      <tp t="s">
        <v>#N/A N/A</v>
        <stp/>
        <stp>BDP|5918208891005638333</stp>
        <tr r="F4951" s="2"/>
      </tp>
      <tp t="s">
        <v>#N/A N/A</v>
        <stp/>
        <stp>BDP|8268033932692723198</stp>
        <tr r="B1081" s="2"/>
      </tp>
      <tp t="s">
        <v>#N/A N/A</v>
        <stp/>
        <stp>BDP|5765376772938795188</stp>
        <tr r="F1499" s="2"/>
      </tp>
      <tp t="s">
        <v>#N/A N/A</v>
        <stp/>
        <stp>BDP|5840639500003172872</stp>
        <tr r="H979" s="2"/>
      </tp>
      <tp t="s">
        <v>#N/A N/A</v>
        <stp/>
        <stp>BDP|8362765018622541459</stp>
        <tr r="D3681" s="2"/>
      </tp>
      <tp t="s">
        <v>#N/A N/A</v>
        <stp/>
        <stp>BDP|9725318859691776653</stp>
        <tr r="H3010" s="2"/>
      </tp>
      <tp t="s">
        <v>#N/A N/A</v>
        <stp/>
        <stp>BDP|4111294758998920346</stp>
        <tr r="A3273" s="2"/>
      </tp>
      <tp t="s">
        <v>#N/A N/A</v>
        <stp/>
        <stp>BDP|1557095185092514319</stp>
        <tr r="I1053" s="2"/>
      </tp>
      <tp t="s">
        <v>#N/A N/A</v>
        <stp/>
        <stp>BDP|9728234299069548359</stp>
        <tr r="H4774" s="2"/>
      </tp>
      <tp t="s">
        <v>#N/A N/A</v>
        <stp/>
        <stp>BDP|1351203166615097882</stp>
        <tr r="H550" s="2"/>
      </tp>
      <tp t="s">
        <v>#N/A N/A</v>
        <stp/>
        <stp>BDP|1693709901056989833</stp>
        <tr r="B2783" s="2"/>
      </tp>
      <tp t="s">
        <v>#N/A N/A</v>
        <stp/>
        <stp>BDP|2697483348348326280</stp>
        <tr r="I428" s="2"/>
      </tp>
      <tp t="s">
        <v>#N/A N/A</v>
        <stp/>
        <stp>BDP|5940271411847466960</stp>
        <tr r="B4424" s="2"/>
      </tp>
      <tp t="s">
        <v>#N/A N/A</v>
        <stp/>
        <stp>BDP|6720591247566252968</stp>
        <tr r="A569" s="2"/>
      </tp>
      <tp t="s">
        <v>#N/A N/A</v>
        <stp/>
        <stp>BDP|1513955803099661989</stp>
        <tr r="A3316" s="2"/>
      </tp>
      <tp t="s">
        <v>#N/A N/A</v>
        <stp/>
        <stp>BDP|7840439165745218810</stp>
        <tr r="A745" s="2"/>
      </tp>
      <tp t="s">
        <v>#N/A N/A</v>
        <stp/>
        <stp>BDP|9977558095114570913</stp>
        <tr r="B1976" s="2"/>
      </tp>
      <tp t="s">
        <v>#N/A N/A</v>
        <stp/>
        <stp>BDP|5409879972922932059</stp>
        <tr r="B949" s="2"/>
      </tp>
      <tp t="s">
        <v>#N/A N/A</v>
        <stp/>
        <stp>BDP|3895924090008524325</stp>
        <tr r="F1616" s="2"/>
      </tp>
      <tp t="s">
        <v>#N/A N/A</v>
        <stp/>
        <stp>BDP|9383362473947801239</stp>
        <tr r="A3973" s="2"/>
      </tp>
      <tp t="s">
        <v>#N/A N/A</v>
        <stp/>
        <stp>BDP|6317705026882833905</stp>
        <tr r="G3264" s="2"/>
      </tp>
      <tp t="s">
        <v>#N/A N/A</v>
        <stp/>
        <stp>BDP|1735938208506679673</stp>
        <tr r="I4604" s="2"/>
      </tp>
      <tp t="s">
        <v>#N/A N/A</v>
        <stp/>
        <stp>BDP|6322918168388144967</stp>
        <tr r="F389" s="2"/>
      </tp>
      <tp t="s">
        <v>#N/A N/A</v>
        <stp/>
        <stp>BDP|5023157299684590140</stp>
        <tr r="I612" s="2"/>
      </tp>
      <tp t="s">
        <v>#N/A N/A</v>
        <stp/>
        <stp>BDP|6952216214878213537</stp>
        <tr r="F3275" s="2"/>
      </tp>
      <tp t="s">
        <v>#N/A N/A</v>
        <stp/>
        <stp>BDP|2744108824588626186</stp>
        <tr r="I1292" s="2"/>
      </tp>
      <tp t="s">
        <v>#N/A N/A</v>
        <stp/>
        <stp>BDP|4109849433167848031</stp>
        <tr r="F1200" s="2"/>
      </tp>
      <tp t="s">
        <v>#N/A N/A</v>
        <stp/>
        <stp>BDP|7570868350803822169</stp>
        <tr r="A2002" s="2"/>
      </tp>
      <tp t="s">
        <v>#N/A N/A</v>
        <stp/>
        <stp>BDP|4282930170722944054</stp>
        <tr r="F3906" s="2"/>
      </tp>
      <tp t="s">
        <v>#N/A N/A</v>
        <stp/>
        <stp>BDP|5772293719856805823</stp>
        <tr r="I3899" s="2"/>
      </tp>
      <tp t="s">
        <v>#N/A N/A</v>
        <stp/>
        <stp>BDP|9486067279187589139</stp>
        <tr r="C3148" s="2"/>
      </tp>
      <tp t="s">
        <v>#N/A N/A</v>
        <stp/>
        <stp>BDP|9192653187577653885</stp>
        <tr r="G4198" s="2"/>
      </tp>
      <tp t="s">
        <v>#N/A N/A</v>
        <stp/>
        <stp>BDP|2954103684854605761</stp>
        <tr r="D2880" s="2"/>
      </tp>
      <tp t="s">
        <v>#N/A N/A</v>
        <stp/>
        <stp>BDP|7000639413481410993</stp>
        <tr r="D4462" s="2"/>
      </tp>
      <tp t="s">
        <v>#N/A N/A</v>
        <stp/>
        <stp>BDP|9791912386765900542</stp>
        <tr r="F27" s="2"/>
      </tp>
      <tp t="s">
        <v>#N/A N/A</v>
        <stp/>
        <stp>BDP|9234888506519481058</stp>
        <tr r="F4971" s="2"/>
      </tp>
      <tp t="s">
        <v>#N/A N/A</v>
        <stp/>
        <stp>BDP|8957013971345199252</stp>
        <tr r="C2708" s="2"/>
      </tp>
      <tp t="s">
        <v>#N/A N/A</v>
        <stp/>
        <stp>BDP|3243871786792887964</stp>
        <tr r="A2992" s="2"/>
      </tp>
      <tp t="s">
        <v>#N/A N/A</v>
        <stp/>
        <stp>BDP|9436586170990165304</stp>
        <tr r="G1947" s="2"/>
      </tp>
      <tp t="s">
        <v>#N/A N/A</v>
        <stp/>
        <stp>BDP|8010797435147121304</stp>
        <tr r="I1494" s="2"/>
      </tp>
      <tp t="s">
        <v>#N/A N/A</v>
        <stp/>
        <stp>BDP|1434058706928243187</stp>
        <tr r="C2371" s="2"/>
      </tp>
      <tp t="s">
        <v>#N/A N/A</v>
        <stp/>
        <stp>BDP|6752537992541820334</stp>
        <tr r="A3397" s="2"/>
      </tp>
      <tp t="s">
        <v>#N/A N/A</v>
        <stp/>
        <stp>BDP|6840549346619397642</stp>
        <tr r="C3149" s="2"/>
      </tp>
      <tp t="s">
        <v>#N/A N/A</v>
        <stp/>
        <stp>BDP|9659951669239029774</stp>
        <tr r="I972" s="2"/>
      </tp>
      <tp t="s">
        <v>#N/A N/A</v>
        <stp/>
        <stp>BDP|6625343196926806218</stp>
        <tr r="A231" s="2"/>
      </tp>
      <tp t="s">
        <v>#N/A N/A</v>
        <stp/>
        <stp>BDP|6389859721390235481</stp>
        <tr r="D3986" s="2"/>
      </tp>
      <tp t="s">
        <v>#N/A N/A</v>
        <stp/>
        <stp>BDP|5366703549786234851</stp>
        <tr r="I664" s="2"/>
      </tp>
      <tp t="s">
        <v>#N/A N/A</v>
        <stp/>
        <stp>BDP|4862755981270794368</stp>
        <tr r="I4819" s="2"/>
      </tp>
      <tp t="s">
        <v>#N/A N/A</v>
        <stp/>
        <stp>BDP|2055392197003671353</stp>
        <tr r="C200" s="2"/>
      </tp>
      <tp t="s">
        <v>#N/A N/A</v>
        <stp/>
        <stp>BDP|5672300788503364507</stp>
        <tr r="F4497" s="2"/>
      </tp>
      <tp t="s">
        <v>#N/A N/A</v>
        <stp/>
        <stp>BDP|2006037485434942624</stp>
        <tr r="D2834" s="2"/>
      </tp>
      <tp t="s">
        <v>#N/A N/A</v>
        <stp/>
        <stp>BDP|1594687291003148509</stp>
        <tr r="G4545" s="2"/>
      </tp>
      <tp t="s">
        <v>#N/A N/A</v>
        <stp/>
        <stp>BDP|8999405501630080451</stp>
        <tr r="I4517" s="2"/>
      </tp>
      <tp t="s">
        <v>#N/A N/A</v>
        <stp/>
        <stp>BDP|4095639228071739910</stp>
        <tr r="C1227" s="2"/>
      </tp>
      <tp t="s">
        <v>#N/A N/A</v>
        <stp/>
        <stp>BDP|6725003560311367996</stp>
        <tr r="H4909" s="2"/>
      </tp>
      <tp t="s">
        <v>#N/A N/A</v>
        <stp/>
        <stp>BDP|8712649273208806958</stp>
        <tr r="B1083" s="2"/>
      </tp>
      <tp t="s">
        <v>#N/A N/A</v>
        <stp/>
        <stp>BDP|6224390912229740536</stp>
        <tr r="B832" s="2"/>
      </tp>
      <tp t="s">
        <v>#N/A N/A</v>
        <stp/>
        <stp>BDP|9784856999367164779</stp>
        <tr r="G3227" s="2"/>
      </tp>
      <tp t="s">
        <v>#N/A N/A</v>
        <stp/>
        <stp>BDP|9423001513786353694</stp>
        <tr r="H4978" s="2"/>
      </tp>
      <tp t="s">
        <v>#N/A N/A</v>
        <stp/>
        <stp>BDP|9349800625139312281</stp>
        <tr r="F487" s="2"/>
      </tp>
      <tp t="s">
        <v>#N/A N/A</v>
        <stp/>
        <stp>BDP|1434198490817349632</stp>
        <tr r="H108" s="2"/>
      </tp>
      <tp t="s">
        <v>#N/A N/A</v>
        <stp/>
        <stp>BDP|2928973767461110451</stp>
        <tr r="D4744" s="2"/>
      </tp>
      <tp t="s">
        <v>#N/A N/A</v>
        <stp/>
        <stp>BDP|8673256043421805751</stp>
        <tr r="A1642" s="2"/>
      </tp>
      <tp t="s">
        <v>#N/A N/A</v>
        <stp/>
        <stp>BDP|9741034320966092594</stp>
        <tr r="H1077" s="2"/>
      </tp>
      <tp t="s">
        <v>#N/A N/A</v>
        <stp/>
        <stp>BDP|1451176684312811225</stp>
        <tr r="D2010" s="2"/>
      </tp>
      <tp t="s">
        <v>#N/A N/A</v>
        <stp/>
        <stp>BDP|4945981882739859463</stp>
        <tr r="B435" s="2"/>
      </tp>
      <tp t="s">
        <v>#N/A N/A</v>
        <stp/>
        <stp>BDP|4088588516039753141</stp>
        <tr r="B392" s="2"/>
      </tp>
      <tp t="s">
        <v>#N/A N/A</v>
        <stp/>
        <stp>BDP|9409762468466124660</stp>
        <tr r="A1254" s="2"/>
      </tp>
      <tp t="s">
        <v>#N/A N/A</v>
        <stp/>
        <stp>BDP|6404136585196617191</stp>
        <tr r="G1707" s="2"/>
      </tp>
      <tp t="s">
        <v>#N/A N/A</v>
        <stp/>
        <stp>BDP|4583896633995545274</stp>
        <tr r="F2108" s="2"/>
      </tp>
      <tp t="s">
        <v>#N/A N/A</v>
        <stp/>
        <stp>BDP|3600716584655915177</stp>
        <tr r="B1155" s="2"/>
      </tp>
      <tp t="s">
        <v>#N/A N/A</v>
        <stp/>
        <stp>BDP|7255713731573722887</stp>
        <tr r="A3007" s="2"/>
      </tp>
      <tp t="s">
        <v>#N/A N/A</v>
        <stp/>
        <stp>BDP|6699791558085376999</stp>
        <tr r="G3800" s="2"/>
      </tp>
      <tp t="s">
        <v>#N/A N/A</v>
        <stp/>
        <stp>BDP|9932331820554673416</stp>
        <tr r="I971" s="2"/>
      </tp>
      <tp t="s">
        <v>#N/A N/A</v>
        <stp/>
        <stp>BDP|6855367803629720470</stp>
        <tr r="D928" s="2"/>
      </tp>
      <tp t="s">
        <v>#N/A N/A</v>
        <stp/>
        <stp>BDP|6931654538312480925</stp>
        <tr r="D2208" s="2"/>
      </tp>
      <tp t="s">
        <v>#N/A N/A</v>
        <stp/>
        <stp>BDP|9170071805344489554</stp>
        <tr r="H2496" s="2"/>
      </tp>
      <tp t="s">
        <v>#N/A N/A</v>
        <stp/>
        <stp>BDP|5264993054878525986</stp>
        <tr r="A1344" s="2"/>
      </tp>
      <tp t="s">
        <v>#N/A N/A</v>
        <stp/>
        <stp>BDP|3805369843685664990</stp>
        <tr r="D3956" s="2"/>
      </tp>
      <tp t="s">
        <v>#N/A N/A</v>
        <stp/>
        <stp>BDP|3730985433049882867</stp>
        <tr r="D4983" s="2"/>
      </tp>
      <tp t="s">
        <v>#N/A N/A</v>
        <stp/>
        <stp>BDP|1044943915987639654</stp>
        <tr r="G515" s="2"/>
      </tp>
      <tp t="s">
        <v>#N/A N/A</v>
        <stp/>
        <stp>BDP|4218426411931641853</stp>
        <tr r="G24" s="2"/>
      </tp>
      <tp t="s">
        <v>#N/A N/A</v>
        <stp/>
        <stp>BDP|2589530919689800757</stp>
        <tr r="G89" s="2"/>
      </tp>
      <tp t="s">
        <v>#N/A N/A</v>
        <stp/>
        <stp>BDP|7363532233890053910</stp>
        <tr r="B3427" s="2"/>
      </tp>
      <tp t="s">
        <v>#N/A N/A</v>
        <stp/>
        <stp>BDP|1001825248047882205</stp>
        <tr r="C4208" s="2"/>
      </tp>
      <tp t="s">
        <v>#N/A N/A</v>
        <stp/>
        <stp>BDP|2133185667834430985</stp>
        <tr r="F4955" s="2"/>
      </tp>
      <tp t="s">
        <v>#N/A N/A</v>
        <stp/>
        <stp>BDP|1185976075673963486</stp>
        <tr r="F229" s="2"/>
      </tp>
      <tp t="s">
        <v>#N/A N/A</v>
        <stp/>
        <stp>BDP|9475298852385414395</stp>
        <tr r="B1201" s="2"/>
      </tp>
      <tp t="s">
        <v>#N/A N/A</v>
        <stp/>
        <stp>BDP|7751988043967784594</stp>
        <tr r="G514" s="2"/>
      </tp>
      <tp t="s">
        <v>#N/A N/A</v>
        <stp/>
        <stp>BDP|4374169085684785158</stp>
        <tr r="D1921" s="2"/>
      </tp>
      <tp t="s">
        <v>#N/A N/A</v>
        <stp/>
        <stp>BDP|4652569902940756978</stp>
        <tr r="I4822" s="2"/>
      </tp>
      <tp t="s">
        <v>#N/A N/A</v>
        <stp/>
        <stp>BDP|3111724461778092200</stp>
        <tr r="F3118" s="2"/>
      </tp>
      <tp t="s">
        <v>#N/A N/A</v>
        <stp/>
        <stp>BDP|9605057027747230448</stp>
        <tr r="G2486" s="2"/>
      </tp>
      <tp t="s">
        <v>#N/A N/A</v>
        <stp/>
        <stp>BDP|2397581389626343130</stp>
        <tr r="I4400" s="2"/>
      </tp>
      <tp t="s">
        <v>#N/A N/A</v>
        <stp/>
        <stp>BDP|3487376552695474875</stp>
        <tr r="A3218" s="2"/>
      </tp>
      <tp t="s">
        <v>#N/A N/A</v>
        <stp/>
        <stp>BDP|3897472163759805061</stp>
        <tr r="G3657" s="2"/>
      </tp>
      <tp t="s">
        <v>#N/A N/A</v>
        <stp/>
        <stp>BDP|4371567684837172622</stp>
        <tr r="I2979" s="2"/>
      </tp>
      <tp t="s">
        <v>#N/A N/A</v>
        <stp/>
        <stp>BDP|2465175657829016767</stp>
        <tr r="C4294" s="2"/>
      </tp>
      <tp t="s">
        <v>#N/A N/A</v>
        <stp/>
        <stp>BDP|3213167276224012908</stp>
        <tr r="B3020" s="2"/>
      </tp>
      <tp t="s">
        <v>#N/A N/A</v>
        <stp/>
        <stp>BDP|9171325193338742358</stp>
        <tr r="F3963" s="2"/>
      </tp>
      <tp t="s">
        <v>#N/A N/A</v>
        <stp/>
        <stp>BDP|6327209172582642957</stp>
        <tr r="A2108" s="2"/>
      </tp>
      <tp t="s">
        <v>#N/A N/A</v>
        <stp/>
        <stp>BDP|8549419140702356252</stp>
        <tr r="F456" s="2"/>
      </tp>
      <tp t="s">
        <v>#N/A N/A</v>
        <stp/>
        <stp>BDP|9568417527362082517</stp>
        <tr r="F2370" s="2"/>
      </tp>
      <tp t="s">
        <v>#N/A N/A</v>
        <stp/>
        <stp>BDP|7245042887725354209</stp>
        <tr r="A3235" s="2"/>
      </tp>
      <tp t="s">
        <v>#N/A N/A</v>
        <stp/>
        <stp>BDP|9931850218840603807</stp>
        <tr r="G4047" s="2"/>
      </tp>
      <tp t="s">
        <v>#N/A N/A</v>
        <stp/>
        <stp>BDP|4682007418779412485</stp>
        <tr r="G4011" s="2"/>
      </tp>
      <tp t="s">
        <v>#N/A N/A</v>
        <stp/>
        <stp>BDP|3026036499392193092</stp>
        <tr r="C4285" s="2"/>
      </tp>
      <tp t="s">
        <v>#N/A N/A</v>
        <stp/>
        <stp>BDP|1513846818387924729</stp>
        <tr r="F1404" s="2"/>
      </tp>
      <tp t="s">
        <v>#N/A N/A</v>
        <stp/>
        <stp>BDP|9865665036822307694</stp>
        <tr r="B2302" s="2"/>
      </tp>
      <tp t="s">
        <v>#N/A N/A</v>
        <stp/>
        <stp>BDP|3987155595126331580</stp>
        <tr r="G2872" s="2"/>
      </tp>
      <tp t="s">
        <v>#N/A N/A</v>
        <stp/>
        <stp>BDP|5354301153678257309</stp>
        <tr r="C885" s="2"/>
      </tp>
      <tp t="s">
        <v>#N/A N/A</v>
        <stp/>
        <stp>BDP|4614019871689076247</stp>
        <tr r="B1683" s="2"/>
      </tp>
      <tp t="s">
        <v>#N/A N/A</v>
        <stp/>
        <stp>BDP|5160733782812282004</stp>
        <tr r="G4079" s="2"/>
      </tp>
      <tp t="s">
        <v>#N/A N/A</v>
        <stp/>
        <stp>BDP|1889330867654663889</stp>
        <tr r="H1090" s="2"/>
      </tp>
      <tp t="s">
        <v>#N/A N/A</v>
        <stp/>
        <stp>BDP|2323028080440075238</stp>
        <tr r="G2305" s="2"/>
      </tp>
      <tp t="s">
        <v>#N/A N/A</v>
        <stp/>
        <stp>BDP|6860720086848788997</stp>
        <tr r="I43" s="2"/>
      </tp>
      <tp t="s">
        <v>#N/A N/A</v>
        <stp/>
        <stp>BDP|8571803602190327866</stp>
        <tr r="G1480" s="2"/>
      </tp>
      <tp t="s">
        <v>#N/A N/A</v>
        <stp/>
        <stp>BDP|5160746383200706232</stp>
        <tr r="A2661" s="2"/>
      </tp>
      <tp t="s">
        <v>#N/A N/A</v>
        <stp/>
        <stp>BDP|1013430284032640735</stp>
        <tr r="H3900" s="2"/>
      </tp>
      <tp t="s">
        <v>#N/A N/A</v>
        <stp/>
        <stp>BDP|5876275012338837672</stp>
        <tr r="I4947" s="2"/>
      </tp>
      <tp t="s">
        <v>#N/A N/A</v>
        <stp/>
        <stp>BDP|3063393783894891404</stp>
        <tr r="H1028" s="2"/>
      </tp>
      <tp t="s">
        <v>#N/A N/A</v>
        <stp/>
        <stp>BDP|2855357832102505883</stp>
        <tr r="G2041" s="2"/>
      </tp>
      <tp t="s">
        <v>#N/A N/A</v>
        <stp/>
        <stp>BDP|6872130935445814942</stp>
        <tr r="B2412" s="2"/>
      </tp>
      <tp t="s">
        <v>#N/A N/A</v>
        <stp/>
        <stp>BDP|3554075114719330377</stp>
        <tr r="A4497" s="2"/>
      </tp>
      <tp t="s">
        <v>#N/A N/A</v>
        <stp/>
        <stp>BDP|3571264040115160807</stp>
        <tr r="I107" s="2"/>
      </tp>
      <tp t="s">
        <v>#N/A N/A</v>
        <stp/>
        <stp>BDP|4451927110626211266</stp>
        <tr r="D482" s="2"/>
      </tp>
      <tp t="s">
        <v>#N/A N/A</v>
        <stp/>
        <stp>BDP|6572825573290276144</stp>
        <tr r="F1124" s="2"/>
      </tp>
      <tp t="s">
        <v>#N/A N/A</v>
        <stp/>
        <stp>BDP|2958026383445308795</stp>
        <tr r="A3610" s="2"/>
      </tp>
      <tp t="s">
        <v>#N/A N/A</v>
        <stp/>
        <stp>BDP|6585678634379195258</stp>
        <tr r="D700" s="2"/>
      </tp>
      <tp t="s">
        <v>#N/A N/A</v>
        <stp/>
        <stp>BDP|1701934265082457473</stp>
        <tr r="D1323" s="2"/>
      </tp>
      <tp t="s">
        <v>#N/A N/A</v>
        <stp/>
        <stp>BDP|6424950017200338671</stp>
        <tr r="F1605" s="2"/>
      </tp>
      <tp t="s">
        <v>#N/A N/A</v>
        <stp/>
        <stp>BDP|3093702847819147145</stp>
        <tr r="H1175" s="2"/>
      </tp>
      <tp t="s">
        <v>#N/A N/A</v>
        <stp/>
        <stp>BDP|7803536693503938032</stp>
        <tr r="C2235" s="2"/>
      </tp>
      <tp t="s">
        <v>#N/A N/A</v>
        <stp/>
        <stp>BDP|6106615544394625806</stp>
        <tr r="C1931" s="2"/>
      </tp>
      <tp t="s">
        <v>#N/A N/A</v>
        <stp/>
        <stp>BDP|2741926807236070505</stp>
        <tr r="B962" s="2"/>
      </tp>
      <tp t="s">
        <v>#N/A N/A</v>
        <stp/>
        <stp>BDP|3588743676728786326</stp>
        <tr r="F3355" s="2"/>
      </tp>
      <tp t="s">
        <v>#N/A N/A</v>
        <stp/>
        <stp>BDP|4601867420091257700</stp>
        <tr r="F2705" s="2"/>
      </tp>
      <tp t="s">
        <v>#N/A N/A</v>
        <stp/>
        <stp>BDP|6707850716000271742</stp>
        <tr r="F247" s="2"/>
      </tp>
      <tp t="s">
        <v>#N/A N/A</v>
        <stp/>
        <stp>BDP|7776500202362260857</stp>
        <tr r="C4344" s="2"/>
      </tp>
      <tp t="s">
        <v>#N/A N/A</v>
        <stp/>
        <stp>BDP|9691739411411159674</stp>
        <tr r="H2326" s="2"/>
      </tp>
      <tp t="s">
        <v>#N/A N/A</v>
        <stp/>
        <stp>BDP|9935722959553300031</stp>
        <tr r="B449" s="2"/>
      </tp>
      <tp t="s">
        <v>#N/A N/A</v>
        <stp/>
        <stp>BDP|4520555893211263136</stp>
        <tr r="G1781" s="2"/>
      </tp>
      <tp t="s">
        <v>#N/A N/A</v>
        <stp/>
        <stp>BDP|7304156886630004625</stp>
        <tr r="B3343" s="2"/>
      </tp>
      <tp t="s">
        <v>#N/A N/A</v>
        <stp/>
        <stp>BDP|5241040839689846752</stp>
        <tr r="F786" s="2"/>
      </tp>
      <tp t="s">
        <v>#N/A N/A</v>
        <stp/>
        <stp>BDP|6382972261167294656</stp>
        <tr r="I1559" s="2"/>
      </tp>
      <tp t="s">
        <v>#N/A N/A</v>
        <stp/>
        <stp>BDP|9625123484761421963</stp>
        <tr r="D3519" s="2"/>
      </tp>
      <tp t="s">
        <v>#N/A N/A</v>
        <stp/>
        <stp>BDP|1951099183743885294</stp>
        <tr r="G4290" s="2"/>
      </tp>
      <tp t="s">
        <v>#N/A N/A</v>
        <stp/>
        <stp>BDP|7101266610969493511</stp>
        <tr r="D1639" s="2"/>
      </tp>
      <tp t="s">
        <v>#N/A N/A</v>
        <stp/>
        <stp>BDP|8637771652360775261</stp>
        <tr r="A3692" s="2"/>
      </tp>
      <tp t="s">
        <v>#N/A N/A</v>
        <stp/>
        <stp>BDP|9675562555370625113</stp>
        <tr r="B853" s="2"/>
      </tp>
      <tp t="s">
        <v>#N/A N/A</v>
        <stp/>
        <stp>BDP|5140506350485424873</stp>
        <tr r="C449" s="2"/>
      </tp>
      <tp t="s">
        <v>#N/A N/A</v>
        <stp/>
        <stp>BDP|8516313022088071943</stp>
        <tr r="F3733" s="2"/>
      </tp>
      <tp t="s">
        <v>#N/A N/A</v>
        <stp/>
        <stp>BDP|9688424667817567444</stp>
        <tr r="G1808" s="2"/>
      </tp>
      <tp t="s">
        <v>#N/A N/A</v>
        <stp/>
        <stp>BDP|4258237011046125936</stp>
        <tr r="B1197" s="2"/>
      </tp>
      <tp t="s">
        <v>#N/A N/A</v>
        <stp/>
        <stp>BDP|9037506835801036678</stp>
        <tr r="A4805" s="2"/>
      </tp>
      <tp t="s">
        <v>#N/A N/A</v>
        <stp/>
        <stp>BDP|4391348280187621034</stp>
        <tr r="F3389" s="2"/>
      </tp>
      <tp t="s">
        <v>#N/A N/A</v>
        <stp/>
        <stp>BDP|8082708258420983225</stp>
        <tr r="B2871" s="2"/>
      </tp>
      <tp t="s">
        <v>#N/A N/A</v>
        <stp/>
        <stp>BDP|7953434099822313030</stp>
        <tr r="A4735" s="2"/>
      </tp>
      <tp t="s">
        <v>#N/A N/A</v>
        <stp/>
        <stp>BDP|8865424620054125288</stp>
        <tr r="D4892" s="2"/>
      </tp>
      <tp t="s">
        <v>#N/A N/A</v>
        <stp/>
        <stp>BDP|1128658187246541154</stp>
        <tr r="I4654" s="2"/>
      </tp>
      <tp t="s">
        <v>#N/A N/A</v>
        <stp/>
        <stp>BDP|6191436192065129625</stp>
        <tr r="C4760" s="2"/>
      </tp>
      <tp t="s">
        <v>#N/A N/A</v>
        <stp/>
        <stp>BDP|6877381314469338549</stp>
        <tr r="F3000" s="2"/>
      </tp>
      <tp t="s">
        <v>#N/A N/A</v>
        <stp/>
        <stp>BDP|5235655082760633309</stp>
        <tr r="I4486" s="2"/>
      </tp>
      <tp t="s">
        <v>#N/A N/A</v>
        <stp/>
        <stp>BDP|3192773982294773004</stp>
        <tr r="G4881" s="2"/>
      </tp>
      <tp t="s">
        <v>#N/A N/A</v>
        <stp/>
        <stp>BDP|6176019316089725627</stp>
        <tr r="G791" s="2"/>
      </tp>
      <tp t="s">
        <v>#N/A N/A</v>
        <stp/>
        <stp>BDP|9326228256294375274</stp>
        <tr r="I4758" s="2"/>
      </tp>
      <tp t="s">
        <v>#N/A N/A</v>
        <stp/>
        <stp>BDP|6719826460361491126</stp>
        <tr r="C1805" s="2"/>
      </tp>
      <tp t="s">
        <v>#N/A N/A</v>
        <stp/>
        <stp>BDP|7304529741229385709</stp>
        <tr r="I3718" s="2"/>
      </tp>
      <tp t="s">
        <v>#N/A N/A</v>
        <stp/>
        <stp>BDP|7096287562419900200</stp>
        <tr r="G3922" s="2"/>
      </tp>
      <tp t="s">
        <v>#N/A N/A</v>
        <stp/>
        <stp>BDP|2538649569329222391</stp>
        <tr r="D4312" s="2"/>
      </tp>
      <tp t="s">
        <v>#N/A N/A</v>
        <stp/>
        <stp>BDP|3578079805498294369</stp>
        <tr r="F3456" s="2"/>
      </tp>
      <tp t="s">
        <v>#N/A N/A</v>
        <stp/>
        <stp>BDP|3276474920665760819</stp>
        <tr r="B3829" s="2"/>
      </tp>
      <tp t="s">
        <v>#N/A N/A</v>
        <stp/>
        <stp>BDP|7133008451968318209</stp>
        <tr r="C1286" s="2"/>
      </tp>
      <tp t="s">
        <v>#N/A N/A</v>
        <stp/>
        <stp>BDP|8850788872163014317</stp>
        <tr r="D4982" s="2"/>
      </tp>
      <tp t="s">
        <v>#N/A N/A</v>
        <stp/>
        <stp>BDP|9491390926451167191</stp>
        <tr r="B1729" s="2"/>
      </tp>
      <tp t="s">
        <v>#N/A N/A</v>
        <stp/>
        <stp>BDP|6194068254402007908</stp>
        <tr r="H1567" s="2"/>
      </tp>
      <tp t="s">
        <v>#N/A N/A</v>
        <stp/>
        <stp>BDP|6715622912279699025</stp>
        <tr r="G3875" s="2"/>
      </tp>
      <tp t="s">
        <v>#N/A N/A</v>
        <stp/>
        <stp>BDP|7213325001955349914</stp>
        <tr r="G63" s="2"/>
      </tp>
      <tp t="s">
        <v>#N/A N/A</v>
        <stp/>
        <stp>BDP|2088191020179376092</stp>
        <tr r="D2702" s="2"/>
      </tp>
      <tp t="s">
        <v>#N/A N/A</v>
        <stp/>
        <stp>BDP|5182333443649249304</stp>
        <tr r="C4328" s="2"/>
      </tp>
      <tp t="s">
        <v>#N/A N/A</v>
        <stp/>
        <stp>BDP|2269905234990226077</stp>
        <tr r="B2636" s="2"/>
      </tp>
      <tp t="s">
        <v>#N/A N/A</v>
        <stp/>
        <stp>BDP|3293984557617733097</stp>
        <tr r="G138" s="2"/>
      </tp>
      <tp t="s">
        <v>#N/A N/A</v>
        <stp/>
        <stp>BDP|8009841211991306857</stp>
        <tr r="C4418" s="2"/>
      </tp>
      <tp t="s">
        <v>#N/A N/A</v>
        <stp/>
        <stp>BDP|7197148193547627039</stp>
        <tr r="H3392" s="2"/>
      </tp>
      <tp t="s">
        <v>#N/A N/A</v>
        <stp/>
        <stp>BDP|3606857872680371419</stp>
        <tr r="H2191" s="2"/>
      </tp>
      <tp t="s">
        <v>#N/A N/A</v>
        <stp/>
        <stp>BDP|1134061632002393854</stp>
        <tr r="A221" s="2"/>
      </tp>
      <tp t="s">
        <v>#N/A N/A</v>
        <stp/>
        <stp>BDP|2021349642368413516</stp>
        <tr r="D3635" s="2"/>
      </tp>
      <tp t="s">
        <v>#N/A N/A</v>
        <stp/>
        <stp>BDP|5713172536358661739</stp>
        <tr r="F694" s="2"/>
      </tp>
      <tp t="s">
        <v>#N/A N/A</v>
        <stp/>
        <stp>BDP|8952619473434173591</stp>
        <tr r="F576" s="2"/>
      </tp>
      <tp t="s">
        <v>#N/A N/A</v>
        <stp/>
        <stp>BDP|9630199559225655033</stp>
        <tr r="C4630" s="2"/>
      </tp>
      <tp t="s">
        <v>#N/A N/A</v>
        <stp/>
        <stp>BDP|7612804265201122014</stp>
        <tr r="G2521" s="2"/>
      </tp>
      <tp t="s">
        <v>#N/A N/A</v>
        <stp/>
        <stp>BDP|3257301285926354679</stp>
        <tr r="H2597" s="2"/>
      </tp>
      <tp t="s">
        <v>#N/A N/A</v>
        <stp/>
        <stp>BDP|9887689710133546564</stp>
        <tr r="G2283" s="2"/>
      </tp>
      <tp t="s">
        <v>#N/A N/A</v>
        <stp/>
        <stp>BDP|1673792647633951926</stp>
        <tr r="I4401" s="2"/>
      </tp>
      <tp t="s">
        <v>#N/A N/A</v>
        <stp/>
        <stp>BDP|2247707905599757433</stp>
        <tr r="A240" s="2"/>
      </tp>
      <tp t="s">
        <v>#N/A N/A</v>
        <stp/>
        <stp>BDP|5359089662993847821</stp>
        <tr r="H4282" s="2"/>
      </tp>
      <tp t="s">
        <v>#N/A N/A</v>
        <stp/>
        <stp>BDP|4318297566191908967</stp>
        <tr r="A314" s="2"/>
      </tp>
      <tp t="s">
        <v>#N/A N/A</v>
        <stp/>
        <stp>BDP|6300113604698247771</stp>
        <tr r="D1184" s="2"/>
      </tp>
      <tp t="s">
        <v>#N/A N/A</v>
        <stp/>
        <stp>BDP|5693308781021253767</stp>
        <tr r="I2897" s="2"/>
      </tp>
      <tp t="s">
        <v>#N/A N/A</v>
        <stp/>
        <stp>BDP|1228629856922334862</stp>
        <tr r="F4629" s="2"/>
      </tp>
      <tp t="s">
        <v>#N/A N/A</v>
        <stp/>
        <stp>BDP|8490059473727215035</stp>
        <tr r="C3612" s="2"/>
      </tp>
      <tp t="s">
        <v>#N/A N/A</v>
        <stp/>
        <stp>BDP|5538261516036745815</stp>
        <tr r="F3635" s="2"/>
      </tp>
      <tp t="s">
        <v>#N/A N/A</v>
        <stp/>
        <stp>BDP|2774999152835862372</stp>
        <tr r="F255" s="2"/>
      </tp>
      <tp t="s">
        <v>#N/A N/A</v>
        <stp/>
        <stp>BDP|3025921266197763306</stp>
        <tr r="F2641" s="2"/>
      </tp>
      <tp t="s">
        <v>#N/A N/A</v>
        <stp/>
        <stp>BDP|2146910447964101358</stp>
        <tr r="F4425" s="2"/>
      </tp>
      <tp t="s">
        <v>#N/A N/A</v>
        <stp/>
        <stp>BDP|2736114381561222265</stp>
        <tr r="I1864" s="2"/>
      </tp>
      <tp t="s">
        <v>#N/A N/A</v>
        <stp/>
        <stp>BDP|2156224486605401522</stp>
        <tr r="H934" s="2"/>
      </tp>
      <tp t="s">
        <v>#N/A N/A</v>
        <stp/>
        <stp>BDP|4370625562458014403</stp>
        <tr r="F1859" s="2"/>
      </tp>
      <tp t="s">
        <v>#N/A N/A</v>
        <stp/>
        <stp>BDP|9313544770667672420</stp>
        <tr r="B3292" s="2"/>
      </tp>
      <tp t="s">
        <v>#N/A N/A</v>
        <stp/>
        <stp>BDP|3463171575264541905</stp>
        <tr r="H1518" s="2"/>
      </tp>
      <tp t="s">
        <v>#N/A N/A</v>
        <stp/>
        <stp>BDP|2186277539613941859</stp>
        <tr r="F1538" s="2"/>
      </tp>
      <tp t="s">
        <v>#N/A N/A</v>
        <stp/>
        <stp>BDP|4157006367263147942</stp>
        <tr r="B4550" s="2"/>
      </tp>
      <tp t="s">
        <v>#N/A N/A</v>
        <stp/>
        <stp>BDP|9900317071504269183</stp>
        <tr r="C3940" s="2"/>
      </tp>
      <tp t="s">
        <v>#N/A N/A</v>
        <stp/>
        <stp>BDP|1798958120745366727</stp>
        <tr r="D4452" s="2"/>
      </tp>
      <tp t="s">
        <v>#N/A N/A</v>
        <stp/>
        <stp>BDP|4792385367821315883</stp>
        <tr r="B622" s="2"/>
      </tp>
      <tp t="s">
        <v>#N/A N/A</v>
        <stp/>
        <stp>BDP|5843682180203325000</stp>
        <tr r="A3781" s="2"/>
      </tp>
      <tp t="s">
        <v>#N/A N/A</v>
        <stp/>
        <stp>BDP|5966151621046605881</stp>
        <tr r="I277" s="2"/>
      </tp>
      <tp t="s">
        <v>#N/A N/A</v>
        <stp/>
        <stp>BDP|2023345169946850952</stp>
        <tr r="I4940" s="2"/>
      </tp>
      <tp t="s">
        <v>#N/A N/A</v>
        <stp/>
        <stp>BDP|3877293625962230967</stp>
        <tr r="H4976" s="2"/>
      </tp>
      <tp t="s">
        <v>#N/A N/A</v>
        <stp/>
        <stp>BDP|9468068063562212533</stp>
        <tr r="D4488" s="2"/>
      </tp>
      <tp t="s">
        <v>#N/A N/A</v>
        <stp/>
        <stp>BDP|3782465821965353838</stp>
        <tr r="B1483" s="2"/>
      </tp>
      <tp t="s">
        <v>#N/A N/A</v>
        <stp/>
        <stp>BDP|2663835473992564735</stp>
        <tr r="B40" s="2"/>
      </tp>
      <tp t="s">
        <v>#N/A N/A</v>
        <stp/>
        <stp>BDP|5071070893340459409</stp>
        <tr r="C2189" s="2"/>
      </tp>
      <tp t="s">
        <v>#N/A N/A</v>
        <stp/>
        <stp>BDP|7567235097271594540</stp>
        <tr r="C1672" s="2"/>
      </tp>
      <tp t="s">
        <v>#N/A N/A</v>
        <stp/>
        <stp>BDP|9623147296059192054</stp>
        <tr r="G4289" s="2"/>
      </tp>
      <tp t="s">
        <v>#N/A N/A</v>
        <stp/>
        <stp>BDP|6679786329402297954</stp>
        <tr r="B2371" s="2"/>
      </tp>
      <tp t="s">
        <v>#N/A N/A</v>
        <stp/>
        <stp>BDP|3056819402146429577</stp>
        <tr r="G2271" s="2"/>
      </tp>
      <tp t="s">
        <v>#N/A N/A</v>
        <stp/>
        <stp>BDP|7892414115708477280</stp>
        <tr r="B3930" s="2"/>
      </tp>
      <tp t="s">
        <v>#N/A N/A</v>
        <stp/>
        <stp>BDP|5290722830298017105</stp>
        <tr r="F4735" s="2"/>
      </tp>
      <tp t="s">
        <v>#N/A N/A</v>
        <stp/>
        <stp>BDP|5901454414770092887</stp>
        <tr r="D2240" s="2"/>
      </tp>
      <tp t="s">
        <v>#N/A N/A</v>
        <stp/>
        <stp>BDP|6211952135406230209</stp>
        <tr r="G2972" s="2"/>
      </tp>
      <tp t="s">
        <v>#N/A N/A</v>
        <stp/>
        <stp>BDP|4190429173017781875</stp>
        <tr r="A253" s="2"/>
      </tp>
      <tp t="s">
        <v>#N/A N/A</v>
        <stp/>
        <stp>BDP|7988681788682066394</stp>
        <tr r="C1064" s="2"/>
      </tp>
      <tp t="s">
        <v>#N/A N/A</v>
        <stp/>
        <stp>BDP|2400922437861260131</stp>
        <tr r="B1076" s="2"/>
      </tp>
      <tp t="s">
        <v>#N/A N/A</v>
        <stp/>
        <stp>BDP|6255552350737057978</stp>
        <tr r="G1344" s="2"/>
      </tp>
      <tp t="s">
        <v>#N/A N/A</v>
        <stp/>
        <stp>BDP|7895393770989888296</stp>
        <tr r="D2728" s="2"/>
      </tp>
      <tp t="s">
        <v>#N/A N/A</v>
        <stp/>
        <stp>BDP|8671718415280541674</stp>
        <tr r="I595" s="2"/>
      </tp>
      <tp t="s">
        <v>#N/A N/A</v>
        <stp/>
        <stp>BDP|8143776265883157222</stp>
        <tr r="G4559" s="2"/>
      </tp>
      <tp t="s">
        <v>#N/A N/A</v>
        <stp/>
        <stp>BDP|5790922852429552827</stp>
        <tr r="B2574" s="2"/>
      </tp>
      <tp t="s">
        <v>#N/A N/A</v>
        <stp/>
        <stp>BDP|8707945345484045968</stp>
        <tr r="C1789" s="2"/>
      </tp>
      <tp t="s">
        <v>#N/A N/A</v>
        <stp/>
        <stp>BDP|5936867300911754484</stp>
        <tr r="I3616" s="2"/>
      </tp>
      <tp t="s">
        <v>#N/A N/A</v>
        <stp/>
        <stp>BDP|4789077253058304103</stp>
        <tr r="G2383" s="2"/>
      </tp>
      <tp t="s">
        <v>#N/A N/A</v>
        <stp/>
        <stp>BDP|5529901866775622759</stp>
        <tr r="A278" s="2"/>
      </tp>
      <tp t="s">
        <v>#N/A N/A</v>
        <stp/>
        <stp>BDP|1495766985523679512</stp>
        <tr r="B321" s="2"/>
      </tp>
      <tp t="s">
        <v>#N/A N/A</v>
        <stp/>
        <stp>BDP|9105682822397376289</stp>
        <tr r="I928" s="2"/>
      </tp>
      <tp t="s">
        <v>#N/A N/A</v>
        <stp/>
        <stp>BDP|1950968848017315343</stp>
        <tr r="B4094" s="2"/>
      </tp>
      <tp t="s">
        <v>#N/A N/A</v>
        <stp/>
        <stp>BDP|1586078890974212407</stp>
        <tr r="D4781" s="2"/>
      </tp>
      <tp t="s">
        <v>#N/A N/A</v>
        <stp/>
        <stp>BDP|8123404252137199621</stp>
        <tr r="H1516" s="2"/>
      </tp>
      <tp t="s">
        <v>#N/A N/A</v>
        <stp/>
        <stp>BDP|2232528075600666835</stp>
        <tr r="F2788" s="2"/>
      </tp>
      <tp t="s">
        <v>#N/A N/A</v>
        <stp/>
        <stp>BDP|4554656885997720526</stp>
        <tr r="H2791" s="2"/>
      </tp>
      <tp t="s">
        <v>#N/A N/A</v>
        <stp/>
        <stp>BDP|8572658186059423723</stp>
        <tr r="H533" s="2"/>
      </tp>
      <tp t="s">
        <v>#N/A N/A</v>
        <stp/>
        <stp>BDP|2443666344239162178</stp>
        <tr r="I4685" s="2"/>
      </tp>
      <tp t="s">
        <v>#N/A N/A</v>
        <stp/>
        <stp>BDP|9053686738402686661</stp>
        <tr r="B514" s="2"/>
      </tp>
      <tp t="s">
        <v>#N/A N/A</v>
        <stp/>
        <stp>BDP|9085654234296543244</stp>
        <tr r="B2365" s="2"/>
      </tp>
      <tp t="s">
        <v>#N/A N/A</v>
        <stp/>
        <stp>BDP|7524236334986361815</stp>
        <tr r="G571" s="2"/>
      </tp>
      <tp t="s">
        <v>#N/A N/A</v>
        <stp/>
        <stp>BDP|4226968612084022066</stp>
        <tr r="D3846" s="2"/>
      </tp>
      <tp t="s">
        <v>#N/A N/A</v>
        <stp/>
        <stp>BDP|9158229298109850336</stp>
        <tr r="F1599" s="2"/>
      </tp>
      <tp t="s">
        <v>#N/A N/A</v>
        <stp/>
        <stp>BDP|3379211283557468654</stp>
        <tr r="G1451" s="2"/>
      </tp>
      <tp t="s">
        <v>#N/A N/A</v>
        <stp/>
        <stp>BDP|1422467030467324912</stp>
        <tr r="C2687" s="2"/>
      </tp>
      <tp t="s">
        <v>#N/A N/A</v>
        <stp/>
        <stp>BDP|6131407978125169882</stp>
        <tr r="G2655" s="2"/>
      </tp>
      <tp t="s">
        <v>#N/A N/A</v>
        <stp/>
        <stp>BDP|1823195794182532304</stp>
        <tr r="D2050" s="2"/>
      </tp>
      <tp t="s">
        <v>#N/A N/A</v>
        <stp/>
        <stp>BDP|3658791986487812310</stp>
        <tr r="D4845" s="2"/>
      </tp>
      <tp t="s">
        <v>#N/A N/A</v>
        <stp/>
        <stp>BDP|6116613529238080298</stp>
        <tr r="D2661" s="2"/>
      </tp>
      <tp t="s">
        <v>#N/A N/A</v>
        <stp/>
        <stp>BDP|6932670999707229656</stp>
        <tr r="C1526" s="2"/>
      </tp>
      <tp t="s">
        <v>#N/A N/A</v>
        <stp/>
        <stp>BDP|1758682695931363798</stp>
        <tr r="D202" s="2"/>
      </tp>
      <tp t="s">
        <v>#N/A N/A</v>
        <stp/>
        <stp>BDP|1014996225392837047</stp>
        <tr r="A4904" s="2"/>
      </tp>
      <tp t="s">
        <v>#N/A N/A</v>
        <stp/>
        <stp>BDP|9525789140934479696</stp>
        <tr r="G3987" s="2"/>
      </tp>
      <tp t="s">
        <v>#N/A N/A</v>
        <stp/>
        <stp>BDP|4239012717199258466</stp>
        <tr r="G3711" s="2"/>
      </tp>
      <tp t="s">
        <v>#N/A N/A</v>
        <stp/>
        <stp>BDP|7196058895814180202</stp>
        <tr r="A3826" s="2"/>
      </tp>
      <tp t="s">
        <v>#N/A N/A</v>
        <stp/>
        <stp>BDP|7276825971033536342</stp>
        <tr r="D4055" s="2"/>
      </tp>
      <tp t="s">
        <v>#N/A N/A</v>
        <stp/>
        <stp>BDP|8199389150366999008</stp>
        <tr r="D4751" s="2"/>
      </tp>
      <tp t="s">
        <v>#N/A N/A</v>
        <stp/>
        <stp>BDP|4258754451267769917</stp>
        <tr r="G361" s="2"/>
      </tp>
      <tp t="s">
        <v>#N/A N/A</v>
        <stp/>
        <stp>BDP|8281166839156857458</stp>
        <tr r="H930" s="2"/>
      </tp>
      <tp t="s">
        <v>#N/A N/A</v>
        <stp/>
        <stp>BDP|2197083069564021808</stp>
        <tr r="G2718" s="2"/>
      </tp>
      <tp t="s">
        <v>#N/A N/A</v>
        <stp/>
        <stp>BDP|6129931760601743054</stp>
        <tr r="G4457" s="2"/>
      </tp>
      <tp t="s">
        <v>#N/A N/A</v>
        <stp/>
        <stp>BDP|4611887955173927220</stp>
        <tr r="A2101" s="2"/>
      </tp>
      <tp t="s">
        <v>#N/A N/A</v>
        <stp/>
        <stp>BDP|2000619884580699430</stp>
        <tr r="B3478" s="2"/>
      </tp>
      <tp t="s">
        <v>#N/A N/A</v>
        <stp/>
        <stp>BDP|2275073253257126870</stp>
        <tr r="G3067" s="2"/>
      </tp>
      <tp t="s">
        <v>#N/A N/A</v>
        <stp/>
        <stp>BDP|4117932903003519646</stp>
        <tr r="F1696" s="2"/>
      </tp>
      <tp t="s">
        <v>#N/A N/A</v>
        <stp/>
        <stp>BDP|8635916067636911996</stp>
        <tr r="G3184" s="2"/>
      </tp>
      <tp t="s">
        <v>#N/A N/A</v>
        <stp/>
        <stp>BDP|1667460824379064647</stp>
        <tr r="H1284" s="2"/>
      </tp>
      <tp t="s">
        <v>#N/A N/A</v>
        <stp/>
        <stp>BDP|9454006724453079004</stp>
        <tr r="G803" s="2"/>
      </tp>
      <tp t="s">
        <v>#N/A N/A</v>
        <stp/>
        <stp>BDP|8098872057729790471</stp>
        <tr r="C4750" s="2"/>
      </tp>
      <tp t="s">
        <v>#N/A N/A</v>
        <stp/>
        <stp>BDP|3579457274160016844</stp>
        <tr r="A4057" s="2"/>
      </tp>
      <tp t="s">
        <v>#N/A N/A</v>
        <stp/>
        <stp>BDP|7256239960558891394</stp>
        <tr r="I3336" s="2"/>
      </tp>
      <tp t="s">
        <v>#N/A N/A</v>
        <stp/>
        <stp>BDP|4251938968891834211</stp>
        <tr r="F2891" s="2"/>
      </tp>
      <tp t="s">
        <v>#N/A N/A</v>
        <stp/>
        <stp>BDP|9184648016532252417</stp>
        <tr r="H4841" s="2"/>
      </tp>
      <tp t="s">
        <v>#N/A N/A</v>
        <stp/>
        <stp>BDP|9193439636052535414</stp>
        <tr r="D1892" s="2"/>
      </tp>
      <tp t="s">
        <v>#N/A N/A</v>
        <stp/>
        <stp>BDP|9452604904671040604</stp>
        <tr r="H2764" s="2"/>
      </tp>
      <tp t="s">
        <v>#N/A N/A</v>
        <stp/>
        <stp>BDP|2001355965129107613</stp>
        <tr r="C976" s="2"/>
      </tp>
      <tp t="s">
        <v>#N/A N/A</v>
        <stp/>
        <stp>BDP|5116487795493930356</stp>
        <tr r="G3296" s="2"/>
      </tp>
      <tp t="s">
        <v>#N/A N/A</v>
        <stp/>
        <stp>BDP|5703820248102945343</stp>
        <tr r="F579" s="2"/>
      </tp>
      <tp t="s">
        <v>#N/A N/A</v>
        <stp/>
        <stp>BDP|5767815401052242751</stp>
        <tr r="B4871" s="2"/>
      </tp>
      <tp t="s">
        <v>#N/A N/A</v>
        <stp/>
        <stp>BDP|6414313381634741136</stp>
        <tr r="I3953" s="2"/>
      </tp>
      <tp t="s">
        <v>#N/A N/A</v>
        <stp/>
        <stp>BDP|6242895944966884469</stp>
        <tr r="H4092" s="2"/>
      </tp>
      <tp t="s">
        <v>#N/A N/A</v>
        <stp/>
        <stp>BDP|5879900540809148983</stp>
        <tr r="F4637" s="2"/>
      </tp>
      <tp t="s">
        <v>#N/A N/A</v>
        <stp/>
        <stp>BDP|4729513194711668158</stp>
        <tr r="A308" s="2"/>
      </tp>
      <tp t="s">
        <v>#N/A N/A</v>
        <stp/>
        <stp>BDP|6617838646506472463</stp>
        <tr r="A2137" s="2"/>
      </tp>
      <tp t="s">
        <v>#N/A N/A</v>
        <stp/>
        <stp>BDP|7196673530828082272</stp>
        <tr r="D2595" s="2"/>
      </tp>
      <tp t="s">
        <v>#N/A N/A</v>
        <stp/>
        <stp>BDP|1940802386581681883</stp>
        <tr r="H172" s="2"/>
      </tp>
      <tp t="s">
        <v>#N/A N/A</v>
        <stp/>
        <stp>BDP|6592301085171772465</stp>
        <tr r="A2727" s="2"/>
      </tp>
      <tp t="s">
        <v>#N/A N/A</v>
        <stp/>
        <stp>BDP|6769870340825419754</stp>
        <tr r="D3871" s="2"/>
      </tp>
      <tp t="s">
        <v>#N/A N/A</v>
        <stp/>
        <stp>BDP|2792321245768545540</stp>
        <tr r="D4705" s="2"/>
      </tp>
      <tp t="s">
        <v>#N/A N/A</v>
        <stp/>
        <stp>BDP|9278590643950957000</stp>
        <tr r="D3078" s="2"/>
      </tp>
      <tp t="s">
        <v>#N/A N/A</v>
        <stp/>
        <stp>BDP|8280785308686720142</stp>
        <tr r="I4968" s="2"/>
      </tp>
      <tp t="s">
        <v>#N/A N/A</v>
        <stp/>
        <stp>BDP|3740645043020627979</stp>
        <tr r="F3377" s="2"/>
      </tp>
      <tp t="s">
        <v>#N/A N/A</v>
        <stp/>
        <stp>BDP|9317013144971546425</stp>
        <tr r="G2427" s="2"/>
      </tp>
      <tp t="s">
        <v>#N/A N/A</v>
        <stp/>
        <stp>BDP|8393040712309364876</stp>
        <tr r="H3769" s="2"/>
      </tp>
      <tp t="s">
        <v>#N/A N/A</v>
        <stp/>
        <stp>BDP|6359953285339562679</stp>
        <tr r="G3892" s="2"/>
      </tp>
      <tp t="s">
        <v>#N/A N/A</v>
        <stp/>
        <stp>BDP|2945786982864531173</stp>
        <tr r="B1569" s="2"/>
      </tp>
      <tp t="s">
        <v>#N/A N/A</v>
        <stp/>
        <stp>BDP|9692657467216533702</stp>
        <tr r="I991" s="2"/>
      </tp>
      <tp t="s">
        <v>#N/A N/A</v>
        <stp/>
        <stp>BDP|1703312976949239435</stp>
        <tr r="H4764" s="2"/>
      </tp>
      <tp t="s">
        <v>#N/A N/A</v>
        <stp/>
        <stp>BDP|5768756844046193864</stp>
        <tr r="A4757" s="2"/>
      </tp>
      <tp t="s">
        <v>#N/A N/A</v>
        <stp/>
        <stp>BDP|8734366600860582359</stp>
        <tr r="D4410" s="2"/>
      </tp>
      <tp t="s">
        <v>#N/A N/A</v>
        <stp/>
        <stp>BDP|5494870060331567270</stp>
        <tr r="H1536" s="2"/>
      </tp>
      <tp t="s">
        <v>#N/A N/A</v>
        <stp/>
        <stp>BDP|1265156993774737528</stp>
        <tr r="H616" s="2"/>
      </tp>
      <tp t="s">
        <v>#N/A N/A</v>
        <stp/>
        <stp>BDP|4930482495846559700</stp>
        <tr r="D1266" s="2"/>
      </tp>
      <tp t="s">
        <v>#N/A N/A</v>
        <stp/>
        <stp>BDP|2659736386363796655</stp>
        <tr r="F1884" s="2"/>
      </tp>
      <tp t="s">
        <v>#N/A N/A</v>
        <stp/>
        <stp>BDP|9684722178602411392</stp>
        <tr r="B3618" s="2"/>
      </tp>
      <tp t="s">
        <v>#N/A N/A</v>
        <stp/>
        <stp>BDP|7930065182806801141</stp>
        <tr r="H3421" s="2"/>
      </tp>
      <tp t="s">
        <v>#N/A N/A</v>
        <stp/>
        <stp>BDP|7201867974410046018</stp>
        <tr r="B1903" s="2"/>
      </tp>
      <tp t="s">
        <v>#N/A N/A</v>
        <stp/>
        <stp>BDP|6451608075626163913</stp>
        <tr r="A1949" s="2"/>
      </tp>
      <tp t="s">
        <v>#N/A N/A</v>
        <stp/>
        <stp>BDP|5901169299264406135</stp>
        <tr r="I2696" s="2"/>
      </tp>
      <tp t="s">
        <v>#N/A N/A</v>
        <stp/>
        <stp>BDP|9745232965592096704</stp>
        <tr r="F468" s="2"/>
      </tp>
      <tp t="s">
        <v>#N/A N/A</v>
        <stp/>
        <stp>BDP|2365715911465785951</stp>
        <tr r="H446" s="2"/>
      </tp>
      <tp t="s">
        <v>#N/A N/A</v>
        <stp/>
        <stp>BDP|2697130641147214878</stp>
        <tr r="I2420" s="2"/>
      </tp>
      <tp t="s">
        <v>#N/A N/A</v>
        <stp/>
        <stp>BDP|5547325006156160817</stp>
        <tr r="D3530" s="2"/>
      </tp>
      <tp t="s">
        <v>#N/A N/A</v>
        <stp/>
        <stp>BDP|2507804561086709225</stp>
        <tr r="C362" s="2"/>
      </tp>
      <tp t="s">
        <v>#N/A N/A</v>
        <stp/>
        <stp>BDP|1725146930613621841</stp>
        <tr r="A3163" s="2"/>
      </tp>
      <tp t="s">
        <v>#N/A N/A</v>
        <stp/>
        <stp>BDP|6218800710514513364</stp>
        <tr r="C4216" s="2"/>
      </tp>
      <tp t="s">
        <v>#N/A N/A</v>
        <stp/>
        <stp>BDP|7716642992036032601</stp>
        <tr r="B999" s="2"/>
      </tp>
      <tp t="s">
        <v>#N/A N/A</v>
        <stp/>
        <stp>BDP|2043958764193592655</stp>
        <tr r="C3552" s="2"/>
      </tp>
      <tp t="s">
        <v>#N/A N/A</v>
        <stp/>
        <stp>BDP|4864775555099851737</stp>
        <tr r="F2772" s="2"/>
      </tp>
      <tp t="s">
        <v>#N/A N/A</v>
        <stp/>
        <stp>BDP|7293749995595173432</stp>
        <tr r="D1336" s="2"/>
      </tp>
      <tp t="s">
        <v>#N/A N/A</v>
        <stp/>
        <stp>BDP|9347946271466601916</stp>
        <tr r="D431" s="2"/>
      </tp>
      <tp t="s">
        <v>#N/A N/A</v>
        <stp/>
        <stp>BDP|8523502025777329025</stp>
        <tr r="F390" s="2"/>
      </tp>
      <tp t="s">
        <v>#N/A N/A</v>
        <stp/>
        <stp>BDP|3787957252283384425</stp>
        <tr r="F853" s="2"/>
      </tp>
      <tp t="s">
        <v>#N/A N/A</v>
        <stp/>
        <stp>BDP|5162637770194696859</stp>
        <tr r="I4026" s="2"/>
      </tp>
      <tp t="s">
        <v>#N/A N/A</v>
        <stp/>
        <stp>BDP|6027254150930041948</stp>
        <tr r="H3820" s="2"/>
      </tp>
      <tp t="s">
        <v>#N/A N/A</v>
        <stp/>
        <stp>BDP|9301464192208674402</stp>
        <tr r="A3100" s="2"/>
      </tp>
      <tp t="s">
        <v>#N/A N/A</v>
        <stp/>
        <stp>BDP|2604912748172845564</stp>
        <tr r="F1577" s="2"/>
      </tp>
      <tp t="s">
        <v>#N/A N/A</v>
        <stp/>
        <stp>BDP|2107072338630865971</stp>
        <tr r="D3856" s="2"/>
      </tp>
      <tp t="s">
        <v>#N/A N/A</v>
        <stp/>
        <stp>BDP|7150281608624236922</stp>
        <tr r="G831" s="2"/>
      </tp>
      <tp t="s">
        <v>#N/A N/A</v>
        <stp/>
        <stp>BDP|5354456719488918075</stp>
        <tr r="C2937" s="2"/>
      </tp>
      <tp t="s">
        <v>#N/A N/A</v>
        <stp/>
        <stp>BDP|3127170561068398458</stp>
        <tr r="F4696" s="2"/>
      </tp>
      <tp t="s">
        <v>#N/A N/A</v>
        <stp/>
        <stp>BDP|6859988595537081943</stp>
        <tr r="B204" s="2"/>
      </tp>
      <tp t="s">
        <v>#N/A N/A</v>
        <stp/>
        <stp>BDP|3072855233772008276</stp>
        <tr r="H2247" s="2"/>
      </tp>
      <tp t="s">
        <v>#N/A N/A</v>
        <stp/>
        <stp>BDP|2059142371479157555</stp>
        <tr r="D4715" s="2"/>
      </tp>
      <tp t="s">
        <v>#N/A N/A</v>
        <stp/>
        <stp>BDP|9067454917556370203</stp>
        <tr r="F3072" s="2"/>
      </tp>
      <tp t="s">
        <v>#N/A N/A</v>
        <stp/>
        <stp>BDP|2003600723316360817</stp>
        <tr r="C1800" s="2"/>
      </tp>
      <tp t="s">
        <v>#N/A N/A</v>
        <stp/>
        <stp>BDP|2119405363330525867</stp>
        <tr r="C3064" s="2"/>
      </tp>
      <tp t="s">
        <v>#N/A N/A</v>
        <stp/>
        <stp>BDP|8703870050468909586</stp>
        <tr r="G1641" s="2"/>
      </tp>
      <tp t="s">
        <v>#N/A N/A</v>
        <stp/>
        <stp>BDP|5951917818474166102</stp>
        <tr r="F709" s="2"/>
      </tp>
      <tp t="s">
        <v>#N/A N/A</v>
        <stp/>
        <stp>BDP|7569983088537003942</stp>
        <tr r="I1388" s="2"/>
      </tp>
      <tp t="s">
        <v>#N/A N/A</v>
        <stp/>
        <stp>BDP|8774240933001477052</stp>
        <tr r="I2165" s="2"/>
      </tp>
      <tp t="s">
        <v>#N/A N/A</v>
        <stp/>
        <stp>BDP|2003606811958395534</stp>
        <tr r="B812" s="2"/>
      </tp>
      <tp t="s">
        <v>#N/A N/A</v>
        <stp/>
        <stp>BDP|9774947687585671530</stp>
        <tr r="D885" s="2"/>
      </tp>
      <tp t="s">
        <v>#N/A N/A</v>
        <stp/>
        <stp>BDP|2933829668873624745</stp>
        <tr r="I636" s="2"/>
      </tp>
      <tp t="s">
        <v>#N/A N/A</v>
        <stp/>
        <stp>BDP|8554291222743714387</stp>
        <tr r="G3091" s="2"/>
      </tp>
      <tp t="s">
        <v>#N/A N/A</v>
        <stp/>
        <stp>BDP|4532544681257596649</stp>
        <tr r="F1112" s="2"/>
      </tp>
      <tp t="s">
        <v>#N/A N/A</v>
        <stp/>
        <stp>BDP|8280748033010673422</stp>
        <tr r="I2760" s="2"/>
      </tp>
      <tp t="s">
        <v>#N/A N/A</v>
        <stp/>
        <stp>BDP|8490496473914869775</stp>
        <tr r="A3410" s="2"/>
      </tp>
      <tp t="s">
        <v>#N/A N/A</v>
        <stp/>
        <stp>BDP|9428636027652162701</stp>
        <tr r="B1703" s="2"/>
      </tp>
      <tp t="s">
        <v>#N/A N/A</v>
        <stp/>
        <stp>BDP|9144563464233739153</stp>
        <tr r="B1274" s="2"/>
      </tp>
      <tp t="s">
        <v>#N/A N/A</v>
        <stp/>
        <stp>BDP|8121933680669400873</stp>
        <tr r="G110" s="2"/>
      </tp>
      <tp t="s">
        <v>#N/A N/A</v>
        <stp/>
        <stp>BDP|2367900365815198063</stp>
        <tr r="F4674" s="2"/>
      </tp>
      <tp t="s">
        <v>#N/A N/A</v>
        <stp/>
        <stp>BDP|7339459356209650779</stp>
        <tr r="F33" s="2"/>
      </tp>
      <tp t="s">
        <v>#N/A N/A</v>
        <stp/>
        <stp>BDP|7877045720258532584</stp>
        <tr r="B1317" s="2"/>
      </tp>
      <tp t="s">
        <v>#N/A N/A</v>
        <stp/>
        <stp>BDP|1292999421762898039</stp>
        <tr r="H2641" s="2"/>
      </tp>
      <tp t="s">
        <v>#N/A N/A</v>
        <stp/>
        <stp>BDP|3650217936773877985</stp>
        <tr r="G3222" s="2"/>
      </tp>
      <tp t="s">
        <v>#N/A N/A</v>
        <stp/>
        <stp>BDP|1021862626934081717</stp>
        <tr r="B3477" s="2"/>
      </tp>
      <tp t="s">
        <v>#N/A N/A</v>
        <stp/>
        <stp>BDP|5156520184446466621</stp>
        <tr r="B4200" s="2"/>
      </tp>
      <tp t="s">
        <v>#N/A N/A</v>
        <stp/>
        <stp>BDP|6714381265728890347</stp>
        <tr r="I1368" s="2"/>
      </tp>
      <tp t="s">
        <v>#N/A N/A</v>
        <stp/>
        <stp>BDP|8661331085828135375</stp>
        <tr r="H4328" s="2"/>
      </tp>
      <tp t="s">
        <v>#N/A N/A</v>
        <stp/>
        <stp>BDP|3998111996745177691</stp>
        <tr r="A488" s="2"/>
      </tp>
      <tp t="s">
        <v>#N/A N/A</v>
        <stp/>
        <stp>BDP|3798516485637510101</stp>
        <tr r="A1138" s="2"/>
      </tp>
      <tp t="s">
        <v>#N/A N/A</v>
        <stp/>
        <stp>BDP|4256509986713279204</stp>
        <tr r="H1492" s="2"/>
      </tp>
      <tp t="s">
        <v>#N/A N/A</v>
        <stp/>
        <stp>BDP|9050059212141231136</stp>
        <tr r="F793" s="2"/>
      </tp>
      <tp t="s">
        <v>#N/A N/A</v>
        <stp/>
        <stp>BDP|2230017920200098857</stp>
        <tr r="I3820" s="2"/>
      </tp>
      <tp t="s">
        <v>#N/A N/A</v>
        <stp/>
        <stp>BDP|3583956987109329325</stp>
        <tr r="B2165" s="2"/>
      </tp>
      <tp t="s">
        <v>#N/A N/A</v>
        <stp/>
        <stp>BDP|6080808344646164438</stp>
        <tr r="H3079" s="2"/>
      </tp>
      <tp t="s">
        <v>#N/A N/A</v>
        <stp/>
        <stp>BDP|9845768267197872772</stp>
        <tr r="C1591" s="2"/>
      </tp>
      <tp t="s">
        <v>#N/A N/A</v>
        <stp/>
        <stp>BDP|7385670294675230546</stp>
        <tr r="C1824" s="2"/>
      </tp>
      <tp t="s">
        <v>#N/A N/A</v>
        <stp/>
        <stp>BDP|1559686280603387486</stp>
        <tr r="B1229" s="2"/>
      </tp>
      <tp t="s">
        <v>#N/A N/A</v>
        <stp/>
        <stp>BDP|6347928254806489477</stp>
        <tr r="B202" s="2"/>
      </tp>
      <tp t="s">
        <v>#N/A N/A</v>
        <stp/>
        <stp>BDP|6393826744794012632</stp>
        <tr r="B326" s="2"/>
      </tp>
      <tp t="s">
        <v>#N/A N/A</v>
        <stp/>
        <stp>BDP|5873000259209664119</stp>
        <tr r="D2413" s="2"/>
      </tp>
      <tp t="s">
        <v>#N/A N/A</v>
        <stp/>
        <stp>BDP|5871237821264418989</stp>
        <tr r="H2430" s="2"/>
      </tp>
      <tp t="s">
        <v>#N/A N/A</v>
        <stp/>
        <stp>BDP|8880057238347101426</stp>
        <tr r="F3277" s="2"/>
      </tp>
      <tp t="s">
        <v>#N/A N/A</v>
        <stp/>
        <stp>BDP|3725244047994651940</stp>
        <tr r="A4647" s="2"/>
      </tp>
      <tp t="s">
        <v>#N/A N/A</v>
        <stp/>
        <stp>BDP|4765381592256268099</stp>
        <tr r="G1154" s="2"/>
      </tp>
      <tp t="s">
        <v>#N/A N/A</v>
        <stp/>
        <stp>BDP|3363903647031779758</stp>
        <tr r="F1387" s="2"/>
      </tp>
      <tp t="s">
        <v>#N/A N/A</v>
        <stp/>
        <stp>BDP|2071910345236698146</stp>
        <tr r="G2632" s="2"/>
      </tp>
      <tp t="s">
        <v>#N/A N/A</v>
        <stp/>
        <stp>BDP|9459307450575641249</stp>
        <tr r="G3080" s="2"/>
      </tp>
      <tp t="s">
        <v>#N/A N/A</v>
        <stp/>
        <stp>BDP|9424137497868382158</stp>
        <tr r="H3802" s="2"/>
      </tp>
      <tp t="s">
        <v>#N/A N/A</v>
        <stp/>
        <stp>BDP|7630780497757986661</stp>
        <tr r="D3802" s="2"/>
      </tp>
      <tp t="s">
        <v>#N/A N/A</v>
        <stp/>
        <stp>BDP|2257007014868223325</stp>
        <tr r="H4474" s="2"/>
      </tp>
      <tp t="s">
        <v>#N/A N/A</v>
        <stp/>
        <stp>BDP|9185481760985658698</stp>
        <tr r="C3976" s="2"/>
      </tp>
      <tp t="s">
        <v>#N/A N/A</v>
        <stp/>
        <stp>BDP|7470526095423581000</stp>
        <tr r="H3562" s="2"/>
      </tp>
      <tp t="s">
        <v>#N/A N/A</v>
        <stp/>
        <stp>BDP|9457938254378301563</stp>
        <tr r="B4075" s="2"/>
      </tp>
      <tp t="s">
        <v>#N/A N/A</v>
        <stp/>
        <stp>BDP|6855507919923652913</stp>
        <tr r="H3199" s="2"/>
      </tp>
      <tp t="s">
        <v>#N/A N/A</v>
        <stp/>
        <stp>BDP|7748590805073408999</stp>
        <tr r="H4134" s="2"/>
      </tp>
      <tp t="s">
        <v>#N/A N/A</v>
        <stp/>
        <stp>BDP|6425372913668632408</stp>
        <tr r="A1834" s="2"/>
      </tp>
      <tp t="s">
        <v>#N/A N/A</v>
        <stp/>
        <stp>BDP|6169324141170094947</stp>
        <tr r="F4890" s="2"/>
      </tp>
      <tp t="s">
        <v>#N/A N/A</v>
        <stp/>
        <stp>BDP|1654077522463692833</stp>
        <tr r="G1819" s="2"/>
      </tp>
      <tp t="s">
        <v>#N/A N/A</v>
        <stp/>
        <stp>BDP|4344269602116575847</stp>
        <tr r="A2012" s="2"/>
      </tp>
      <tp t="s">
        <v>#N/A N/A</v>
        <stp/>
        <stp>BDP|6830983533063383764</stp>
        <tr r="C2670" s="2"/>
      </tp>
      <tp t="s">
        <v>#N/A N/A</v>
        <stp/>
        <stp>BDP|8309694217836388188</stp>
        <tr r="H3458" s="2"/>
      </tp>
      <tp t="s">
        <v>#N/A N/A</v>
        <stp/>
        <stp>BDP|8455351223929194858</stp>
        <tr r="D2384" s="2"/>
      </tp>
      <tp t="s">
        <v>#N/A N/A</v>
        <stp/>
        <stp>BDP|7313637191619640918</stp>
        <tr r="A519" s="2"/>
      </tp>
      <tp t="s">
        <v>#N/A N/A</v>
        <stp/>
        <stp>BDP|3777095937428822078</stp>
        <tr r="G966" s="2"/>
      </tp>
      <tp t="s">
        <v>#N/A N/A</v>
        <stp/>
        <stp>BDP|5517210016198250669</stp>
        <tr r="A183" s="2"/>
      </tp>
      <tp t="s">
        <v>#N/A N/A</v>
        <stp/>
        <stp>BDP|3046663506135386851</stp>
        <tr r="A3270" s="2"/>
      </tp>
      <tp t="s">
        <v>#N/A N/A</v>
        <stp/>
        <stp>BDP|8476775143384499727</stp>
        <tr r="C3001" s="2"/>
      </tp>
      <tp t="s">
        <v>#N/A N/A</v>
        <stp/>
        <stp>BDP|9815565831130093793</stp>
        <tr r="F2482" s="2"/>
      </tp>
      <tp t="s">
        <v>#N/A N/A</v>
        <stp/>
        <stp>BDP|5430108077629447217</stp>
        <tr r="C2951" s="2"/>
      </tp>
      <tp t="s">
        <v>#N/A N/A</v>
        <stp/>
        <stp>BDP|9155439305763955680</stp>
        <tr r="C2012" s="2"/>
      </tp>
      <tp t="s">
        <v>#N/A N/A</v>
        <stp/>
        <stp>BDP|4602812094969304465</stp>
        <tr r="I4027" s="2"/>
      </tp>
      <tp t="s">
        <v>#N/A N/A</v>
        <stp/>
        <stp>BDP|6663939919695342393</stp>
        <tr r="C3563" s="2"/>
      </tp>
      <tp t="s">
        <v>#N/A N/A</v>
        <stp/>
        <stp>BDP|6432229114489510411</stp>
        <tr r="G4756" s="2"/>
      </tp>
      <tp t="s">
        <v>#N/A N/A</v>
        <stp/>
        <stp>BDP|7631974668150942063</stp>
        <tr r="G3226" s="2"/>
      </tp>
      <tp t="s">
        <v>#N/A N/A</v>
        <stp/>
        <stp>BDP|5131009893717646328</stp>
        <tr r="F907" s="2"/>
      </tp>
      <tp t="s">
        <v>#N/A N/A</v>
        <stp/>
        <stp>BDP|6549163320708622533</stp>
        <tr r="D768" s="2"/>
      </tp>
      <tp t="s">
        <v>#N/A N/A</v>
        <stp/>
        <stp>BDP|2667967742146181158</stp>
        <tr r="D2303" s="2"/>
      </tp>
      <tp t="s">
        <v>#N/A N/A</v>
        <stp/>
        <stp>BDP|5748894758018502850</stp>
        <tr r="F785" s="2"/>
      </tp>
      <tp t="s">
        <v>#N/A N/A</v>
        <stp/>
        <stp>BDP|9558913229132310886</stp>
        <tr r="I1004" s="2"/>
      </tp>
      <tp t="s">
        <v>#N/A N/A</v>
        <stp/>
        <stp>BDP|8987606639991523435</stp>
        <tr r="B965" s="2"/>
      </tp>
      <tp t="s">
        <v>#N/A N/A</v>
        <stp/>
        <stp>BDP|3031853702506941582</stp>
        <tr r="G2530" s="2"/>
      </tp>
      <tp t="s">
        <v>#N/A N/A</v>
        <stp/>
        <stp>BDP|9551904101758257000</stp>
        <tr r="A3702" s="2"/>
      </tp>
      <tp t="s">
        <v>#N/A N/A</v>
        <stp/>
        <stp>BDP|8758788517094997277</stp>
        <tr r="I513" s="2"/>
      </tp>
      <tp t="s">
        <v>#N/A N/A</v>
        <stp/>
        <stp>BDP|8114575272497702553</stp>
        <tr r="B65" s="2"/>
      </tp>
      <tp t="s">
        <v>#N/A N/A</v>
        <stp/>
        <stp>BDP|8625851686211318103</stp>
        <tr r="B116" s="2"/>
      </tp>
      <tp t="s">
        <v>#N/A N/A</v>
        <stp/>
        <stp>BDP|6456453926711603973</stp>
        <tr r="C3546" s="2"/>
      </tp>
      <tp t="s">
        <v>#N/A N/A</v>
        <stp/>
        <stp>BDP|1356677295052029472</stp>
        <tr r="B1484" s="2"/>
      </tp>
      <tp t="s">
        <v>#N/A N/A</v>
        <stp/>
        <stp>BDP|6275962340087035424</stp>
        <tr r="D2943" s="2"/>
      </tp>
      <tp t="s">
        <v>#N/A N/A</v>
        <stp/>
        <stp>BDP|3417651075852756858</stp>
        <tr r="C2364" s="2"/>
      </tp>
      <tp t="s">
        <v>#N/A N/A</v>
        <stp/>
        <stp>BDP|9501636223031066435</stp>
        <tr r="D4860" s="2"/>
      </tp>
      <tp t="s">
        <v>#N/A N/A</v>
        <stp/>
        <stp>BDP|2957290221238267254</stp>
        <tr r="A426" s="2"/>
      </tp>
      <tp t="s">
        <v>#N/A N/A</v>
        <stp/>
        <stp>BDP|1190088317221002986</stp>
        <tr r="I1940" s="2"/>
      </tp>
      <tp t="s">
        <v>#N/A N/A</v>
        <stp/>
        <stp>BDP|1398928505010536077</stp>
        <tr r="F1396" s="2"/>
      </tp>
      <tp t="s">
        <v>#N/A N/A</v>
        <stp/>
        <stp>BDP|9885026345620940508</stp>
        <tr r="F756" s="2"/>
      </tp>
      <tp t="s">
        <v>#N/A N/A</v>
        <stp/>
        <stp>BDP|5466977477327465460</stp>
        <tr r="D744" s="2"/>
      </tp>
      <tp t="s">
        <v>#N/A N/A</v>
        <stp/>
        <stp>BDP|4375800827421178730</stp>
        <tr r="C3119" s="2"/>
      </tp>
      <tp t="s">
        <v>#N/A N/A</v>
        <stp/>
        <stp>BDP|3389228331682663804</stp>
        <tr r="B1369" s="2"/>
      </tp>
      <tp t="s">
        <v>#N/A N/A</v>
        <stp/>
        <stp>BDP|8367445922090455672</stp>
        <tr r="H1517" s="2"/>
      </tp>
      <tp t="s">
        <v>#N/A N/A</v>
        <stp/>
        <stp>BDP|1763565257818983197</stp>
        <tr r="G506" s="2"/>
      </tp>
      <tp t="s">
        <v>#N/A N/A</v>
        <stp/>
        <stp>BDP|9829684765469651853</stp>
        <tr r="C2434" s="2"/>
      </tp>
      <tp t="s">
        <v>#N/A N/A</v>
        <stp/>
        <stp>BDP|9774414710114748072</stp>
        <tr r="D1985" s="2"/>
      </tp>
      <tp t="s">
        <v>#N/A N/A</v>
        <stp/>
        <stp>BDP|4860462648244052804</stp>
        <tr r="H262" s="2"/>
      </tp>
      <tp t="s">
        <v>#N/A N/A</v>
        <stp/>
        <stp>BDP|8870343816587802546</stp>
        <tr r="I3381" s="2"/>
      </tp>
      <tp t="s">
        <v>#N/A N/A</v>
        <stp/>
        <stp>BDP|1139140287933795334</stp>
        <tr r="H1551" s="2"/>
      </tp>
      <tp t="s">
        <v>#N/A N/A</v>
        <stp/>
        <stp>BDP|3038816651274200240</stp>
        <tr r="D3985" s="2"/>
      </tp>
      <tp t="s">
        <v>#N/A N/A</v>
        <stp/>
        <stp>BDP|8537448324894123227</stp>
        <tr r="I3414" s="2"/>
      </tp>
      <tp t="s">
        <v>#N/A N/A</v>
        <stp/>
        <stp>BDP|9296262276631299562</stp>
        <tr r="F4143" s="2"/>
      </tp>
      <tp t="s">
        <v>#N/A N/A</v>
        <stp/>
        <stp>BDP|5038233583205636207</stp>
        <tr r="H683" s="2"/>
      </tp>
      <tp t="s">
        <v>#N/A N/A</v>
        <stp/>
        <stp>BDP|6634349823387470827</stp>
        <tr r="I2975" s="2"/>
      </tp>
      <tp t="s">
        <v>#N/A N/A</v>
        <stp/>
        <stp>BDP|8606231523926115600</stp>
        <tr r="B3307" s="2"/>
      </tp>
      <tp t="s">
        <v>#N/A N/A</v>
        <stp/>
        <stp>BDP|6021332644841015800</stp>
        <tr r="H2651" s="2"/>
      </tp>
      <tp t="s">
        <v>#N/A N/A</v>
        <stp/>
        <stp>BDP|5442805373921894388</stp>
        <tr r="D4320" s="2"/>
      </tp>
      <tp t="s">
        <v>#N/A N/A</v>
        <stp/>
        <stp>BDP|9736130055131486423</stp>
        <tr r="F2478" s="2"/>
      </tp>
      <tp t="s">
        <v>#N/A N/A</v>
        <stp/>
        <stp>BDP|8174349575742669616</stp>
        <tr r="G4158" s="2"/>
      </tp>
      <tp t="s">
        <v>#N/A N/A</v>
        <stp/>
        <stp>BDP|8844606995319300698</stp>
        <tr r="I4326" s="2"/>
      </tp>
      <tp t="s">
        <v>#N/A N/A</v>
        <stp/>
        <stp>BDP|5098547100309770143</stp>
        <tr r="D3183" s="2"/>
      </tp>
      <tp t="s">
        <v>#N/A N/A</v>
        <stp/>
        <stp>BDP|7481790061206818832</stp>
        <tr r="F4697" s="2"/>
      </tp>
      <tp t="s">
        <v>#N/A N/A</v>
        <stp/>
        <stp>BDP|2079802612447110449</stp>
        <tr r="G4935" s="2"/>
      </tp>
      <tp t="s">
        <v>#N/A N/A</v>
        <stp/>
        <stp>BDP|2425980925829875864</stp>
        <tr r="H2394" s="2"/>
      </tp>
      <tp t="s">
        <v>#N/A N/A</v>
        <stp/>
        <stp>BDP|9758178866930558648</stp>
        <tr r="C3011" s="2"/>
      </tp>
      <tp t="s">
        <v>#N/A N/A</v>
        <stp/>
        <stp>BDP|1681817800784010501</stp>
        <tr r="I150" s="2"/>
      </tp>
      <tp t="s">
        <v>#N/A N/A</v>
        <stp/>
        <stp>BDP|2522964342452425528</stp>
        <tr r="F1775" s="2"/>
      </tp>
      <tp t="s">
        <v>#N/A N/A</v>
        <stp/>
        <stp>BDP|6963964052722890024</stp>
        <tr r="D208" s="2"/>
      </tp>
      <tp t="s">
        <v>#N/A N/A</v>
        <stp/>
        <stp>BDP|4747931103731237429</stp>
        <tr r="B2776" s="2"/>
      </tp>
      <tp t="s">
        <v>#N/A N/A</v>
        <stp/>
        <stp>BDP|6511958542567600434</stp>
        <tr r="G207" s="2"/>
      </tp>
      <tp t="s">
        <v>#N/A N/A</v>
        <stp/>
        <stp>BDP|5339513090668183946</stp>
        <tr r="H1748" s="2"/>
      </tp>
      <tp t="s">
        <v>#N/A N/A</v>
        <stp/>
        <stp>BDP|1820201985900307392</stp>
        <tr r="I3957" s="2"/>
      </tp>
      <tp t="s">
        <v>#N/A N/A</v>
        <stp/>
        <stp>BDP|4635047021226178859</stp>
        <tr r="C3182" s="2"/>
      </tp>
      <tp t="s">
        <v>#N/A N/A</v>
        <stp/>
        <stp>BDP|4864943804724997163</stp>
        <tr r="C2413" s="2"/>
      </tp>
      <tp t="s">
        <v>#N/A N/A</v>
        <stp/>
        <stp>BDP|2763609621118431656</stp>
        <tr r="F2511" s="2"/>
      </tp>
      <tp t="s">
        <v>#N/A N/A</v>
        <stp/>
        <stp>BDP|3173069284037402405</stp>
        <tr r="B3652" s="2"/>
      </tp>
      <tp t="s">
        <v>#N/A N/A</v>
        <stp/>
        <stp>BDP|8824716412071566799</stp>
        <tr r="D3766" s="2"/>
      </tp>
      <tp t="s">
        <v>#N/A N/A</v>
        <stp/>
        <stp>BDP|7337896030815405196</stp>
        <tr r="F2767" s="2"/>
      </tp>
      <tp t="s">
        <v>#N/A N/A</v>
        <stp/>
        <stp>BDP|1062942901006585677</stp>
        <tr r="C2969" s="2"/>
      </tp>
      <tp t="s">
        <v>#N/A N/A</v>
        <stp/>
        <stp>BDP|4644198021176047993</stp>
        <tr r="C1601" s="2"/>
      </tp>
      <tp t="s">
        <v>#N/A N/A</v>
        <stp/>
        <stp>BDP|9697626200850157728</stp>
        <tr r="F4334" s="2"/>
      </tp>
      <tp t="s">
        <v>#N/A N/A</v>
        <stp/>
        <stp>BDP|9491569546331097130</stp>
        <tr r="A3614" s="2"/>
      </tp>
      <tp t="s">
        <v>#N/A N/A</v>
        <stp/>
        <stp>BDP|8801770403277811039</stp>
        <tr r="C2822" s="2"/>
      </tp>
      <tp t="s">
        <v>#N/A N/A</v>
        <stp/>
        <stp>BDP|1197219790676398445</stp>
        <tr r="C4853" s="2"/>
      </tp>
      <tp t="s">
        <v>#N/A N/A</v>
        <stp/>
        <stp>BDP|7143907751196014579</stp>
        <tr r="A2645" s="2"/>
      </tp>
      <tp t="s">
        <v>#N/A N/A</v>
        <stp/>
        <stp>BDP|6746552785977875485</stp>
        <tr r="D2114" s="2"/>
      </tp>
      <tp t="s">
        <v>#N/A N/A</v>
        <stp/>
        <stp>BDP|5480815727792510506</stp>
        <tr r="G22" s="2"/>
      </tp>
      <tp t="s">
        <v>#N/A N/A</v>
        <stp/>
        <stp>BDP|4429462780458183841</stp>
        <tr r="H4399" s="2"/>
      </tp>
      <tp t="s">
        <v>#N/A N/A</v>
        <stp/>
        <stp>BDP|1198401445769323000</stp>
        <tr r="H192" s="2"/>
      </tp>
      <tp t="s">
        <v>#N/A N/A</v>
        <stp/>
        <stp>BDP|3699700273578455364</stp>
        <tr r="I3667" s="2"/>
      </tp>
      <tp t="s">
        <v>#N/A N/A</v>
        <stp/>
        <stp>BDP|6232642396396091776</stp>
        <tr r="F733" s="2"/>
      </tp>
      <tp t="s">
        <v>#N/A N/A</v>
        <stp/>
        <stp>BDP|5511508789154837437</stp>
        <tr r="F3007" s="2"/>
      </tp>
      <tp t="s">
        <v>#N/A N/A</v>
        <stp/>
        <stp>BDP|9152435945838418945</stp>
        <tr r="H1447" s="2"/>
      </tp>
      <tp t="s">
        <v>#N/A N/A</v>
        <stp/>
        <stp>BDP|9051425967783221009</stp>
        <tr r="F4968" s="2"/>
      </tp>
      <tp t="s">
        <v>#N/A N/A</v>
        <stp/>
        <stp>BDP|9943608205501960623</stp>
        <tr r="H3738" s="2"/>
      </tp>
      <tp t="s">
        <v>#N/A N/A</v>
        <stp/>
        <stp>BDP|8507354633345287563</stp>
        <tr r="C825" s="2"/>
      </tp>
      <tp t="s">
        <v>#N/A N/A</v>
        <stp/>
        <stp>BDP|3158935607292594077</stp>
        <tr r="H894" s="2"/>
      </tp>
      <tp t="s">
        <v>#N/A N/A</v>
        <stp/>
        <stp>BDP|8222413832337174079</stp>
        <tr r="H2530" s="2"/>
      </tp>
      <tp t="s">
        <v>#N/A N/A</v>
        <stp/>
        <stp>BDP|5081497434439309397</stp>
        <tr r="C4383" s="2"/>
      </tp>
      <tp t="s">
        <v>#N/A N/A</v>
        <stp/>
        <stp>BDP|2789010220300575843</stp>
        <tr r="I780" s="2"/>
      </tp>
      <tp t="s">
        <v>#N/A N/A</v>
        <stp/>
        <stp>BDP|8316349945503740426</stp>
        <tr r="C3472" s="2"/>
      </tp>
      <tp t="s">
        <v>#N/A N/A</v>
        <stp/>
        <stp>BDP|1681293297380713286</stp>
        <tr r="C2909" s="2"/>
      </tp>
      <tp t="s">
        <v>#N/A N/A</v>
        <stp/>
        <stp>BDP|6050059397663434417</stp>
        <tr r="G1914" s="2"/>
      </tp>
      <tp t="s">
        <v>#N/A N/A</v>
        <stp/>
        <stp>BDP|6846791995314095431</stp>
        <tr r="C2238" s="2"/>
      </tp>
      <tp t="s">
        <v>#N/A N/A</v>
        <stp/>
        <stp>BDP|1032438790864365074</stp>
        <tr r="F1562" s="2"/>
      </tp>
      <tp t="s">
        <v>#N/A N/A</v>
        <stp/>
        <stp>BDP|8230776267138547901</stp>
        <tr r="H1669" s="2"/>
      </tp>
      <tp t="s">
        <v>#N/A N/A</v>
        <stp/>
        <stp>BDP|5437664410068022254</stp>
        <tr r="G1048" s="2"/>
      </tp>
      <tp t="s">
        <v>#N/A N/A</v>
        <stp/>
        <stp>BDP|7115779856929158465</stp>
        <tr r="C3278" s="2"/>
      </tp>
      <tp t="s">
        <v>#N/A N/A</v>
        <stp/>
        <stp>BDP|4024251293663070413</stp>
        <tr r="G835" s="2"/>
      </tp>
      <tp t="s">
        <v>#N/A N/A</v>
        <stp/>
        <stp>BDP|1351808871434493211</stp>
        <tr r="A3959" s="2"/>
      </tp>
      <tp t="s">
        <v>#N/A N/A</v>
        <stp/>
        <stp>BDP|8522250232725669432</stp>
        <tr r="D373" s="2"/>
      </tp>
      <tp t="s">
        <v>#N/A N/A</v>
        <stp/>
        <stp>BDP|3356946846396313051</stp>
        <tr r="H939" s="2"/>
      </tp>
      <tp t="s">
        <v>#N/A N/A</v>
        <stp/>
        <stp>BDP|8363797223326645386</stp>
        <tr r="B3453" s="2"/>
      </tp>
      <tp t="s">
        <v>#N/A N/A</v>
        <stp/>
        <stp>BDP|4806175272923287984</stp>
        <tr r="B4798" s="2"/>
      </tp>
      <tp t="s">
        <v>#N/A N/A</v>
        <stp/>
        <stp>BDP|9492342963094590012</stp>
        <tr r="B4447" s="2"/>
      </tp>
      <tp t="s">
        <v>#N/A N/A</v>
        <stp/>
        <stp>BDP|8748100046214605106</stp>
        <tr r="F358" s="2"/>
      </tp>
      <tp t="s">
        <v>#N/A N/A</v>
        <stp/>
        <stp>BDP|8641377066293197618</stp>
        <tr r="C4716" s="2"/>
      </tp>
      <tp t="s">
        <v>#N/A N/A</v>
        <stp/>
        <stp>BDP|3218712137506113927</stp>
        <tr r="F4541" s="2"/>
      </tp>
      <tp t="s">
        <v>#N/A N/A</v>
        <stp/>
        <stp>BDP|4300926957156339627</stp>
        <tr r="A4713" s="2"/>
      </tp>
      <tp t="s">
        <v>#N/A N/A</v>
        <stp/>
        <stp>BDP|1391476079049883324</stp>
        <tr r="D2908" s="2"/>
      </tp>
      <tp t="s">
        <v>#N/A N/A</v>
        <stp/>
        <stp>BDP|3206196359519453615</stp>
        <tr r="H1931" s="2"/>
      </tp>
      <tp t="s">
        <v>#N/A N/A</v>
        <stp/>
        <stp>BDP|6701440375344906980</stp>
        <tr r="D1391" s="2"/>
      </tp>
      <tp t="s">
        <v>#N/A N/A</v>
        <stp/>
        <stp>BDP|9901134248795257175</stp>
        <tr r="I306" s="2"/>
      </tp>
      <tp t="s">
        <v>#N/A N/A</v>
        <stp/>
        <stp>BDP|4046047272603136804</stp>
        <tr r="G526" s="2"/>
      </tp>
      <tp t="s">
        <v>#N/A N/A</v>
        <stp/>
        <stp>BDP|4268072319878893537</stp>
        <tr r="H4192" s="2"/>
      </tp>
      <tp t="s">
        <v>#N/A N/A</v>
        <stp/>
        <stp>BDP|4100544708109902030</stp>
        <tr r="C1493" s="2"/>
      </tp>
      <tp t="s">
        <v>#N/A N/A</v>
        <stp/>
        <stp>BDP|3516934874185301061</stp>
        <tr r="F1736" s="2"/>
      </tp>
      <tp t="s">
        <v>#N/A N/A</v>
        <stp/>
        <stp>BDP|8591903611108587066</stp>
        <tr r="G4378" s="2"/>
      </tp>
      <tp t="s">
        <v>#N/A N/A</v>
        <stp/>
        <stp>BDP|7811794231458167362</stp>
        <tr r="G4489" s="2"/>
      </tp>
      <tp t="s">
        <v>#N/A N/A</v>
        <stp/>
        <stp>BDP|7325876697908510619</stp>
        <tr r="F669" s="2"/>
      </tp>
      <tp t="s">
        <v>#N/A N/A</v>
        <stp/>
        <stp>BDP|9279554799699984408</stp>
        <tr r="H4970" s="2"/>
      </tp>
      <tp t="s">
        <v>#N/A N/A</v>
        <stp/>
        <stp>BDP|5057054444359120074</stp>
        <tr r="B849" s="2"/>
      </tp>
      <tp t="s">
        <v>#N/A N/A</v>
        <stp/>
        <stp>BDP|3684952483599629319</stp>
        <tr r="D1320" s="2"/>
      </tp>
      <tp t="s">
        <v>#N/A N/A</v>
        <stp/>
        <stp>BDP|9811122979362103554</stp>
        <tr r="C515" s="2"/>
      </tp>
      <tp t="s">
        <v>#N/A N/A</v>
        <stp/>
        <stp>BDP|1442770698333938450</stp>
        <tr r="A1819" s="2"/>
      </tp>
      <tp t="s">
        <v>#N/A N/A</v>
        <stp/>
        <stp>BDP|8307846933559601257</stp>
        <tr r="D676" s="2"/>
      </tp>
      <tp t="s">
        <v>#N/A N/A</v>
        <stp/>
        <stp>BDP|4114582649478261556</stp>
        <tr r="I3633" s="2"/>
      </tp>
      <tp t="s">
        <v>#N/A N/A</v>
        <stp/>
        <stp>BDP|9042918266837645967</stp>
        <tr r="D1026" s="2"/>
      </tp>
      <tp t="s">
        <v>#N/A N/A</v>
        <stp/>
        <stp>BDP|4572215910988454779</stp>
        <tr r="G1853" s="2"/>
      </tp>
      <tp t="s">
        <v>#N/A N/A</v>
        <stp/>
        <stp>BDP|6983437666819397589</stp>
        <tr r="D2157" s="2"/>
      </tp>
      <tp t="s">
        <v>#N/A N/A</v>
        <stp/>
        <stp>BDP|9414282958100431676</stp>
        <tr r="I3408" s="2"/>
      </tp>
      <tp t="s">
        <v>#N/A N/A</v>
        <stp/>
        <stp>BDP|4381751337491720918</stp>
        <tr r="A1769" s="2"/>
      </tp>
      <tp t="s">
        <v>#N/A N/A</v>
        <stp/>
        <stp>BDP|6902820245716027493</stp>
        <tr r="A1959" s="2"/>
      </tp>
      <tp t="s">
        <v>#N/A N/A</v>
        <stp/>
        <stp>BDP|5529987575344839773</stp>
        <tr r="H1558" s="2"/>
      </tp>
      <tp t="s">
        <v>#N/A N/A</v>
        <stp/>
        <stp>BDP|8529576559314981459</stp>
        <tr r="H691" s="2"/>
      </tp>
      <tp t="s">
        <v>#N/A N/A</v>
        <stp/>
        <stp>BDP|2531393888152431374</stp>
        <tr r="I781" s="2"/>
      </tp>
      <tp t="s">
        <v>#N/A N/A</v>
        <stp/>
        <stp>BDP|8554736763844573545</stp>
        <tr r="H1668" s="2"/>
      </tp>
      <tp t="s">
        <v>#N/A N/A</v>
        <stp/>
        <stp>BDP|8177859451714950985</stp>
        <tr r="I3748" s="2"/>
      </tp>
      <tp t="s">
        <v>#N/A N/A</v>
        <stp/>
        <stp>BDP|9902454048660388133</stp>
        <tr r="I607" s="2"/>
      </tp>
      <tp t="s">
        <v>#N/A N/A</v>
        <stp/>
        <stp>BDP|4880842816470866561</stp>
        <tr r="D2760" s="2"/>
      </tp>
      <tp t="s">
        <v>#N/A N/A</v>
        <stp/>
        <stp>BDP|5239579004770018854</stp>
        <tr r="G1187" s="2"/>
      </tp>
      <tp t="s">
        <v>#N/A N/A</v>
        <stp/>
        <stp>BDP|8518955047408689550</stp>
        <tr r="B3337" s="2"/>
      </tp>
      <tp t="s">
        <v>#N/A N/A</v>
        <stp/>
        <stp>BDP|5172522394952617355</stp>
        <tr r="A2857" s="2"/>
      </tp>
      <tp t="s">
        <v>#N/A N/A</v>
        <stp/>
        <stp>BDP|9774215970624786054</stp>
        <tr r="H849" s="2"/>
      </tp>
      <tp t="s">
        <v>#N/A N/A</v>
        <stp/>
        <stp>BDP|9743842317668221029</stp>
        <tr r="I1163" s="2"/>
      </tp>
      <tp t="s">
        <v>#N/A N/A</v>
        <stp/>
        <stp>BDP|3125959756407263042</stp>
        <tr r="B1422" s="2"/>
      </tp>
      <tp t="s">
        <v>#N/A N/A</v>
        <stp/>
        <stp>BDP|6066884513971751684</stp>
        <tr r="G4605" s="2"/>
      </tp>
      <tp t="s">
        <v>#N/A N/A</v>
        <stp/>
        <stp>BDP|8285034208226540680</stp>
        <tr r="F1991" s="2"/>
      </tp>
      <tp t="s">
        <v>#N/A N/A</v>
        <stp/>
        <stp>BDP|1872948478440354734</stp>
        <tr r="A2494" s="2"/>
      </tp>
      <tp t="s">
        <v>#N/A N/A</v>
        <stp/>
        <stp>BDP|7734043363438297167</stp>
        <tr r="C4692" s="2"/>
      </tp>
      <tp t="s">
        <v>#N/A N/A</v>
        <stp/>
        <stp>BDP|9249057913380196013</stp>
        <tr r="D2109" s="2"/>
      </tp>
      <tp t="s">
        <v>#N/A N/A</v>
        <stp/>
        <stp>BDP|2338976180039883287</stp>
        <tr r="H1726" s="2"/>
      </tp>
      <tp t="s">
        <v>#N/A N/A</v>
        <stp/>
        <stp>BDP|6623512852366504849</stp>
        <tr r="F3968" s="2"/>
      </tp>
      <tp t="s">
        <v>#N/A N/A</v>
        <stp/>
        <stp>BDP|1049145411668240139</stp>
        <tr r="G3525" s="2"/>
      </tp>
      <tp t="s">
        <v>#N/A N/A</v>
        <stp/>
        <stp>BDP|7347266255750400808</stp>
        <tr r="F1336" s="2"/>
      </tp>
      <tp t="s">
        <v>#N/A N/A</v>
        <stp/>
        <stp>BDP|6828394431289506719</stp>
        <tr r="D3990" s="2"/>
      </tp>
      <tp t="s">
        <v>#N/A N/A</v>
        <stp/>
        <stp>BDP|2399353434262503835</stp>
        <tr r="H3181" s="2"/>
      </tp>
      <tp t="s">
        <v>#N/A N/A</v>
        <stp/>
        <stp>BDP|8805792463756416728</stp>
        <tr r="B4340" s="2"/>
      </tp>
      <tp t="s">
        <v>#N/A N/A</v>
        <stp/>
        <stp>BDP|7595165394122339502</stp>
        <tr r="I4292" s="2"/>
      </tp>
      <tp t="s">
        <v>#N/A N/A</v>
        <stp/>
        <stp>BDP|7076946803852775442</stp>
        <tr r="B3237" s="2"/>
      </tp>
      <tp t="s">
        <v>#N/A N/A</v>
        <stp/>
        <stp>BDP|5104383111149986655</stp>
        <tr r="H4773" s="2"/>
      </tp>
      <tp t="s">
        <v>#N/A N/A</v>
        <stp/>
        <stp>BDP|2077039594566408574</stp>
        <tr r="I2999" s="2"/>
      </tp>
      <tp t="s">
        <v>#N/A N/A</v>
        <stp/>
        <stp>BDP|8687457857899618869</stp>
        <tr r="H4724" s="2"/>
      </tp>
      <tp t="s">
        <v>#N/A N/A</v>
        <stp/>
        <stp>BDP|4303426716989533063</stp>
        <tr r="G4587" s="2"/>
      </tp>
      <tp t="s">
        <v>#N/A N/A</v>
        <stp/>
        <stp>BDP|3299206592499440901</stp>
        <tr r="I448" s="2"/>
      </tp>
      <tp t="s">
        <v>#N/A N/A</v>
        <stp/>
        <stp>BDP|6184905762069202853</stp>
        <tr r="C1695" s="2"/>
      </tp>
      <tp t="s">
        <v>#N/A N/A</v>
        <stp/>
        <stp>BDP|4485143585415020013</stp>
        <tr r="C2258" s="2"/>
      </tp>
      <tp t="s">
        <v>#N/A N/A</v>
        <stp/>
        <stp>BDP|9744193005263983363</stp>
        <tr r="H3541" s="2"/>
      </tp>
      <tp t="s">
        <v>#N/A N/A</v>
        <stp/>
        <stp>BDP|5941212903968661797</stp>
        <tr r="F3636" s="2"/>
      </tp>
      <tp t="s">
        <v>#N/A N/A</v>
        <stp/>
        <stp>BDP|6461715766159004673</stp>
        <tr r="H2924" s="2"/>
      </tp>
      <tp t="s">
        <v>#N/A N/A</v>
        <stp/>
        <stp>BDP|9843522383778938443</stp>
        <tr r="B1786" s="2"/>
      </tp>
      <tp t="s">
        <v>#N/A N/A</v>
        <stp/>
        <stp>BDP|9338272431550062013</stp>
        <tr r="G3037" s="2"/>
      </tp>
      <tp t="s">
        <v>#N/A N/A</v>
        <stp/>
        <stp>BDP|5855296146542526964</stp>
        <tr r="D370" s="2"/>
      </tp>
      <tp t="s">
        <v>#N/A N/A</v>
        <stp/>
        <stp>BDP|9199036116381057109</stp>
        <tr r="D1289" s="2"/>
      </tp>
      <tp t="s">
        <v>#N/A N/A</v>
        <stp/>
        <stp>BDP|2077634571069566235</stp>
        <tr r="G1394" s="2"/>
      </tp>
      <tp t="s">
        <v>#N/A N/A</v>
        <stp/>
        <stp>BDP|9108295973554887078</stp>
        <tr r="I2117" s="2"/>
      </tp>
      <tp t="s">
        <v>#N/A N/A</v>
        <stp/>
        <stp>BDP|7063508855446233939</stp>
        <tr r="I3818" s="2"/>
      </tp>
      <tp t="s">
        <v>#N/A N/A</v>
        <stp/>
        <stp>BDP|3606945971544215151</stp>
        <tr r="D2063" s="2"/>
      </tp>
      <tp t="s">
        <v>#N/A N/A</v>
        <stp/>
        <stp>BDP|6530943901301537610</stp>
        <tr r="I3726" s="2"/>
      </tp>
      <tp t="s">
        <v>#N/A N/A</v>
        <stp/>
        <stp>BDP|7169432297472664076</stp>
        <tr r="C2412" s="2"/>
      </tp>
      <tp t="s">
        <v>#N/A N/A</v>
        <stp/>
        <stp>BDP|3180930694983027823</stp>
        <tr r="D72" s="2"/>
      </tp>
      <tp t="s">
        <v>#N/A N/A</v>
        <stp/>
        <stp>BDP|1157602384477018012</stp>
        <tr r="C2054" s="2"/>
      </tp>
      <tp t="s">
        <v>#N/A N/A</v>
        <stp/>
        <stp>BDP|8120215176335467061</stp>
        <tr r="H604" s="2"/>
      </tp>
      <tp t="s">
        <v>#N/A N/A</v>
        <stp/>
        <stp>BDP|7561955560951192150</stp>
        <tr r="H4276" s="2"/>
      </tp>
      <tp t="s">
        <v>#N/A N/A</v>
        <stp/>
        <stp>BDP|8087647041392181007</stp>
        <tr r="G4557" s="2"/>
      </tp>
      <tp t="s">
        <v>#N/A N/A</v>
        <stp/>
        <stp>BDP|5069788756059393694</stp>
        <tr r="F4743" s="2"/>
      </tp>
      <tp t="s">
        <v>#N/A N/A</v>
        <stp/>
        <stp>BDP|2135433228649609585</stp>
        <tr r="I3554" s="2"/>
      </tp>
      <tp t="s">
        <v>#N/A N/A</v>
        <stp/>
        <stp>BDP|9676255320111761007</stp>
        <tr r="B833" s="2"/>
      </tp>
      <tp t="s">
        <v>#N/A N/A</v>
        <stp/>
        <stp>BDP|9795719767720336066</stp>
        <tr r="B1659" s="2"/>
      </tp>
      <tp t="s">
        <v>#N/A N/A</v>
        <stp/>
        <stp>BDP|7633203706909083443</stp>
        <tr r="B538" s="2"/>
      </tp>
      <tp t="s">
        <v>#N/A N/A</v>
        <stp/>
        <stp>BDP|8571559432612335459</stp>
        <tr r="I342" s="2"/>
      </tp>
      <tp t="s">
        <v>#N/A N/A</v>
        <stp/>
        <stp>BDP|8170772178754386498</stp>
        <tr r="H2685" s="2"/>
      </tp>
      <tp t="s">
        <v>#N/A N/A</v>
        <stp/>
        <stp>BDP|1138338621239784103</stp>
        <tr r="A1699" s="2"/>
      </tp>
      <tp t="s">
        <v>#N/A N/A</v>
        <stp/>
        <stp>BDP|2037348016809353153</stp>
        <tr r="C4821" s="2"/>
      </tp>
      <tp t="s">
        <v>#N/A N/A</v>
        <stp/>
        <stp>BDP|2463638761703544978</stp>
        <tr r="F2309" s="2"/>
      </tp>
      <tp t="s">
        <v>#N/A N/A</v>
        <stp/>
        <stp>BDP|1898381637018191125</stp>
        <tr r="D3159" s="2"/>
      </tp>
      <tp t="s">
        <v>#N/A N/A</v>
        <stp/>
        <stp>BDP|9686704838996928333</stp>
        <tr r="D1808" s="2"/>
      </tp>
      <tp t="s">
        <v>#N/A N/A</v>
        <stp/>
        <stp>BDP|5711400894995149568</stp>
        <tr r="C2351" s="2"/>
      </tp>
      <tp t="s">
        <v>#N/A N/A</v>
        <stp/>
        <stp>BDP|5505006694237210372</stp>
        <tr r="A226" s="2"/>
      </tp>
      <tp t="s">
        <v>#N/A N/A</v>
        <stp/>
        <stp>BDP|2759025306283610914</stp>
        <tr r="A4480" s="2"/>
      </tp>
      <tp t="s">
        <v>#N/A N/A</v>
        <stp/>
        <stp>BDP|2634153483695363677</stp>
        <tr r="H3750" s="2"/>
      </tp>
      <tp t="s">
        <v>#N/A N/A</v>
        <stp/>
        <stp>BDP|8006012244410861496</stp>
        <tr r="F424" s="2"/>
      </tp>
      <tp t="s">
        <v>#N/A N/A</v>
        <stp/>
        <stp>BDP|1749680289777019024</stp>
        <tr r="H2277" s="2"/>
      </tp>
      <tp t="s">
        <v>#N/A N/A</v>
        <stp/>
        <stp>BDP|2189348654015208976</stp>
        <tr r="A341" s="2"/>
      </tp>
      <tp t="s">
        <v>#N/A N/A</v>
        <stp/>
        <stp>BDP|4307982787365936814</stp>
        <tr r="D731" s="2"/>
      </tp>
      <tp t="s">
        <v>#N/A N/A</v>
        <stp/>
        <stp>BDP|3922896044576574150</stp>
        <tr r="F1041" s="2"/>
      </tp>
      <tp t="s">
        <v>#N/A N/A</v>
        <stp/>
        <stp>BDP|9689052531095498725</stp>
        <tr r="A1192" s="2"/>
      </tp>
      <tp t="s">
        <v>#N/A N/A</v>
        <stp/>
        <stp>BDP|9074211223115309451</stp>
        <tr r="H4433" s="2"/>
      </tp>
      <tp t="s">
        <v>#N/A N/A</v>
        <stp/>
        <stp>BDP|2700925633113378315</stp>
        <tr r="G1416" s="2"/>
      </tp>
      <tp t="s">
        <v>#N/A N/A</v>
        <stp/>
        <stp>BDP|7534511893317614456</stp>
        <tr r="B2787" s="2"/>
      </tp>
      <tp t="s">
        <v>#N/A N/A</v>
        <stp/>
        <stp>BDP|2634169737301195939</stp>
        <tr r="H4403" s="2"/>
      </tp>
      <tp t="s">
        <v>#N/A N/A</v>
        <stp/>
        <stp>BDP|1962708491597832051</stp>
        <tr r="C13" s="2"/>
      </tp>
      <tp t="s">
        <v>#N/A N/A</v>
        <stp/>
        <stp>BDP|8271658825031242552</stp>
        <tr r="C1336" s="2"/>
      </tp>
      <tp t="s">
        <v>#N/A N/A</v>
        <stp/>
        <stp>BDP|3991947998628598359</stp>
        <tr r="A2033" s="2"/>
      </tp>
      <tp t="s">
        <v>#N/A N/A</v>
        <stp/>
        <stp>BDP|6530651186735399504</stp>
        <tr r="F2596" s="2"/>
      </tp>
      <tp t="s">
        <v>#N/A N/A</v>
        <stp/>
        <stp>BDP|1240159684203160372</stp>
        <tr r="A1264" s="2"/>
      </tp>
      <tp t="s">
        <v>#N/A N/A</v>
        <stp/>
        <stp>BDP|6274521392775198763</stp>
        <tr r="A4321" s="2"/>
      </tp>
      <tp t="s">
        <v>#N/A N/A</v>
        <stp/>
        <stp>BDP|6762918755845148779</stp>
        <tr r="F3910" s="2"/>
      </tp>
      <tp t="s">
        <v>#N/A N/A</v>
        <stp/>
        <stp>BDP|8490129101161633048</stp>
        <tr r="G3983" s="2"/>
      </tp>
      <tp t="s">
        <v>#N/A N/A</v>
        <stp/>
        <stp>BDP|2572915550962514440</stp>
        <tr r="D1287" s="2"/>
      </tp>
      <tp t="s">
        <v>#N/A N/A</v>
        <stp/>
        <stp>BDP|2960293380962252273</stp>
        <tr r="G860" s="2"/>
      </tp>
      <tp t="s">
        <v>#N/A N/A</v>
        <stp/>
        <stp>BDP|8564336403017726478</stp>
        <tr r="A4742" s="2"/>
      </tp>
      <tp t="s">
        <v>#N/A N/A</v>
        <stp/>
        <stp>BDP|3743370181014293467</stp>
        <tr r="D1438" s="2"/>
      </tp>
      <tp t="s">
        <v>#N/A N/A</v>
        <stp/>
        <stp>BDP|6425989514215840357</stp>
        <tr r="A2960" s="2"/>
      </tp>
      <tp t="s">
        <v>#N/A N/A</v>
        <stp/>
        <stp>BDP|9696978075959362624</stp>
        <tr r="A2149" s="2"/>
      </tp>
      <tp t="s">
        <v>#N/A N/A</v>
        <stp/>
        <stp>BDP|2185823470237451226</stp>
        <tr r="C600" s="2"/>
      </tp>
      <tp t="s">
        <v>#N/A N/A</v>
        <stp/>
        <stp>BDP|8430013456814678105</stp>
        <tr r="G1717" s="2"/>
      </tp>
      <tp t="s">
        <v>#N/A N/A</v>
        <stp/>
        <stp>BDP|8238017120670106278</stp>
        <tr r="H807" s="2"/>
      </tp>
      <tp t="s">
        <v>#N/A N/A</v>
        <stp/>
        <stp>BDP|4626648431191430822</stp>
        <tr r="G2171" s="2"/>
      </tp>
      <tp t="s">
        <v>#N/A N/A</v>
        <stp/>
        <stp>BDP|6636941129750817569</stp>
        <tr r="C221" s="2"/>
      </tp>
      <tp t="s">
        <v>#N/A N/A</v>
        <stp/>
        <stp>BDP|6894122199147556132</stp>
        <tr r="G4038" s="2"/>
      </tp>
      <tp t="s">
        <v>#N/A N/A</v>
        <stp/>
        <stp>BDP|7004613364278590755</stp>
        <tr r="I2301" s="2"/>
      </tp>
      <tp t="s">
        <v>#N/A N/A</v>
        <stp/>
        <stp>BDP|7450180387065693380</stp>
        <tr r="B3795" s="2"/>
      </tp>
      <tp t="s">
        <v>#N/A N/A</v>
        <stp/>
        <stp>BDP|3337957878945291098</stp>
        <tr r="C2596" s="2"/>
      </tp>
      <tp t="s">
        <v>#N/A N/A</v>
        <stp/>
        <stp>BDP|8399696345327393599</stp>
        <tr r="A545" s="2"/>
      </tp>
      <tp t="s">
        <v>#N/A N/A</v>
        <stp/>
        <stp>BDP|8415472021082076478</stp>
        <tr r="D1939" s="2"/>
      </tp>
      <tp t="s">
        <v>#N/A N/A</v>
        <stp/>
        <stp>BDP|9396909970829560631</stp>
        <tr r="I3319" s="2"/>
      </tp>
      <tp t="s">
        <v>#N/A N/A</v>
        <stp/>
        <stp>BDP|1521905413165150422</stp>
        <tr r="A1990" s="2"/>
      </tp>
      <tp t="s">
        <v>#N/A N/A</v>
        <stp/>
        <stp>BDP|3564636886366414313</stp>
        <tr r="H1165" s="2"/>
      </tp>
      <tp t="s">
        <v>#N/A N/A</v>
        <stp/>
        <stp>BDP|7469821577622745234</stp>
        <tr r="G4160" s="2"/>
      </tp>
      <tp t="s">
        <v>#N/A N/A</v>
        <stp/>
        <stp>BDP|3091433936885820980</stp>
        <tr r="H1458" s="2"/>
      </tp>
      <tp t="s">
        <v>#N/A N/A</v>
        <stp/>
        <stp>BDP|3154089602889726296</stp>
        <tr r="B1974" s="2"/>
      </tp>
      <tp t="s">
        <v>#N/A N/A</v>
        <stp/>
        <stp>BDP|2509291275256441987</stp>
        <tr r="G483" s="2"/>
      </tp>
      <tp t="s">
        <v>#N/A N/A</v>
        <stp/>
        <stp>BDP|4194831047694097407</stp>
        <tr r="C4900" s="2"/>
      </tp>
      <tp t="s">
        <v>#N/A N/A</v>
        <stp/>
        <stp>BDP|9638758296057825889</stp>
        <tr r="C594" s="2"/>
      </tp>
      <tp t="s">
        <v>#N/A N/A</v>
        <stp/>
        <stp>BDP|6482805735403320678</stp>
        <tr r="F1592" s="2"/>
      </tp>
      <tp t="s">
        <v>#N/A N/A</v>
        <stp/>
        <stp>BDP|8019250440180012602</stp>
        <tr r="A2563" s="2"/>
      </tp>
      <tp t="s">
        <v>#N/A N/A</v>
        <stp/>
        <stp>BDP|5561512703638399018</stp>
        <tr r="D1480" s="2"/>
      </tp>
      <tp t="s">
        <v>#N/A N/A</v>
        <stp/>
        <stp>BDP|3135999788918160247</stp>
        <tr r="D2403" s="2"/>
      </tp>
      <tp t="s">
        <v>#N/A N/A</v>
        <stp/>
        <stp>BDP|4326839116096294310</stp>
        <tr r="G17" s="2"/>
      </tp>
      <tp t="s">
        <v>#N/A N/A</v>
        <stp/>
        <stp>BDP|5154826202071425404</stp>
        <tr r="D3598" s="2"/>
      </tp>
      <tp t="s">
        <v>#N/A N/A</v>
        <stp/>
        <stp>BDP|8300851931293154833</stp>
        <tr r="C2672" s="2"/>
      </tp>
      <tp t="s">
        <v>#N/A N/A</v>
        <stp/>
        <stp>BDP|6389753790753200319</stp>
        <tr r="B3487" s="2"/>
      </tp>
      <tp t="s">
        <v>#N/A N/A</v>
        <stp/>
        <stp>BDP|8689369840056419114</stp>
        <tr r="H2864" s="2"/>
      </tp>
      <tp t="s">
        <v>#N/A N/A</v>
        <stp/>
        <stp>BDP|3608372121819197347</stp>
        <tr r="I2370" s="2"/>
      </tp>
      <tp t="s">
        <v>#N/A N/A</v>
        <stp/>
        <stp>BDP|9343000112942582212</stp>
        <tr r="D1919" s="2"/>
      </tp>
      <tp t="s">
        <v>#N/A N/A</v>
        <stp/>
        <stp>BDP|4559923854882788211</stp>
        <tr r="C3529" s="2"/>
      </tp>
      <tp t="s">
        <v>#N/A N/A</v>
        <stp/>
        <stp>BDP|2867196333671241955</stp>
        <tr r="D2380" s="2"/>
      </tp>
      <tp t="s">
        <v>#N/A N/A</v>
        <stp/>
        <stp>BDP|9806207819166374476</stp>
        <tr r="I4204" s="2"/>
      </tp>
      <tp t="s">
        <v>#N/A N/A</v>
        <stp/>
        <stp>BDP|2519463661068174062</stp>
        <tr r="H3437" s="2"/>
      </tp>
      <tp t="s">
        <v>#N/A N/A</v>
        <stp/>
        <stp>BDP|7208291507335054890</stp>
        <tr r="B3834" s="2"/>
      </tp>
      <tp t="s">
        <v>#N/A N/A</v>
        <stp/>
        <stp>BDP|5674361933694361950</stp>
        <tr r="G535" s="2"/>
      </tp>
      <tp t="s">
        <v>#N/A N/A</v>
        <stp/>
        <stp>BDP|4179839615341599472</stp>
        <tr r="D1189" s="2"/>
      </tp>
      <tp t="s">
        <v>#N/A N/A</v>
        <stp/>
        <stp>BDP|3819873095688962264</stp>
        <tr r="H1394" s="2"/>
      </tp>
      <tp t="s">
        <v>#N/A N/A</v>
        <stp/>
        <stp>BDP|4320075833437568873</stp>
        <tr r="G1993" s="2"/>
      </tp>
      <tp t="s">
        <v>#N/A N/A</v>
        <stp/>
        <stp>BDP|7201909955967172431</stp>
        <tr r="D360" s="2"/>
      </tp>
      <tp t="s">
        <v>#N/A N/A</v>
        <stp/>
        <stp>BDP|4279425762148224657</stp>
        <tr r="F2268" s="2"/>
      </tp>
      <tp t="s">
        <v>#N/A N/A</v>
        <stp/>
        <stp>BDP|4847143981833092680</stp>
        <tr r="C1386" s="2"/>
      </tp>
      <tp t="s">
        <v>#N/A N/A</v>
        <stp/>
        <stp>BDP|4979438380865865577</stp>
        <tr r="H1262" s="2"/>
      </tp>
      <tp t="s">
        <v>#N/A N/A</v>
        <stp/>
        <stp>BDP|5718893356444584488</stp>
        <tr r="B3976" s="2"/>
      </tp>
      <tp t="s">
        <v>#N/A N/A</v>
        <stp/>
        <stp>BDP|3776664483920045487</stp>
        <tr r="D3341" s="2"/>
      </tp>
      <tp t="s">
        <v>#N/A N/A</v>
        <stp/>
        <stp>BDP|9906081552812134783</stp>
        <tr r="D2093" s="2"/>
      </tp>
      <tp t="s">
        <v>#N/A N/A</v>
        <stp/>
        <stp>BDP|3673399285173471241</stp>
        <tr r="H2542" s="2"/>
      </tp>
      <tp t="s">
        <v>#N/A N/A</v>
        <stp/>
        <stp>BDP|6292982933302089739</stp>
        <tr r="I398" s="2"/>
      </tp>
      <tp t="s">
        <v>#N/A N/A</v>
        <stp/>
        <stp>BDP|7424868228236847285</stp>
        <tr r="D4330" s="2"/>
      </tp>
      <tp t="s">
        <v>#N/A N/A</v>
        <stp/>
        <stp>BDP|7822685976568829748</stp>
        <tr r="A2620" s="2"/>
      </tp>
      <tp t="s">
        <v>#N/A N/A</v>
        <stp/>
        <stp>BDP|3707790777803073937</stp>
        <tr r="I2771" s="2"/>
      </tp>
      <tp t="s">
        <v>#N/A N/A</v>
        <stp/>
        <stp>BDP|3839665232947351852</stp>
        <tr r="H3638" s="2"/>
      </tp>
      <tp t="s">
        <v>#N/A N/A</v>
        <stp/>
        <stp>BDP|8679708679517364664</stp>
        <tr r="A4186" s="2"/>
      </tp>
      <tp t="s">
        <v>#N/A N/A</v>
        <stp/>
        <stp>BDP|4617359257588669380</stp>
        <tr r="B1814" s="2"/>
      </tp>
      <tp t="s">
        <v>#N/A N/A</v>
        <stp/>
        <stp>BDP|6273769321412995868</stp>
        <tr r="A2214" s="2"/>
      </tp>
      <tp t="s">
        <v>#N/A N/A</v>
        <stp/>
        <stp>BDP|8496313748687633114</stp>
        <tr r="B1262" s="2"/>
      </tp>
      <tp t="s">
        <v>#N/A N/A</v>
        <stp/>
        <stp>BDP|8869468052773203343</stp>
        <tr r="B470" s="2"/>
      </tp>
      <tp t="s">
        <v>#N/A N/A</v>
        <stp/>
        <stp>BDP|1793559924757847849</stp>
        <tr r="B4231" s="2"/>
      </tp>
      <tp t="s">
        <v>#N/A N/A</v>
        <stp/>
        <stp>BDP|6298164599001327645</stp>
        <tr r="C3668" s="2"/>
      </tp>
      <tp t="s">
        <v>#N/A N/A</v>
        <stp/>
        <stp>BDP|6884103173988207138</stp>
        <tr r="B2733" s="2"/>
      </tp>
      <tp t="s">
        <v>#N/A N/A</v>
        <stp/>
        <stp>BDP|8030896799041869129</stp>
        <tr r="G1813" s="2"/>
      </tp>
      <tp t="s">
        <v>#N/A N/A</v>
        <stp/>
        <stp>BDP|2199552660500774893</stp>
        <tr r="D3049" s="2"/>
      </tp>
      <tp t="s">
        <v>#N/A N/A</v>
        <stp/>
        <stp>BDP|9409373899723098907</stp>
        <tr r="D3245" s="2"/>
      </tp>
      <tp t="s">
        <v>#N/A N/A</v>
        <stp/>
        <stp>BDP|9997251816576666566</stp>
        <tr r="C3429" s="2"/>
      </tp>
      <tp t="s">
        <v>#N/A N/A</v>
        <stp/>
        <stp>BDP|2148627078532324828</stp>
        <tr r="H4004" s="2"/>
      </tp>
      <tp t="s">
        <v>#N/A N/A</v>
        <stp/>
        <stp>BDP|4762896833833440530</stp>
        <tr r="A3179" s="2"/>
      </tp>
      <tp t="s">
        <v>#N/A N/A</v>
        <stp/>
        <stp>BDP|3373051998395126658</stp>
        <tr r="H4991" s="2"/>
      </tp>
      <tp t="s">
        <v>#N/A N/A</v>
        <stp/>
        <stp>BDP|1994923467147047060</stp>
        <tr r="G1647" s="2"/>
      </tp>
      <tp t="s">
        <v>#N/A N/A</v>
        <stp/>
        <stp>BDP|7517779079149720764</stp>
        <tr r="H2921" s="2"/>
      </tp>
      <tp t="s">
        <v>#N/A N/A</v>
        <stp/>
        <stp>BDP|1573819104382834221</stp>
        <tr r="A2851" s="2"/>
      </tp>
      <tp t="s">
        <v>#N/A N/A</v>
        <stp/>
        <stp>BDP|2063411095853728592</stp>
        <tr r="H38" s="2"/>
      </tp>
      <tp t="s">
        <v>#N/A N/A</v>
        <stp/>
        <stp>BDP|4236452153204883865</stp>
        <tr r="H1305" s="2"/>
      </tp>
      <tp t="s">
        <v>#N/A N/A</v>
        <stp/>
        <stp>BDP|9848327283898220317</stp>
        <tr r="H1876" s="2"/>
      </tp>
      <tp t="s">
        <v>#N/A N/A</v>
        <stp/>
        <stp>BDP|9741416624744139298</stp>
        <tr r="I3768" s="2"/>
      </tp>
      <tp t="s">
        <v>#N/A N/A</v>
        <stp/>
        <stp>BDP|1350833201498350889</stp>
        <tr r="G3890" s="2"/>
      </tp>
      <tp t="s">
        <v>#N/A N/A</v>
        <stp/>
        <stp>BDP|3949710694554271048</stp>
        <tr r="D4382" s="2"/>
      </tp>
      <tp t="s">
        <v>#N/A N/A</v>
        <stp/>
        <stp>BDP|9159157905570353183</stp>
        <tr r="I1244" s="2"/>
      </tp>
      <tp t="s">
        <v>#N/A N/A</v>
        <stp/>
        <stp>BDP|7819514391384168631</stp>
        <tr r="C2602" s="2"/>
      </tp>
      <tp t="s">
        <v>#N/A N/A</v>
        <stp/>
        <stp>BDP|8046061042754968175</stp>
        <tr r="G1703" s="2"/>
      </tp>
      <tp t="s">
        <v>#N/A N/A</v>
        <stp/>
        <stp>BDP|3048803141665268397</stp>
        <tr r="A2872" s="2"/>
      </tp>
      <tp t="s">
        <v>#N/A N/A</v>
        <stp/>
        <stp>BDP|6361570687731115380</stp>
        <tr r="C1445" s="2"/>
      </tp>
      <tp t="s">
        <v>#N/A N/A</v>
        <stp/>
        <stp>BDP|8057144316371971015</stp>
        <tr r="B345" s="2"/>
      </tp>
      <tp t="s">
        <v>#N/A N/A</v>
        <stp/>
        <stp>BDP|2161668647218289184</stp>
        <tr r="F1306" s="2"/>
      </tp>
      <tp t="s">
        <v>#N/A N/A</v>
        <stp/>
        <stp>BDP|9073382162660221522</stp>
        <tr r="B963" s="2"/>
      </tp>
      <tp t="s">
        <v>#N/A N/A</v>
        <stp/>
        <stp>BDP|4804951760823391143</stp>
        <tr r="I1144" s="2"/>
      </tp>
      <tp t="s">
        <v>#N/A N/A</v>
        <stp/>
        <stp>BDP|7228275629068770613</stp>
        <tr r="I2441" s="2"/>
      </tp>
      <tp t="s">
        <v>#N/A N/A</v>
        <stp/>
        <stp>BDP|2759737088525632107</stp>
        <tr r="I1786" s="2"/>
      </tp>
      <tp t="s">
        <v>#N/A N/A</v>
        <stp/>
        <stp>BDP|9842934883243123232</stp>
        <tr r="A3317" s="2"/>
      </tp>
      <tp t="s">
        <v>#N/A N/A</v>
        <stp/>
        <stp>BDP|2592680274859015335</stp>
        <tr r="F4094" s="2"/>
      </tp>
      <tp t="s">
        <v>#N/A N/A</v>
        <stp/>
        <stp>BDP|8182639178414101410</stp>
        <tr r="B693" s="2"/>
      </tp>
      <tp t="s">
        <v>#N/A N/A</v>
        <stp/>
        <stp>BDP|3919851257320777761</stp>
        <tr r="I36" s="2"/>
      </tp>
      <tp t="s">
        <v>#N/A N/A</v>
        <stp/>
        <stp>BDP|5443849959891267017</stp>
        <tr r="B119" s="2"/>
      </tp>
      <tp t="s">
        <v>#N/A N/A</v>
        <stp/>
        <stp>BDP|9499763158502936098</stp>
        <tr r="G2819" s="2"/>
      </tp>
      <tp t="s">
        <v>#N/A N/A</v>
        <stp/>
        <stp>BDP|9994306198888862236</stp>
        <tr r="D3512" s="2"/>
      </tp>
      <tp t="s">
        <v>#N/A N/A</v>
        <stp/>
        <stp>BDP|7762884497389304616</stp>
        <tr r="F3081" s="2"/>
      </tp>
      <tp t="s">
        <v>#N/A N/A</v>
        <stp/>
        <stp>BDP|1707951975110829654</stp>
        <tr r="G3778" s="2"/>
      </tp>
      <tp t="s">
        <v>#N/A N/A</v>
        <stp/>
        <stp>BDP|1004393333870053808</stp>
        <tr r="F4806" s="2"/>
      </tp>
      <tp t="s">
        <v>#N/A N/A</v>
        <stp/>
        <stp>BDP|9464346679095528164</stp>
        <tr r="G139" s="2"/>
      </tp>
      <tp t="s">
        <v>#N/A N/A</v>
        <stp/>
        <stp>BDP|2823967677327019231</stp>
        <tr r="G974" s="2"/>
      </tp>
      <tp t="s">
        <v>#N/A N/A</v>
        <stp/>
        <stp>BDP|9780080116188497976</stp>
        <tr r="H3027" s="2"/>
      </tp>
      <tp t="s">
        <v>#N/A N/A</v>
        <stp/>
        <stp>BDP|2111322992164977523</stp>
        <tr r="C3107" s="2"/>
      </tp>
      <tp t="s">
        <v>#N/A N/A</v>
        <stp/>
        <stp>BDP|4211066081292912762</stp>
        <tr r="F2524" s="2"/>
      </tp>
      <tp t="s">
        <v>#N/A N/A</v>
        <stp/>
        <stp>BDP|8275070077977189190</stp>
        <tr r="I511" s="2"/>
      </tp>
      <tp t="s">
        <v>#N/A N/A</v>
        <stp/>
        <stp>BDP|8609578856366402782</stp>
        <tr r="G661" s="2"/>
      </tp>
      <tp t="s">
        <v>#N/A N/A</v>
        <stp/>
        <stp>BDP|9062249779330733516</stp>
        <tr r="D1526" s="2"/>
      </tp>
      <tp t="s">
        <v>#N/A N/A</v>
        <stp/>
        <stp>BDP|6665668155638926473</stp>
        <tr r="I4597" s="2"/>
      </tp>
      <tp t="s">
        <v>#N/A N/A</v>
        <stp/>
        <stp>BDP|3019279098148160956</stp>
        <tr r="B3433" s="2"/>
      </tp>
      <tp t="s">
        <v>#N/A N/A</v>
        <stp/>
        <stp>BDP|3348594897867338152</stp>
        <tr r="B2021" s="2"/>
      </tp>
      <tp t="s">
        <v>#N/A N/A</v>
        <stp/>
        <stp>BDP|4372500864928463681</stp>
        <tr r="B2074" s="2"/>
      </tp>
      <tp t="s">
        <v>#N/A N/A</v>
        <stp/>
        <stp>BDP|1018109950764971820</stp>
        <tr r="I4944" s="2"/>
      </tp>
      <tp t="s">
        <v>#N/A N/A</v>
        <stp/>
        <stp>BDP|4070874031815426391</stp>
        <tr r="G3912" s="2"/>
      </tp>
      <tp t="s">
        <v>#N/A N/A</v>
        <stp/>
        <stp>BDP|9463278969311624577</stp>
        <tr r="B244" s="2"/>
      </tp>
      <tp t="s">
        <v>#N/A N/A</v>
        <stp/>
        <stp>BDP|6817912046955453704</stp>
        <tr r="A3783" s="2"/>
      </tp>
      <tp t="s">
        <v>#N/A N/A</v>
        <stp/>
        <stp>BDP|8890771849237517580</stp>
        <tr r="H663" s="2"/>
      </tp>
      <tp t="s">
        <v>#N/A N/A</v>
        <stp/>
        <stp>BDP|3004801707874549696</stp>
        <tr r="D1636" s="2"/>
      </tp>
      <tp t="s">
        <v>#N/A N/A</v>
        <stp/>
        <stp>BDP|2187704200585856927</stp>
        <tr r="A3387" s="2"/>
      </tp>
      <tp t="s">
        <v>#N/A N/A</v>
        <stp/>
        <stp>BDP|2083969179350708538</stp>
        <tr r="G1693" s="2"/>
      </tp>
      <tp t="s">
        <v>#N/A N/A</v>
        <stp/>
        <stp>BDP|9788456041017166792</stp>
        <tr r="C2460" s="2"/>
      </tp>
      <tp t="s">
        <v>#N/A N/A</v>
        <stp/>
        <stp>BDP|8459561619142093706</stp>
        <tr r="H1002" s="2"/>
      </tp>
      <tp t="s">
        <v>#N/A N/A</v>
        <stp/>
        <stp>BDP|2641646779808436244</stp>
        <tr r="B2802" s="2"/>
      </tp>
      <tp t="s">
        <v>#N/A N/A</v>
        <stp/>
        <stp>BDP|2995892779441736551</stp>
        <tr r="H373" s="2"/>
      </tp>
      <tp t="s">
        <v>#N/A N/A</v>
        <stp/>
        <stp>BDP|1997426380446075200</stp>
        <tr r="B4324" s="2"/>
      </tp>
      <tp t="s">
        <v>#N/A N/A</v>
        <stp/>
        <stp>BDP|3980708220577487861</stp>
        <tr r="F284" s="2"/>
      </tp>
      <tp t="s">
        <v>#N/A N/A</v>
        <stp/>
        <stp>BDP|9703896167758584675</stp>
        <tr r="C3036" s="2"/>
      </tp>
      <tp t="s">
        <v>#N/A N/A</v>
        <stp/>
        <stp>BDP|2335624085112998763</stp>
        <tr r="G4468" s="2"/>
      </tp>
      <tp t="s">
        <v>#N/A N/A</v>
        <stp/>
        <stp>BDP|8184825855609828556</stp>
        <tr r="A1018" s="2"/>
      </tp>
      <tp t="s">
        <v>#N/A N/A</v>
        <stp/>
        <stp>BDP|6050477868989573413</stp>
        <tr r="I2105" s="2"/>
      </tp>
      <tp t="s">
        <v>#N/A N/A</v>
        <stp/>
        <stp>BDP|6893312712018956591</stp>
        <tr r="D1213" s="2"/>
      </tp>
      <tp t="s">
        <v>#N/A N/A</v>
        <stp/>
        <stp>BDP|1885051394732098328</stp>
        <tr r="C2195" s="2"/>
      </tp>
      <tp t="s">
        <v>#N/A N/A</v>
        <stp/>
        <stp>BDP|2842045808813855873</stp>
        <tr r="D1544" s="2"/>
      </tp>
      <tp t="s">
        <v>#N/A N/A</v>
        <stp/>
        <stp>BDP|7908319662499248236</stp>
        <tr r="G69" s="2"/>
      </tp>
      <tp t="s">
        <v>#N/A N/A</v>
        <stp/>
        <stp>BDP|4650465919961317917</stp>
        <tr r="I4745" s="2"/>
      </tp>
      <tp t="s">
        <v>#N/A N/A</v>
        <stp/>
        <stp>BDP|9954721120771646469</stp>
        <tr r="H1933" s="2"/>
      </tp>
      <tp t="s">
        <v>#N/A N/A</v>
        <stp/>
        <stp>BDP|3358825129484314404</stp>
        <tr r="F1244" s="2"/>
      </tp>
      <tp t="s">
        <v>#N/A N/A</v>
        <stp/>
        <stp>BDP|5009923800613135687</stp>
        <tr r="I4308" s="2"/>
      </tp>
      <tp t="s">
        <v>#N/A N/A</v>
        <stp/>
        <stp>BDP|5933339157972630801</stp>
        <tr r="C2794" s="2"/>
      </tp>
      <tp t="s">
        <v>#N/A N/A</v>
        <stp/>
        <stp>BDP|7741331379922256848</stp>
        <tr r="D4223" s="2"/>
      </tp>
      <tp t="s">
        <v>#N/A N/A</v>
        <stp/>
        <stp>BDP|4613933222385528392</stp>
        <tr r="D177" s="2"/>
      </tp>
      <tp t="s">
        <v>#N/A N/A</v>
        <stp/>
        <stp>BDP|5467001241330814864</stp>
        <tr r="G870" s="2"/>
      </tp>
      <tp t="s">
        <v>#N/A N/A</v>
        <stp/>
        <stp>BDP|8032616628403438663</stp>
        <tr r="D4585" s="2"/>
      </tp>
      <tp t="s">
        <v>#N/A N/A</v>
        <stp/>
        <stp>BDP|9433780624794154120</stp>
        <tr r="I2747" s="2"/>
      </tp>
      <tp t="s">
        <v>#N/A N/A</v>
        <stp/>
        <stp>BDP|5058350668611504832</stp>
        <tr r="D1402" s="2"/>
      </tp>
      <tp t="s">
        <v>#N/A N/A</v>
        <stp/>
        <stp>BDP|5833208599611293687</stp>
        <tr r="A2956" s="2"/>
      </tp>
      <tp t="s">
        <v>#N/A N/A</v>
        <stp/>
        <stp>BDP|4303435451728884429</stp>
        <tr r="D998" s="2"/>
      </tp>
      <tp t="s">
        <v>#N/A N/A</v>
        <stp/>
        <stp>BDP|6703988417115035239</stp>
        <tr r="H2658" s="2"/>
      </tp>
      <tp t="s">
        <v>#N/A N/A</v>
        <stp/>
        <stp>BDP|9442492863397172540</stp>
        <tr r="A3472" s="2"/>
      </tp>
      <tp t="s">
        <v>#N/A N/A</v>
        <stp/>
        <stp>BDP|6977940645371054333</stp>
        <tr r="B3198" s="2"/>
      </tp>
      <tp t="s">
        <v>#N/A N/A</v>
        <stp/>
        <stp>BDP|9948986041768942523</stp>
        <tr r="C1905" s="2"/>
      </tp>
      <tp t="s">
        <v>#N/A N/A</v>
        <stp/>
        <stp>BDP|9789187155833714764</stp>
        <tr r="I1587" s="2"/>
      </tp>
      <tp t="s">
        <v>#N/A N/A</v>
        <stp/>
        <stp>BDP|6894361311148089543</stp>
        <tr r="H3520" s="2"/>
      </tp>
      <tp t="s">
        <v>#N/A N/A</v>
        <stp/>
        <stp>BDP|5921251605396425860</stp>
        <tr r="G3915" s="2"/>
      </tp>
      <tp t="s">
        <v>#N/A N/A</v>
        <stp/>
        <stp>BDP|6815562138140826955</stp>
        <tr r="A2579" s="2"/>
      </tp>
      <tp t="s">
        <v>#N/A N/A</v>
        <stp/>
        <stp>BDP|3591175411079102399</stp>
        <tr r="G747" s="2"/>
      </tp>
      <tp t="s">
        <v>#N/A N/A</v>
        <stp/>
        <stp>BDP|6714730038443211851</stp>
        <tr r="I3913" s="2"/>
      </tp>
      <tp t="s">
        <v>#N/A N/A</v>
        <stp/>
        <stp>BDP|3847047626668210033</stp>
        <tr r="H3880" s="2"/>
      </tp>
      <tp t="s">
        <v>#N/A N/A</v>
        <stp/>
        <stp>BDP|2235698648478110198</stp>
        <tr r="H1483" s="2"/>
      </tp>
      <tp t="s">
        <v>#N/A N/A</v>
        <stp/>
        <stp>BDP|8270460655790878021</stp>
        <tr r="G2331" s="2"/>
      </tp>
      <tp t="s">
        <v>#N/A N/A</v>
        <stp/>
        <stp>BDP|1447868167900716692</stp>
        <tr r="G3366" s="2"/>
      </tp>
      <tp t="s">
        <v>#N/A N/A</v>
        <stp/>
        <stp>BDP|6814179047342641859</stp>
        <tr r="H242" s="2"/>
      </tp>
      <tp t="s">
        <v>#N/A N/A</v>
        <stp/>
        <stp>BDP|7676332426928931719</stp>
        <tr r="I4281" s="2"/>
      </tp>
      <tp t="s">
        <v>#N/A N/A</v>
        <stp/>
        <stp>BDP|7949636894143714224</stp>
        <tr r="H107" s="2"/>
      </tp>
      <tp t="s">
        <v>#N/A N/A</v>
        <stp/>
        <stp>BDP|9054226058324329324</stp>
        <tr r="F3490" s="2"/>
      </tp>
      <tp t="s">
        <v>#N/A N/A</v>
        <stp/>
        <stp>BDP|8622458026111476695</stp>
        <tr r="A288" s="2"/>
      </tp>
      <tp t="s">
        <v>#N/A N/A</v>
        <stp/>
        <stp>BDP|7867451107129473368</stp>
        <tr r="H3095" s="2"/>
      </tp>
      <tp t="s">
        <v>#N/A N/A</v>
        <stp/>
        <stp>BDP|8274616178299020938</stp>
        <tr r="H1102" s="2"/>
      </tp>
      <tp t="s">
        <v>#N/A N/A</v>
        <stp/>
        <stp>BDP|3079011367409997572</stp>
        <tr r="I4060" s="2"/>
      </tp>
      <tp t="s">
        <v>#N/A N/A</v>
        <stp/>
        <stp>BDP|5631196489990835566</stp>
        <tr r="C254" s="2"/>
      </tp>
      <tp t="s">
        <v>#N/A N/A</v>
        <stp/>
        <stp>BDP|6496955105411501790</stp>
        <tr r="D3796" s="2"/>
      </tp>
      <tp t="s">
        <v>#N/A N/A</v>
        <stp/>
        <stp>BDP|7691877979068237925</stp>
        <tr r="H3965" s="2"/>
      </tp>
      <tp t="s">
        <v>#N/A N/A</v>
        <stp/>
        <stp>BDP|8106519338760809786</stp>
        <tr r="I1653" s="2"/>
      </tp>
      <tp t="s">
        <v>#N/A N/A</v>
        <stp/>
        <stp>BDP|3486470199652616544</stp>
        <tr r="F1354" s="2"/>
      </tp>
      <tp t="s">
        <v>#N/A N/A</v>
        <stp/>
        <stp>BDP|6974722964887776901</stp>
        <tr r="G4197" s="2"/>
      </tp>
      <tp t="s">
        <v>#N/A N/A</v>
        <stp/>
        <stp>BDP|4877437956574490817</stp>
        <tr r="G3415" s="2"/>
      </tp>
      <tp t="s">
        <v>#N/A N/A</v>
        <stp/>
        <stp>BDP|5294968858879061944</stp>
        <tr r="B966" s="2"/>
      </tp>
      <tp t="s">
        <v>#N/A N/A</v>
        <stp/>
        <stp>BDP|7272142760149965078</stp>
        <tr r="I2716" s="2"/>
      </tp>
      <tp t="s">
        <v>#N/A N/A</v>
        <stp/>
        <stp>BDP|6263159551718831361</stp>
        <tr r="G1116" s="2"/>
      </tp>
      <tp t="s">
        <v>#N/A N/A</v>
        <stp/>
        <stp>BDP|7528795983822104365</stp>
        <tr r="H3014" s="2"/>
      </tp>
      <tp t="s">
        <v>#N/A N/A</v>
        <stp/>
        <stp>BDP|8984865360659383649</stp>
        <tr r="I682" s="2"/>
      </tp>
      <tp t="s">
        <v>#N/A N/A</v>
        <stp/>
        <stp>BDP|8588194647422363604</stp>
        <tr r="H1718" s="2"/>
      </tp>
      <tp t="s">
        <v>#N/A N/A</v>
        <stp/>
        <stp>BDP|1328988420010127322</stp>
        <tr r="F1725" s="2"/>
      </tp>
      <tp t="s">
        <v>#N/A N/A</v>
        <stp/>
        <stp>BDP|8012434350156913628</stp>
        <tr r="F3633" s="2"/>
      </tp>
      <tp t="s">
        <v>#N/A N/A</v>
        <stp/>
        <stp>BDP|7669146778641127939</stp>
        <tr r="C2586" s="2"/>
      </tp>
      <tp t="s">
        <v>#N/A N/A</v>
        <stp/>
        <stp>BDP|7543505574804138887</stp>
        <tr r="I3069" s="2"/>
      </tp>
      <tp t="s">
        <v>#N/A N/A</v>
        <stp/>
        <stp>BDP|5696945130442328497</stp>
        <tr r="D4770" s="2"/>
      </tp>
      <tp t="s">
        <v>#N/A N/A</v>
        <stp/>
        <stp>BDP|5839400194714492500</stp>
        <tr r="C2770" s="2"/>
      </tp>
      <tp t="s">
        <v>#N/A N/A</v>
        <stp/>
        <stp>BDP|4818108193270438574</stp>
        <tr r="A2717" s="2"/>
      </tp>
      <tp t="s">
        <v>#N/A N/A</v>
        <stp/>
        <stp>BDP|4144489347069101471</stp>
        <tr r="I4535" s="2"/>
      </tp>
      <tp t="s">
        <v>#N/A N/A</v>
        <stp/>
        <stp>BDP|3973314478886111896</stp>
        <tr r="B4398" s="2"/>
      </tp>
      <tp t="s">
        <v>#N/A N/A</v>
        <stp/>
        <stp>BDP|5986001993025715054</stp>
        <tr r="A4965" s="2"/>
      </tp>
      <tp t="s">
        <v>#N/A N/A</v>
        <stp/>
        <stp>BDP|3204239318649648077</stp>
        <tr r="D3425" s="2"/>
      </tp>
      <tp t="s">
        <v>#N/A N/A</v>
        <stp/>
        <stp>BDP|9855160420447691407</stp>
        <tr r="I1061" s="2"/>
      </tp>
      <tp t="s">
        <v>#N/A N/A</v>
        <stp/>
        <stp>BDP|7033941195607824919</stp>
        <tr r="I2774" s="2"/>
      </tp>
      <tp t="s">
        <v>#N/A N/A</v>
        <stp/>
        <stp>BDP|9454536539421494721</stp>
        <tr r="F102" s="2"/>
      </tp>
      <tp t="s">
        <v>#N/A N/A</v>
        <stp/>
        <stp>BDP|2083817291022951815</stp>
        <tr r="H2763" s="2"/>
      </tp>
      <tp t="s">
        <v>#N/A N/A</v>
        <stp/>
        <stp>BDP|4118251317357850939</stp>
        <tr r="D2340" s="2"/>
      </tp>
      <tp t="s">
        <v>#N/A N/A</v>
        <stp/>
        <stp>BDP|7970276899904937164</stp>
        <tr r="D2128" s="2"/>
      </tp>
      <tp t="s">
        <v>#N/A N/A</v>
        <stp/>
        <stp>BDP|4802534633343885881</stp>
        <tr r="G4567" s="2"/>
      </tp>
      <tp t="s">
        <v>#N/A N/A</v>
        <stp/>
        <stp>BDP|4583953737413772486</stp>
        <tr r="I1351" s="2"/>
      </tp>
      <tp t="s">
        <v>#N/A N/A</v>
        <stp/>
        <stp>BDP|6531236696753940718</stp>
        <tr r="C464" s="2"/>
      </tp>
      <tp t="s">
        <v>#N/A N/A</v>
        <stp/>
        <stp>BDP|2968063189445670688</stp>
        <tr r="G2502" s="2"/>
      </tp>
      <tp t="s">
        <v>#N/A N/A</v>
        <stp/>
        <stp>BDP|2728929766345945122</stp>
        <tr r="I2182" s="2"/>
      </tp>
      <tp t="s">
        <v>#N/A N/A</v>
        <stp/>
        <stp>BDP|8438287628832437381</stp>
        <tr r="G3178" s="2"/>
      </tp>
      <tp t="s">
        <v>#N/A N/A</v>
        <stp/>
        <stp>BDP|8350328798888658371</stp>
        <tr r="F1349" s="2"/>
      </tp>
      <tp t="s">
        <v>#N/A N/A</v>
        <stp/>
        <stp>BDP|3555631525576816831</stp>
        <tr r="D3411" s="2"/>
      </tp>
      <tp t="s">
        <v>#N/A N/A</v>
        <stp/>
        <stp>BDP|2656371092967383684</stp>
        <tr r="B3602" s="2"/>
      </tp>
      <tp t="s">
        <v>#N/A N/A</v>
        <stp/>
        <stp>BDP|6804569909059886370</stp>
        <tr r="C3598" s="2"/>
      </tp>
      <tp t="s">
        <v>#N/A N/A</v>
        <stp/>
        <stp>BDP|5429307948083003844</stp>
        <tr r="D1501" s="2"/>
      </tp>
      <tp t="s">
        <v>#N/A N/A</v>
        <stp/>
        <stp>BDP|3315472589307560106</stp>
        <tr r="H1543" s="2"/>
      </tp>
      <tp t="s">
        <v>#N/A N/A</v>
        <stp/>
        <stp>BDP|8407682793357377946</stp>
        <tr r="D3279" s="2"/>
      </tp>
      <tp t="s">
        <v>#N/A N/A</v>
        <stp/>
        <stp>BDP|3095907109376940589</stp>
        <tr r="C4228" s="2"/>
      </tp>
      <tp t="s">
        <v>#N/A N/A</v>
        <stp/>
        <stp>BDP|6989827342824115706</stp>
        <tr r="G4659" s="2"/>
      </tp>
      <tp t="s">
        <v>#N/A N/A</v>
        <stp/>
        <stp>BDP|8822128805058221858</stp>
        <tr r="B75" s="2"/>
      </tp>
      <tp t="s">
        <v>#N/A N/A</v>
        <stp/>
        <stp>BDP|1050653857012320994</stp>
        <tr r="H3773" s="2"/>
      </tp>
      <tp t="s">
        <v>#N/A N/A</v>
        <stp/>
        <stp>BDP|8695827099842165243</stp>
        <tr r="B692" s="2"/>
      </tp>
      <tp t="s">
        <v>#N/A N/A</v>
        <stp/>
        <stp>BDP|6653557336909885050</stp>
        <tr r="F904" s="2"/>
      </tp>
      <tp t="s">
        <v>#N/A N/A</v>
        <stp/>
        <stp>BDP|2727057456857566998</stp>
        <tr r="C4173" s="2"/>
      </tp>
      <tp t="s">
        <v>#N/A N/A</v>
        <stp/>
        <stp>BDP|1601697926288839495</stp>
        <tr r="C4029" s="2"/>
      </tp>
      <tp t="s">
        <v>#N/A N/A</v>
        <stp/>
        <stp>BDP|6152935579243257215</stp>
        <tr r="B2485" s="2"/>
      </tp>
      <tp t="s">
        <v>#N/A N/A</v>
        <stp/>
        <stp>BDP|7025484080010405244</stp>
        <tr r="D2234" s="2"/>
      </tp>
      <tp t="s">
        <v>#N/A N/A</v>
        <stp/>
        <stp>BDP|5923676008082965870</stp>
        <tr r="G4502" s="2"/>
      </tp>
      <tp t="s">
        <v>#N/A N/A</v>
        <stp/>
        <stp>BDP|9064479808862324647</stp>
        <tr r="B3734" s="2"/>
      </tp>
      <tp t="s">
        <v>#N/A N/A</v>
        <stp/>
        <stp>BDP|6968861671930185074</stp>
        <tr r="A3131" s="2"/>
      </tp>
      <tp t="s">
        <v>#N/A N/A</v>
        <stp/>
        <stp>BDP|3388066265278866408</stp>
        <tr r="A3132" s="2"/>
      </tp>
      <tp t="s">
        <v>#N/A N/A</v>
        <stp/>
        <stp>BDP|5207141453670572885</stp>
        <tr r="H3459" s="2"/>
      </tp>
      <tp t="s">
        <v>#N/A N/A</v>
        <stp/>
        <stp>BDP|5786651359807213815</stp>
        <tr r="I17" s="2"/>
      </tp>
      <tp t="s">
        <v>#N/A N/A</v>
        <stp/>
        <stp>BDP|5818284184030945654</stp>
        <tr r="F1960" s="2"/>
      </tp>
      <tp t="s">
        <v>#N/A N/A</v>
        <stp/>
        <stp>BDP|2645700230156829962</stp>
        <tr r="A2286" s="2"/>
      </tp>
      <tp t="s">
        <v>#N/A N/A</v>
        <stp/>
        <stp>BDP|6648925708733220560</stp>
        <tr r="D1007" s="2"/>
      </tp>
      <tp t="s">
        <v>#N/A N/A</v>
        <stp/>
        <stp>BDP|1824662689067921165</stp>
        <tr r="A4143" s="2"/>
      </tp>
      <tp t="s">
        <v>#N/A N/A</v>
        <stp/>
        <stp>BDP|8201049178911138774</stp>
        <tr r="F4559" s="2"/>
      </tp>
      <tp t="s">
        <v>#N/A N/A</v>
        <stp/>
        <stp>BDP|8690236867450854529</stp>
        <tr r="H879" s="2"/>
      </tp>
      <tp t="s">
        <v>#N/A N/A</v>
        <stp/>
        <stp>BDP|1211560397471218592</stp>
        <tr r="H2551" s="2"/>
      </tp>
      <tp t="s">
        <v>#N/A N/A</v>
        <stp/>
        <stp>BDP|6203485186330477318</stp>
        <tr r="A2177" s="2"/>
      </tp>
      <tp t="s">
        <v>#N/A N/A</v>
        <stp/>
        <stp>BDP|8624600712921867754</stp>
        <tr r="F3311" s="2"/>
      </tp>
      <tp t="s">
        <v>#N/A N/A</v>
        <stp/>
        <stp>BDP|5211986874863048172</stp>
        <tr r="G87" s="2"/>
      </tp>
      <tp t="s">
        <v>#N/A N/A</v>
        <stp/>
        <stp>BDP|9617239028536158651</stp>
        <tr r="D1632" s="2"/>
      </tp>
      <tp t="s">
        <v>#N/A N/A</v>
        <stp/>
        <stp>BDP|2719628849788750122</stp>
        <tr r="A2642" s="2"/>
      </tp>
      <tp t="s">
        <v>#N/A N/A</v>
        <stp/>
        <stp>BDP|5954456130542377969</stp>
        <tr r="G2098" s="2"/>
      </tp>
      <tp t="s">
        <v>#N/A N/A</v>
        <stp/>
        <stp>BDP|7027070131725953868</stp>
        <tr r="D3549" s="2"/>
      </tp>
      <tp t="s">
        <v>#N/A N/A</v>
        <stp/>
        <stp>BDP|5049340437888375493</stp>
        <tr r="F381" s="2"/>
      </tp>
      <tp t="s">
        <v>#N/A N/A</v>
        <stp/>
        <stp>BDP|8914490933834206281</stp>
        <tr r="C2605" s="2"/>
      </tp>
      <tp t="s">
        <v>#N/A N/A</v>
        <stp/>
        <stp>BDP|6893918216121786613</stp>
        <tr r="A4906" s="2"/>
      </tp>
      <tp t="s">
        <v>#N/A N/A</v>
        <stp/>
        <stp>BDP|7934187378329093105</stp>
        <tr r="A2181" s="2"/>
      </tp>
      <tp t="s">
        <v>#N/A N/A</v>
        <stp/>
        <stp>BDP|4100895676863430135</stp>
        <tr r="G3470" s="2"/>
      </tp>
      <tp t="s">
        <v>#N/A N/A</v>
        <stp/>
        <stp>BDP|8840810611800049813</stp>
        <tr r="G186" s="2"/>
      </tp>
      <tp t="s">
        <v>#N/A N/A</v>
        <stp/>
        <stp>BDP|7949159286315568262</stp>
        <tr r="A1252" s="2"/>
      </tp>
      <tp t="s">
        <v>#N/A N/A</v>
        <stp/>
        <stp>BDP|5066997903834431170</stp>
        <tr r="B4337" s="2"/>
      </tp>
      <tp t="s">
        <v>#N/A N/A</v>
        <stp/>
        <stp>BDP|9801540155370072009</stp>
        <tr r="D2013" s="2"/>
      </tp>
      <tp t="s">
        <v>#N/A N/A</v>
        <stp/>
        <stp>BDP|2325389336072637925</stp>
        <tr r="B292" s="2"/>
      </tp>
      <tp t="s">
        <v>#N/A N/A</v>
        <stp/>
        <stp>BDP|2617292799910945062</stp>
        <tr r="H1677" s="2"/>
      </tp>
      <tp t="s">
        <v>#N/A N/A</v>
        <stp/>
        <stp>BDP|6643435539728230079</stp>
        <tr r="D402" s="2"/>
      </tp>
      <tp t="s">
        <v>#N/A N/A</v>
        <stp/>
        <stp>BDP|8496097123736634516</stp>
        <tr r="A1055" s="2"/>
      </tp>
      <tp t="s">
        <v>#N/A N/A</v>
        <stp/>
        <stp>BDP|5694608711209981277</stp>
        <tr r="I3810" s="2"/>
      </tp>
      <tp t="s">
        <v>#N/A N/A</v>
        <stp/>
        <stp>BDP|2218967958895734221</stp>
        <tr r="C721" s="2"/>
      </tp>
      <tp t="s">
        <v>#N/A N/A</v>
        <stp/>
        <stp>BDP|9734472138994613375</stp>
        <tr r="G2567" s="2"/>
      </tp>
      <tp t="s">
        <v>#N/A N/A</v>
        <stp/>
        <stp>BDP|6131118468411920982</stp>
        <tr r="G4799" s="2"/>
      </tp>
      <tp t="s">
        <v>#N/A N/A</v>
        <stp/>
        <stp>BDP|5636743216973912947</stp>
        <tr r="C2507" s="2"/>
      </tp>
      <tp t="s">
        <v>#N/A N/A</v>
        <stp/>
        <stp>BDP|9037514566275688682</stp>
        <tr r="G2996" s="2"/>
      </tp>
      <tp t="s">
        <v>#N/A N/A</v>
        <stp/>
        <stp>BDP|4563165101898312485</stp>
        <tr r="I1029" s="2"/>
      </tp>
      <tp t="s">
        <v>#N/A N/A</v>
        <stp/>
        <stp>BDP|2834654486314591173</stp>
        <tr r="I356" s="2"/>
      </tp>
      <tp t="s">
        <v>#N/A N/A</v>
        <stp/>
        <stp>BDP|1591147479548670672</stp>
        <tr r="G952" s="2"/>
      </tp>
      <tp t="s">
        <v>#N/A N/A</v>
        <stp/>
        <stp>BDP|9366193547951745436</stp>
        <tr r="F657" s="2"/>
      </tp>
      <tp t="s">
        <v>#N/A N/A</v>
        <stp/>
        <stp>BDP|2281955367452879610</stp>
        <tr r="A1150" s="2"/>
      </tp>
      <tp t="s">
        <v>#N/A N/A</v>
        <stp/>
        <stp>BDP|2611009595687295589</stp>
        <tr r="H4183" s="2"/>
      </tp>
      <tp t="s">
        <v>#N/A N/A</v>
        <stp/>
        <stp>BDP|8986498828034479356</stp>
        <tr r="I3787" s="2"/>
      </tp>
      <tp t="s">
        <v>#N/A N/A</v>
        <stp/>
        <stp>BDP|3598845998908676363</stp>
        <tr r="F2672" s="2"/>
      </tp>
      <tp t="s">
        <v>#N/A N/A</v>
        <stp/>
        <stp>BDP|3894227074838045773</stp>
        <tr r="F878" s="2"/>
      </tp>
      <tp t="s">
        <v>#N/A N/A</v>
        <stp/>
        <stp>BDP|6887421284953388049</stp>
        <tr r="I1327" s="2"/>
      </tp>
      <tp t="s">
        <v>#N/A N/A</v>
        <stp/>
        <stp>BDP|2470085070995630939</stp>
        <tr r="C4286" s="2"/>
      </tp>
      <tp t="s">
        <v>#N/A N/A</v>
        <stp/>
        <stp>BDP|1711030228269662335</stp>
        <tr r="G540" s="2"/>
      </tp>
      <tp t="s">
        <v>#N/A N/A</v>
        <stp/>
        <stp>BDP|6724401592635400785</stp>
        <tr r="I3779" s="2"/>
      </tp>
      <tp t="s">
        <v>#N/A N/A</v>
        <stp/>
        <stp>BDP|1111373003502812946</stp>
        <tr r="C4612" s="2"/>
      </tp>
      <tp t="s">
        <v>#N/A N/A</v>
        <stp/>
        <stp>BDP|8346864432323678984</stp>
        <tr r="G4345" s="2"/>
      </tp>
      <tp t="s">
        <v>#N/A N/A</v>
        <stp/>
        <stp>BDP|2166122535338729185</stp>
        <tr r="G3613" s="2"/>
      </tp>
      <tp t="s">
        <v>#N/A N/A</v>
        <stp/>
        <stp>BDP|3890654920926142850</stp>
        <tr r="G4710" s="2"/>
      </tp>
      <tp t="s">
        <v>#N/A N/A</v>
        <stp/>
        <stp>BDP|9737148195821812971</stp>
        <tr r="B5000" s="2"/>
      </tp>
      <tp t="s">
        <v>#N/A N/A</v>
        <stp/>
        <stp>BDP|8509695097279019725</stp>
        <tr r="B1954" s="2"/>
      </tp>
      <tp t="s">
        <v>#N/A N/A</v>
        <stp/>
        <stp>BDP|3674692332668010741</stp>
        <tr r="B2058" s="2"/>
      </tp>
      <tp t="s">
        <v>#N/A N/A</v>
        <stp/>
        <stp>BDP|8694998112649540010</stp>
        <tr r="D2965" s="2"/>
      </tp>
      <tp t="s">
        <v>#N/A N/A</v>
        <stp/>
        <stp>BDP|9299085727977248562</stp>
        <tr r="G1139" s="2"/>
      </tp>
      <tp t="s">
        <v>#N/A N/A</v>
        <stp/>
        <stp>BDP|6910656968287513887</stp>
        <tr r="D4833" s="2"/>
      </tp>
      <tp t="s">
        <v>#N/A N/A</v>
        <stp/>
        <stp>BDP|1003056599573489218</stp>
        <tr r="H697" s="2"/>
      </tp>
      <tp t="s">
        <v>#N/A N/A</v>
        <stp/>
        <stp>BDP|3905946097552518861</stp>
        <tr r="A4802" s="2"/>
      </tp>
      <tp t="s">
        <v>#N/A N/A</v>
        <stp/>
        <stp>BDP|2350445101017739880</stp>
        <tr r="F2210" s="2"/>
      </tp>
      <tp t="s">
        <v>#N/A N/A</v>
        <stp/>
        <stp>BDP|6117947356694206783</stp>
        <tr r="B1527" s="2"/>
      </tp>
      <tp t="s">
        <v>#N/A N/A</v>
        <stp/>
        <stp>BDP|1296338616409771390</stp>
        <tr r="H194" s="2"/>
      </tp>
      <tp t="s">
        <v>#N/A N/A</v>
        <stp/>
        <stp>BDP|4475433781300610194</stp>
        <tr r="D4869" s="2"/>
      </tp>
      <tp t="s">
        <v>#N/A N/A</v>
        <stp/>
        <stp>BDP|7298301161903853826</stp>
        <tr r="D657" s="2"/>
      </tp>
      <tp t="s">
        <v>#N/A N/A</v>
        <stp/>
        <stp>BDP|9070680398709877612</stp>
        <tr r="C234" s="2"/>
      </tp>
      <tp t="s">
        <v>#N/A N/A</v>
        <stp/>
        <stp>BDP|2421070792403116192</stp>
        <tr r="G1756" s="2"/>
      </tp>
      <tp t="s">
        <v>#N/A N/A</v>
        <stp/>
        <stp>BDP|4375193048719956123</stp>
        <tr r="A4348" s="2"/>
      </tp>
      <tp t="s">
        <v>#N/A N/A</v>
        <stp/>
        <stp>BDP|1171050705081961914</stp>
        <tr r="G641" s="2"/>
      </tp>
      <tp t="s">
        <v>#N/A N/A</v>
        <stp/>
        <stp>BDP|6742084436709041507</stp>
        <tr r="F1484" s="2"/>
      </tp>
      <tp t="s">
        <v>#N/A N/A</v>
        <stp/>
        <stp>BDP|9370986234262417826</stp>
        <tr r="D3196" s="2"/>
      </tp>
      <tp t="s">
        <v>#N/A N/A</v>
        <stp/>
        <stp>BDP|9528796866772744343</stp>
        <tr r="H3268" s="2"/>
      </tp>
      <tp t="s">
        <v>#N/A N/A</v>
        <stp/>
        <stp>BDP|5206813204101659583</stp>
        <tr r="I3517" s="2"/>
      </tp>
      <tp t="s">
        <v>#N/A N/A</v>
        <stp/>
        <stp>BDP|1957503212888583472</stp>
        <tr r="G4971" s="2"/>
      </tp>
      <tp t="s">
        <v>#N/A N/A</v>
        <stp/>
        <stp>BDP|2234722316069929467</stp>
        <tr r="H3367" s="2"/>
      </tp>
      <tp t="s">
        <v>#N/A N/A</v>
        <stp/>
        <stp>BDP|6391749366788142697</stp>
        <tr r="A4886" s="2"/>
      </tp>
      <tp t="s">
        <v>#N/A N/A</v>
        <stp/>
        <stp>BDP|7672976251187061592</stp>
        <tr r="G3743" s="2"/>
      </tp>
      <tp t="s">
        <v>#N/A N/A</v>
        <stp/>
        <stp>BDP|8718471449541653064</stp>
        <tr r="C1628" s="2"/>
      </tp>
      <tp t="s">
        <v>#N/A N/A</v>
        <stp/>
        <stp>BDP|9545629095909320681</stp>
        <tr r="B4068" s="2"/>
      </tp>
      <tp t="s">
        <v>#N/A N/A</v>
        <stp/>
        <stp>BDP|2058681463742602944</stp>
        <tr r="F570" s="2"/>
      </tp>
      <tp t="s">
        <v>#N/A N/A</v>
        <stp/>
        <stp>BDP|8832240037022545271</stp>
        <tr r="C4558" s="2"/>
      </tp>
      <tp t="s">
        <v>#N/A N/A</v>
        <stp/>
        <stp>BDP|5494949755566919652</stp>
        <tr r="C1243" s="2"/>
      </tp>
      <tp t="s">
        <v>#N/A N/A</v>
        <stp/>
        <stp>BDP|3544353338488457250</stp>
        <tr r="A785" s="2"/>
      </tp>
      <tp t="s">
        <v>#N/A N/A</v>
        <stp/>
        <stp>BDP|1200320730061178981</stp>
        <tr r="A465" s="2"/>
      </tp>
      <tp t="s">
        <v>#N/A N/A</v>
        <stp/>
        <stp>BDP|6497168128468169425</stp>
        <tr r="F4524" s="2"/>
      </tp>
      <tp t="s">
        <v>#N/A N/A</v>
        <stp/>
        <stp>BDP|9203944654195946927</stp>
        <tr r="D2992" s="2"/>
      </tp>
      <tp t="s">
        <v>#N/A N/A</v>
        <stp/>
        <stp>BDP|2905310297248428926</stp>
        <tr r="H4006" s="2"/>
      </tp>
      <tp t="s">
        <v>#N/A N/A</v>
        <stp/>
        <stp>BDP|6549540689595412729</stp>
        <tr r="F2496" s="2"/>
      </tp>
      <tp t="s">
        <v>#N/A N/A</v>
        <stp/>
        <stp>BDP|6597366498627424212</stp>
        <tr r="A3789" s="2"/>
      </tp>
      <tp t="s">
        <v>#N/A N/A</v>
        <stp/>
        <stp>BDP|2171752700198253488</stp>
        <tr r="H3131" s="2"/>
      </tp>
      <tp t="s">
        <v>#N/A N/A</v>
        <stp/>
        <stp>BDP|1979901550270757409</stp>
        <tr r="I4165" s="2"/>
      </tp>
      <tp t="s">
        <v>#N/A N/A</v>
        <stp/>
        <stp>BDP|7235950568742669379</stp>
        <tr r="G3934" s="2"/>
      </tp>
      <tp t="s">
        <v>#N/A N/A</v>
        <stp/>
        <stp>BDP|4171898874731355316</stp>
        <tr r="D4679" s="2"/>
      </tp>
      <tp t="s">
        <v>#N/A N/A</v>
        <stp/>
        <stp>BDP|9732081662385633359</stp>
        <tr r="B4560" s="2"/>
      </tp>
      <tp t="s">
        <v>#N/A N/A</v>
        <stp/>
        <stp>BDP|6147808798209461732</stp>
        <tr r="C4023" s="2"/>
      </tp>
      <tp t="s">
        <v>#N/A N/A</v>
        <stp/>
        <stp>BDP|5771929871033978133</stp>
        <tr r="B1975" s="2"/>
      </tp>
      <tp t="s">
        <v>#N/A N/A</v>
        <stp/>
        <stp>BDP|7895318767552184916</stp>
        <tr r="B3992" s="2"/>
      </tp>
      <tp t="s">
        <v>#N/A N/A</v>
        <stp/>
        <stp>BDP|6398929508035221358</stp>
        <tr r="A2836" s="2"/>
      </tp>
      <tp t="s">
        <v>#N/A N/A</v>
        <stp/>
        <stp>BDP|8852180463442945448</stp>
        <tr r="I1572" s="2"/>
      </tp>
      <tp t="s">
        <v>#N/A N/A</v>
        <stp/>
        <stp>BDP|3207580415878709665</stp>
        <tr r="D778" s="2"/>
      </tp>
      <tp t="s">
        <v>#N/A N/A</v>
        <stp/>
        <stp>BDP|5698676258076037971</stp>
        <tr r="A1123" s="2"/>
      </tp>
      <tp t="s">
        <v>#N/A N/A</v>
        <stp/>
        <stp>BDP|2534988227172027244</stp>
        <tr r="I2945" s="2"/>
      </tp>
      <tp t="s">
        <v>#N/A N/A</v>
        <stp/>
        <stp>BDP|3746291392947731653</stp>
        <tr r="H4401" s="2"/>
      </tp>
      <tp t="s">
        <v>#N/A N/A</v>
        <stp/>
        <stp>BDP|5998664380337108502</stp>
        <tr r="C3739" s="2"/>
      </tp>
      <tp t="s">
        <v>#N/A N/A</v>
        <stp/>
        <stp>BDP|3324189004863773868</stp>
        <tr r="I1291" s="2"/>
      </tp>
      <tp t="s">
        <v>#N/A N/A</v>
        <stp/>
        <stp>BDP|3872319890205229552</stp>
        <tr r="A1813" s="2"/>
      </tp>
      <tp t="s">
        <v>#N/A N/A</v>
        <stp/>
        <stp>BDP|9974960066938193768</stp>
        <tr r="I4706" s="2"/>
      </tp>
      <tp t="s">
        <v>#N/A N/A</v>
        <stp/>
        <stp>BDP|4196467687202836360</stp>
        <tr r="A3233" s="2"/>
      </tp>
      <tp t="s">
        <v>#N/A N/A</v>
        <stp/>
        <stp>BDP|7533605347678560499</stp>
        <tr r="B952" s="2"/>
      </tp>
      <tp t="s">
        <v>#N/A N/A</v>
        <stp/>
        <stp>BDP|1245308804183067884</stp>
        <tr r="B1994" s="2"/>
      </tp>
      <tp t="s">
        <v>#N/A N/A</v>
        <stp/>
        <stp>BDP|2274470670528305083</stp>
        <tr r="H4671" s="2"/>
      </tp>
      <tp t="s">
        <v>#N/A N/A</v>
        <stp/>
        <stp>BDP|1805035484863791365</stp>
        <tr r="F4107" s="2"/>
      </tp>
      <tp t="s">
        <v>#N/A N/A</v>
        <stp/>
        <stp>BDP|6805624213688518023</stp>
        <tr r="B4181" s="2"/>
      </tp>
      <tp t="s">
        <v>#N/A N/A</v>
        <stp/>
        <stp>BDP|6921032278770464881</stp>
        <tr r="C2015" s="2"/>
      </tp>
      <tp t="s">
        <v>#N/A N/A</v>
        <stp/>
        <stp>BDP|2367865296362471897</stp>
        <tr r="C4377" s="2"/>
      </tp>
      <tp t="s">
        <v>#N/A N/A</v>
        <stp/>
        <stp>BDP|7505885263312875281</stp>
        <tr r="I1644" s="2"/>
      </tp>
      <tp t="s">
        <v>#N/A N/A</v>
        <stp/>
        <stp>BDP|8713268357341199793</stp>
        <tr r="C493" s="2"/>
      </tp>
      <tp t="s">
        <v>#N/A N/A</v>
        <stp/>
        <stp>BDP|1043140288031566071</stp>
        <tr r="I3578" s="2"/>
      </tp>
      <tp t="s">
        <v>#N/A N/A</v>
        <stp/>
        <stp>BDP|7599085252452298932</stp>
        <tr r="A3900" s="2"/>
      </tp>
      <tp t="s">
        <v>#N/A N/A</v>
        <stp/>
        <stp>BDP|9572085062923996581</stp>
        <tr r="F1559" s="2"/>
      </tp>
      <tp t="s">
        <v>#N/A N/A</v>
        <stp/>
        <stp>BDP|1619610882937325189</stp>
        <tr r="A633" s="2"/>
      </tp>
      <tp t="s">
        <v>#N/A N/A</v>
        <stp/>
        <stp>BDP|8725783303480102636</stp>
        <tr r="A2536" s="2"/>
      </tp>
      <tp t="s">
        <v>#N/A N/A</v>
        <stp/>
        <stp>BDP|1480712607927429882</stp>
        <tr r="F4611" s="2"/>
      </tp>
      <tp t="s">
        <v>#N/A N/A</v>
        <stp/>
        <stp>BDP|7571181614789574725</stp>
        <tr r="B617" s="2"/>
      </tp>
      <tp t="s">
        <v>#N/A N/A</v>
        <stp/>
        <stp>BDP|2102961974697561283</stp>
        <tr r="C4410" s="2"/>
      </tp>
      <tp t="s">
        <v>#N/A N/A</v>
        <stp/>
        <stp>BDP|2661163908509024360</stp>
        <tr r="D2642" s="2"/>
      </tp>
      <tp t="s">
        <v>#N/A N/A</v>
        <stp/>
        <stp>BDP|4168554714620773991</stp>
        <tr r="I3634" s="2"/>
      </tp>
      <tp t="s">
        <v>#N/A N/A</v>
        <stp/>
        <stp>BDP|7459871020212860652</stp>
        <tr r="B619" s="2"/>
      </tp>
      <tp t="s">
        <v>#N/A N/A</v>
        <stp/>
        <stp>BDP|8004585428721989778</stp>
        <tr r="H2892" s="2"/>
      </tp>
      <tp t="s">
        <v>#N/A N/A</v>
        <stp/>
        <stp>BDP|8428223160346028385</stp>
        <tr r="I847" s="2"/>
      </tp>
      <tp t="s">
        <v>#N/A N/A</v>
        <stp/>
        <stp>BDP|9157630060243506392</stp>
        <tr r="G1874" s="2"/>
      </tp>
      <tp t="s">
        <v>#N/A N/A</v>
        <stp/>
        <stp>BDP|5341009083961646585</stp>
        <tr r="I416" s="2"/>
      </tp>
      <tp t="s">
        <v>#N/A N/A</v>
        <stp/>
        <stp>BDP|4002585154235437860</stp>
        <tr r="I1978" s="2"/>
      </tp>
      <tp t="s">
        <v>#N/A N/A</v>
        <stp/>
        <stp>BDP|9109205524229909923</stp>
        <tr r="A3475" s="2"/>
      </tp>
      <tp t="s">
        <v>#N/A N/A</v>
        <stp/>
        <stp>BDP|8261580355831882092</stp>
        <tr r="D2030" s="2"/>
      </tp>
      <tp t="s">
        <v>#N/A N/A</v>
        <stp/>
        <stp>BDP|1485640434248941539</stp>
        <tr r="B1148" s="2"/>
      </tp>
      <tp t="s">
        <v>#N/A N/A</v>
        <stp/>
        <stp>BDP|3112980327659941894</stp>
        <tr r="F965" s="2"/>
      </tp>
      <tp t="s">
        <v>#N/A N/A</v>
        <stp/>
        <stp>BDP|9657009347610653498</stp>
        <tr r="G2323" s="2"/>
      </tp>
      <tp t="s">
        <v>#N/A N/A</v>
        <stp/>
        <stp>BDP|2343706065649037380</stp>
        <tr r="B2483" s="2"/>
      </tp>
      <tp t="s">
        <v>#N/A N/A</v>
        <stp/>
        <stp>BDP|9800395918196770404</stp>
        <tr r="B531" s="2"/>
      </tp>
      <tp t="s">
        <v>#N/A N/A</v>
        <stp/>
        <stp>BDP|6394594172649044469</stp>
        <tr r="C4336" s="2"/>
      </tp>
      <tp t="s">
        <v>#N/A N/A</v>
        <stp/>
        <stp>BDP|8946974124759350374</stp>
        <tr r="D4110" s="2"/>
      </tp>
      <tp t="s">
        <v>#N/A N/A</v>
        <stp/>
        <stp>BDP|5418220588535942396</stp>
        <tr r="A1442" s="2"/>
      </tp>
      <tp t="s">
        <v>#N/A N/A</v>
        <stp/>
        <stp>BDP|2618247620882916946</stp>
        <tr r="A2895" s="2"/>
      </tp>
      <tp t="s">
        <v>#N/A N/A</v>
        <stp/>
        <stp>BDP|3389368605488949169</stp>
        <tr r="H3068" s="2"/>
      </tp>
      <tp t="s">
        <v>#N/A N/A</v>
        <stp/>
        <stp>BDP|2312765238918228706</stp>
        <tr r="D4387" s="2"/>
      </tp>
      <tp t="s">
        <v>#N/A N/A</v>
        <stp/>
        <stp>BDP|6597131692074240394</stp>
        <tr r="G1015" s="2"/>
      </tp>
      <tp t="s">
        <v>#N/A N/A</v>
        <stp/>
        <stp>BDP|1616206541318892605</stp>
        <tr r="C1749" s="2"/>
      </tp>
      <tp t="s">
        <v>#N/A N/A</v>
        <stp/>
        <stp>BDP|9590557705315365093</stp>
        <tr r="G1104" s="2"/>
      </tp>
      <tp t="s">
        <v>#N/A N/A</v>
        <stp/>
        <stp>BDP|8001079013101359185</stp>
        <tr r="A2309" s="2"/>
      </tp>
      <tp t="s">
        <v>#N/A N/A</v>
        <stp/>
        <stp>BDP|1840442884341245559</stp>
        <tr r="H3958" s="2"/>
      </tp>
      <tp t="s">
        <v>#N/A N/A</v>
        <stp/>
        <stp>BDP|2662579152228825344</stp>
        <tr r="A1346" s="2"/>
      </tp>
      <tp t="s">
        <v>#N/A N/A</v>
        <stp/>
        <stp>BDP|5102931751931961155</stp>
        <tr r="B4620" s="2"/>
      </tp>
      <tp t="s">
        <v>#N/A N/A</v>
        <stp/>
        <stp>BDP|7130831347334398693</stp>
        <tr r="D3929" s="2"/>
      </tp>
      <tp t="s">
        <v>#N/A N/A</v>
        <stp/>
        <stp>BDP|7922690708829473137</stp>
        <tr r="A687" s="2"/>
      </tp>
      <tp t="s">
        <v>#N/A N/A</v>
        <stp/>
        <stp>BDP|9136195180360097976</stp>
        <tr r="B4268" s="2"/>
      </tp>
      <tp t="s">
        <v>#N/A N/A</v>
        <stp/>
        <stp>BDP|3257624727346885800</stp>
        <tr r="B9" s="2"/>
      </tp>
      <tp t="s">
        <v>#N/A N/A</v>
        <stp/>
        <stp>BDP|2554028541056007997</stp>
        <tr r="F887" s="2"/>
      </tp>
      <tp t="s">
        <v>#N/A N/A</v>
        <stp/>
        <stp>BDP|3014179708739954297</stp>
        <tr r="D1699" s="2"/>
      </tp>
      <tp t="s">
        <v>#N/A N/A</v>
        <stp/>
        <stp>BDP|6428188653789832283</stp>
        <tr r="B2288" s="2"/>
      </tp>
      <tp t="s">
        <v>#N/A N/A</v>
        <stp/>
        <stp>BDP|6996667136072079864</stp>
        <tr r="H4009" s="2"/>
      </tp>
      <tp t="s">
        <v>#N/A N/A</v>
        <stp/>
        <stp>BDP|3187817738730449131</stp>
        <tr r="I491" s="2"/>
      </tp>
      <tp t="s">
        <v>#N/A N/A</v>
        <stp/>
        <stp>BDP|7890119965949157021</stp>
        <tr r="F3896" s="2"/>
      </tp>
      <tp t="s">
        <v>#N/A N/A</v>
        <stp/>
        <stp>BDP|1913921175147753168</stp>
        <tr r="F1060" s="2"/>
      </tp>
      <tp t="s">
        <v>#N/A N/A</v>
        <stp/>
        <stp>BDP|9021102700336687794</stp>
        <tr r="A3984" s="2"/>
      </tp>
      <tp t="s">
        <v>#N/A N/A</v>
        <stp/>
        <stp>BDP|9636165963903443484</stp>
        <tr r="A3689" s="2"/>
      </tp>
      <tp t="s">
        <v>#N/A N/A</v>
        <stp/>
        <stp>BDP|9179283751890669715</stp>
        <tr r="D2200" s="2"/>
      </tp>
      <tp t="s">
        <v>#N/A N/A</v>
        <stp/>
        <stp>BDP|4440297987143584405</stp>
        <tr r="C2201" s="2"/>
      </tp>
      <tp t="s">
        <v>#N/A N/A</v>
        <stp/>
        <stp>BDP|2834146437770450909</stp>
        <tr r="G760" s="2"/>
      </tp>
      <tp t="s">
        <v>#N/A N/A</v>
        <stp/>
        <stp>BDP|4892813878020819265</stp>
        <tr r="A2373" s="2"/>
      </tp>
      <tp t="s">
        <v>#N/A N/A</v>
        <stp/>
        <stp>BDP|4935282029985731805</stp>
        <tr r="I4566" s="2"/>
      </tp>
      <tp t="s">
        <v>#N/A N/A</v>
        <stp/>
        <stp>BDP|5449346458793630917</stp>
        <tr r="H60" s="2"/>
      </tp>
      <tp t="s">
        <v>#N/A N/A</v>
        <stp/>
        <stp>BDP|2702000517369944366</stp>
        <tr r="C1988" s="2"/>
      </tp>
      <tp t="s">
        <v>#N/A N/A</v>
        <stp/>
        <stp>BDP|6725643794702000287</stp>
        <tr r="H2777" s="2"/>
      </tp>
      <tp t="s">
        <v>#N/A N/A</v>
        <stp/>
        <stp>BDP|1671377784451379292</stp>
        <tr r="H4436" s="2"/>
      </tp>
      <tp t="s">
        <v>#N/A N/A</v>
        <stp/>
        <stp>BDP|4341881756659422961</stp>
        <tr r="B245" s="2"/>
      </tp>
      <tp t="s">
        <v>#N/A N/A</v>
        <stp/>
        <stp>BDP|8201145200130944003</stp>
        <tr r="D2512" s="2"/>
      </tp>
      <tp t="s">
        <v>#N/A N/A</v>
        <stp/>
        <stp>BDP|4819949116657258278</stp>
        <tr r="H622" s="2"/>
      </tp>
      <tp t="s">
        <v>#N/A N/A</v>
        <stp/>
        <stp>BDP|5491971720654443389</stp>
        <tr r="A3348" s="2"/>
      </tp>
      <tp t="s">
        <v>#N/A N/A</v>
        <stp/>
        <stp>BDP|6280273099227699353</stp>
        <tr r="G2820" s="2"/>
      </tp>
      <tp t="s">
        <v>#N/A N/A</v>
        <stp/>
        <stp>BDP|7581049120438864461</stp>
        <tr r="F98" s="2"/>
      </tp>
      <tp t="s">
        <v>#N/A N/A</v>
        <stp/>
        <stp>BDP|8049444318526538264</stp>
        <tr r="B4604" s="2"/>
      </tp>
      <tp t="s">
        <v>#N/A N/A</v>
        <stp/>
        <stp>BDP|7201897655711843291</stp>
        <tr r="I2651" s="2"/>
      </tp>
      <tp t="s">
        <v>#N/A N/A</v>
        <stp/>
        <stp>BDP|4282276859178782242</stp>
        <tr r="C2284" s="2"/>
      </tp>
      <tp t="s">
        <v>#N/A N/A</v>
        <stp/>
        <stp>BDP|7249084335174948991</stp>
        <tr r="C2524" s="2"/>
      </tp>
      <tp t="s">
        <v>#N/A N/A</v>
        <stp/>
        <stp>BDP|3003621364613069995</stp>
        <tr r="C817" s="2"/>
      </tp>
      <tp t="s">
        <v>#N/A N/A</v>
        <stp/>
        <stp>BDP|9610651631502921740</stp>
        <tr r="C3382" s="2"/>
      </tp>
      <tp t="s">
        <v>#N/A N/A</v>
        <stp/>
        <stp>BDP|1344644299733106400</stp>
        <tr r="D3547" s="2"/>
      </tp>
      <tp t="s">
        <v>#N/A N/A</v>
        <stp/>
        <stp>BDP|4963754651609516672</stp>
        <tr r="G4556" s="2"/>
      </tp>
      <tp t="s">
        <v>#N/A N/A</v>
        <stp/>
        <stp>BDP|8541784262171707176</stp>
        <tr r="F4016" s="2"/>
      </tp>
      <tp t="s">
        <v>#N/A N/A</v>
        <stp/>
        <stp>BDP|7709393084036643330</stp>
        <tr r="A2736" s="2"/>
      </tp>
      <tp t="s">
        <v>#N/A N/A</v>
        <stp/>
        <stp>BDP|9717091269552929410</stp>
        <tr r="G2027" s="2"/>
      </tp>
      <tp t="s">
        <v>#N/A N/A</v>
        <stp/>
        <stp>BDP|9659097133813392004</stp>
        <tr r="C1867" s="2"/>
      </tp>
      <tp t="s">
        <v>#N/A N/A</v>
        <stp/>
        <stp>BDP|2103497020308455537</stp>
        <tr r="B2322" s="2"/>
      </tp>
      <tp t="s">
        <v>#N/A N/A</v>
        <stp/>
        <stp>BDP|2863455635378375441</stp>
        <tr r="C4249" s="2"/>
      </tp>
      <tp t="s">
        <v>#N/A N/A</v>
        <stp/>
        <stp>BDP|4591001207775984841</stp>
        <tr r="B1565" s="2"/>
      </tp>
      <tp t="s">
        <v>#N/A N/A</v>
        <stp/>
        <stp>BDP|2247898035674793465</stp>
        <tr r="A4503" s="2"/>
      </tp>
      <tp t="s">
        <v>#N/A N/A</v>
        <stp/>
        <stp>BDP|8037492561183222054</stp>
        <tr r="B2818" s="2"/>
      </tp>
      <tp t="s">
        <v>#N/A N/A</v>
        <stp/>
        <stp>BDP|9958606553646500503</stp>
        <tr r="C4706" s="2"/>
      </tp>
      <tp t="s">
        <v>#N/A N/A</v>
        <stp/>
        <stp>BDP|3541273898117782628</stp>
        <tr r="H3023" s="2"/>
      </tp>
      <tp t="s">
        <v>#N/A N/A</v>
        <stp/>
        <stp>BDP|7430078731225901870</stp>
        <tr r="C4599" s="2"/>
      </tp>
      <tp t="s">
        <v>#N/A N/A</v>
        <stp/>
        <stp>BDP|7454058082233822574</stp>
        <tr r="F302" s="2"/>
      </tp>
      <tp t="s">
        <v>#N/A N/A</v>
        <stp/>
        <stp>BDP|8680355364337976320</stp>
        <tr r="H850" s="2"/>
      </tp>
      <tp t="s">
        <v>#N/A N/A</v>
        <stp/>
        <stp>BDP|2871078295003544132</stp>
        <tr r="H3719" s="2"/>
      </tp>
      <tp t="s">
        <v>#N/A N/A</v>
        <stp/>
        <stp>BDP|7042150046562713989</stp>
        <tr r="C3195" s="2"/>
      </tp>
      <tp t="s">
        <v>#N/A N/A</v>
        <stp/>
        <stp>BDP|7727894286947721934</stp>
        <tr r="H421" s="2"/>
      </tp>
      <tp t="s">
        <v>#N/A N/A</v>
        <stp/>
        <stp>BDP|8882857392793551364</stp>
        <tr r="H4211" s="2"/>
      </tp>
      <tp t="s">
        <v>#N/A N/A</v>
        <stp/>
        <stp>BDP|7888270492967284231</stp>
        <tr r="D4474" s="2"/>
      </tp>
      <tp t="s">
        <v>#N/A N/A</v>
        <stp/>
        <stp>BDP|9055292824727004718</stp>
        <tr r="A3544" s="2"/>
      </tp>
      <tp t="s">
        <v>#N/A N/A</v>
        <stp/>
        <stp>BDP|9187409221215914359</stp>
        <tr r="G3749" s="2"/>
      </tp>
      <tp t="s">
        <v>#N/A N/A</v>
        <stp/>
        <stp>BDP|3825112271175623928</stp>
        <tr r="F2078" s="2"/>
      </tp>
      <tp t="s">
        <v>#N/A N/A</v>
        <stp/>
        <stp>BDP|9402902098311830189</stp>
        <tr r="G3399" s="2"/>
      </tp>
      <tp t="s">
        <v>#N/A N/A</v>
        <stp/>
        <stp>BDP|1543945466593893436</stp>
        <tr r="A3764" s="2"/>
      </tp>
      <tp t="s">
        <v>#N/A N/A</v>
        <stp/>
        <stp>BDP|9108636959941268252</stp>
        <tr r="I2213" s="2"/>
      </tp>
      <tp t="s">
        <v>#N/A N/A</v>
        <stp/>
        <stp>BDP|4702784982535533749</stp>
        <tr r="F2648" s="2"/>
      </tp>
      <tp t="s">
        <v>#N/A N/A</v>
        <stp/>
        <stp>BDP|6219586759948661793</stp>
        <tr r="G430" s="2"/>
      </tp>
      <tp t="s">
        <v>#N/A N/A</v>
        <stp/>
        <stp>BDP|2443459681395910255</stp>
        <tr r="D3240" s="2"/>
      </tp>
      <tp t="s">
        <v>#N/A N/A</v>
        <stp/>
        <stp>BDP|9271207169986053276</stp>
        <tr r="B3375" s="2"/>
      </tp>
      <tp t="s">
        <v>#N/A N/A</v>
        <stp/>
        <stp>BDP|4076763385863663197</stp>
        <tr r="D4157" s="2"/>
      </tp>
      <tp t="s">
        <v>#N/A N/A</v>
        <stp/>
        <stp>BDP|2851493188905473215</stp>
        <tr r="H4222" s="2"/>
      </tp>
      <tp t="s">
        <v>#N/A N/A</v>
        <stp/>
        <stp>BDP|1021967842830875507</stp>
        <tr r="D4970" s="2"/>
      </tp>
      <tp t="s">
        <v>#N/A N/A</v>
        <stp/>
        <stp>BDP|2780963448881583706</stp>
        <tr r="F4482" s="2"/>
      </tp>
      <tp t="s">
        <v>#N/A N/A</v>
        <stp/>
        <stp>BDP|8628177887950381898</stp>
        <tr r="C1490" s="2"/>
      </tp>
      <tp t="s">
        <v>#N/A N/A</v>
        <stp/>
        <stp>BDP|1644019497981586093</stp>
        <tr r="C458" s="2"/>
      </tp>
      <tp t="s">
        <v>#N/A N/A</v>
        <stp/>
        <stp>BDP|6424465352618968658</stp>
        <tr r="A619" s="2"/>
      </tp>
      <tp t="s">
        <v>#N/A N/A</v>
        <stp/>
        <stp>BDP|5589940358427730720</stp>
        <tr r="D150" s="2"/>
      </tp>
      <tp t="s">
        <v>#N/A N/A</v>
        <stp/>
        <stp>BDP|8660652269952711312</stp>
        <tr r="D4473" s="2"/>
      </tp>
      <tp t="s">
        <v>#N/A N/A</v>
        <stp/>
        <stp>BDP|8466873849869034460</stp>
        <tr r="B3845" s="2"/>
      </tp>
      <tp t="s">
        <v>#N/A N/A</v>
        <stp/>
        <stp>BDP|8730327371946049387</stp>
        <tr r="A2171" s="2"/>
      </tp>
      <tp t="s">
        <v>#N/A N/A</v>
        <stp/>
        <stp>BDP|2731858653481596788</stp>
        <tr r="I753" s="2"/>
      </tp>
      <tp t="s">
        <v>#N/A N/A</v>
        <stp/>
        <stp>BDP|4711992312274620162</stp>
        <tr r="H2513" s="2"/>
      </tp>
      <tp t="s">
        <v>#N/A N/A</v>
        <stp/>
        <stp>BDP|8406290763033264607</stp>
        <tr r="G2002" s="2"/>
      </tp>
      <tp t="s">
        <v>#N/A N/A</v>
        <stp/>
        <stp>BDP|4978026874848393201</stp>
        <tr r="B2976" s="2"/>
      </tp>
      <tp t="s">
        <v>#N/A N/A</v>
        <stp/>
        <stp>BDP|9667481513125750062</stp>
        <tr r="H3174" s="2"/>
      </tp>
      <tp t="s">
        <v>#N/A N/A</v>
        <stp/>
        <stp>BDP|4247591083965643529</stp>
        <tr r="A3661" s="2"/>
      </tp>
      <tp t="s">
        <v>#N/A N/A</v>
        <stp/>
        <stp>BDP|4829569340315098920</stp>
        <tr r="H2362" s="2"/>
      </tp>
      <tp t="s">
        <v>#N/A N/A</v>
        <stp/>
        <stp>BDP|1613759667760867909</stp>
        <tr r="F252" s="2"/>
      </tp>
      <tp t="s">
        <v>#N/A N/A</v>
        <stp/>
        <stp>BDP|7099320902368433589</stp>
        <tr r="B3229" s="2"/>
      </tp>
      <tp t="s">
        <v>#N/A N/A</v>
        <stp/>
        <stp>BDP|5944883799434317972</stp>
        <tr r="D2625" s="2"/>
      </tp>
      <tp t="s">
        <v>#N/A N/A</v>
        <stp/>
        <stp>BDP|9201603014215327293</stp>
        <tr r="B2240" s="2"/>
      </tp>
      <tp t="s">
        <v>#N/A N/A</v>
        <stp/>
        <stp>BDP|2429903917454977762</stp>
        <tr r="C4234" s="2"/>
      </tp>
      <tp t="s">
        <v>#N/A N/A</v>
        <stp/>
        <stp>BDP|5905857034172561510</stp>
        <tr r="F2525" s="2"/>
      </tp>
      <tp t="s">
        <v>#N/A N/A</v>
        <stp/>
        <stp>BDP|6949970253484627771</stp>
        <tr r="F3403" s="2"/>
      </tp>
      <tp t="s">
        <v>#N/A N/A</v>
        <stp/>
        <stp>BDP|2152427242233563885</stp>
        <tr r="F3540" s="2"/>
      </tp>
      <tp t="s">
        <v>#N/A N/A</v>
        <stp/>
        <stp>BDP|2885922705053184121</stp>
        <tr r="G2133" s="2"/>
      </tp>
      <tp t="s">
        <v>#N/A N/A</v>
        <stp/>
        <stp>BDP|8124950705051865957</stp>
        <tr r="F1971" s="2"/>
      </tp>
      <tp t="s">
        <v>#N/A N/A</v>
        <stp/>
        <stp>BDP|3373978450425909318</stp>
        <tr r="A1956" s="2"/>
      </tp>
      <tp t="s">
        <v>#N/A N/A</v>
        <stp/>
        <stp>BDP|7035705683791864074</stp>
        <tr r="A1574" s="2"/>
      </tp>
      <tp t="s">
        <v>#N/A N/A</v>
        <stp/>
        <stp>BDP|6969082526509934421</stp>
        <tr r="H3603" s="2"/>
      </tp>
      <tp t="s">
        <v>#N/A N/A</v>
        <stp/>
        <stp>BDP|4059038335839330795</stp>
        <tr r="F1625" s="2"/>
      </tp>
      <tp t="s">
        <v>#N/A N/A</v>
        <stp/>
        <stp>BDP|7538765598435114560</stp>
        <tr r="G1357" s="2"/>
      </tp>
      <tp t="s">
        <v>#N/A N/A</v>
        <stp/>
        <stp>BDP|2910098578708442408</stp>
        <tr r="I841" s="2"/>
      </tp>
      <tp t="s">
        <v>#N/A N/A</v>
        <stp/>
        <stp>BDP|2696827154630987652</stp>
        <tr r="B2229" s="2"/>
      </tp>
      <tp t="s">
        <v>#N/A N/A</v>
        <stp/>
        <stp>BDP|3913120200589454233</stp>
        <tr r="I1858" s="2"/>
      </tp>
      <tp t="s">
        <v>#N/A N/A</v>
        <stp/>
        <stp>BDP|4512329852762987905</stp>
        <tr r="F866" s="2"/>
      </tp>
      <tp t="s">
        <v>#N/A N/A</v>
        <stp/>
        <stp>BDP|2839865347597625034</stp>
        <tr r="C1459" s="2"/>
      </tp>
      <tp t="s">
        <v>#N/A N/A</v>
        <stp/>
        <stp>BDP|6495574538659473039</stp>
        <tr r="I2856" s="2"/>
      </tp>
      <tp t="s">
        <v>#N/A N/A</v>
        <stp/>
        <stp>BDP|5019395146499041231</stp>
        <tr r="D2342" s="2"/>
      </tp>
      <tp t="s">
        <v>#N/A N/A</v>
        <stp/>
        <stp>BDP|3464870058812426539</stp>
        <tr r="I4190" s="2"/>
      </tp>
      <tp t="s">
        <v>#N/A N/A</v>
        <stp/>
        <stp>BDP|5032326227798917506</stp>
        <tr r="C2172" s="2"/>
      </tp>
      <tp t="s">
        <v>#N/A N/A</v>
        <stp/>
        <stp>BDP|8646431409223529650</stp>
        <tr r="H4800" s="2"/>
      </tp>
      <tp t="s">
        <v>#N/A N/A</v>
        <stp/>
        <stp>BDP|3440754844739900002</stp>
        <tr r="H385" s="2"/>
      </tp>
      <tp t="s">
        <v>#N/A N/A</v>
        <stp/>
        <stp>BDP|6741889736653588706</stp>
        <tr r="I3630" s="2"/>
      </tp>
      <tp t="s">
        <v>#N/A N/A</v>
        <stp/>
        <stp>BDP|5548034904315954972</stp>
        <tr r="G70" s="2"/>
      </tp>
      <tp t="s">
        <v>#N/A N/A</v>
        <stp/>
        <stp>BDP|5561460597182958316</stp>
        <tr r="D2111" s="2"/>
      </tp>
      <tp t="s">
        <v>#N/A N/A</v>
        <stp/>
        <stp>BDP|1844845342722028620</stp>
        <tr r="G4687" s="2"/>
      </tp>
      <tp t="s">
        <v>#N/A N/A</v>
        <stp/>
        <stp>BDP|5990534986482384336</stp>
        <tr r="I3907" s="2"/>
      </tp>
      <tp t="s">
        <v>#N/A N/A</v>
        <stp/>
        <stp>BDP|4134109578848047351</stp>
        <tr r="C983" s="2"/>
      </tp>
      <tp t="s">
        <v>#N/A N/A</v>
        <stp/>
        <stp>BDP|8193030129802420134</stp>
        <tr r="I1499" s="2"/>
      </tp>
      <tp t="s">
        <v>#N/A N/A</v>
        <stp/>
        <stp>BDP|9755690527012333661</stp>
        <tr r="G4857" s="2"/>
      </tp>
      <tp t="s">
        <v>#N/A N/A</v>
        <stp/>
        <stp>BDP|7200383067823498855</stp>
        <tr r="C1778" s="2"/>
      </tp>
      <tp t="s">
        <v>#N/A N/A</v>
        <stp/>
        <stp>BDP|7632554479264627801</stp>
        <tr r="G3469" s="2"/>
      </tp>
      <tp t="s">
        <v>#N/A N/A</v>
        <stp/>
        <stp>BDP|1687313714128949268</stp>
        <tr r="H1530" s="2"/>
      </tp>
      <tp t="s">
        <v>#N/A N/A</v>
        <stp/>
        <stp>BDP|6781284061342674951</stp>
        <tr r="H2049" s="2"/>
      </tp>
      <tp t="s">
        <v>#N/A N/A</v>
        <stp/>
        <stp>BDP|6727441097144880613</stp>
        <tr r="D173" s="2"/>
      </tp>
      <tp t="s">
        <v>#N/A N/A</v>
        <stp/>
        <stp>BDP|4238933255141813019</stp>
        <tr r="D1424" s="2"/>
      </tp>
      <tp t="s">
        <v>#N/A N/A</v>
        <stp/>
        <stp>BDP|3529055777219840428</stp>
        <tr r="A3178" s="2"/>
      </tp>
      <tp t="s">
        <v>#N/A N/A</v>
        <stp/>
        <stp>BDP|1591181988662916316</stp>
        <tr r="D2175" s="2"/>
      </tp>
      <tp t="s">
        <v>#N/A N/A</v>
        <stp/>
        <stp>BDP|3889826926008829895</stp>
        <tr r="C259" s="2"/>
      </tp>
      <tp t="s">
        <v>#N/A N/A</v>
        <stp/>
        <stp>BDP|2045753797986770380</stp>
        <tr r="I1960" s="2"/>
      </tp>
      <tp t="s">
        <v>#N/A N/A</v>
        <stp/>
        <stp>BDP|1140279700223963921</stp>
        <tr r="G663" s="2"/>
      </tp>
      <tp t="s">
        <v>#N/A N/A</v>
        <stp/>
        <stp>BDP|3775213934188987365</stp>
        <tr r="C2787" s="2"/>
      </tp>
      <tp t="s">
        <v>#N/A N/A</v>
        <stp/>
        <stp>BDP|7896369765162399950</stp>
        <tr r="A458" s="2"/>
      </tp>
      <tp t="s">
        <v>#N/A N/A</v>
        <stp/>
        <stp>BDP|8067109809423364375</stp>
        <tr r="H4191" s="2"/>
      </tp>
      <tp t="s">
        <v>#N/A N/A</v>
        <stp/>
        <stp>BDP|8908431190928200450</stp>
        <tr r="I2658" s="2"/>
      </tp>
      <tp t="s">
        <v>#N/A N/A</v>
        <stp/>
        <stp>BDP|5141073257559501099</stp>
        <tr r="H4807" s="2"/>
      </tp>
      <tp t="s">
        <v>#N/A N/A</v>
        <stp/>
        <stp>BDP|3091986022643145266</stp>
        <tr r="C1638" s="2"/>
      </tp>
      <tp t="s">
        <v>#N/A N/A</v>
        <stp/>
        <stp>BDP|7082232389541119565</stp>
        <tr r="D4451" s="2"/>
      </tp>
      <tp t="s">
        <v>#N/A N/A</v>
        <stp/>
        <stp>BDP|2525579484471208794</stp>
        <tr r="I2672" s="2"/>
      </tp>
      <tp t="s">
        <v>#N/A N/A</v>
        <stp/>
        <stp>BDP|7521689061636239835</stp>
        <tr r="D4916" s="2"/>
      </tp>
      <tp t="s">
        <v>#N/A N/A</v>
        <stp/>
        <stp>BDP|3494007784305448793</stp>
        <tr r="G3374" s="2"/>
      </tp>
      <tp t="s">
        <v>#N/A N/A</v>
        <stp/>
        <stp>BDP|2433726758920471976</stp>
        <tr r="G243" s="2"/>
      </tp>
      <tp t="s">
        <v>#N/A N/A</v>
        <stp/>
        <stp>BDP|3251547382824951302</stp>
        <tr r="D2981" s="2"/>
      </tp>
      <tp t="s">
        <v>#N/A N/A</v>
        <stp/>
        <stp>BDP|3881027127059906192</stp>
        <tr r="C1998" s="2"/>
      </tp>
      <tp t="s">
        <v>#N/A N/A</v>
        <stp/>
        <stp>BDP|8565611977503695386</stp>
        <tr r="A3432" s="2"/>
      </tp>
      <tp t="s">
        <v>#N/A N/A</v>
        <stp/>
        <stp>BDP|4758831927730988776</stp>
        <tr r="H3932" s="2"/>
      </tp>
      <tp t="s">
        <v>#N/A N/A</v>
        <stp/>
        <stp>BDP|5344437587650210088</stp>
        <tr r="F2485" s="2"/>
      </tp>
      <tp t="s">
        <v>#N/A N/A</v>
        <stp/>
        <stp>BDP|8687043253605831142</stp>
        <tr r="D624" s="2"/>
      </tp>
      <tp t="s">
        <v>#N/A N/A</v>
        <stp/>
        <stp>BDP|9594584501403606675</stp>
        <tr r="I4817" s="2"/>
      </tp>
      <tp t="s">
        <v>#N/A N/A</v>
        <stp/>
        <stp>BDP|9291727150201510381</stp>
        <tr r="B1619" s="2"/>
      </tp>
      <tp t="s">
        <v>#N/A N/A</v>
        <stp/>
        <stp>BDP|7616512459828763641</stp>
        <tr r="A339" s="2"/>
      </tp>
      <tp t="s">
        <v>#N/A N/A</v>
        <stp/>
        <stp>BDP|1964240900409192314</stp>
        <tr r="B590" s="2"/>
      </tp>
      <tp t="s">
        <v>#N/A N/A</v>
        <stp/>
        <stp>BDP|4491781495664389779</stp>
        <tr r="G3224" s="2"/>
      </tp>
      <tp t="s">
        <v>#N/A N/A</v>
        <stp/>
        <stp>BDP|1882792780580988759</stp>
        <tr r="A2151" s="2"/>
      </tp>
      <tp t="s">
        <v>#N/A N/A</v>
        <stp/>
        <stp>BDP|1276821587741261989</stp>
        <tr r="D1566" s="2"/>
      </tp>
      <tp t="s">
        <v>#N/A N/A</v>
        <stp/>
        <stp>BDP|3134272338943154823</stp>
        <tr r="B3742" s="2"/>
      </tp>
      <tp t="s">
        <v>#N/A N/A</v>
        <stp/>
        <stp>BDP|9609374725784896514</stp>
        <tr r="F3341" s="2"/>
      </tp>
      <tp t="s">
        <v>#N/A N/A</v>
        <stp/>
        <stp>BDP|9572375626226184786</stp>
        <tr r="H4659" s="2"/>
      </tp>
      <tp t="s">
        <v>#N/A N/A</v>
        <stp/>
        <stp>BDP|8329036641941848447</stp>
        <tr r="D2904" s="2"/>
      </tp>
      <tp t="s">
        <v>#N/A N/A</v>
        <stp/>
        <stp>BDP|3220739405439939402</stp>
        <tr r="A2783" s="2"/>
      </tp>
      <tp t="s">
        <v>#N/A N/A</v>
        <stp/>
        <stp>BDP|2729841157047897114</stp>
        <tr r="B810" s="2"/>
      </tp>
      <tp t="s">
        <v>#N/A N/A</v>
        <stp/>
        <stp>BDP|4344944076697968451</stp>
        <tr r="H279" s="2"/>
      </tp>
      <tp t="s">
        <v>#N/A N/A</v>
        <stp/>
        <stp>BDP|7859540992927554568</stp>
        <tr r="A4422" s="2"/>
      </tp>
      <tp t="s">
        <v>#N/A N/A</v>
        <stp/>
        <stp>BDP|8418165249686663205</stp>
        <tr r="C1501" s="2"/>
      </tp>
      <tp t="s">
        <v>#N/A N/A</v>
        <stp/>
        <stp>BDP|5629871124297812101</stp>
        <tr r="C1651" s="2"/>
      </tp>
      <tp t="s">
        <v>#N/A N/A</v>
        <stp/>
        <stp>BDP|3632985827700472107</stp>
        <tr r="F4054" s="2"/>
      </tp>
      <tp t="s">
        <v>#N/A N/A</v>
        <stp/>
        <stp>BDP|6569669638862101876</stp>
        <tr r="C2729" s="2"/>
      </tp>
      <tp t="s">
        <v>#N/A N/A</v>
        <stp/>
        <stp>BDP|2094709475778857302</stp>
        <tr r="F2679" s="2"/>
      </tp>
      <tp t="s">
        <v>#N/A N/A</v>
        <stp/>
        <stp>BDP|8313496728164923364</stp>
        <tr r="C4183" s="2"/>
      </tp>
      <tp t="s">
        <v>#N/A N/A</v>
        <stp/>
        <stp>BDP|5582098091744638164</stp>
        <tr r="D3930" s="2"/>
      </tp>
      <tp t="s">
        <v>#N/A N/A</v>
        <stp/>
        <stp>BDP|3126374988373261213</stp>
        <tr r="G1950" s="2"/>
      </tp>
      <tp t="s">
        <v>#N/A N/A</v>
        <stp/>
        <stp>BDP|6801613327039753245</stp>
        <tr r="F222" s="2"/>
      </tp>
      <tp t="s">
        <v>#N/A N/A</v>
        <stp/>
        <stp>BDP|5068137342051870845</stp>
        <tr r="H4823" s="2"/>
      </tp>
      <tp t="s">
        <v>#N/A N/A</v>
        <stp/>
        <stp>BDP|8977926683469629934</stp>
        <tr r="D1432" s="2"/>
      </tp>
      <tp t="s">
        <v>#N/A N/A</v>
        <stp/>
        <stp>BDP|5913920931987139168</stp>
        <tr r="F4344" s="2"/>
      </tp>
      <tp t="s">
        <v>#N/A N/A</v>
        <stp/>
        <stp>BDP|1756801377385848251</stp>
        <tr r="A4855" s="2"/>
      </tp>
      <tp t="s">
        <v>#N/A N/A</v>
        <stp/>
        <stp>BDP|6882670643644640978</stp>
        <tr r="G3695" s="2"/>
      </tp>
      <tp t="s">
        <v>#N/A N/A</v>
        <stp/>
        <stp>BDP|6319673889011471047</stp>
        <tr r="D4132" s="2"/>
      </tp>
      <tp t="s">
        <v>#N/A N/A</v>
        <stp/>
        <stp>BDP|8600214679065071131</stp>
        <tr r="A1099" s="2"/>
      </tp>
      <tp t="s">
        <v>#N/A N/A</v>
        <stp/>
        <stp>BDP|8221742276541415096</stp>
        <tr r="C212" s="2"/>
      </tp>
      <tp t="s">
        <v>#N/A N/A</v>
        <stp/>
        <stp>BDP|1630139896397692782</stp>
        <tr r="I3231" s="2"/>
      </tp>
      <tp t="s">
        <v>#N/A N/A</v>
        <stp/>
        <stp>BDP|5078772808212372912</stp>
        <tr r="A2125" s="2"/>
      </tp>
      <tp t="s">
        <v>#N/A N/A</v>
        <stp/>
        <stp>BDP|5910677007119022347</stp>
        <tr r="H2909" s="2"/>
      </tp>
      <tp t="s">
        <v>#N/A N/A</v>
        <stp/>
        <stp>BDP|1339116585766927732</stp>
        <tr r="A2216" s="2"/>
      </tp>
      <tp t="s">
        <v>#N/A N/A</v>
        <stp/>
        <stp>BDP|5151968749596226718</stp>
        <tr r="D719" s="2"/>
      </tp>
      <tp t="s">
        <v>#N/A N/A</v>
        <stp/>
        <stp>BDP|2698380788410274098</stp>
        <tr r="H2157" s="2"/>
      </tp>
      <tp t="s">
        <v>#N/A N/A</v>
        <stp/>
        <stp>BDP|2817101868494832852</stp>
        <tr r="A499" s="2"/>
      </tp>
      <tp t="s">
        <v>#N/A N/A</v>
        <stp/>
        <stp>BDP|7093889460804382465</stp>
        <tr r="B85" s="2"/>
      </tp>
      <tp t="s">
        <v>#N/A N/A</v>
        <stp/>
        <stp>BDP|7524545750516805847</stp>
        <tr r="D4581" s="2"/>
      </tp>
      <tp t="s">
        <v>#N/A N/A</v>
        <stp/>
        <stp>BDP|2222492471631778904</stp>
        <tr r="F4609" s="2"/>
      </tp>
      <tp t="s">
        <v>#N/A N/A</v>
        <stp/>
        <stp>BDP|9302355478292570665</stp>
        <tr r="D2227" s="2"/>
      </tp>
      <tp t="s">
        <v>#N/A N/A</v>
        <stp/>
        <stp>BDP|7820313961849284274</stp>
        <tr r="H4695" s="2"/>
      </tp>
      <tp t="s">
        <v>#N/A N/A</v>
        <stp/>
        <stp>BDP|6823840736964079079</stp>
        <tr r="D1466" s="2"/>
      </tp>
      <tp t="s">
        <v>#N/A N/A</v>
        <stp/>
        <stp>BDP|3460977718700302252</stp>
        <tr r="F1663" s="2"/>
      </tp>
      <tp t="s">
        <v>#N/A N/A</v>
        <stp/>
        <stp>BDP|1808804893918583131</stp>
        <tr r="H3045" s="2"/>
      </tp>
      <tp t="s">
        <v>#N/A N/A</v>
        <stp/>
        <stp>BDP|1156785894735924391</stp>
        <tr r="B4843" s="2"/>
      </tp>
      <tp t="s">
        <v>#N/A N/A</v>
        <stp/>
        <stp>BDP|3206882049747879166</stp>
        <tr r="F3137" s="2"/>
      </tp>
      <tp t="s">
        <v>#N/A N/A</v>
        <stp/>
        <stp>BDP|7936676252044607972</stp>
        <tr r="C3749" s="2"/>
      </tp>
      <tp t="s">
        <v>#N/A N/A</v>
        <stp/>
        <stp>BDP|2043386444128617475</stp>
        <tr r="I1964" s="2"/>
      </tp>
      <tp t="s">
        <v>#N/A N/A</v>
        <stp/>
        <stp>BDP|4402490433929086336</stp>
        <tr r="D2532" s="2"/>
      </tp>
      <tp t="s">
        <v>#N/A N/A</v>
        <stp/>
        <stp>BDP|6427592295775061656</stp>
        <tr r="B4307" s="2"/>
      </tp>
      <tp t="s">
        <v>#N/A N/A</v>
        <stp/>
        <stp>BDP|1873944611525948595</stp>
        <tr r="B1003" s="2"/>
      </tp>
      <tp t="s">
        <v>#N/A N/A</v>
        <stp/>
        <stp>BDP|4872462880115211412</stp>
        <tr r="H216" s="2"/>
      </tp>
      <tp t="s">
        <v>#N/A N/A</v>
        <stp/>
        <stp>BDP|7511407958508404745</stp>
        <tr r="G4281" s="2"/>
      </tp>
      <tp t="s">
        <v>#N/A N/A</v>
        <stp/>
        <stp>BDP|6808660202100071910</stp>
        <tr r="C4874" s="2"/>
      </tp>
      <tp t="s">
        <v>#N/A N/A</v>
        <stp/>
        <stp>BDP|5613838424582278412</stp>
        <tr r="A1361" s="2"/>
      </tp>
      <tp t="s">
        <v>#N/A N/A</v>
        <stp/>
        <stp>BDP|7760052501847076912</stp>
        <tr r="I1312" s="2"/>
      </tp>
      <tp t="s">
        <v>#N/A N/A</v>
        <stp/>
        <stp>BDP|9710333666426987397</stp>
        <tr r="B1528" s="2"/>
      </tp>
      <tp t="s">
        <v>#N/A N/A</v>
        <stp/>
        <stp>BDP|9879127837941676397</stp>
        <tr r="H593" s="2"/>
      </tp>
      <tp t="s">
        <v>#N/A N/A</v>
        <stp/>
        <stp>BDP|8430409621993029479</stp>
        <tr r="H1785" s="2"/>
      </tp>
      <tp t="s">
        <v>#N/A N/A</v>
        <stp/>
        <stp>BDP|5930104507699911458</stp>
        <tr r="G3029" s="2"/>
      </tp>
      <tp t="s">
        <v>#N/A N/A</v>
        <stp/>
        <stp>BDP|7904762675898112693</stp>
        <tr r="D2529" s="2"/>
      </tp>
      <tp t="s">
        <v>#N/A N/A</v>
        <stp/>
        <stp>BDP|9286406035645715222</stp>
        <tr r="A2764" s="2"/>
      </tp>
      <tp t="s">
        <v>#N/A N/A</v>
        <stp/>
        <stp>BDP|6319796085485519589</stp>
        <tr r="B4839" s="2"/>
      </tp>
      <tp t="s">
        <v>#N/A N/A</v>
        <stp/>
        <stp>BDP|4580526007451420962</stp>
        <tr r="D1761" s="2"/>
      </tp>
      <tp t="s">
        <v>#N/A N/A</v>
        <stp/>
        <stp>BDP|7479838021543638723</stp>
        <tr r="I1038" s="2"/>
      </tp>
      <tp t="s">
        <v>#N/A N/A</v>
        <stp/>
        <stp>BDP|9541162116963113364</stp>
        <tr r="A918" s="2"/>
      </tp>
      <tp t="s">
        <v>#N/A N/A</v>
        <stp/>
        <stp>BDP|1293826556657425201</stp>
        <tr r="A3279" s="2"/>
      </tp>
      <tp t="s">
        <v>#N/A N/A</v>
        <stp/>
        <stp>BDP|6337018477460474832</stp>
        <tr r="F3255" s="2"/>
      </tp>
      <tp t="s">
        <v>#N/A N/A</v>
        <stp/>
        <stp>BDP|5960818053074123581</stp>
        <tr r="B1540" s="2"/>
      </tp>
      <tp t="s">
        <v>#N/A N/A</v>
        <stp/>
        <stp>BDP|7172378158501846943</stp>
        <tr r="D956" s="2"/>
      </tp>
      <tp t="s">
        <v>#N/A N/A</v>
        <stp/>
        <stp>BDP|9497556110891039539</stp>
        <tr r="C340" s="2"/>
      </tp>
      <tp t="s">
        <v>#N/A N/A</v>
        <stp/>
        <stp>BDP|5110566354498498457</stp>
        <tr r="F2300" s="2"/>
      </tp>
      <tp t="s">
        <v>#N/A N/A</v>
        <stp/>
        <stp>BDP|7445278535326376974</stp>
        <tr r="I1848" s="2"/>
      </tp>
      <tp t="s">
        <v>#N/A N/A</v>
        <stp/>
        <stp>BDP|1226780219856707866</stp>
        <tr r="A1765" s="2"/>
      </tp>
      <tp t="s">
        <v>#N/A N/A</v>
        <stp/>
        <stp>BDP|4878599172308859794</stp>
        <tr r="F2139" s="2"/>
      </tp>
      <tp t="s">
        <v>#N/A N/A</v>
        <stp/>
        <stp>BDP|2304936445434090277</stp>
        <tr r="C1374" s="2"/>
      </tp>
      <tp t="s">
        <v>#N/A N/A</v>
        <stp/>
        <stp>BDP|9923097306948358875</stp>
        <tr r="B2516" s="2"/>
      </tp>
      <tp t="s">
        <v>#N/A N/A</v>
        <stp/>
        <stp>BDP|9940818320083992939</stp>
        <tr r="D1935" s="2"/>
      </tp>
      <tp t="s">
        <v>#N/A N/A</v>
        <stp/>
        <stp>BDP|5702486752878668594</stp>
        <tr r="B1972" s="2"/>
      </tp>
      <tp t="s">
        <v>#N/A N/A</v>
        <stp/>
        <stp>BDP|9264013813809346815</stp>
        <tr r="C1673" s="2"/>
      </tp>
      <tp t="s">
        <v>#N/A N/A</v>
        <stp/>
        <stp>BDP|7511128287512129532</stp>
        <tr r="H1336" s="2"/>
      </tp>
      <tp t="s">
        <v>#N/A N/A</v>
        <stp/>
        <stp>BDP|6392293356469983179</stp>
        <tr r="F553" s="2"/>
      </tp>
      <tp t="s">
        <v>#N/A N/A</v>
        <stp/>
        <stp>BDP|3541057264429015568</stp>
        <tr r="H1607" s="2"/>
      </tp>
      <tp t="s">
        <v>#N/A N/A</v>
        <stp/>
        <stp>BDP|3299986568190243524</stp>
        <tr r="H4926" s="2"/>
      </tp>
      <tp t="s">
        <v>#N/A N/A</v>
        <stp/>
        <stp>BDP|7083962231037714325</stp>
        <tr r="G15" s="2"/>
      </tp>
      <tp t="s">
        <v>#N/A N/A</v>
        <stp/>
        <stp>BDP|6913008511578206682</stp>
        <tr r="H3751" s="2"/>
      </tp>
      <tp t="s">
        <v>#N/A N/A</v>
        <stp/>
        <stp>BDP|6770678124463018864</stp>
        <tr r="D863" s="2"/>
      </tp>
      <tp t="s">
        <v>#N/A N/A</v>
        <stp/>
        <stp>BDP|9838144818973278347</stp>
        <tr r="H2054" s="2"/>
      </tp>
      <tp t="s">
        <v>#N/A N/A</v>
        <stp/>
        <stp>BDP|1017339082897095437</stp>
        <tr r="H3190" s="2"/>
      </tp>
      <tp t="s">
        <v>#N/A N/A</v>
        <stp/>
        <stp>BDP|5005259664138405079</stp>
        <tr r="H2927" s="2"/>
      </tp>
      <tp t="s">
        <v>#N/A N/A</v>
        <stp/>
        <stp>BDP|9477310200897779409</stp>
        <tr r="G753" s="2"/>
      </tp>
      <tp t="s">
        <v>#N/A N/A</v>
        <stp/>
        <stp>BDP|6395645024328277339</stp>
        <tr r="C2174" s="2"/>
      </tp>
      <tp t="s">
        <v>#N/A N/A</v>
        <stp/>
        <stp>BDP|2757976206156110453</stp>
        <tr r="I2645" s="2"/>
      </tp>
      <tp t="s">
        <v>#N/A N/A</v>
        <stp/>
        <stp>BDP|9215122409123972225</stp>
        <tr r="C2281" s="2"/>
      </tp>
      <tp t="s">
        <v>#N/A N/A</v>
        <stp/>
        <stp>BDP|3933883004884695611</stp>
        <tr r="F1540" s="2"/>
      </tp>
      <tp t="s">
        <v>#N/A N/A</v>
        <stp/>
        <stp>BDP|9857212858943761448</stp>
        <tr r="H4325" s="2"/>
      </tp>
      <tp t="s">
        <v>#N/A N/A</v>
        <stp/>
        <stp>BDP|9640860692245466443</stp>
        <tr r="C3438" s="2"/>
      </tp>
      <tp t="s">
        <v>#N/A N/A</v>
        <stp/>
        <stp>BDP|2525816696719385338</stp>
        <tr r="A1184" s="2"/>
      </tp>
      <tp t="s">
        <v>#N/A N/A</v>
        <stp/>
        <stp>BDP|8881796714357273059</stp>
        <tr r="G383" s="2"/>
      </tp>
      <tp t="s">
        <v>#N/A N/A</v>
        <stp/>
        <stp>BDP|2974123602618962227</stp>
        <tr r="B4038" s="2"/>
      </tp>
      <tp t="s">
        <v>#N/A N/A</v>
        <stp/>
        <stp>BDP|3649000261345242970</stp>
        <tr r="C2129" s="2"/>
      </tp>
      <tp t="s">
        <v>#N/A N/A</v>
        <stp/>
        <stp>BDP|3704251396431469020</stp>
        <tr r="G3076" s="2"/>
      </tp>
      <tp t="s">
        <v>#N/A N/A</v>
        <stp/>
        <stp>BDP|9609741760117837680</stp>
        <tr r="H1170" s="2"/>
      </tp>
      <tp t="s">
        <v>#N/A N/A</v>
        <stp/>
        <stp>BDP|7709257076138611304</stp>
        <tr r="H3069" s="2"/>
      </tp>
      <tp t="s">
        <v>#N/A N/A</v>
        <stp/>
        <stp>BDP|7659402187974098635</stp>
        <tr r="I4354" s="2"/>
      </tp>
      <tp t="s">
        <v>#N/A N/A</v>
        <stp/>
        <stp>BDP|9645365453551753763</stp>
        <tr r="D972" s="2"/>
      </tp>
      <tp t="s">
        <v>#N/A N/A</v>
        <stp/>
        <stp>BDP|3830041421428745080</stp>
        <tr r="F2902" s="2"/>
      </tp>
      <tp t="s">
        <v>#N/A N/A</v>
        <stp/>
        <stp>BDP|3306031629290886839</stp>
        <tr r="I2916" s="2"/>
      </tp>
      <tp t="s">
        <v>#N/A N/A</v>
        <stp/>
        <stp>BDP|7587213451448683112</stp>
        <tr r="A3493" s="2"/>
      </tp>
      <tp t="s">
        <v>#N/A N/A</v>
        <stp/>
        <stp>BDP|8522745041001406362</stp>
        <tr r="B3791" s="2"/>
      </tp>
      <tp t="s">
        <v>#N/A N/A</v>
        <stp/>
        <stp>BDP|5926525240675124886</stp>
        <tr r="H54" s="2"/>
      </tp>
      <tp t="s">
        <v>#N/A N/A</v>
        <stp/>
        <stp>BDP|7016835666396538621</stp>
        <tr r="I1249" s="2"/>
      </tp>
      <tp t="s">
        <v>#N/A N/A</v>
        <stp/>
        <stp>BDP|8199534171482381124</stp>
        <tr r="C914" s="2"/>
      </tp>
      <tp t="s">
        <v>#N/A N/A</v>
        <stp/>
        <stp>BDP|9905898396824259560</stp>
        <tr r="I1835" s="2"/>
      </tp>
      <tp t="s">
        <v>#N/A N/A</v>
        <stp/>
        <stp>BDP|5956582927252605920</stp>
        <tr r="C2006" s="2"/>
      </tp>
      <tp t="s">
        <v>#N/A N/A</v>
        <stp/>
        <stp>BDP|3594846674506389347</stp>
        <tr r="I1505" s="2"/>
      </tp>
      <tp t="s">
        <v>#N/A N/A</v>
        <stp/>
        <stp>BDP|5932361585720121793</stp>
        <tr r="F1941" s="2"/>
      </tp>
      <tp t="s">
        <v>#N/A N/A</v>
        <stp/>
        <stp>BDP|9941712175051952167</stp>
        <tr r="B3048" s="2"/>
      </tp>
      <tp t="s">
        <v>#N/A N/A</v>
        <stp/>
        <stp>BDP|8723381560635976146</stp>
        <tr r="C3815" s="2"/>
      </tp>
      <tp t="s">
        <v>#N/A N/A</v>
        <stp/>
        <stp>BDP|2364162010002339943</stp>
        <tr r="B1236" s="2"/>
      </tp>
      <tp t="s">
        <v>#N/A N/A</v>
        <stp/>
        <stp>BDP|7976848838471176468</stp>
        <tr r="A3590" s="2"/>
      </tp>
      <tp t="s">
        <v>#N/A N/A</v>
        <stp/>
        <stp>BDP|2327142930530785929</stp>
        <tr r="I2404" s="2"/>
      </tp>
      <tp t="s">
        <v>#N/A N/A</v>
        <stp/>
        <stp>BDP|2837246974748203686</stp>
        <tr r="A2891" s="2"/>
      </tp>
      <tp t="s">
        <v>#N/A N/A</v>
        <stp/>
        <stp>BDP|4198119343971396924</stp>
        <tr r="D2698" s="2"/>
      </tp>
      <tp t="s">
        <v>#N/A N/A</v>
        <stp/>
        <stp>BDP|2120354899059976865</stp>
        <tr r="B1339" s="2"/>
      </tp>
      <tp t="s">
        <v>#N/A N/A</v>
        <stp/>
        <stp>BDP|2579086062225479893</stp>
        <tr r="G4363" s="2"/>
      </tp>
      <tp t="s">
        <v>#N/A N/A</v>
        <stp/>
        <stp>BDP|4016693064464992968</stp>
        <tr r="G2764" s="2"/>
      </tp>
      <tp t="s">
        <v>#N/A N/A</v>
        <stp/>
        <stp>BDP|2569912531015241457</stp>
        <tr r="C199" s="2"/>
      </tp>
      <tp t="s">
        <v>#N/A N/A</v>
        <stp/>
        <stp>BDP|5125660164195033917</stp>
        <tr r="H1051" s="2"/>
      </tp>
      <tp t="s">
        <v>#N/A N/A</v>
        <stp/>
        <stp>BDP|6013878341807579411</stp>
        <tr r="I505" s="2"/>
      </tp>
      <tp t="s">
        <v>#N/A N/A</v>
        <stp/>
        <stp>BDP|4473699809119700218</stp>
        <tr r="G2362" s="2"/>
      </tp>
      <tp t="s">
        <v>#N/A N/A</v>
        <stp/>
        <stp>BDP|4166876704630711571</stp>
        <tr r="G2138" s="2"/>
      </tp>
      <tp t="s">
        <v>#N/A N/A</v>
        <stp/>
        <stp>BDP|3407850060295230117</stp>
        <tr r="I4369" s="2"/>
      </tp>
      <tp t="s">
        <v>#N/A N/A</v>
        <stp/>
        <stp>BDP|8700134408984892462</stp>
        <tr r="B2833" s="2"/>
      </tp>
      <tp t="s">
        <v>#N/A N/A</v>
        <stp/>
        <stp>BDP|4162606722808095108</stp>
        <tr r="G4057" s="2"/>
      </tp>
      <tp t="s">
        <v>#N/A N/A</v>
        <stp/>
        <stp>BDP|6581752593953632269</stp>
        <tr r="B3534" s="2"/>
      </tp>
      <tp t="s">
        <v>#N/A N/A</v>
        <stp/>
        <stp>BDP|8427102231231428229</stp>
        <tr r="B4043" s="2"/>
      </tp>
      <tp t="s">
        <v>#N/A N/A</v>
        <stp/>
        <stp>BDP|5354849814110554551</stp>
        <tr r="H3523" s="2"/>
      </tp>
      <tp t="s">
        <v>#N/A N/A</v>
        <stp/>
        <stp>BDP|9447348058752947427</stp>
        <tr r="B3657" s="2"/>
      </tp>
      <tp t="s">
        <v>#N/A N/A</v>
        <stp/>
        <stp>BDP|5116066043111087976</stp>
        <tr r="C4798" s="2"/>
      </tp>
      <tp t="s">
        <v>#N/A N/A</v>
        <stp/>
        <stp>BDP|8178099868661686658</stp>
        <tr r="G2243" s="2"/>
      </tp>
      <tp t="s">
        <v>#N/A N/A</v>
        <stp/>
        <stp>BDP|1020923435252629029</stp>
        <tr r="G2789" s="2"/>
      </tp>
      <tp t="s">
        <v>#N/A N/A</v>
        <stp/>
        <stp>BDP|3858794601469680455</stp>
        <tr r="G915" s="2"/>
      </tp>
      <tp t="s">
        <v>#N/A N/A</v>
        <stp/>
        <stp>BDP|7452406664289416578</stp>
        <tr r="F4816" s="2"/>
      </tp>
      <tp t="s">
        <v>#N/A N/A</v>
        <stp/>
        <stp>BDP|8927147119959672810</stp>
        <tr r="I3686" s="2"/>
      </tp>
      <tp t="s">
        <v>#N/A N/A</v>
        <stp/>
        <stp>BDP|5500405058785600889</stp>
        <tr r="F3178" s="2"/>
      </tp>
      <tp t="s">
        <v>#N/A N/A</v>
        <stp/>
        <stp>BDP|9464069563712528471</stp>
        <tr r="F3359" s="2"/>
      </tp>
      <tp t="s">
        <v>#N/A N/A</v>
        <stp/>
        <stp>BDP|3026617682835119117</stp>
        <tr r="F3865" s="2"/>
      </tp>
      <tp t="s">
        <v>#N/A N/A</v>
        <stp/>
        <stp>BDP|2205111081612191004</stp>
        <tr r="C692" s="2"/>
      </tp>
      <tp t="s">
        <v>#N/A N/A</v>
        <stp/>
        <stp>BDP|8433459773123673176</stp>
        <tr r="F3265" s="2"/>
      </tp>
      <tp t="s">
        <v>#N/A N/A</v>
        <stp/>
        <stp>BDP|1687206689664810643</stp>
        <tr r="B2146" s="2"/>
      </tp>
      <tp t="s">
        <v>#N/A N/A</v>
        <stp/>
        <stp>BDP|1055558587025322025</stp>
        <tr r="C1649" s="2"/>
      </tp>
      <tp t="s">
        <v>#N/A N/A</v>
        <stp/>
        <stp>BDP|2688426045453444864</stp>
        <tr r="G1117" s="2"/>
      </tp>
      <tp t="s">
        <v>#N/A N/A</v>
        <stp/>
        <stp>BDP|3787358541654186913</stp>
        <tr r="G3807" s="2"/>
      </tp>
      <tp t="s">
        <v>#N/A N/A</v>
        <stp/>
        <stp>BDP|8779377159870940731</stp>
        <tr r="G2288" s="2"/>
      </tp>
      <tp t="s">
        <v>#N/A N/A</v>
        <stp/>
        <stp>BDP|9891380862540354524</stp>
        <tr r="B246" s="2"/>
      </tp>
      <tp t="s">
        <v>#N/A N/A</v>
        <stp/>
        <stp>BDP|1297036238699958230</stp>
        <tr r="A2995" s="2"/>
      </tp>
      <tp t="s">
        <v>#N/A N/A</v>
        <stp/>
        <stp>BDP|5249482397137635688</stp>
        <tr r="C2409" s="2"/>
      </tp>
      <tp t="s">
        <v>#N/A N/A</v>
        <stp/>
        <stp>BDP|2980165421391573985</stp>
        <tr r="I4782" s="2"/>
      </tp>
      <tp t="s">
        <v>#N/A N/A</v>
        <stp/>
        <stp>BDP|5301515485557495606</stp>
        <tr r="H3429" s="2"/>
      </tp>
      <tp t="s">
        <v>#N/A N/A</v>
        <stp/>
        <stp>BDP|4282577092208335971</stp>
        <tr r="F1455" s="2"/>
      </tp>
      <tp t="s">
        <v>#N/A N/A</v>
        <stp/>
        <stp>BDP|7731359413239371510</stp>
        <tr r="F3621" s="2"/>
      </tp>
      <tp t="s">
        <v>#N/A N/A</v>
        <stp/>
        <stp>BDP|8937042621890744382</stp>
        <tr r="A4048" s="2"/>
      </tp>
      <tp t="s">
        <v>#N/A N/A</v>
        <stp/>
        <stp>BDP|7146412712982601970</stp>
        <tr r="B3503" s="2"/>
      </tp>
      <tp t="s">
        <v>#N/A N/A</v>
        <stp/>
        <stp>BDP|8009246324959274817</stp>
        <tr r="I2343" s="2"/>
      </tp>
      <tp t="s">
        <v>#N/A N/A</v>
        <stp/>
        <stp>BDP|3007615164748783214</stp>
        <tr r="B2114" s="2"/>
      </tp>
      <tp t="s">
        <v>#N/A N/A</v>
        <stp/>
        <stp>BDP|9075243408747796584</stp>
        <tr r="G4196" s="2"/>
      </tp>
      <tp t="s">
        <v>#N/A N/A</v>
        <stp/>
        <stp>BDP|6360071621878468527</stp>
        <tr r="C3858" s="2"/>
      </tp>
      <tp t="s">
        <v>#N/A N/A</v>
        <stp/>
        <stp>BDP|5090050895575305002</stp>
        <tr r="F4568" s="2"/>
      </tp>
      <tp t="s">
        <v>#N/A N/A</v>
        <stp/>
        <stp>BDP|5315192440691008894</stp>
        <tr r="B2050" s="2"/>
      </tp>
      <tp t="s">
        <v>#N/A N/A</v>
        <stp/>
        <stp>BDP|6549993338116509327</stp>
        <tr r="H3304" s="2"/>
      </tp>
      <tp t="s">
        <v>#N/A N/A</v>
        <stp/>
        <stp>BDP|8790745348654922618</stp>
        <tr r="A3308" s="2"/>
      </tp>
      <tp t="s">
        <v>#N/A N/A</v>
        <stp/>
        <stp>BDP|2642800341305627225</stp>
        <tr r="H520" s="2"/>
      </tp>
      <tp t="s">
        <v>#N/A N/A</v>
        <stp/>
        <stp>BDP|4409361618107858815</stp>
        <tr r="H453" s="2"/>
      </tp>
      <tp t="s">
        <v>#N/A N/A</v>
        <stp/>
        <stp>BDP|8114725274626606722</stp>
        <tr r="C2934" s="2"/>
      </tp>
      <tp t="s">
        <v>#N/A N/A</v>
        <stp/>
        <stp>BDP|7727844310507238020</stp>
        <tr r="I728" s="2"/>
      </tp>
      <tp t="s">
        <v>#N/A N/A</v>
        <stp/>
        <stp>BDP|9977525785799934446</stp>
        <tr r="B4291" s="2"/>
      </tp>
      <tp t="s">
        <v>#N/A N/A</v>
        <stp/>
        <stp>BDP|8221028370803667557</stp>
        <tr r="G2328" s="2"/>
      </tp>
      <tp t="s">
        <v>#N/A N/A</v>
        <stp/>
        <stp>BDP|5523959652123890390</stp>
        <tr r="C759" s="2"/>
      </tp>
      <tp t="s">
        <v>#N/A N/A</v>
        <stp/>
        <stp>BDP|9772727404782249500</stp>
        <tr r="G967" s="2"/>
      </tp>
      <tp t="s">
        <v>#N/A N/A</v>
        <stp/>
        <stp>BDP|6879248682993826657</stp>
        <tr r="G3123" s="2"/>
      </tp>
      <tp t="s">
        <v>#N/A N/A</v>
        <stp/>
        <stp>BDP|9105956384915496475</stp>
        <tr r="B2362" s="2"/>
      </tp>
      <tp t="s">
        <v>#N/A N/A</v>
        <stp/>
        <stp>BDP|9500333154486828096</stp>
        <tr r="D2749" s="2"/>
      </tp>
      <tp t="s">
        <v>#N/A N/A</v>
        <stp/>
        <stp>BDP|7318103575279715122</stp>
        <tr r="F2739" s="2"/>
      </tp>
      <tp t="s">
        <v>#N/A N/A</v>
        <stp/>
        <stp>BDP|8477135413199273857</stp>
        <tr r="B651" s="2"/>
      </tp>
      <tp t="s">
        <v>#N/A N/A</v>
        <stp/>
        <stp>BDP|3587837931380262168</stp>
        <tr r="G3395" s="2"/>
      </tp>
      <tp t="s">
        <v>#N/A N/A</v>
        <stp/>
        <stp>BDP|3331404607228533624</stp>
        <tr r="C3077" s="2"/>
      </tp>
      <tp t="s">
        <v>#N/A N/A</v>
        <stp/>
        <stp>BDP|2311782369449069313</stp>
        <tr r="I410" s="2"/>
      </tp>
      <tp t="s">
        <v>#N/A N/A</v>
        <stp/>
        <stp>BDP|2938293199922290282</stp>
        <tr r="I1968" s="2"/>
      </tp>
      <tp t="s">
        <v>#N/A N/A</v>
        <stp/>
        <stp>BDP|8883003674452687492</stp>
        <tr r="I4802" s="2"/>
      </tp>
      <tp t="s">
        <v>#N/A N/A</v>
        <stp/>
        <stp>BDP|8026605191617347910</stp>
        <tr r="I4823" s="2"/>
      </tp>
      <tp t="s">
        <v>#N/A N/A</v>
        <stp/>
        <stp>BDP|9192000390969445061</stp>
        <tr r="B4709" s="2"/>
      </tp>
      <tp t="s">
        <v>#N/A N/A</v>
        <stp/>
        <stp>BDP|6036366586367036330</stp>
        <tr r="F3815" s="2"/>
      </tp>
      <tp t="s">
        <v>#N/A N/A</v>
        <stp/>
        <stp>BDP|1290677903328317669</stp>
        <tr r="H3111" s="2"/>
      </tp>
      <tp t="s">
        <v>#N/A N/A</v>
        <stp/>
        <stp>BDP|2467781832236523982</stp>
        <tr r="D3482" s="2"/>
      </tp>
      <tp t="s">
        <v>#N/A N/A</v>
        <stp/>
        <stp>BDP|2622091309412069954</stp>
        <tr r="C3812" s="2"/>
      </tp>
      <tp t="s">
        <v>#N/A N/A</v>
        <stp/>
        <stp>BDP|5607375372550348831</stp>
        <tr r="A4921" s="2"/>
      </tp>
      <tp t="s">
        <v>#N/A N/A</v>
        <stp/>
        <stp>BDP|8672733670470367152</stp>
        <tr r="A836" s="2"/>
      </tp>
      <tp t="s">
        <v>#N/A N/A</v>
        <stp/>
        <stp>BDP|8193359714510093338</stp>
        <tr r="F1160" s="2"/>
      </tp>
      <tp t="s">
        <v>#N/A N/A</v>
        <stp/>
        <stp>BDP|2076329094461772029</stp>
        <tr r="D4704" s="2"/>
      </tp>
      <tp t="s">
        <v>#N/A N/A</v>
        <stp/>
        <stp>BDP|3888996492623792975</stp>
        <tr r="A2448" s="2"/>
      </tp>
      <tp t="s">
        <v>#N/A N/A</v>
        <stp/>
        <stp>BDP|6558773150908322529</stp>
        <tr r="A4095" s="2"/>
      </tp>
      <tp t="s">
        <v>#N/A N/A</v>
        <stp/>
        <stp>BDP|1215717494123226562</stp>
        <tr r="H3804" s="2"/>
      </tp>
      <tp t="s">
        <v>#N/A N/A</v>
        <stp/>
        <stp>BDP|2702973011177679442</stp>
        <tr r="D716" s="2"/>
      </tp>
      <tp t="s">
        <v>#N/A N/A</v>
        <stp/>
        <stp>BDP|9101864224793610965</stp>
        <tr r="B3457" s="2"/>
      </tp>
      <tp t="s">
        <v>#N/A N/A</v>
        <stp/>
        <stp>BDP|2907999476765617039</stp>
        <tr r="H3002" s="2"/>
      </tp>
      <tp t="s">
        <v>#N/A N/A</v>
        <stp/>
        <stp>BDP|5576523625409712267</stp>
        <tr r="C2061" s="2"/>
      </tp>
      <tp t="s">
        <v>#N/A N/A</v>
        <stp/>
        <stp>BDP|3389965403953257077</stp>
        <tr r="C1032" s="2"/>
      </tp>
      <tp t="s">
        <v>#N/A N/A</v>
        <stp/>
        <stp>BDP|3173403186077783105</stp>
        <tr r="C4308" s="2"/>
      </tp>
      <tp t="s">
        <v>#N/A N/A</v>
        <stp/>
        <stp>BDP|2139218254445743932</stp>
        <tr r="H4132" s="2"/>
      </tp>
      <tp t="s">
        <v>#N/A N/A</v>
        <stp/>
        <stp>BDP|5786173706699154471</stp>
        <tr r="C931" s="2"/>
      </tp>
      <tp t="s">
        <v>#N/A N/A</v>
        <stp/>
        <stp>BDP|1438505485116763368</stp>
        <tr r="A3528" s="2"/>
      </tp>
      <tp t="s">
        <v>#N/A N/A</v>
        <stp/>
        <stp>BDP|1465600544459121318</stp>
        <tr r="C3466" s="2"/>
      </tp>
      <tp t="s">
        <v>#N/A N/A</v>
        <stp/>
        <stp>BDP|6037483266825780898</stp>
        <tr r="H1130" s="2"/>
      </tp>
      <tp t="s">
        <v>#N/A N/A</v>
        <stp/>
        <stp>BDP|5423639450317526822</stp>
        <tr r="B3405" s="2"/>
      </tp>
      <tp t="s">
        <v>#N/A N/A</v>
        <stp/>
        <stp>BDP|9711034623103055179</stp>
        <tr r="A4475" s="2"/>
      </tp>
      <tp t="s">
        <v>#N/A N/A</v>
        <stp/>
        <stp>BDP|1257907056855311173</stp>
        <tr r="G3669" s="2"/>
      </tp>
      <tp t="s">
        <v>#N/A N/A</v>
        <stp/>
        <stp>BDP|2523940096749544229</stp>
        <tr r="I3694" s="2"/>
      </tp>
      <tp t="s">
        <v>#N/A N/A</v>
        <stp/>
        <stp>BDP|1626938913414607406</stp>
        <tr r="H1576" s="2"/>
      </tp>
      <tp t="s">
        <v>#N/A N/A</v>
        <stp/>
        <stp>BDP|6169801214922470411</stp>
        <tr r="I2376" s="2"/>
      </tp>
      <tp t="s">
        <v>#N/A N/A</v>
        <stp/>
        <stp>BDP|1042988246395633087</stp>
        <tr r="B1436" s="2"/>
      </tp>
      <tp t="s">
        <v>#N/A N/A</v>
        <stp/>
        <stp>BDP|5954307843822899929</stp>
        <tr r="C164" s="2"/>
      </tp>
      <tp t="s">
        <v>#N/A N/A</v>
        <stp/>
        <stp>BDP|6964255746189897021</stp>
        <tr r="B2808" s="2"/>
      </tp>
      <tp t="s">
        <v>#N/A N/A</v>
        <stp/>
        <stp>BDP|4776462676367680913</stp>
        <tr r="G3601" s="2"/>
      </tp>
      <tp t="s">
        <v>#N/A N/A</v>
        <stp/>
        <stp>BDP|4645025458740834848</stp>
        <tr r="C3555" s="2"/>
      </tp>
      <tp t="s">
        <v>#N/A N/A</v>
        <stp/>
        <stp>BDP|3545250385411544109</stp>
        <tr r="A3177" s="2"/>
      </tp>
      <tp t="s">
        <v>#N/A N/A</v>
        <stp/>
        <stp>BDP|5144394229008045519</stp>
        <tr r="A658" s="2"/>
      </tp>
      <tp t="s">
        <v>#N/A N/A</v>
        <stp/>
        <stp>BDP|7243655500609238159</stp>
        <tr r="I289" s="2"/>
      </tp>
      <tp t="s">
        <v>#N/A N/A</v>
        <stp/>
        <stp>BDP|8018298318174977682</stp>
        <tr r="D3969" s="2"/>
      </tp>
      <tp t="s">
        <v>#N/A N/A</v>
        <stp/>
        <stp>BDP|3343337064956673921</stp>
        <tr r="G1805" s="2"/>
      </tp>
      <tp t="s">
        <v>#N/A N/A</v>
        <stp/>
        <stp>BDP|3175508642839596262</stp>
        <tr r="A2057" s="2"/>
      </tp>
      <tp t="s">
        <v>#N/A N/A</v>
        <stp/>
        <stp>BDP|9165670457322084111</stp>
        <tr r="D2133" s="2"/>
      </tp>
      <tp t="s">
        <v>#N/A N/A</v>
        <stp/>
        <stp>BDP|2904495785942688538</stp>
        <tr r="G1825" s="2"/>
      </tp>
      <tp t="s">
        <v>#N/A N/A</v>
        <stp/>
        <stp>BDP|3978828786443573980</stp>
        <tr r="B3684" s="2"/>
      </tp>
      <tp t="s">
        <v>#N/A N/A</v>
        <stp/>
        <stp>BDP|8163400263684281704</stp>
        <tr r="D1122" s="2"/>
      </tp>
      <tp t="s">
        <v>#N/A N/A</v>
        <stp/>
        <stp>BDP|5394275827305035930</stp>
        <tr r="B271" s="2"/>
      </tp>
      <tp t="s">
        <v>#N/A N/A</v>
        <stp/>
        <stp>BDP|3975076413918935344</stp>
        <tr r="B2177" s="2"/>
      </tp>
      <tp t="s">
        <v>#N/A N/A</v>
        <stp/>
        <stp>BDP|1629816611501069068</stp>
        <tr r="C3259" s="2"/>
      </tp>
      <tp t="s">
        <v>#N/A N/A</v>
        <stp/>
        <stp>BDP|4081272205809785655</stp>
        <tr r="B2572" s="2"/>
      </tp>
      <tp t="s">
        <v>#N/A N/A</v>
        <stp/>
        <stp>BDP|3974009219052422943</stp>
        <tr r="A812" s="2"/>
      </tp>
      <tp t="s">
        <v>#N/A N/A</v>
        <stp/>
        <stp>BDP|9872212230200001198</stp>
        <tr r="C334" s="2"/>
      </tp>
      <tp t="s">
        <v>#N/A N/A</v>
        <stp/>
        <stp>BDP|6883283091631574544</stp>
        <tr r="B2271" s="2"/>
      </tp>
      <tp t="s">
        <v>#N/A N/A</v>
        <stp/>
        <stp>BDP|4897196190025985089</stp>
        <tr r="C268" s="2"/>
      </tp>
      <tp t="s">
        <v>#N/A N/A</v>
        <stp/>
        <stp>BDP|6049108440043011903</stp>
        <tr r="I3066" s="2"/>
      </tp>
      <tp t="s">
        <v>#N/A N/A</v>
        <stp/>
        <stp>BDP|2352576291544602337</stp>
        <tr r="B1746" s="2"/>
      </tp>
      <tp t="s">
        <v>#N/A N/A</v>
        <stp/>
        <stp>BDP|3125439351173027839</stp>
        <tr r="H891" s="2"/>
      </tp>
      <tp t="s">
        <v>#N/A N/A</v>
        <stp/>
        <stp>BDP|5943046585740020486</stp>
        <tr r="G4169" s="2"/>
      </tp>
      <tp t="s">
        <v>#N/A N/A</v>
        <stp/>
        <stp>BDP|6528910820372388678</stp>
        <tr r="G423" s="2"/>
      </tp>
      <tp t="s">
        <v>#N/A N/A</v>
        <stp/>
        <stp>BDP|9110537915563600712</stp>
        <tr r="A202" s="2"/>
      </tp>
      <tp t="s">
        <v>#N/A N/A</v>
        <stp/>
        <stp>BDP|4438947500032325637</stp>
        <tr r="F1308" s="2"/>
      </tp>
      <tp t="s">
        <v>#N/A N/A</v>
        <stp/>
        <stp>BDP|7765301114669189528</stp>
        <tr r="H2004" s="2"/>
      </tp>
      <tp t="s">
        <v>#N/A N/A</v>
        <stp/>
        <stp>BDP|1501319366929164436</stp>
        <tr r="B1511" s="2"/>
      </tp>
      <tp t="s">
        <v>#N/A N/A</v>
        <stp/>
        <stp>BDP|8309230097352759806</stp>
        <tr r="B4569" s="2"/>
      </tp>
      <tp t="s">
        <v>#N/A N/A</v>
        <stp/>
        <stp>BDP|2445891719735107752</stp>
        <tr r="D3168" s="2"/>
      </tp>
      <tp t="s">
        <v>#N/A N/A</v>
        <stp/>
        <stp>BDP|7150723303038410147</stp>
        <tr r="F3954" s="2"/>
      </tp>
      <tp t="s">
        <v>#N/A N/A</v>
        <stp/>
        <stp>BDP|4771891951993960369</stp>
        <tr r="H2704" s="2"/>
      </tp>
      <tp t="s">
        <v>#N/A N/A</v>
        <stp/>
        <stp>BDP|1500344211572577856</stp>
        <tr r="G1157" s="2"/>
      </tp>
      <tp t="s">
        <v>#N/A N/A</v>
        <stp/>
        <stp>BDP|9057043400176716636</stp>
        <tr r="D4500" s="2"/>
      </tp>
      <tp t="s">
        <v>#N/A N/A</v>
        <stp/>
        <stp>BDP|9371627637510278542</stp>
        <tr r="C2556" s="2"/>
      </tp>
      <tp t="s">
        <v>#N/A N/A</v>
        <stp/>
        <stp>BDP|4897858259176757636</stp>
        <tr r="D733" s="2"/>
      </tp>
      <tp t="s">
        <v>#N/A N/A</v>
        <stp/>
        <stp>BDP|2473036928291704880</stp>
        <tr r="G59" s="2"/>
      </tp>
      <tp t="s">
        <v>#N/A N/A</v>
        <stp/>
        <stp>BDP|5409871581599714556</stp>
        <tr r="D1100" s="2"/>
      </tp>
      <tp t="s">
        <v>#N/A N/A</v>
        <stp/>
        <stp>BDP|2493007100963247860</stp>
        <tr r="D4119" s="2"/>
      </tp>
      <tp t="s">
        <v>#N/A N/A</v>
        <stp/>
        <stp>BDP|9415400326056339011</stp>
        <tr r="D65" s="2"/>
      </tp>
      <tp t="s">
        <v>#N/A N/A</v>
        <stp/>
        <stp>BDP|3693474185116385076</stp>
        <tr r="H4995" s="2"/>
      </tp>
      <tp t="s">
        <v>#N/A N/A</v>
        <stp/>
        <stp>BDP|5449293600598581688</stp>
        <tr r="G784" s="2"/>
      </tp>
      <tp t="s">
        <v>#N/A N/A</v>
        <stp/>
        <stp>BDP|7618334897366346210</stp>
        <tr r="G4188" s="2"/>
      </tp>
      <tp t="s">
        <v>#N/A N/A</v>
        <stp/>
        <stp>BDP|1038274867579956595</stp>
        <tr r="H3683" s="2"/>
      </tp>
      <tp t="s">
        <v>#N/A N/A</v>
        <stp/>
        <stp>BDP|9433804782512088268</stp>
        <tr r="I3585" s="2"/>
      </tp>
      <tp t="s">
        <v>#N/A N/A</v>
        <stp/>
        <stp>BDP|9435283044280175697</stp>
        <tr r="I2038" s="2"/>
      </tp>
      <tp t="s">
        <v>#N/A N/A</v>
        <stp/>
        <stp>BDP|7849327905059721484</stp>
        <tr r="I1823" s="2"/>
      </tp>
      <tp t="s">
        <v>#N/A N/A</v>
        <stp/>
        <stp>BDP|8066169914675548478</stp>
        <tr r="H435" s="2"/>
      </tp>
      <tp t="s">
        <v>#N/A N/A</v>
        <stp/>
        <stp>BDP|8329840502380458911</stp>
        <tr r="G51" s="2"/>
      </tp>
      <tp t="s">
        <v>#N/A N/A</v>
        <stp/>
        <stp>BDP|1508873502266165612</stp>
        <tr r="B3686" s="2"/>
      </tp>
      <tp t="s">
        <v>#N/A N/A</v>
        <stp/>
        <stp>BDP|9574190653013763785</stp>
        <tr r="B2782" s="2"/>
      </tp>
      <tp t="s">
        <v>#N/A N/A</v>
        <stp/>
        <stp>BDP|7381325457840552834</stp>
        <tr r="D4458" s="2"/>
      </tp>
      <tp t="s">
        <v>#N/A N/A</v>
        <stp/>
        <stp>BDP|2183605410678578448</stp>
        <tr r="A3465" s="2"/>
      </tp>
      <tp t="s">
        <v>#N/A N/A</v>
        <stp/>
        <stp>BDP|5259731414988021258</stp>
        <tr r="D2846" s="2"/>
      </tp>
      <tp t="s">
        <v>#N/A N/A</v>
        <stp/>
        <stp>BDP|3269515002627358827</stp>
        <tr r="B3091" s="2"/>
      </tp>
      <tp t="s">
        <v>#N/A N/A</v>
        <stp/>
        <stp>BDP|8117731859236352580</stp>
        <tr r="B4118" s="2"/>
      </tp>
      <tp t="s">
        <v>#N/A N/A</v>
        <stp/>
        <stp>BDP|9067366051485635310</stp>
        <tr r="H1594" s="2"/>
      </tp>
      <tp t="s">
        <v>#N/A N/A</v>
        <stp/>
        <stp>BDP|1067959711883299368</stp>
        <tr r="D3461" s="2"/>
      </tp>
      <tp t="s">
        <v>#N/A N/A</v>
        <stp/>
        <stp>BDP|8257352716015770666</stp>
        <tr r="G21" s="2"/>
      </tp>
      <tp t="s">
        <v>#N/A N/A</v>
        <stp/>
        <stp>BDP|8642446032095537357</stp>
        <tr r="B2494" s="2"/>
      </tp>
      <tp t="s">
        <v>#N/A N/A</v>
        <stp/>
        <stp>BDP|8937568112006454387</stp>
        <tr r="H206" s="2"/>
      </tp>
      <tp t="s">
        <v>#N/A N/A</v>
        <stp/>
        <stp>BDP|1318371430360227878</stp>
        <tr r="F3866" s="2"/>
      </tp>
      <tp t="s">
        <v>#N/A N/A</v>
        <stp/>
        <stp>BDP|4819788377245310853</stp>
        <tr r="F4565" s="2"/>
      </tp>
      <tp t="s">
        <v>#N/A N/A</v>
        <stp/>
        <stp>BDP|2649226704418084117</stp>
        <tr r="B1316" s="2"/>
      </tp>
      <tp t="s">
        <v>#N/A N/A</v>
        <stp/>
        <stp>BDP|1514908821480622337</stp>
        <tr r="G311" s="2"/>
      </tp>
      <tp t="s">
        <v>#N/A N/A</v>
        <stp/>
        <stp>BDP|2631675211968705467</stp>
        <tr r="I4080" s="2"/>
      </tp>
      <tp t="s">
        <v>#N/A N/A</v>
        <stp/>
        <stp>BDP|3581240391739001817</stp>
        <tr r="G2559" s="2"/>
      </tp>
      <tp t="s">
        <v>#N/A N/A</v>
        <stp/>
        <stp>BDP|5510595292720731088</stp>
        <tr r="D2549" s="2"/>
      </tp>
      <tp t="s">
        <v>#N/A N/A</v>
        <stp/>
        <stp>BDP|7207734584855574413</stp>
        <tr r="A3662" s="2"/>
      </tp>
      <tp t="s">
        <v>#N/A N/A</v>
        <stp/>
        <stp>BDP|4359499685659971875</stp>
        <tr r="H2464" s="2"/>
      </tp>
      <tp t="s">
        <v>#N/A N/A</v>
        <stp/>
        <stp>BDP|5292442926962680871</stp>
        <tr r="G2994" s="2"/>
      </tp>
      <tp t="s">
        <v>#N/A N/A</v>
        <stp/>
        <stp>BDP|3167562234429299502</stp>
        <tr r="B1773" s="2"/>
      </tp>
      <tp t="s">
        <v>#N/A N/A</v>
        <stp/>
        <stp>BDP|6164312362882527865</stp>
        <tr r="I4413" s="2"/>
      </tp>
      <tp t="s">
        <v>#N/A N/A</v>
        <stp/>
        <stp>BDP|3403630253588080156</stp>
        <tr r="C1946" s="2"/>
      </tp>
      <tp t="s">
        <v>#N/A N/A</v>
        <stp/>
        <stp>BDP|9885457539432515500</stp>
        <tr r="B3441" s="2"/>
      </tp>
      <tp t="s">
        <v>#N/A N/A</v>
        <stp/>
        <stp>BDP|6705525771278398564</stp>
        <tr r="B4506" s="2"/>
      </tp>
      <tp t="s">
        <v>#N/A N/A</v>
        <stp/>
        <stp>BDP|2017922322997005710</stp>
        <tr r="A4124" s="2"/>
      </tp>
      <tp t="s">
        <v>#N/A N/A</v>
        <stp/>
        <stp>BDP|6201132287215428338</stp>
        <tr r="B2323" s="2"/>
      </tp>
      <tp t="s">
        <v>#N/A N/A</v>
        <stp/>
        <stp>BDP|9850931334663871968</stp>
        <tr r="F242" s="2"/>
      </tp>
      <tp t="s">
        <v>#N/A N/A</v>
        <stp/>
        <stp>BDP|8591420110276251243</stp>
        <tr r="D1580" s="2"/>
      </tp>
      <tp t="s">
        <v>#N/A N/A</v>
        <stp/>
        <stp>BDP|8997235501727902436</stp>
        <tr r="H2660" s="2"/>
      </tp>
      <tp t="s">
        <v>#N/A N/A</v>
        <stp/>
        <stp>BDP|6686074197283333540</stp>
        <tr r="B2254" s="2"/>
      </tp>
      <tp t="s">
        <v>#N/A N/A</v>
        <stp/>
        <stp>BDP|3579638625628617645</stp>
        <tr r="G527" s="2"/>
      </tp>
      <tp t="s">
        <v>#N/A N/A</v>
        <stp/>
        <stp>BDP|5337059047031451943</stp>
        <tr r="B4639" s="2"/>
      </tp>
      <tp t="s">
        <v>#N/A N/A</v>
        <stp/>
        <stp>BDP|3220519995286527027</stp>
        <tr r="C150" s="2"/>
      </tp>
      <tp t="s">
        <v>#N/A N/A</v>
        <stp/>
        <stp>BDP|9044378476634724074</stp>
        <tr r="D442" s="2"/>
      </tp>
      <tp t="s">
        <v>#N/A N/A</v>
        <stp/>
        <stp>BDP|4673107494577191220</stp>
        <tr r="A1091" s="2"/>
      </tp>
      <tp t="s">
        <v>#N/A N/A</v>
        <stp/>
        <stp>BDP|1188780108638025700</stp>
        <tr r="F4103" s="2"/>
      </tp>
      <tp t="s">
        <v>#N/A N/A</v>
        <stp/>
        <stp>BDP|9423157218406949619</stp>
        <tr r="F464" s="2"/>
      </tp>
      <tp t="s">
        <v>#N/A N/A</v>
        <stp/>
        <stp>BDP|7837280063852009827</stp>
        <tr r="I3475" s="2"/>
      </tp>
      <tp t="s">
        <v>#N/A N/A</v>
        <stp/>
        <stp>BDP|1554449043578266010</stp>
        <tr r="F216" s="2"/>
      </tp>
      <tp t="s">
        <v>#N/A N/A</v>
        <stp/>
        <stp>BDP|1566911419960804041</stp>
        <tr r="A1491" s="2"/>
      </tp>
      <tp t="s">
        <v>#N/A N/A</v>
        <stp/>
        <stp>BDP|8467274491829271312</stp>
        <tr r="I3298" s="2"/>
      </tp>
      <tp t="s">
        <v>#N/A N/A</v>
        <stp/>
        <stp>BDP|1087961289550727990</stp>
        <tr r="F1459" s="2"/>
      </tp>
      <tp t="s">
        <v>#N/A N/A</v>
        <stp/>
        <stp>BDP|6824913865936818657</stp>
        <tr r="I3864" s="2"/>
      </tp>
      <tp t="s">
        <v>#N/A N/A</v>
        <stp/>
        <stp>BDP|2373573387230112639</stp>
        <tr r="A3983" s="2"/>
      </tp>
      <tp t="s">
        <v>#N/A N/A</v>
        <stp/>
        <stp>BDP|8298124416984288552</stp>
        <tr r="F2797" s="2"/>
      </tp>
      <tp t="s">
        <v>#N/A N/A</v>
        <stp/>
        <stp>BDP|9196146537535596762</stp>
        <tr r="B1713" s="2"/>
      </tp>
      <tp t="s">
        <v>#N/A N/A</v>
        <stp/>
        <stp>BDP|1345495599007530273</stp>
        <tr r="B1021" s="2"/>
      </tp>
      <tp t="s">
        <v>#N/A N/A</v>
        <stp/>
        <stp>BDP|9031037320117502574</stp>
        <tr r="C483" s="2"/>
      </tp>
      <tp t="s">
        <v>#N/A N/A</v>
        <stp/>
        <stp>BDP|3303911968632871731</stp>
        <tr r="F4046" s="2"/>
      </tp>
      <tp t="s">
        <v>#N/A N/A</v>
        <stp/>
        <stp>BDP|7762641880685319511</stp>
        <tr r="G302" s="2"/>
      </tp>
      <tp t="s">
        <v>#N/A N/A</v>
        <stp/>
        <stp>BDP|3745624555659215037</stp>
        <tr r="B2570" s="2"/>
      </tp>
      <tp t="s">
        <v>#N/A N/A</v>
        <stp/>
        <stp>BDP|7279671699314961543</stp>
        <tr r="G1620" s="2"/>
      </tp>
      <tp t="s">
        <v>#N/A N/A</v>
        <stp/>
        <stp>BDP|8225147186320353820</stp>
        <tr r="G4247" s="2"/>
      </tp>
      <tp t="s">
        <v>#N/A N/A</v>
        <stp/>
        <stp>BDP|4417743036039453034</stp>
        <tr r="H2598" s="2"/>
      </tp>
      <tp t="s">
        <v>#N/A N/A</v>
        <stp/>
        <stp>BDP|5400305725425215823</stp>
        <tr r="G3373" s="2"/>
      </tp>
      <tp t="s">
        <v>#N/A N/A</v>
        <stp/>
        <stp>BDP|7368911830776238210</stp>
        <tr r="I2608" s="2"/>
      </tp>
      <tp t="s">
        <v>#N/A N/A</v>
        <stp/>
        <stp>BDP|9435471836782301577</stp>
        <tr r="F4342" s="2"/>
      </tp>
      <tp t="s">
        <v>#N/A N/A</v>
        <stp/>
        <stp>BDP|1631140689010933132</stp>
        <tr r="D4899" s="2"/>
      </tp>
      <tp t="s">
        <v>#N/A N/A</v>
        <stp/>
        <stp>BDP|5409660112592060911</stp>
        <tr r="A4078" s="2"/>
      </tp>
      <tp t="s">
        <v>#N/A N/A</v>
        <stp/>
        <stp>BDP|9791735403936477120</stp>
        <tr r="C4655" s="2"/>
      </tp>
      <tp t="s">
        <v>#N/A N/A</v>
        <stp/>
        <stp>BDP|5617904283645372876</stp>
        <tr r="D3539" s="2"/>
      </tp>
      <tp t="s">
        <v>#N/A N/A</v>
        <stp/>
        <stp>BDP|9763594529701225645</stp>
        <tr r="A1155" s="2"/>
      </tp>
      <tp t="s">
        <v>#N/A N/A</v>
        <stp/>
        <stp>BDP|5308663798966584590</stp>
        <tr r="H4939" s="2"/>
      </tp>
      <tp t="s">
        <v>#N/A N/A</v>
        <stp/>
        <stp>BDP|9717417136535628273</stp>
        <tr r="F4798" s="2"/>
      </tp>
      <tp t="s">
        <v>#N/A N/A</v>
        <stp/>
        <stp>BDP|7184522893867572547</stp>
        <tr r="A3385" s="2"/>
      </tp>
      <tp t="s">
        <v>#N/A N/A</v>
        <stp/>
        <stp>BDP|8083406125830458701</stp>
        <tr r="I961" s="2"/>
      </tp>
      <tp t="s">
        <v>#N/A N/A</v>
        <stp/>
        <stp>BDP|2393371141145585914</stp>
        <tr r="A1955" s="2"/>
      </tp>
      <tp t="s">
        <v>#N/A N/A</v>
        <stp/>
        <stp>BDP|7161460801832226859</stp>
        <tr r="H2781" s="2"/>
      </tp>
      <tp t="s">
        <v>#N/A N/A</v>
        <stp/>
        <stp>BDP|3092169497035008705</stp>
        <tr r="B1308" s="2"/>
      </tp>
      <tp t="s">
        <v>#N/A N/A</v>
        <stp/>
        <stp>BDP|6501764427122249874</stp>
        <tr r="B3655" s="2"/>
      </tp>
      <tp t="s">
        <v>#N/A N/A</v>
        <stp/>
        <stp>BDP|6666020359462929855</stp>
        <tr r="B2126" s="2"/>
      </tp>
      <tp t="s">
        <v>#N/A N/A</v>
        <stp/>
        <stp>BDP|2284069283752576135</stp>
        <tr r="C4887" s="2"/>
      </tp>
      <tp t="s">
        <v>#N/A N/A</v>
        <stp/>
        <stp>BDP|5343862520072531411</stp>
        <tr r="D4300" s="2"/>
      </tp>
      <tp t="s">
        <v>#N/A N/A</v>
        <stp/>
        <stp>BDP|4316022137499250756</stp>
        <tr r="B4450" s="2"/>
      </tp>
      <tp t="s">
        <v>#N/A N/A</v>
        <stp/>
        <stp>BDP|4137651942707021873</stp>
        <tr r="A1374" s="2"/>
      </tp>
      <tp t="s">
        <v>#N/A N/A</v>
        <stp/>
        <stp>BDP|5053613827258607010</stp>
        <tr r="D2250" s="2"/>
      </tp>
      <tp t="s">
        <v>#N/A N/A</v>
        <stp/>
        <stp>BDP|5500614464148705462</stp>
        <tr r="H4233" s="2"/>
      </tp>
      <tp t="s">
        <v>#N/A N/A</v>
        <stp/>
        <stp>BDP|5698339418889863749</stp>
        <tr r="I1981" s="2"/>
      </tp>
      <tp t="s">
        <v>#N/A N/A</v>
        <stp/>
        <stp>BDP|5830043319869796436</stp>
        <tr r="I2147" s="2"/>
      </tp>
      <tp t="s">
        <v>#N/A N/A</v>
        <stp/>
        <stp>BDP|5642824765880491246</stp>
        <tr r="F1152" s="2"/>
      </tp>
      <tp t="s">
        <v>#N/A N/A</v>
        <stp/>
        <stp>BDP|6186258351188611027</stp>
        <tr r="A4382" s="2"/>
      </tp>
      <tp t="s">
        <v>#N/A N/A</v>
        <stp/>
        <stp>BDP|2161473735699572573</stp>
        <tr r="G3728" s="2"/>
      </tp>
      <tp t="s">
        <v>#N/A N/A</v>
        <stp/>
        <stp>BDP|8888846126363330889</stp>
        <tr r="B3499" s="2"/>
      </tp>
      <tp t="s">
        <v>#N/A N/A</v>
        <stp/>
        <stp>BDP|6610252457091466912</stp>
        <tr r="F3001" s="2"/>
      </tp>
      <tp t="s">
        <v>#N/A N/A</v>
        <stp/>
        <stp>BDP|5944017628168900684</stp>
        <tr r="C2239" s="2"/>
      </tp>
      <tp t="s">
        <v>#N/A N/A</v>
        <stp/>
        <stp>BDP|8228554946059372937</stp>
        <tr r="B793" s="2"/>
      </tp>
      <tp t="s">
        <v>#N/A N/A</v>
        <stp/>
        <stp>BDP|1583315110662595804</stp>
        <tr r="I2108" s="2"/>
      </tp>
      <tp t="s">
        <v>#N/A N/A</v>
        <stp/>
        <stp>BDP|9315473246386567661</stp>
        <tr r="C957" s="2"/>
      </tp>
      <tp t="s">
        <v>#N/A N/A</v>
        <stp/>
        <stp>BDP|2776645781381223415</stp>
        <tr r="D963" s="2"/>
      </tp>
      <tp t="s">
        <v>#N/A N/A</v>
        <stp/>
        <stp>BDP|2724233561478793745</stp>
        <tr r="H1322" s="2"/>
      </tp>
      <tp t="s">
        <v>#N/A N/A</v>
        <stp/>
        <stp>BDP|8920838148024745937</stp>
        <tr r="C679" s="2"/>
      </tp>
      <tp t="s">
        <v>#N/A N/A</v>
        <stp/>
        <stp>BDP|4600178806048661477</stp>
        <tr r="I1397" s="2"/>
      </tp>
      <tp t="s">
        <v>#N/A N/A</v>
        <stp/>
        <stp>BDP|2136559331385516861</stp>
        <tr r="A2024" s="2"/>
      </tp>
      <tp t="s">
        <v>#N/A N/A</v>
        <stp/>
        <stp>BDP|4581607234220414834</stp>
        <tr r="H2132" s="2"/>
      </tp>
      <tp t="s">
        <v>#N/A N/A</v>
        <stp/>
        <stp>BDP|9986907159069124575</stp>
        <tr r="D3495" s="2"/>
      </tp>
      <tp t="s">
        <v>#N/A N/A</v>
        <stp/>
        <stp>BDP|6292926666559421940</stp>
        <tr r="H4589" s="2"/>
      </tp>
      <tp t="s">
        <v>#N/A N/A</v>
        <stp/>
        <stp>BDP|3471349576007566950</stp>
        <tr r="G2643" s="2"/>
      </tp>
      <tp t="s">
        <v>#N/A N/A</v>
        <stp/>
        <stp>BDP|6195762765346289868</stp>
        <tr r="C3650" s="2"/>
      </tp>
      <tp t="s">
        <v>#N/A N/A</v>
        <stp/>
        <stp>BDP|1750958650220541410</stp>
        <tr r="D2028" s="2"/>
      </tp>
      <tp t="s">
        <v>#N/A N/A</v>
        <stp/>
        <stp>BDP|9830198607061666066</stp>
        <tr r="G1936" s="2"/>
      </tp>
      <tp t="s">
        <v>#N/A N/A</v>
        <stp/>
        <stp>BDP|7122705177187890984</stp>
        <tr r="C4227" s="2"/>
      </tp>
      <tp t="s">
        <v>#N/A N/A</v>
        <stp/>
        <stp>BDP|5261895631886979156</stp>
        <tr r="I3178" s="2"/>
      </tp>
      <tp t="s">
        <v>#N/A N/A</v>
        <stp/>
        <stp>BDP|6228842186999462625</stp>
        <tr r="C2540" s="2"/>
      </tp>
      <tp t="s">
        <v>#N/A N/A</v>
        <stp/>
        <stp>BDP|8838593207720794474</stp>
        <tr r="H1185" s="2"/>
      </tp>
      <tp t="s">
        <v>#N/A N/A</v>
        <stp/>
        <stp>BDP|8238577723153272528</stp>
        <tr r="G3137" s="2"/>
      </tp>
      <tp t="s">
        <v>#N/A N/A</v>
        <stp/>
        <stp>BDP|2424216622543440858</stp>
        <tr r="A1145" s="2"/>
      </tp>
      <tp t="s">
        <v>#N/A N/A</v>
        <stp/>
        <stp>BDP|7158331233349190763</stp>
        <tr r="F3192" s="2"/>
      </tp>
      <tp t="s">
        <v>#N/A N/A</v>
        <stp/>
        <stp>BDP|6080000747889687275</stp>
        <tr r="I2712" s="2"/>
      </tp>
      <tp t="s">
        <v>#N/A N/A</v>
        <stp/>
        <stp>BDP|2584120237751336850</stp>
        <tr r="B1191" s="2"/>
      </tp>
      <tp t="s">
        <v>#N/A N/A</v>
        <stp/>
        <stp>BDP|7310184895132808408</stp>
        <tr r="H747" s="2"/>
      </tp>
      <tp t="s">
        <v>#N/A N/A</v>
        <stp/>
        <stp>BDP|1600570910868652411</stp>
        <tr r="A1780" s="2"/>
      </tp>
      <tp t="s">
        <v>#N/A N/A</v>
        <stp/>
        <stp>BDP|8934839741755458894</stp>
        <tr r="F2412" s="2"/>
      </tp>
      <tp t="s">
        <v>#N/A N/A</v>
        <stp/>
        <stp>BDP|7186848276768329969</stp>
        <tr r="G4939" s="2"/>
      </tp>
      <tp t="s">
        <v>#N/A N/A</v>
        <stp/>
        <stp>BDP|9847180294149685142</stp>
        <tr r="A4459" s="2"/>
      </tp>
      <tp t="s">
        <v>#N/A N/A</v>
        <stp/>
        <stp>BDP|9122657125645382144</stp>
        <tr r="A38" s="2"/>
      </tp>
      <tp t="s">
        <v>#N/A N/A</v>
        <stp/>
        <stp>BDP|9999414976726177592</stp>
        <tr r="H3811" s="2"/>
      </tp>
      <tp t="s">
        <v>#N/A N/A</v>
        <stp/>
        <stp>BDP|6463068582853594430</stp>
        <tr r="A3370" s="2"/>
      </tp>
      <tp t="s">
        <v>#N/A N/A</v>
        <stp/>
        <stp>BDP|1166848529003233182</stp>
        <tr r="D1401" s="2"/>
      </tp>
      <tp t="s">
        <v>#N/A N/A</v>
        <stp/>
        <stp>BDP|2063878721141391039</stp>
        <tr r="C214" s="2"/>
      </tp>
      <tp t="s">
        <v>#N/A N/A</v>
        <stp/>
        <stp>BDP|8269657840875170600</stp>
        <tr r="G3200" s="2"/>
      </tp>
      <tp t="s">
        <v>#N/A N/A</v>
        <stp/>
        <stp>BDP|3477802306815412702</stp>
        <tr r="I2713" s="2"/>
      </tp>
      <tp t="s">
        <v>#N/A N/A</v>
        <stp/>
        <stp>BDP|9480163489931985844</stp>
        <tr r="D2752" s="2"/>
      </tp>
      <tp t="s">
        <v>#N/A N/A</v>
        <stp/>
        <stp>BDP|2117666907628081567</stp>
        <tr r="B3854" s="2"/>
      </tp>
      <tp t="s">
        <v>#N/A N/A</v>
        <stp/>
        <stp>BDP|1905735038985523910</stp>
        <tr r="D278" s="2"/>
      </tp>
      <tp t="s">
        <v>#N/A N/A</v>
        <stp/>
        <stp>BDP|8767481520895194288</stp>
        <tr r="D1170" s="2"/>
      </tp>
      <tp t="s">
        <v>#N/A N/A</v>
        <stp/>
        <stp>BDP|3348145680056577547</stp>
        <tr r="H3602" s="2"/>
      </tp>
      <tp t="s">
        <v>#N/A N/A</v>
        <stp/>
        <stp>BDP|8488212923584994597</stp>
        <tr r="F3761" s="2"/>
      </tp>
      <tp t="s">
        <v>#N/A N/A</v>
        <stp/>
        <stp>BDP|3111243083090922091</stp>
        <tr r="H4495" s="2"/>
      </tp>
      <tp t="s">
        <v>#N/A N/A</v>
        <stp/>
        <stp>BDP|4768252450299763330</stp>
        <tr r="C1898" s="2"/>
      </tp>
      <tp t="s">
        <v>#N/A N/A</v>
        <stp/>
        <stp>BDP|1575363907538508371</stp>
        <tr r="I3260" s="2"/>
      </tp>
      <tp t="s">
        <v>#N/A N/A</v>
        <stp/>
        <stp>BDP|4357430214569384118</stp>
        <tr r="A2246" s="2"/>
      </tp>
      <tp t="s">
        <v>#N/A N/A</v>
        <stp/>
        <stp>BDP|8041656631037474365</stp>
        <tr r="F4528" s="2"/>
      </tp>
      <tp t="s">
        <v>#N/A N/A</v>
        <stp/>
        <stp>BDP|9343368046241168648</stp>
        <tr r="A97" s="2"/>
      </tp>
      <tp t="s">
        <v>#N/A N/A</v>
        <stp/>
        <stp>BDP|9637545663991773208</stp>
        <tr r="I1269" s="2"/>
      </tp>
      <tp t="s">
        <v>#N/A N/A</v>
        <stp/>
        <stp>BDP|5830203295615907225</stp>
        <tr r="F1105" s="2"/>
      </tp>
      <tp t="s">
        <v>#N/A N/A</v>
        <stp/>
        <stp>BDP|9415302779820904428</stp>
        <tr r="I3251" s="2"/>
      </tp>
      <tp t="s">
        <v>#N/A N/A</v>
        <stp/>
        <stp>BDP|1253233406752754867</stp>
        <tr r="I646" s="2"/>
      </tp>
      <tp t="s">
        <v>#N/A N/A</v>
        <stp/>
        <stp>BDP|6058822859756843457</stp>
        <tr r="C3825" s="2"/>
      </tp>
      <tp t="s">
        <v>#N/A N/A</v>
        <stp/>
        <stp>BDP|8425757444136774440</stp>
        <tr r="B4472" s="2"/>
      </tp>
      <tp t="s">
        <v>#N/A N/A</v>
        <stp/>
        <stp>BDP|7733676985248403874</stp>
        <tr r="D2889" s="2"/>
      </tp>
      <tp t="s">
        <v>#N/A N/A</v>
        <stp/>
        <stp>BDP|1836432988700634436</stp>
        <tr r="H2604" s="2"/>
      </tp>
      <tp t="s">
        <v>#N/A N/A</v>
        <stp/>
        <stp>BDP|6079020707349431674</stp>
        <tr r="A730" s="2"/>
      </tp>
      <tp t="s">
        <v>#N/A N/A</v>
        <stp/>
        <stp>BDP|8339664592668471655</stp>
        <tr r="A1672" s="2"/>
      </tp>
      <tp t="s">
        <v>#N/A N/A</v>
        <stp/>
        <stp>BDP|8053287779341700503</stp>
        <tr r="G4022" s="2"/>
      </tp>
      <tp t="s">
        <v>#N/A N/A</v>
        <stp/>
        <stp>BDP|7102626365529321733</stp>
        <tr r="C2059" s="2"/>
      </tp>
      <tp t="s">
        <v>#N/A N/A</v>
        <stp/>
        <stp>BDP|5132753058787917934</stp>
        <tr r="H662" s="2"/>
      </tp>
      <tp t="s">
        <v>#N/A N/A</v>
        <stp/>
        <stp>BDP|2612966254531307617</stp>
        <tr r="I1005" s="2"/>
      </tp>
      <tp t="s">
        <v>#N/A N/A</v>
        <stp/>
        <stp>BDP|1629989967220747788</stp>
        <tr r="H4680" s="2"/>
      </tp>
      <tp t="s">
        <v>#N/A N/A</v>
        <stp/>
        <stp>BDP|1074943283870787961</stp>
        <tr r="G4045" s="2"/>
      </tp>
      <tp t="s">
        <v>#N/A N/A</v>
        <stp/>
        <stp>BDP|2134238358755403989</stp>
        <tr r="H2152" s="2"/>
      </tp>
      <tp t="s">
        <v>#N/A N/A</v>
        <stp/>
        <stp>BDP|2551575466120416865</stp>
        <tr r="I1545" s="2"/>
      </tp>
      <tp t="s">
        <v>#N/A N/A</v>
        <stp/>
        <stp>BDP|4246990486604823835</stp>
        <tr r="H1547" s="2"/>
      </tp>
      <tp t="s">
        <v>#N/A N/A</v>
        <stp/>
        <stp>BDP|8792768668515854574</stp>
        <tr r="C2986" s="2"/>
      </tp>
      <tp t="s">
        <v>#N/A N/A</v>
        <stp/>
        <stp>BDP|9734184005449512897</stp>
        <tr r="G3681" s="2"/>
      </tp>
      <tp t="s">
        <v>#N/A N/A</v>
        <stp/>
        <stp>BDP|9898798361596671706</stp>
        <tr r="D3992" s="2"/>
      </tp>
      <tp t="s">
        <v>#N/A N/A</v>
        <stp/>
        <stp>BDP|6566941916233269437</stp>
        <tr r="G4697" s="2"/>
      </tp>
      <tp t="s">
        <v>#N/A N/A</v>
        <stp/>
        <stp>BDP|7229834002284214271</stp>
        <tr r="C511" s="2"/>
      </tp>
      <tp t="s">
        <v>#N/A N/A</v>
        <stp/>
        <stp>BDP|4560364493736370156</stp>
        <tr r="C2126" s="2"/>
      </tp>
      <tp t="s">
        <v>#N/A N/A</v>
        <stp/>
        <stp>BDP|5522711190036042423</stp>
        <tr r="C1835" s="2"/>
      </tp>
      <tp t="s">
        <v>#N/A N/A</v>
        <stp/>
        <stp>BDP|6711498701518115389</stp>
        <tr r="H3861" s="2"/>
      </tp>
      <tp t="s">
        <v>#N/A N/A</v>
        <stp/>
        <stp>BDP|2132647190695243112</stp>
        <tr r="A358" s="2"/>
      </tp>
      <tp t="s">
        <v>#N/A N/A</v>
        <stp/>
        <stp>BDP|3470313693551476141</stp>
        <tr r="B2282" s="2"/>
      </tp>
      <tp t="s">
        <v>#N/A N/A</v>
        <stp/>
        <stp>BDP|3418328994669187950</stp>
        <tr r="B2256" s="2"/>
      </tp>
      <tp t="s">
        <v>#N/A N/A</v>
        <stp/>
        <stp>BDP|6857669678999235721</stp>
        <tr r="H2834" s="2"/>
      </tp>
      <tp t="s">
        <v>#N/A N/A</v>
        <stp/>
        <stp>BDP|7553714681497274615</stp>
        <tr r="C1814" s="2"/>
      </tp>
      <tp t="s">
        <v>#N/A N/A</v>
        <stp/>
        <stp>BDP|6403862832681669505</stp>
        <tr r="B1782" s="2"/>
      </tp>
      <tp t="s">
        <v>#N/A N/A</v>
        <stp/>
        <stp>BDP|5802481481975184566</stp>
        <tr r="C3863" s="2"/>
      </tp>
      <tp t="s">
        <v>#N/A N/A</v>
        <stp/>
        <stp>BDP|7412025151879824298</stp>
        <tr r="H3177" s="2"/>
      </tp>
      <tp t="s">
        <v>#N/A N/A</v>
        <stp/>
        <stp>BDP|8047435505467375234</stp>
        <tr r="D4717" s="2"/>
      </tp>
      <tp t="s">
        <v>#N/A N/A</v>
        <stp/>
        <stp>BDP|4534614761528062532</stp>
        <tr r="D2474" s="2"/>
      </tp>
      <tp t="s">
        <v>#N/A N/A</v>
        <stp/>
        <stp>BDP|3643512856008123262</stp>
        <tr r="C1648" s="2"/>
      </tp>
      <tp t="s">
        <v>#N/A N/A</v>
        <stp/>
        <stp>BDP|9545330143653624449</stp>
        <tr r="B2397" s="2"/>
      </tp>
      <tp t="s">
        <v>#N/A N/A</v>
        <stp/>
        <stp>BDP|9529273548922802451</stp>
        <tr r="H2600" s="2"/>
      </tp>
      <tp t="s">
        <v>#N/A N/A</v>
        <stp/>
        <stp>BDP|9035902585295023428</stp>
        <tr r="B697" s="2"/>
      </tp>
      <tp t="s">
        <v>#N/A N/A</v>
        <stp/>
        <stp>BDP|7485370080005752035</stp>
        <tr r="B2601" s="2"/>
      </tp>
      <tp t="s">
        <v>#N/A N/A</v>
        <stp/>
        <stp>BDP|5873092140261268949</stp>
        <tr r="G1273" s="2"/>
      </tp>
      <tp t="s">
        <v>#N/A N/A</v>
        <stp/>
        <stp>BDP|4099279760440385934</stp>
        <tr r="A2794" s="2"/>
      </tp>
      <tp t="s">
        <v>#N/A N/A</v>
        <stp/>
        <stp>BDP|3318768822317905891</stp>
        <tr r="B2554" s="2"/>
      </tp>
      <tp t="s">
        <v>#N/A N/A</v>
        <stp/>
        <stp>BDP|4492335553053724845</stp>
        <tr r="G2986" s="2"/>
      </tp>
      <tp t="s">
        <v>#N/A N/A</v>
        <stp/>
        <stp>BDP|2356639023787789838</stp>
        <tr r="I3065" s="2"/>
      </tp>
      <tp t="s">
        <v>#N/A N/A</v>
        <stp/>
        <stp>BDP|4275149357588463126</stp>
        <tr r="I2900" s="2"/>
      </tp>
      <tp t="s">
        <v>#N/A N/A</v>
        <stp/>
        <stp>BDP|6322781539163112849</stp>
        <tr r="H4450" s="2"/>
      </tp>
      <tp t="s">
        <v>#N/A N/A</v>
        <stp/>
        <stp>BDP|2346953513843143036</stp>
        <tr r="F3552" s="2"/>
      </tp>
      <tp t="s">
        <v>#N/A N/A</v>
        <stp/>
        <stp>BDP|8731904990793844289</stp>
        <tr r="I2619" s="2"/>
      </tp>
      <tp t="s">
        <v>#N/A N/A</v>
        <stp/>
        <stp>BDP|6767777104280068838</stp>
        <tr r="F979" s="2"/>
      </tp>
      <tp t="s">
        <v>#N/A N/A</v>
        <stp/>
        <stp>BDP|4512623495202686035</stp>
        <tr r="D983" s="2"/>
      </tp>
      <tp t="s">
        <v>#N/A N/A</v>
        <stp/>
        <stp>BDP|4199950702707371324</stp>
        <tr r="I4357" s="2"/>
      </tp>
      <tp t="s">
        <v>#N/A N/A</v>
        <stp/>
        <stp>BDP|1608989061353165490</stp>
        <tr r="G4604" s="2"/>
      </tp>
      <tp t="s">
        <v>#N/A N/A</v>
        <stp/>
        <stp>BDP|7159635183245286546</stp>
        <tr r="H2044" s="2"/>
      </tp>
      <tp t="s">
        <v>#N/A N/A</v>
        <stp/>
        <stp>BDP|2795218568917975800</stp>
        <tr r="H2620" s="2"/>
      </tp>
      <tp t="s">
        <v>#N/A N/A</v>
        <stp/>
        <stp>BDP|6539268895477260336</stp>
        <tr r="A669" s="2"/>
      </tp>
      <tp t="s">
        <v>#N/A N/A</v>
        <stp/>
        <stp>BDP|1153416926369470758</stp>
        <tr r="G1967" s="2"/>
      </tp>
      <tp t="s">
        <v>#N/A N/A</v>
        <stp/>
        <stp>BDP|1883992741892052778</stp>
        <tr r="F1967" s="2"/>
      </tp>
      <tp t="s">
        <v>#N/A N/A</v>
        <stp/>
        <stp>BDP|3565591268988276116</stp>
        <tr r="F2587" s="2"/>
      </tp>
      <tp t="s">
        <v>#N/A N/A</v>
        <stp/>
        <stp>BDP|5877928951734964450</stp>
        <tr r="G3311" s="2"/>
      </tp>
      <tp t="s">
        <v>#N/A N/A</v>
        <stp/>
        <stp>BDP|9726469146806032601</stp>
        <tr r="G1600" s="2"/>
      </tp>
      <tp t="s">
        <v>#N/A N/A</v>
        <stp/>
        <stp>BDP|5460702295346430425</stp>
        <tr r="I2205" s="2"/>
      </tp>
      <tp t="s">
        <v>#N/A N/A</v>
        <stp/>
        <stp>BDP|1291390478119083541</stp>
        <tr r="H2995" s="2"/>
      </tp>
      <tp t="s">
        <v>#N/A N/A</v>
        <stp/>
        <stp>BDP|6760803677611120160</stp>
        <tr r="F2826" s="2"/>
      </tp>
      <tp t="s">
        <v>#N/A N/A</v>
        <stp/>
        <stp>BDP|5500834147076044661</stp>
        <tr r="A4097" s="2"/>
      </tp>
      <tp t="s">
        <v>#N/A N/A</v>
        <stp/>
        <stp>BDP|8374247878250865405</stp>
        <tr r="C3886" s="2"/>
      </tp>
      <tp t="s">
        <v>#N/A N/A</v>
        <stp/>
        <stp>BDP|9315523142691763033</stp>
        <tr r="D2509" s="2"/>
      </tp>
      <tp t="s">
        <v>#N/A N/A</v>
        <stp/>
        <stp>BDP|4895639948358560714</stp>
        <tr r="A1449" s="2"/>
      </tp>
      <tp t="s">
        <v>#N/A N/A</v>
        <stp/>
        <stp>BDP|9933541283325029892</stp>
        <tr r="G2628" s="2"/>
      </tp>
      <tp t="s">
        <v>#N/A N/A</v>
        <stp/>
        <stp>BDP|7112695783039952951</stp>
        <tr r="I978" s="2"/>
      </tp>
      <tp t="s">
        <v>#N/A N/A</v>
        <stp/>
        <stp>BDP|5519958110551498535</stp>
        <tr r="B2154" s="2"/>
      </tp>
      <tp t="s">
        <v>#N/A N/A</v>
        <stp/>
        <stp>BDP|2791286332433327999</stp>
        <tr r="C3187" s="2"/>
      </tp>
      <tp t="s">
        <v>#N/A N/A</v>
        <stp/>
        <stp>BDP|3681012791073537049</stp>
        <tr r="F2047" s="2"/>
      </tp>
      <tp t="s">
        <v>#N/A N/A</v>
        <stp/>
        <stp>BDP|4353622986657050404</stp>
        <tr r="F4588" s="2"/>
      </tp>
      <tp t="s">
        <v>#N/A N/A</v>
        <stp/>
        <stp>BDP|2129217117150558852</stp>
        <tr r="G4582" s="2"/>
      </tp>
      <tp t="s">
        <v>#N/A N/A</v>
        <stp/>
        <stp>BDP|4544952396598769566</stp>
        <tr r="G896" s="2"/>
      </tp>
      <tp t="s">
        <v>#N/A N/A</v>
        <stp/>
        <stp>BDP|5731010298072083798</stp>
        <tr r="D1516" s="2"/>
      </tp>
      <tp t="s">
        <v>#N/A N/A</v>
        <stp/>
        <stp>BDP|6608478827001987883</stp>
        <tr r="B1617" s="2"/>
      </tp>
      <tp t="s">
        <v>#N/A N/A</v>
        <stp/>
        <stp>BDP|5907371983460279781</stp>
        <tr r="A553" s="2"/>
      </tp>
      <tp t="s">
        <v>#N/A N/A</v>
        <stp/>
        <stp>BDP|2936961164086417280</stp>
        <tr r="G3083" s="2"/>
      </tp>
      <tp t="s">
        <v>#N/A N/A</v>
        <stp/>
        <stp>BDP|1152450590773346604</stp>
        <tr r="D2085" s="2"/>
      </tp>
      <tp t="s">
        <v>#N/A N/A</v>
        <stp/>
        <stp>BDP|3886802048966783009</stp>
        <tr r="F3523" s="2"/>
      </tp>
      <tp t="s">
        <v>#N/A N/A</v>
        <stp/>
        <stp>BDP|1635853367123542560</stp>
        <tr r="G2890" s="2"/>
      </tp>
      <tp t="s">
        <v>#N/A N/A</v>
        <stp/>
        <stp>BDP|6329713633392544933</stp>
        <tr r="H1861" s="2"/>
      </tp>
      <tp t="s">
        <v>#N/A N/A</v>
        <stp/>
        <stp>BDP|6646197091994880317</stp>
        <tr r="I1721" s="2"/>
      </tp>
      <tp t="s">
        <v>#N/A N/A</v>
        <stp/>
        <stp>BDP|3198344786162490300</stp>
        <tr r="D848" s="2"/>
      </tp>
      <tp t="s">
        <v>#N/A N/A</v>
        <stp/>
        <stp>BDP|2401050086120565353</stp>
        <tr r="D2441" s="2"/>
      </tp>
      <tp t="s">
        <v>#N/A N/A</v>
        <stp/>
        <stp>BDP|8805926120613512985</stp>
        <tr r="I243" s="2"/>
      </tp>
      <tp t="s">
        <v>#N/A N/A</v>
        <stp/>
        <stp>BDP|4812085965922304919</stp>
        <tr r="I4776" s="2"/>
      </tp>
      <tp t="s">
        <v>#N/A N/A</v>
        <stp/>
        <stp>BDP|5021322976509385109</stp>
        <tr r="G1162" s="2"/>
      </tp>
      <tp t="s">
        <v>#N/A N/A</v>
        <stp/>
        <stp>BDP|9770990918569160100</stp>
        <tr r="C4697" s="2"/>
      </tp>
      <tp t="s">
        <v>#N/A N/A</v>
        <stp/>
        <stp>BDP|8205840621532389939</stp>
        <tr r="G932" s="2"/>
      </tp>
      <tp t="s">
        <v>#N/A N/A</v>
        <stp/>
        <stp>BDP|9279309931888051847</stp>
        <tr r="G1546" s="2"/>
      </tp>
      <tp t="s">
        <v>#N/A N/A</v>
        <stp/>
        <stp>BDP|6999922008326751039</stp>
        <tr r="F108" s="2"/>
      </tp>
      <tp t="s">
        <v>#N/A N/A</v>
        <stp/>
        <stp>BDP|5208423902180252873</stp>
        <tr r="B1992" s="2"/>
      </tp>
      <tp t="s">
        <v>#N/A N/A</v>
        <stp/>
        <stp>BDP|8522554959685708494</stp>
        <tr r="F1390" s="2"/>
      </tp>
      <tp t="s">
        <v>#N/A N/A</v>
        <stp/>
        <stp>BDP|2736355380635332564</stp>
        <tr r="I2288" s="2"/>
      </tp>
      <tp t="s">
        <v>#N/A N/A</v>
        <stp/>
        <stp>BDP|1712776517178000601</stp>
        <tr r="D3646" s="2"/>
      </tp>
      <tp t="s">
        <v>#N/A N/A</v>
        <stp/>
        <stp>BDP|6563626656658211440</stp>
        <tr r="H2447" s="2"/>
      </tp>
      <tp t="s">
        <v>#N/A N/A</v>
        <stp/>
        <stp>BDP|4680970787005094916</stp>
        <tr r="C3381" s="2"/>
      </tp>
      <tp t="s">
        <v>#N/A N/A</v>
        <stp/>
        <stp>BDP|7112621680914166458</stp>
        <tr r="D1230" s="2"/>
      </tp>
      <tp t="s">
        <v>#N/A N/A</v>
        <stp/>
        <stp>BDP|8517645502136402102</stp>
        <tr r="B3628" s="2"/>
      </tp>
      <tp t="s">
        <v>#N/A N/A</v>
        <stp/>
        <stp>BDP|6606296766793944872</stp>
        <tr r="D2271" s="2"/>
      </tp>
      <tp t="s">
        <v>#N/A N/A</v>
        <stp/>
        <stp>BDP|9519291414396739587</stp>
        <tr r="B63" s="2"/>
      </tp>
      <tp t="s">
        <v>#N/A N/A</v>
        <stp/>
        <stp>BDP|3184061591171769269</stp>
        <tr r="F2383" s="2"/>
      </tp>
      <tp t="s">
        <v>#N/A N/A</v>
        <stp/>
        <stp>BDP|5890424233522678988</stp>
        <tr r="B1057" s="2"/>
      </tp>
      <tp t="s">
        <v>#N/A N/A</v>
        <stp/>
        <stp>BDP|9885211359486396143</stp>
        <tr r="C1208" s="2"/>
      </tp>
      <tp t="s">
        <v>#N/A N/A</v>
        <stp/>
        <stp>BDP|6003418540106762919</stp>
        <tr r="C713" s="2"/>
      </tp>
      <tp t="s">
        <v>#N/A N/A</v>
        <stp/>
        <stp>BDP|7158218442699181145</stp>
        <tr r="A2104" s="2"/>
      </tp>
      <tp t="s">
        <v>#N/A N/A</v>
        <stp/>
        <stp>BDP|8937840078277654942</stp>
        <tr r="H4184" s="2"/>
      </tp>
      <tp t="s">
        <v>#N/A N/A</v>
        <stp/>
        <stp>BDP|3103914519237945574</stp>
        <tr r="B4845" s="2"/>
      </tp>
      <tp t="s">
        <v>#N/A N/A</v>
        <stp/>
        <stp>BDP|6563041120388457527</stp>
        <tr r="G4036" s="2"/>
      </tp>
      <tp t="s">
        <v>#N/A N/A</v>
        <stp/>
        <stp>BDP|1272356934559617123</stp>
        <tr r="C3191" s="2"/>
      </tp>
      <tp t="s">
        <v>#N/A N/A</v>
        <stp/>
        <stp>BDP|8336065534691773311</stp>
        <tr r="D352" s="2"/>
      </tp>
      <tp t="s">
        <v>#N/A N/A</v>
        <stp/>
        <stp>BDP|6997746873929107680</stp>
        <tr r="I1208" s="2"/>
      </tp>
      <tp t="s">
        <v>#N/A N/A</v>
        <stp/>
        <stp>BDP|1702890002828072886</stp>
        <tr r="C710" s="2"/>
      </tp>
      <tp t="s">
        <v>#N/A N/A</v>
        <stp/>
        <stp>BDP|8446692481939178691</stp>
        <tr r="F4025" s="2"/>
      </tp>
      <tp t="s">
        <v>#N/A N/A</v>
        <stp/>
        <stp>BDP|5589267246568859297</stp>
        <tr r="A2502" s="2"/>
      </tp>
      <tp t="s">
        <v>#N/A N/A</v>
        <stp/>
        <stp>BDP|6759101099191984635</stp>
        <tr r="C2742" s="2"/>
      </tp>
      <tp t="s">
        <v>#N/A N/A</v>
        <stp/>
        <stp>BDP|9749458777686272535</stp>
        <tr r="H2260" s="2"/>
      </tp>
      <tp t="s">
        <v>#N/A N/A</v>
        <stp/>
        <stp>BDP|6131375342971324935</stp>
        <tr r="F2093" s="2"/>
      </tp>
      <tp t="s">
        <v>#N/A N/A</v>
        <stp/>
        <stp>BDP|4419226395454308248</stp>
        <tr r="G1189" s="2"/>
      </tp>
      <tp t="s">
        <v>#N/A N/A</v>
        <stp/>
        <stp>BDP|9448075930642047178</stp>
        <tr r="C3000" s="2"/>
      </tp>
      <tp t="s">
        <v>#N/A N/A</v>
        <stp/>
        <stp>BDP|2417934850102081537</stp>
        <tr r="H1689" s="2"/>
      </tp>
      <tp t="s">
        <v>#N/A N/A</v>
        <stp/>
        <stp>BDP|4108877273647290533</stp>
        <tr r="F4652" s="2"/>
      </tp>
      <tp t="s">
        <v>#N/A N/A</v>
        <stp/>
        <stp>BDP|2041206483980242154</stp>
        <tr r="F3342" s="2"/>
      </tp>
      <tp t="s">
        <v>#N/A N/A</v>
        <stp/>
        <stp>BDP|6013500056889575674</stp>
        <tr r="D1065" s="2"/>
      </tp>
      <tp t="s">
        <v>#N/A N/A</v>
        <stp/>
        <stp>BDP|4283285775288837036</stp>
        <tr r="I1077" s="2"/>
      </tp>
      <tp t="s">
        <v>#N/A N/A</v>
        <stp/>
        <stp>BDP|1817042698215491445</stp>
        <tr r="H4031" s="2"/>
      </tp>
      <tp t="s">
        <v>#N/A N/A</v>
        <stp/>
        <stp>BDP|6286641362847742878</stp>
        <tr r="D2696" s="2"/>
      </tp>
      <tp t="s">
        <v>#N/A N/A</v>
        <stp/>
        <stp>BDP|7405591591336075489</stp>
        <tr r="B638" s="2"/>
      </tp>
      <tp t="s">
        <v>#N/A N/A</v>
        <stp/>
        <stp>BDP|4640459599563673383</stp>
        <tr r="G1634" s="2"/>
      </tp>
      <tp t="s">
        <v>#N/A N/A</v>
        <stp/>
        <stp>BDP|2306322082632299251</stp>
        <tr r="F2545" s="2"/>
      </tp>
      <tp t="s">
        <v>#N/A N/A</v>
        <stp/>
        <stp>BDP|6333898900252959573</stp>
        <tr r="H2535" s="2"/>
      </tp>
      <tp t="s">
        <v>#N/A N/A</v>
        <stp/>
        <stp>BDP|8239579047727452727</stp>
        <tr r="H3302" s="2"/>
      </tp>
      <tp t="s">
        <v>#N/A N/A</v>
        <stp/>
        <stp>BDP|9171593445895066495</stp>
        <tr r="B2615" s="2"/>
      </tp>
      <tp t="s">
        <v>#N/A N/A</v>
        <stp/>
        <stp>BDP|6424833297509195753</stp>
        <tr r="G2135" s="2"/>
      </tp>
      <tp t="s">
        <v>#N/A N/A</v>
        <stp/>
        <stp>BDP|9536253444447035109</stp>
        <tr r="A1719" s="2"/>
      </tp>
      <tp t="s">
        <v>#N/A N/A</v>
        <stp/>
        <stp>BDP|6291499381657919479</stp>
        <tr r="H4878" s="2"/>
      </tp>
      <tp t="s">
        <v>#N/A N/A</v>
        <stp/>
        <stp>BDP|7483907314530295662</stp>
        <tr r="I2426" s="2"/>
      </tp>
      <tp t="s">
        <v>#N/A N/A</v>
        <stp/>
        <stp>BDP|6511631550008035422</stp>
        <tr r="D1135" s="2"/>
      </tp>
      <tp t="s">
        <v>#N/A N/A</v>
        <stp/>
        <stp>BDP|3422370536588720264</stp>
        <tr r="G3876" s="2"/>
      </tp>
      <tp t="s">
        <v>#N/A N/A</v>
        <stp/>
        <stp>BDP|2437312897837204648</stp>
        <tr r="I2366" s="2"/>
      </tp>
      <tp t="s">
        <v>#N/A N/A</v>
        <stp/>
        <stp>BDP|5151722071288177472</stp>
        <tr r="B1799" s="2"/>
      </tp>
      <tp t="s">
        <v>#N/A N/A</v>
        <stp/>
        <stp>BDP|7665778665886045902</stp>
        <tr r="G2753" s="2"/>
      </tp>
      <tp t="s">
        <v>#N/A N/A</v>
        <stp/>
        <stp>BDP|6590334127516334868</stp>
        <tr r="H1423" s="2"/>
      </tp>
      <tp t="s">
        <v>#N/A N/A</v>
        <stp/>
        <stp>BDP|6472871069004963573</stp>
        <tr r="F371" s="2"/>
      </tp>
      <tp t="s">
        <v>#N/A N/A</v>
        <stp/>
        <stp>BDP|3716250519628612195</stp>
        <tr r="D1343" s="2"/>
      </tp>
      <tp t="s">
        <v>#N/A N/A</v>
        <stp/>
        <stp>BDP|5575563507480454946</stp>
        <tr r="G3016" s="2"/>
      </tp>
      <tp t="s">
        <v>#N/A N/A</v>
        <stp/>
        <stp>BDP|9652082741597200391</stp>
        <tr r="C1256" s="2"/>
      </tp>
      <tp t="s">
        <v>#N/A N/A</v>
        <stp/>
        <stp>BDP|8014171554661139466</stp>
        <tr r="I1501" s="2"/>
      </tp>
      <tp t="s">
        <v>#N/A N/A</v>
        <stp/>
        <stp>BDP|7446057833028239542</stp>
        <tr r="B4415" s="2"/>
      </tp>
      <tp t="s">
        <v>#N/A N/A</v>
        <stp/>
        <stp>BDP|9418021293480357923</stp>
        <tr r="C2169" s="2"/>
      </tp>
      <tp t="s">
        <v>#N/A N/A</v>
        <stp/>
        <stp>BDP|8688848936153055906</stp>
        <tr r="G1760" s="2"/>
      </tp>
      <tp t="s">
        <v>#N/A N/A</v>
        <stp/>
        <stp>BDP|2349578356958263341</stp>
        <tr r="I2840" s="2"/>
      </tp>
      <tp t="s">
        <v>#N/A N/A</v>
        <stp/>
        <stp>BDP|1321833342297591338</stp>
        <tr r="B3121" s="2"/>
      </tp>
      <tp t="s">
        <v>#N/A N/A</v>
        <stp/>
        <stp>BDP|7045489369659699530</stp>
        <tr r="F2023" s="2"/>
      </tp>
      <tp t="s">
        <v>#N/A N/A</v>
        <stp/>
        <stp>BDP|1985705834168890417</stp>
        <tr r="H1245" s="2"/>
      </tp>
      <tp t="s">
        <v>#N/A N/A</v>
        <stp/>
        <stp>BDP|7130721649858776598</stp>
        <tr r="C3492" s="2"/>
      </tp>
      <tp t="s">
        <v>#N/A N/A</v>
        <stp/>
        <stp>BDP|4786881344863715285</stp>
        <tr r="A1108" s="2"/>
      </tp>
      <tp t="s">
        <v>#N/A N/A</v>
        <stp/>
        <stp>BDP|5075927000035777012</stp>
        <tr r="H2784" s="2"/>
      </tp>
      <tp t="s">
        <v>#N/A N/A</v>
        <stp/>
        <stp>BDP|6988688121993491805</stp>
        <tr r="C1615" s="2"/>
      </tp>
      <tp t="s">
        <v>#N/A N/A</v>
        <stp/>
        <stp>BDP|3599878991288407336</stp>
        <tr r="B4750" s="2"/>
      </tp>
      <tp t="s">
        <v>#N/A N/A</v>
        <stp/>
        <stp>BDP|9403030854374103166</stp>
        <tr r="G757" s="2"/>
      </tp>
      <tp t="s">
        <v>#N/A N/A</v>
        <stp/>
        <stp>BDP|6072702439248574384</stp>
        <tr r="G3258" s="2"/>
      </tp>
      <tp t="s">
        <v>#N/A N/A</v>
        <stp/>
        <stp>BDP|3911292580114456403</stp>
        <tr r="F3125" s="2"/>
      </tp>
      <tp t="s">
        <v>#N/A N/A</v>
        <stp/>
        <stp>BDP|5462976807086921396</stp>
        <tr r="B1711" s="2"/>
      </tp>
      <tp t="s">
        <v>#N/A N/A</v>
        <stp/>
        <stp>BDP|3577976952441556714</stp>
        <tr r="F1723" s="2"/>
      </tp>
      <tp t="s">
        <v>#N/A N/A</v>
        <stp/>
        <stp>BDP|4007624852287728930</stp>
        <tr r="C2205" s="2"/>
      </tp>
      <tp t="s">
        <v>#N/A N/A</v>
        <stp/>
        <stp>BDP|7021554098102020092</stp>
        <tr r="D4820" s="2"/>
      </tp>
      <tp t="s">
        <v>#N/A N/A</v>
        <stp/>
        <stp>BDP|7020300672832547839</stp>
        <tr r="D2610" s="2"/>
      </tp>
      <tp t="s">
        <v>#N/A N/A</v>
        <stp/>
        <stp>BDP|7805926066149942814</stp>
        <tr r="D1335" s="2"/>
      </tp>
      <tp t="s">
        <v>#N/A N/A</v>
        <stp/>
        <stp>BDP|8458322232927387631</stp>
        <tr r="F557" s="2"/>
      </tp>
      <tp t="s">
        <v>#N/A N/A</v>
        <stp/>
        <stp>BDP|3355995258215610305</stp>
        <tr r="F953" s="2"/>
      </tp>
      <tp t="s">
        <v>#N/A N/A</v>
        <stp/>
        <stp>BDP|4364353385830792602</stp>
        <tr r="B154" s="2"/>
      </tp>
      <tp t="s">
        <v>#N/A N/A</v>
        <stp/>
        <stp>BDP|3938195935968917088</stp>
        <tr r="C1718" s="2"/>
      </tp>
      <tp t="s">
        <v>#N/A N/A</v>
        <stp/>
        <stp>BDP|3410184381390848314</stp>
        <tr r="I1352" s="2"/>
      </tp>
      <tp t="s">
        <v>#N/A N/A</v>
        <stp/>
        <stp>BDP|6457107427618101462</stp>
        <tr r="G948" s="2"/>
      </tp>
      <tp t="s">
        <v>#N/A N/A</v>
        <stp/>
        <stp>BDP|1670481700665239985</stp>
        <tr r="C4086" s="2"/>
      </tp>
      <tp t="s">
        <v>#N/A N/A</v>
        <stp/>
        <stp>BDP|5915431077386914904</stp>
        <tr r="B4783" s="2"/>
      </tp>
      <tp t="s">
        <v>#N/A N/A</v>
        <stp/>
        <stp>BDP|2453463834884275810</stp>
        <tr r="C4723" s="2"/>
      </tp>
      <tp t="s">
        <v>#N/A N/A</v>
        <stp/>
        <stp>BDP|7260738896275138536</stp>
        <tr r="H841" s="2"/>
      </tp>
      <tp t="s">
        <v>#N/A N/A</v>
        <stp/>
        <stp>BDP|5082380534639844513</stp>
        <tr r="A2546" s="2"/>
      </tp>
      <tp t="s">
        <v>#N/A N/A</v>
        <stp/>
        <stp>BDP|1889873669503533564</stp>
        <tr r="I3108" s="2"/>
      </tp>
      <tp t="s">
        <v>#N/A N/A</v>
        <stp/>
        <stp>BDP|9858378350664373295</stp>
        <tr r="G3431" s="2"/>
      </tp>
      <tp t="s">
        <v>#N/A N/A</v>
        <stp/>
        <stp>BDP|9298734495556691878</stp>
        <tr r="H265" s="2"/>
      </tp>
      <tp t="s">
        <v>#N/A N/A</v>
        <stp/>
        <stp>BDP|3548523792052583456</stp>
        <tr r="D2458" s="2"/>
      </tp>
      <tp t="s">
        <v>#N/A N/A</v>
        <stp/>
        <stp>BDP|2891274268387220805</stp>
        <tr r="G754" s="2"/>
      </tp>
      <tp t="s">
        <v>#N/A N/A</v>
        <stp/>
        <stp>BDP|1057614824538059409</stp>
        <tr r="D4422" s="2"/>
      </tp>
      <tp t="s">
        <v>#N/A N/A</v>
        <stp/>
        <stp>BDP|3912952579440566459</stp>
        <tr r="B151" s="2"/>
      </tp>
      <tp t="s">
        <v>#N/A N/A</v>
        <stp/>
        <stp>BDP|8723906606239090147</stp>
        <tr r="A1323" s="2"/>
      </tp>
      <tp t="s">
        <v>#N/A N/A</v>
        <stp/>
        <stp>BDP|6875793034312166919</stp>
        <tr r="H543" s="2"/>
      </tp>
      <tp t="s">
        <v>#N/A N/A</v>
        <stp/>
        <stp>BDP|5356448446859249569</stp>
        <tr r="F4267" s="2"/>
      </tp>
      <tp t="s">
        <v>#N/A N/A</v>
        <stp/>
        <stp>BDP|9748743972681789132</stp>
        <tr r="C2494" s="2"/>
      </tp>
      <tp t="s">
        <v>#N/A N/A</v>
        <stp/>
        <stp>BDP|5116686040727486983</stp>
        <tr r="F2239" s="2"/>
      </tp>
      <tp t="s">
        <v>#N/A N/A</v>
        <stp/>
        <stp>BDP|8013475342933971291</stp>
        <tr r="H236" s="2"/>
      </tp>
      <tp t="s">
        <v>#N/A N/A</v>
        <stp/>
        <stp>BDP|4510868075040728240</stp>
        <tr r="D1899" s="2"/>
      </tp>
      <tp t="s">
        <v>#N/A N/A</v>
        <stp/>
        <stp>BDP|4460979181329127564</stp>
        <tr r="B721" s="2"/>
      </tp>
      <tp t="s">
        <v>#N/A N/A</v>
        <stp/>
        <stp>BDP|5502558614118310022</stp>
        <tr r="I2259" s="2"/>
      </tp>
      <tp t="s">
        <v>#N/A N/A</v>
        <stp/>
        <stp>BDP|9573253193619483220</stp>
        <tr r="G2373" s="2"/>
      </tp>
      <tp t="s">
        <v>#N/A N/A</v>
        <stp/>
        <stp>BDP|9435474419252876778</stp>
        <tr r="A1902" s="2"/>
      </tp>
      <tp t="s">
        <v>#N/A N/A</v>
        <stp/>
        <stp>BDP|8985116192550652994</stp>
        <tr r="G4329" s="2"/>
      </tp>
      <tp t="s">
        <v>#N/A N/A</v>
        <stp/>
        <stp>BDP|8290387728288303846</stp>
        <tr r="A572" s="2"/>
      </tp>
      <tp t="s">
        <v>#N/A N/A</v>
        <stp/>
        <stp>BDP|7183607917401464877</stp>
        <tr r="C4437" s="2"/>
      </tp>
      <tp t="s">
        <v>#N/A N/A</v>
        <stp/>
        <stp>BDP|5534223092690145718</stp>
        <tr r="C3710" s="2"/>
      </tp>
      <tp t="s">
        <v>#N/A N/A</v>
        <stp/>
        <stp>BDP|3376347065659636618</stp>
        <tr r="B4010" s="2"/>
      </tp>
      <tp t="s">
        <v>#N/A N/A</v>
        <stp/>
        <stp>BDP|6382754948068828433</stp>
        <tr r="G739" s="2"/>
      </tp>
      <tp t="s">
        <v>#N/A N/A</v>
        <stp/>
        <stp>BDP|5392977504202756724</stp>
        <tr r="F2723" s="2"/>
      </tp>
      <tp t="s">
        <v>#N/A N/A</v>
        <stp/>
        <stp>BDP|8412402632181072739</stp>
        <tr r="I2263" s="2"/>
      </tp>
      <tp t="s">
        <v>#N/A N/A</v>
        <stp/>
        <stp>BDP|9242219747542848490</stp>
        <tr r="D407" s="2"/>
      </tp>
      <tp t="s">
        <v>#N/A N/A</v>
        <stp/>
        <stp>BDP|1223608223025019947</stp>
        <tr r="C409" s="2"/>
      </tp>
      <tp t="s">
        <v>#N/A N/A</v>
        <stp/>
        <stp>BDP|3578043194702192116</stp>
        <tr r="A2239" s="2"/>
      </tp>
      <tp t="s">
        <v>#N/A N/A</v>
        <stp/>
        <stp>BDP|7632871293228789704</stp>
        <tr r="I3690" s="2"/>
      </tp>
      <tp t="s">
        <v>#N/A N/A</v>
        <stp/>
        <stp>BDP|2698125868908986402</stp>
        <tr r="C4775" s="2"/>
      </tp>
      <tp t="s">
        <v>#N/A N/A</v>
        <stp/>
        <stp>BDP|9293573529197849010</stp>
        <tr r="F4148" s="2"/>
      </tp>
      <tp t="s">
        <v>#N/A N/A</v>
        <stp/>
        <stp>BDP|6962605069989363663</stp>
        <tr r="I239" s="2"/>
      </tp>
      <tp t="s">
        <v>#N/A N/A</v>
        <stp/>
        <stp>BDP|5215438475928574749</stp>
        <tr r="G4982" s="2"/>
      </tp>
      <tp t="s">
        <v>#N/A N/A</v>
        <stp/>
        <stp>BDP|6675796883090083097</stp>
        <tr r="G3122" s="2"/>
      </tp>
      <tp t="s">
        <v>#N/A N/A</v>
        <stp/>
        <stp>BDP|1587308855478126648</stp>
        <tr r="B3369" s="2"/>
      </tp>
      <tp t="s">
        <v>#N/A N/A</v>
        <stp/>
        <stp>BDP|8184311842263554520</stp>
        <tr r="D379" s="2"/>
      </tp>
      <tp t="s">
        <v>#N/A N/A</v>
        <stp/>
        <stp>BDP|7735910653215237723</stp>
        <tr r="A4268" s="2"/>
      </tp>
      <tp t="s">
        <v>#N/A N/A</v>
        <stp/>
        <stp>BDP|2538534534695015871</stp>
        <tr r="H2207" s="2"/>
      </tp>
      <tp t="s">
        <v>#N/A N/A</v>
        <stp/>
        <stp>BDP|3956364452544865803</stp>
        <tr r="G1579" s="2"/>
      </tp>
      <tp t="s">
        <v>#N/A N/A</v>
        <stp/>
        <stp>BDP|6495901417525340258</stp>
        <tr r="C1210" s="2"/>
      </tp>
      <tp t="s">
        <v>#N/A N/A</v>
        <stp/>
        <stp>BDP|9899038279722054572</stp>
        <tr r="A2530" s="2"/>
      </tp>
      <tp t="s">
        <v>#N/A N/A</v>
        <stp/>
        <stp>BDP|1176317012163014970</stp>
        <tr r="D1482" s="2"/>
      </tp>
      <tp t="s">
        <v>#N/A N/A</v>
        <stp/>
        <stp>BDP|3305239421908494209</stp>
        <tr r="B3122" s="2"/>
      </tp>
      <tp t="s">
        <v>#N/A N/A</v>
        <stp/>
        <stp>BDP|3524935411810662249</stp>
        <tr r="D2553" s="2"/>
      </tp>
      <tp t="s">
        <v>#N/A N/A</v>
        <stp/>
        <stp>BDP|5378405994946589773</stp>
        <tr r="A2608" s="2"/>
      </tp>
      <tp t="s">
        <v>#N/A N/A</v>
        <stp/>
        <stp>BDP|9461224895669252241</stp>
        <tr r="C3033" s="2"/>
      </tp>
      <tp t="s">
        <v>#N/A N/A</v>
        <stp/>
        <stp>BDP|3749851400750017273</stp>
        <tr r="B2017" s="2"/>
      </tp>
      <tp t="s">
        <v>#N/A N/A</v>
        <stp/>
        <stp>BDP|7106339990053315748</stp>
        <tr r="I4146" s="2"/>
      </tp>
      <tp t="s">
        <v>#N/A N/A</v>
        <stp/>
        <stp>BDP|7719840070713230245</stp>
        <tr r="F4601" s="2"/>
      </tp>
      <tp t="s">
        <v>#N/A N/A</v>
        <stp/>
        <stp>BDP|1376709580052283545</stp>
        <tr r="B1055" s="2"/>
      </tp>
      <tp t="s">
        <v>#N/A N/A</v>
        <stp/>
        <stp>BDP|2069252659234179882</stp>
        <tr r="B3776" s="2"/>
      </tp>
      <tp t="s">
        <v>#N/A N/A</v>
        <stp/>
        <stp>BDP|1969019460926949841</stp>
        <tr r="C1372" s="2"/>
      </tp>
      <tp t="s">
        <v>#N/A N/A</v>
        <stp/>
        <stp>BDP|6751056492144666237</stp>
        <tr r="B4915" s="2"/>
      </tp>
      <tp t="s">
        <v>#N/A N/A</v>
        <stp/>
        <stp>BDP|3965235809599715114</stp>
        <tr r="C81" s="2"/>
      </tp>
      <tp t="s">
        <v>#N/A N/A</v>
        <stp/>
        <stp>BDP|4062709878834428996</stp>
        <tr r="I3916" s="2"/>
      </tp>
      <tp t="s">
        <v>#N/A N/A</v>
        <stp/>
        <stp>BDP|8500146744167962392</stp>
        <tr r="F689" s="2"/>
      </tp>
      <tp t="s">
        <v>#N/A N/A</v>
        <stp/>
        <stp>BDP|2271955943720704666</stp>
        <tr r="I4195" s="2"/>
      </tp>
      <tp t="s">
        <v>#N/A N/A</v>
        <stp/>
        <stp>BDP|6724392388113269714</stp>
        <tr r="B2520" s="2"/>
      </tp>
      <tp t="s">
        <v>#N/A N/A</v>
        <stp/>
        <stp>BDP|5704895865314759691</stp>
        <tr r="A3367" s="2"/>
      </tp>
      <tp t="s">
        <v>#N/A N/A</v>
        <stp/>
        <stp>BDP|3769822010250552351</stp>
        <tr r="I3040" s="2"/>
      </tp>
      <tp t="s">
        <v>#N/A N/A</v>
        <stp/>
        <stp>BDP|8080376637666039759</stp>
        <tr r="A4541" s="2"/>
      </tp>
      <tp t="s">
        <v>#N/A N/A</v>
        <stp/>
        <stp>BDP|7298666491962050301</stp>
        <tr r="H3265" s="2"/>
      </tp>
      <tp t="s">
        <v>#N/A N/A</v>
        <stp/>
        <stp>BDP|6541784631443921803</stp>
        <tr r="A4323" s="2"/>
      </tp>
      <tp t="s">
        <v>#N/A N/A</v>
        <stp/>
        <stp>BDP|5241657068775335992</stp>
        <tr r="I1489" s="2"/>
      </tp>
      <tp t="s">
        <v>#N/A N/A</v>
        <stp/>
        <stp>BDP|6484511134178441109</stp>
        <tr r="I1023" s="2"/>
      </tp>
      <tp t="s">
        <v>#N/A N/A</v>
        <stp/>
        <stp>BDP|8510278475183781755</stp>
        <tr r="I3384" s="2"/>
      </tp>
      <tp t="s">
        <v>#N/A N/A</v>
        <stp/>
        <stp>BDP|6090977231661794445</stp>
        <tr r="C3789" s="2"/>
      </tp>
      <tp t="s">
        <v>#N/A N/A</v>
        <stp/>
        <stp>BDP|1753953142330092558</stp>
        <tr r="I2316" s="2"/>
      </tp>
      <tp t="s">
        <v>#N/A N/A</v>
        <stp/>
        <stp>BDP|5466768986661445258</stp>
        <tr r="I1228" s="2"/>
      </tp>
      <tp t="s">
        <v>#N/A N/A</v>
        <stp/>
        <stp>BDP|1232866471506278123</stp>
        <tr r="I1665" s="2"/>
      </tp>
      <tp t="s">
        <v>#N/A N/A</v>
        <stp/>
        <stp>BDP|9438733620621027420</stp>
        <tr r="G2015" s="2"/>
      </tp>
      <tp t="s">
        <v>#N/A N/A</v>
        <stp/>
        <stp>BDP|5250194603914563989</stp>
        <tr r="C2044" s="2"/>
      </tp>
      <tp t="s">
        <v>#N/A N/A</v>
        <stp/>
        <stp>BDP|4711012564599748205</stp>
        <tr r="I263" s="2"/>
      </tp>
      <tp t="s">
        <v>#N/A N/A</v>
        <stp/>
        <stp>BDP|5650529769888119792</stp>
        <tr r="C3679" s="2"/>
      </tp>
      <tp t="s">
        <v>#N/A N/A</v>
        <stp/>
        <stp>BDP|6095256194105483101</stp>
        <tr r="D582" s="2"/>
      </tp>
      <tp t="s">
        <v>#N/A N/A</v>
        <stp/>
        <stp>BDP|1729070702478759004</stp>
        <tr r="H4957" s="2"/>
      </tp>
      <tp t="s">
        <v>#N/A N/A</v>
        <stp/>
        <stp>BDP|3896760178822725844</stp>
        <tr r="G3246" s="2"/>
      </tp>
      <tp t="s">
        <v>#N/A N/A</v>
        <stp/>
        <stp>BDP|4955002199835286170</stp>
        <tr r="A4011" s="2"/>
      </tp>
      <tp t="s">
        <v>#N/A N/A</v>
        <stp/>
        <stp>BDP|8269244502082846191</stp>
        <tr r="H4400" s="2"/>
      </tp>
      <tp t="s">
        <v>#N/A N/A</v>
        <stp/>
        <stp>BDP|9554660143324635632</stp>
        <tr r="H3351" s="2"/>
      </tp>
      <tp t="s">
        <v>#N/A N/A</v>
        <stp/>
        <stp>BDP|8404663272598080859</stp>
        <tr r="F4052" s="2"/>
      </tp>
      <tp t="s">
        <v>#N/A N/A</v>
        <stp/>
        <stp>BDP|7588579832409610132</stp>
        <tr r="I4422" s="2"/>
      </tp>
      <tp t="s">
        <v>#N/A N/A</v>
        <stp/>
        <stp>BDP|7431065714007275817</stp>
        <tr r="I1784" s="2"/>
      </tp>
      <tp t="s">
        <v>#N/A N/A</v>
        <stp/>
        <stp>BDP|6514032221365048822</stp>
        <tr r="B823" s="2"/>
      </tp>
      <tp t="s">
        <v>#N/A N/A</v>
        <stp/>
        <stp>BDP|8864611834402223558</stp>
        <tr r="G2696" s="2"/>
      </tp>
      <tp t="s">
        <v>#N/A N/A</v>
        <stp/>
        <stp>BDP|8987158510087400529</stp>
        <tr r="A2218" s="2"/>
      </tp>
      <tp t="s">
        <v>#N/A N/A</v>
        <stp/>
        <stp>BDP|1932344297114496547</stp>
        <tr r="C3279" s="2"/>
      </tp>
      <tp t="s">
        <v>#N/A N/A</v>
        <stp/>
        <stp>BDP|7012722828581682966</stp>
        <tr r="G2320" s="2"/>
      </tp>
      <tp t="s">
        <v>#N/A N/A</v>
        <stp/>
        <stp>BDP|1211766723756901848</stp>
        <tr r="C3586" s="2"/>
      </tp>
      <tp t="s">
        <v>#N/A N/A</v>
        <stp/>
        <stp>BDP|5438821546816820520</stp>
        <tr r="A1942" s="2"/>
      </tp>
      <tp t="s">
        <v>#N/A N/A</v>
        <stp/>
        <stp>BDP|9306059973736653293</stp>
        <tr r="F3075" s="2"/>
      </tp>
      <tp t="s">
        <v>#N/A N/A</v>
        <stp/>
        <stp>BDP|3916049420669403235</stp>
        <tr r="B3406" s="2"/>
      </tp>
      <tp t="s">
        <v>#N/A N/A</v>
        <stp/>
        <stp>BDP|8436432799968244767</stp>
        <tr r="A817" s="2"/>
      </tp>
      <tp t="s">
        <v>#N/A N/A</v>
        <stp/>
        <stp>BDP|5643967809905514360</stp>
        <tr r="H4418" s="2"/>
      </tp>
      <tp t="s">
        <v>#N/A N/A</v>
        <stp/>
        <stp>BDP|4360277385120225498</stp>
        <tr r="C1353" s="2"/>
      </tp>
      <tp t="s">
        <v>#N/A N/A</v>
        <stp/>
        <stp>BDP|3839920233824028733</stp>
        <tr r="D2870" s="2"/>
      </tp>
      <tp t="s">
        <v>#N/A N/A</v>
        <stp/>
        <stp>BDP|9725964890941915224</stp>
        <tr r="H3807" s="2"/>
      </tp>
      <tp t="s">
        <v>#N/A N/A</v>
        <stp/>
        <stp>BDP|7066695766324046959</stp>
        <tr r="A3331" s="2"/>
      </tp>
      <tp t="s">
        <v>#N/A N/A</v>
        <stp/>
        <stp>BDP|1324723402125158988</stp>
        <tr r="A1376" s="2"/>
      </tp>
      <tp t="s">
        <v>#N/A N/A</v>
        <stp/>
        <stp>BDP|9675553652416286594</stp>
        <tr r="H1911" s="2"/>
      </tp>
      <tp t="s">
        <v>#N/A N/A</v>
        <stp/>
        <stp>BDP|5552699721523066873</stp>
        <tr r="D2628" s="2"/>
      </tp>
      <tp t="s">
        <v>#N/A N/A</v>
        <stp/>
        <stp>BDP|7087988454617315658</stp>
        <tr r="G2162" s="2"/>
      </tp>
      <tp t="s">
        <v>#N/A N/A</v>
        <stp/>
        <stp>BDP|7828857649429690887</stp>
        <tr r="F1839" s="2"/>
      </tp>
      <tp t="s">
        <v>#N/A N/A</v>
        <stp/>
        <stp>BDP|6367787607099185276</stp>
        <tr r="H1671" s="2"/>
      </tp>
      <tp t="s">
        <v>#N/A N/A</v>
        <stp/>
        <stp>BDP|6878512593023492343</stp>
        <tr r="B4513" s="2"/>
      </tp>
      <tp t="s">
        <v>#N/A N/A</v>
        <stp/>
        <stp>BDP|7603328683496563085</stp>
        <tr r="B1985" s="2"/>
      </tp>
      <tp t="s">
        <v>#N/A N/A</v>
        <stp/>
        <stp>BDP|1491424249038504303</stp>
        <tr r="H3679" s="2"/>
      </tp>
      <tp t="s">
        <v>#N/A N/A</v>
        <stp/>
        <stp>BDP|7493547773307912802</stp>
        <tr r="H2572" s="2"/>
      </tp>
      <tp t="s">
        <v>#N/A N/A</v>
        <stp/>
        <stp>BDP|1353493985066103148</stp>
        <tr r="C425" s="2"/>
      </tp>
      <tp t="s">
        <v>#N/A N/A</v>
        <stp/>
        <stp>BDP|3322831347463523684</stp>
        <tr r="C4539" s="2"/>
      </tp>
      <tp t="s">
        <v>#N/A N/A</v>
        <stp/>
        <stp>BDP|9927923554779245673</stp>
        <tr r="I1795" s="2"/>
      </tp>
      <tp t="s">
        <v>#N/A N/A</v>
        <stp/>
        <stp>BDP|4076636899948314938</stp>
        <tr r="H3034" s="2"/>
      </tp>
      <tp t="s">
        <v>#N/A N/A</v>
        <stp/>
        <stp>BDP|5859820440271635265</stp>
        <tr r="H3995" s="2"/>
      </tp>
      <tp t="s">
        <v>#N/A N/A</v>
        <stp/>
        <stp>BDP|3239971468852621419</stp>
        <tr r="F1898" s="2"/>
      </tp>
      <tp t="s">
        <v>#N/A N/A</v>
        <stp/>
        <stp>BDP|7341692483460556367</stp>
        <tr r="A4691" s="2"/>
      </tp>
      <tp t="s">
        <v>#N/A N/A</v>
        <stp/>
        <stp>BDP|8286298454093563606</stp>
        <tr r="I3177" s="2"/>
      </tp>
      <tp t="s">
        <v>#N/A N/A</v>
        <stp/>
        <stp>BDP|3217997309475907511</stp>
        <tr r="I4541" s="2"/>
      </tp>
      <tp t="s">
        <v>#N/A N/A</v>
        <stp/>
        <stp>BDP|2534270973309968425</stp>
        <tr r="G2692" s="2"/>
      </tp>
      <tp t="s">
        <v>#N/A N/A</v>
        <stp/>
        <stp>BDP|6305946732655646397</stp>
        <tr r="A4964" s="2"/>
      </tp>
      <tp t="s">
        <v>#N/A N/A</v>
        <stp/>
        <stp>BDP|8220631845192753294</stp>
        <tr r="C341" s="2"/>
      </tp>
      <tp t="s">
        <v>#N/A N/A</v>
        <stp/>
        <stp>BDP|9716423068629174861</stp>
        <tr r="C2621" s="2"/>
      </tp>
      <tp t="s">
        <v>#N/A N/A</v>
        <stp/>
        <stp>BDP|7606891456090239010</stp>
        <tr r="A4569" s="2"/>
      </tp>
      <tp t="s">
        <v>#N/A N/A</v>
        <stp/>
        <stp>BDP|6707092991631602436</stp>
        <tr r="C207" s="2"/>
      </tp>
      <tp t="s">
        <v>#N/A N/A</v>
        <stp/>
        <stp>BDP|8879925140027771877</stp>
        <tr r="H174" s="2"/>
      </tp>
      <tp t="s">
        <v>#N/A N/A</v>
        <stp/>
        <stp>BDP|7445390157082818980</stp>
        <tr r="H2876" s="2"/>
      </tp>
      <tp t="s">
        <v>#N/A N/A</v>
        <stp/>
        <stp>BDP|1622654193120226480</stp>
        <tr r="D4282" s="2"/>
      </tp>
      <tp t="s">
        <v>#N/A N/A</v>
        <stp/>
        <stp>BDP|7185059189110462533</stp>
        <tr r="F3144" s="2"/>
      </tp>
      <tp t="s">
        <v>#N/A N/A</v>
        <stp/>
        <stp>BDP|3533315494042246186</stp>
        <tr r="B3044" s="2"/>
      </tp>
      <tp t="s">
        <v>#N/A N/A</v>
        <stp/>
        <stp>BDP|7834513466059577703</stp>
        <tr r="B645" s="2"/>
      </tp>
      <tp t="s">
        <v>#N/A N/A</v>
        <stp/>
        <stp>BDP|5929902070181052030</stp>
        <tr r="B3982" s="2"/>
      </tp>
      <tp t="s">
        <v>#N/A N/A</v>
        <stp/>
        <stp>BDP|3159731584751563791</stp>
        <tr r="D1136" s="2"/>
      </tp>
      <tp t="s">
        <v>#N/A N/A</v>
        <stp/>
        <stp>BDP|3873362286425677741</stp>
        <tr r="I4004" s="2"/>
      </tp>
      <tp t="s">
        <v>#N/A N/A</v>
        <stp/>
        <stp>BDP|8423988083547710429</stp>
        <tr r="H1481" s="2"/>
      </tp>
      <tp t="s">
        <v>#N/A N/A</v>
        <stp/>
        <stp>BDP|8601337755574906035</stp>
        <tr r="C1968" s="2"/>
      </tp>
      <tp t="s">
        <v>#N/A N/A</v>
        <stp/>
        <stp>BDP|8404024529209171946</stp>
        <tr r="D794" s="2"/>
      </tp>
      <tp t="s">
        <v>#N/A N/A</v>
        <stp/>
        <stp>BDP|9119707691614852922</stp>
        <tr r="B4703" s="2"/>
      </tp>
      <tp t="s">
        <v>#N/A N/A</v>
        <stp/>
        <stp>BDP|1165236649988096517</stp>
        <tr r="I368" s="2"/>
      </tp>
      <tp t="s">
        <v>#N/A N/A</v>
        <stp/>
        <stp>BDP|8389107205842986158</stp>
        <tr r="D1488" s="2"/>
      </tp>
      <tp t="s">
        <v>#N/A N/A</v>
        <stp/>
        <stp>BDP|9608660758337035727</stp>
        <tr r="I3730" s="2"/>
      </tp>
      <tp t="s">
        <v>#N/A N/A</v>
        <stp/>
        <stp>BDP|4030041051509867277</stp>
        <tr r="G594" s="2"/>
      </tp>
      <tp t="s">
        <v>#N/A N/A</v>
        <stp/>
        <stp>BDP|2542847839794373715</stp>
        <tr r="I1903" s="2"/>
      </tp>
      <tp t="s">
        <v>#N/A N/A</v>
        <stp/>
        <stp>BDP|9827919012279463259</stp>
        <tr r="A3902" s="2"/>
      </tp>
      <tp t="s">
        <v>#N/A N/A</v>
        <stp/>
        <stp>BDP|6020174889061387478</stp>
        <tr r="F2676" s="2"/>
      </tp>
      <tp t="s">
        <v>#N/A N/A</v>
        <stp/>
        <stp>BDP|8796190433984670411</stp>
        <tr r="C1752" s="2"/>
      </tp>
      <tp t="s">
        <v>#N/A N/A</v>
        <stp/>
        <stp>BDP|5547913959420037376</stp>
        <tr r="A570" s="2"/>
      </tp>
      <tp t="s">
        <v>#N/A N/A</v>
        <stp/>
        <stp>BDP|2504940932357139599</stp>
        <tr r="I2020" s="2"/>
      </tp>
      <tp t="s">
        <v>#N/A N/A</v>
        <stp/>
        <stp>BDP|8220051692943859866</stp>
        <tr r="A3637" s="2"/>
      </tp>
      <tp t="s">
        <v>#N/A N/A</v>
        <stp/>
        <stp>BDP|3873703587876736037</stp>
        <tr r="D4136" s="2"/>
      </tp>
      <tp t="s">
        <v>#N/A N/A</v>
        <stp/>
        <stp>BDP|8870561274979142903</stp>
        <tr r="H3188" s="2"/>
      </tp>
      <tp t="s">
        <v>#N/A N/A</v>
        <stp/>
        <stp>BDP|1123388207498365060</stp>
        <tr r="G705" s="2"/>
      </tp>
      <tp t="s">
        <v>#N/A N/A</v>
        <stp/>
        <stp>BDP|6848367775501099904</stp>
        <tr r="H2485" s="2"/>
      </tp>
      <tp t="s">
        <v>#N/A N/A</v>
        <stp/>
        <stp>BDP|5084101200227209990</stp>
        <tr r="G2701" s="2"/>
      </tp>
      <tp t="s">
        <v>#N/A N/A</v>
        <stp/>
        <stp>BDP|9815319971306435173</stp>
        <tr r="H2816" s="2"/>
      </tp>
      <tp t="s">
        <v>#N/A N/A</v>
        <stp/>
        <stp>BDP|5553461489454296733</stp>
        <tr r="H3247" s="2"/>
      </tp>
      <tp t="s">
        <v>#N/A N/A</v>
        <stp/>
        <stp>BDP|5342046335779883517</stp>
        <tr r="F221" s="2"/>
      </tp>
      <tp t="s">
        <v>#N/A N/A</v>
        <stp/>
        <stp>BDP|5983315061418127231</stp>
        <tr r="F2413" s="2"/>
      </tp>
      <tp t="s">
        <v>#N/A N/A</v>
        <stp/>
        <stp>BDP|7471884964803237012</stp>
        <tr r="I4211" s="2"/>
      </tp>
      <tp t="s">
        <v>#N/A N/A</v>
        <stp/>
        <stp>BDP|7351262361168929169</stp>
        <tr r="D176" s="2"/>
      </tp>
      <tp t="s">
        <v>#N/A N/A</v>
        <stp/>
        <stp>BDP|8739438352083808056</stp>
        <tr r="H1916" s="2"/>
      </tp>
      <tp t="s">
        <v>#N/A N/A</v>
        <stp/>
        <stp>BDP|2384030293677962614</stp>
        <tr r="C1886" s="2"/>
      </tp>
      <tp t="s">
        <v>#N/A N/A</v>
        <stp/>
        <stp>BDP|8889749067983803087</stp>
        <tr r="D3900" s="2"/>
      </tp>
      <tp t="s">
        <v>#N/A N/A</v>
        <stp/>
        <stp>BDP|1411367819818824183</stp>
        <tr r="I4226" s="2"/>
      </tp>
      <tp t="s">
        <v>#N/A N/A</v>
        <stp/>
        <stp>BDP|7261038394275641186</stp>
        <tr r="A2276" s="2"/>
      </tp>
      <tp t="s">
        <v>#N/A N/A</v>
        <stp/>
        <stp>BDP|5072293084870324550</stp>
        <tr r="F327" s="2"/>
      </tp>
      <tp t="s">
        <v>#N/A N/A</v>
        <stp/>
        <stp>BDP|5099612069609378604</stp>
        <tr r="I4623" s="2"/>
      </tp>
      <tp t="s">
        <v>#N/A N/A</v>
        <stp/>
        <stp>BDP|5991322442880741859</stp>
        <tr r="I3763" s="2"/>
      </tp>
      <tp t="s">
        <v>#N/A N/A</v>
        <stp/>
        <stp>BDP|4114620400789881100</stp>
        <tr r="F1652" s="2"/>
      </tp>
      <tp t="s">
        <v>#N/A N/A</v>
        <stp/>
        <stp>BDP|2067008990727207697</stp>
        <tr r="D2363" s="2"/>
      </tp>
      <tp t="s">
        <v>#N/A N/A</v>
        <stp/>
        <stp>BDP|9818422720723469653</stp>
        <tr r="F4929" s="2"/>
      </tp>
      <tp t="s">
        <v>#N/A N/A</v>
        <stp/>
        <stp>BDP|8680218727175877737</stp>
        <tr r="I4818" s="2"/>
      </tp>
      <tp t="s">
        <v>#N/A N/A</v>
        <stp/>
        <stp>BDP|8942195259016736053</stp>
        <tr r="C1253" s="2"/>
      </tp>
      <tp t="s">
        <v>#N/A N/A</v>
        <stp/>
        <stp>BDP|4638413487882217098</stp>
        <tr r="I2465" s="2"/>
      </tp>
      <tp t="s">
        <v>#N/A N/A</v>
        <stp/>
        <stp>BDP|7791289894572672463</stp>
        <tr r="A3376" s="2"/>
      </tp>
      <tp t="s">
        <v>#N/A N/A</v>
        <stp/>
        <stp>BDP|8876628780345851999</stp>
        <tr r="A1005" s="2"/>
      </tp>
      <tp t="s">
        <v>#N/A N/A</v>
        <stp/>
        <stp>BDP|1332094575778336473</stp>
        <tr r="D2902" s="2"/>
      </tp>
      <tp t="s">
        <v>#N/A N/A</v>
        <stp/>
        <stp>BDP|8609579620971964436</stp>
        <tr r="G1651" s="2"/>
      </tp>
      <tp t="s">
        <v>#N/A N/A</v>
        <stp/>
        <stp>BDP|4824914558097236585</stp>
        <tr r="B145" s="2"/>
      </tp>
      <tp t="s">
        <v>#N/A N/A</v>
        <stp/>
        <stp>BDP|3654543161382847801</stp>
        <tr r="H2084" s="2"/>
      </tp>
      <tp t="s">
        <v>#N/A N/A</v>
        <stp/>
        <stp>BDP|3634881331235320771</stp>
        <tr r="H1756" s="2"/>
      </tp>
      <tp t="s">
        <v>#N/A N/A</v>
        <stp/>
        <stp>BDP|8544398563542787532</stp>
        <tr r="G3201" s="2"/>
      </tp>
      <tp t="s">
        <v>#N/A N/A</v>
        <stp/>
        <stp>BDP|9182772356969375887</stp>
        <tr r="I1406" s="2"/>
      </tp>
      <tp t="s">
        <v>#N/A N/A</v>
        <stp/>
        <stp>BDP|2437746248529264215</stp>
        <tr r="G4717" s="2"/>
      </tp>
      <tp t="s">
        <v>#N/A N/A</v>
        <stp/>
        <stp>BDP|4494765328862272930</stp>
        <tr r="A4643" s="2"/>
      </tp>
      <tp t="s">
        <v>#N/A N/A</v>
        <stp/>
        <stp>BDP|9871504338044958125</stp>
        <tr r="H3830" s="2"/>
      </tp>
      <tp t="s">
        <v>#N/A N/A</v>
        <stp/>
        <stp>BDP|8941980741268939726</stp>
        <tr r="G127" s="2"/>
      </tp>
      <tp t="s">
        <v>#N/A N/A</v>
        <stp/>
        <stp>BDP|3539745778209715056</stp>
        <tr r="H2366" s="2"/>
      </tp>
      <tp t="s">
        <v>#N/A N/A</v>
        <stp/>
        <stp>BDP|8234301909198550954</stp>
        <tr r="A3724" s="2"/>
      </tp>
      <tp t="s">
        <v>#N/A N/A</v>
        <stp/>
        <stp>BDP|4973810754262723105</stp>
        <tr r="F1841" s="2"/>
      </tp>
      <tp t="s">
        <v>#N/A N/A</v>
        <stp/>
        <stp>BDP|7691487809999461083</stp>
        <tr r="H3971" s="2"/>
      </tp>
      <tp t="s">
        <v>#N/A N/A</v>
        <stp/>
        <stp>BDP|1790838128010652116</stp>
        <tr r="F2589" s="2"/>
      </tp>
      <tp t="s">
        <v>#N/A N/A</v>
        <stp/>
        <stp>BDP|8442587426205864095</stp>
        <tr r="D3821" s="2"/>
      </tp>
      <tp t="s">
        <v>#N/A N/A</v>
        <stp/>
        <stp>BDP|8885034350870574756</stp>
        <tr r="B2608" s="2"/>
      </tp>
      <tp t="s">
        <v>#N/A N/A</v>
        <stp/>
        <stp>BDP|5435095882381623622</stp>
        <tr r="G4581" s="2"/>
      </tp>
      <tp t="s">
        <v>#N/A N/A</v>
        <stp/>
        <stp>BDP|9404433463053876271</stp>
        <tr r="H1293" s="2"/>
      </tp>
      <tp t="s">
        <v>#N/A N/A</v>
        <stp/>
        <stp>BDP|7658966706232542680</stp>
        <tr r="F3352" s="2"/>
      </tp>
      <tp t="s">
        <v>#N/A N/A</v>
        <stp/>
        <stp>BDP|6839097820648978631</stp>
        <tr r="B3532" s="2"/>
      </tp>
      <tp t="s">
        <v>#N/A N/A</v>
        <stp/>
        <stp>BDP|2350441298200106551</stp>
        <tr r="B490" s="2"/>
      </tp>
      <tp t="s">
        <v>#N/A N/A</v>
        <stp/>
        <stp>BDP|7248890748006013782</stp>
        <tr r="G500" s="2"/>
      </tp>
      <tp t="s">
        <v>#N/A N/A</v>
        <stp/>
        <stp>BDP|9104292160345226215</stp>
        <tr r="F1834" s="2"/>
      </tp>
      <tp t="s">
        <v>#N/A N/A</v>
        <stp/>
        <stp>BDP|6298175191921678594</stp>
        <tr r="F2554" s="2"/>
      </tp>
      <tp t="s">
        <v>#N/A N/A</v>
        <stp/>
        <stp>BDP|5400894888748733796</stp>
        <tr r="D4274" s="2"/>
      </tp>
      <tp t="s">
        <v>#N/A N/A</v>
        <stp/>
        <stp>BDP|2246484206605082947</stp>
        <tr r="I1258" s="2"/>
      </tp>
      <tp t="s">
        <v>#N/A N/A</v>
        <stp/>
        <stp>BDP|9230324708331350139</stp>
        <tr r="F4347" s="2"/>
      </tp>
      <tp t="s">
        <v>#N/A N/A</v>
        <stp/>
        <stp>BDP|8309870239950676936</stp>
        <tr r="G1584" s="2"/>
      </tp>
      <tp t="s">
        <v>#N/A N/A</v>
        <stp/>
        <stp>BDP|6020812408881206530</stp>
        <tr r="A3267" s="2"/>
      </tp>
      <tp t="s">
        <v>#N/A N/A</v>
        <stp/>
        <stp>BDP|2980867937740186318</stp>
        <tr r="F1040" s="2"/>
      </tp>
      <tp t="s">
        <v>#N/A N/A</v>
        <stp/>
        <stp>BDP|9157543630364987146</stp>
        <tr r="I959" s="2"/>
      </tp>
      <tp t="s">
        <v>#N/A N/A</v>
        <stp/>
        <stp>BDP|8911468546227087518</stp>
        <tr r="A4037" s="2"/>
      </tp>
      <tp t="s">
        <v>#N/A N/A</v>
        <stp/>
        <stp>BDP|2751091226778316239</stp>
        <tr r="C3264" s="2"/>
      </tp>
      <tp t="s">
        <v>#N/A N/A</v>
        <stp/>
        <stp>BDP|5499992162317405733</stp>
        <tr r="G1814" s="2"/>
      </tp>
      <tp t="s">
        <v>#N/A N/A</v>
        <stp/>
        <stp>BDP|7724319131594601995</stp>
        <tr r="H610" s="2"/>
      </tp>
      <tp t="s">
        <v>#N/A N/A</v>
        <stp/>
        <stp>BDP|3595895074537679165</stp>
        <tr r="A4542" s="2"/>
      </tp>
      <tp t="s">
        <v>#N/A N/A</v>
        <stp/>
        <stp>BDP|9517109708535659733</stp>
        <tr r="H1084" s="2"/>
      </tp>
      <tp t="s">
        <v>#N/A N/A</v>
        <stp/>
        <stp>BDP|9937305634597493411</stp>
        <tr r="G509" s="2"/>
      </tp>
      <tp t="s">
        <v>#N/A N/A</v>
        <stp/>
        <stp>BDP|7270158775179866222</stp>
        <tr r="A4917" s="2"/>
      </tp>
      <tp t="s">
        <v>#N/A N/A</v>
        <stp/>
        <stp>BDP|1995987432049219895</stp>
        <tr r="F3538" s="2"/>
      </tp>
      <tp t="s">
        <v>#N/A N/A</v>
        <stp/>
        <stp>BDP|4969218039796109983</stp>
        <tr r="F2724" s="2"/>
      </tp>
      <tp t="s">
        <v>#N/A N/A</v>
        <stp/>
        <stp>BDP|3930379820050077867</stp>
        <tr r="H4766" s="2"/>
      </tp>
      <tp t="s">
        <v>#N/A N/A</v>
        <stp/>
        <stp>BDP|2844638295444324357</stp>
        <tr r="G4362" s="2"/>
      </tp>
      <tp t="s">
        <v>#N/A N/A</v>
        <stp/>
        <stp>BDP|9527199702161020365</stp>
        <tr r="C3829" s="2"/>
      </tp>
      <tp t="s">
        <v>#N/A N/A</v>
        <stp/>
        <stp>BDP|6600520184597886600</stp>
        <tr r="B3798" s="2"/>
      </tp>
      <tp t="s">
        <v>#N/A N/A</v>
        <stp/>
        <stp>BDP|4607168546293844863</stp>
        <tr r="I4456" s="2"/>
      </tp>
      <tp t="s">
        <v>#N/A N/A</v>
        <stp/>
        <stp>BDP|8091635059781170031</stp>
        <tr r="B4614" s="2"/>
      </tp>
      <tp t="s">
        <v>#N/A N/A</v>
        <stp/>
        <stp>BDP|9069779658571422035</stp>
        <tr r="H3876" s="2"/>
      </tp>
      <tp t="s">
        <v>#N/A N/A</v>
        <stp/>
        <stp>BDP|3944627753972005806</stp>
        <tr r="D3426" s="2"/>
      </tp>
      <tp t="s">
        <v>#N/A N/A</v>
        <stp/>
        <stp>BDP|5958859972168505831</stp>
        <tr r="G828" s="2"/>
      </tp>
      <tp t="s">
        <v>#N/A N/A</v>
        <stp/>
        <stp>BDP|9168683665926225562</stp>
        <tr r="D4205" s="2"/>
      </tp>
      <tp t="s">
        <v>#N/A N/A</v>
        <stp/>
        <stp>BDP|9592885976985586962</stp>
        <tr r="A4064" s="2"/>
      </tp>
      <tp t="s">
        <v>#N/A N/A</v>
        <stp/>
        <stp>BDP|3656953908257630758</stp>
        <tr r="I3210" s="2"/>
      </tp>
      <tp t="s">
        <v>#N/A N/A</v>
        <stp/>
        <stp>BDP|8904818646079641702</stp>
        <tr r="B1595" s="2"/>
      </tp>
      <tp t="s">
        <v>#N/A N/A</v>
        <stp/>
        <stp>BDP|7400745185932461094</stp>
        <tr r="H4111" s="2"/>
      </tp>
      <tp t="s">
        <v>#N/A N/A</v>
        <stp/>
        <stp>BDP|5642641087294825554</stp>
        <tr r="I1030" s="2"/>
      </tp>
      <tp t="s">
        <v>#N/A N/A</v>
        <stp/>
        <stp>BDP|1295775285577018389</stp>
        <tr r="F3516" s="2"/>
      </tp>
      <tp t="s">
        <v>#N/A N/A</v>
        <stp/>
        <stp>BDP|6369663145187978912</stp>
        <tr r="C257" s="2"/>
      </tp>
      <tp t="s">
        <v>#N/A N/A</v>
        <stp/>
        <stp>BDP|4582210743149698191</stp>
        <tr r="G425" s="2"/>
      </tp>
      <tp t="s">
        <v>#N/A N/A</v>
        <stp/>
        <stp>BDP|4030754098449130940</stp>
        <tr r="H331" s="2"/>
      </tp>
      <tp t="s">
        <v>#N/A N/A</v>
        <stp/>
        <stp>BDP|1521867395653804963</stp>
        <tr r="A3484" s="2"/>
      </tp>
      <tp t="s">
        <v>#N/A N/A</v>
        <stp/>
        <stp>BDP|1890923029962325281</stp>
        <tr r="D3562" s="2"/>
      </tp>
      <tp t="s">
        <v>#N/A N/A</v>
        <stp/>
        <stp>BDP|3340256852369400781</stp>
        <tr r="A2664" s="2"/>
      </tp>
      <tp t="s">
        <v>#N/A N/A</v>
        <stp/>
        <stp>BDP|7439357969671563957</stp>
        <tr r="G3810" s="2"/>
      </tp>
      <tp t="s">
        <v>#N/A N/A</v>
        <stp/>
        <stp>BDP|7431646688263430047</stp>
        <tr r="C1895" s="2"/>
      </tp>
      <tp t="s">
        <v>#N/A N/A</v>
        <stp/>
        <stp>BDP|8695845649988026634</stp>
        <tr r="D3490" s="2"/>
      </tp>
      <tp t="s">
        <v>#N/A N/A</v>
        <stp/>
        <stp>BDP|8713807885705305792</stp>
        <tr r="A2815" s="2"/>
      </tp>
      <tp t="s">
        <v>#N/A N/A</v>
        <stp/>
        <stp>BDP|9795680117950319432</stp>
        <tr r="A2348" s="2"/>
      </tp>
      <tp t="s">
        <v>#N/A N/A</v>
        <stp/>
        <stp>BDP|6537317909709234673</stp>
        <tr r="I2942" s="2"/>
      </tp>
      <tp t="s">
        <v>#N/A N/A</v>
        <stp/>
        <stp>BDP|2633145759568499479</stp>
        <tr r="F4440" s="2"/>
      </tp>
      <tp t="s">
        <v>#N/A N/A</v>
        <stp/>
        <stp>BDP|4111646009620247867</stp>
        <tr r="H2139" s="2"/>
      </tp>
      <tp t="s">
        <v>#N/A N/A</v>
        <stp/>
        <stp>BDP|5749217368983397851</stp>
        <tr r="H3917" s="2"/>
      </tp>
      <tp t="s">
        <v>#N/A N/A</v>
        <stp/>
        <stp>BDP|1273934306300626290</stp>
        <tr r="I3579" s="2"/>
      </tp>
      <tp t="s">
        <v>#N/A N/A</v>
        <stp/>
        <stp>BDP|6739377279081339925</stp>
        <tr r="I497" s="2"/>
      </tp>
      <tp t="s">
        <v>#N/A N/A</v>
        <stp/>
        <stp>BDP|8004186202016442567</stp>
        <tr r="C1731" s="2"/>
      </tp>
      <tp t="s">
        <v>#N/A N/A</v>
        <stp/>
        <stp>BDP|8414693475772465146</stp>
        <tr r="I1741" s="2"/>
      </tp>
      <tp t="s">
        <v>#N/A N/A</v>
        <stp/>
        <stp>BDP|7926021762518468355</stp>
        <tr r="F1943" s="2"/>
      </tp>
      <tp t="s">
        <v>#N/A N/A</v>
        <stp/>
        <stp>BDP|2345140239052417821</stp>
        <tr r="H1528" s="2"/>
      </tp>
      <tp t="s">
        <v>#N/A N/A</v>
        <stp/>
        <stp>BDP|5860895878290954080</stp>
        <tr r="A4566" s="2"/>
      </tp>
      <tp t="s">
        <v>#N/A N/A</v>
        <stp/>
        <stp>BDP|2715564636168682698</stp>
        <tr r="C4367" s="2"/>
      </tp>
      <tp t="s">
        <v>#N/A N/A</v>
        <stp/>
        <stp>BDP|7431113792356724385</stp>
        <tr r="B1603" s="2"/>
      </tp>
      <tp t="s">
        <v>#N/A N/A</v>
        <stp/>
        <stp>BDP|4093137589920539770</stp>
        <tr r="I3647" s="2"/>
      </tp>
      <tp t="s">
        <v>#N/A N/A</v>
        <stp/>
        <stp>BDP|1831244364486535954</stp>
        <tr r="D4818" s="2"/>
      </tp>
      <tp t="s">
        <v>#N/A N/A</v>
        <stp/>
        <stp>BDP|2443685092584054365</stp>
        <tr r="D2243" s="2"/>
      </tp>
      <tp t="s">
        <v>#N/A N/A</v>
        <stp/>
        <stp>BDP|6350816789565074936</stp>
        <tr r="F3314" s="2"/>
      </tp>
      <tp t="s">
        <v>#N/A N/A</v>
        <stp/>
        <stp>BDP|8093769663705888658</stp>
        <tr r="I2354" s="2"/>
      </tp>
      <tp t="s">
        <v>#N/A N/A</v>
        <stp/>
        <stp>BDP|1056437834744774885</stp>
        <tr r="D4395" s="2"/>
      </tp>
      <tp t="s">
        <v>#N/A N/A</v>
        <stp/>
        <stp>BDP|3238523828739934792</stp>
        <tr r="G253" s="2"/>
      </tp>
      <tp t="s">
        <v>#N/A N/A</v>
        <stp/>
        <stp>BDP|1423418835439898501</stp>
        <tr r="H2093" s="2"/>
      </tp>
      <tp t="s">
        <v>#N/A N/A</v>
        <stp/>
        <stp>BDP|8132571318591519730</stp>
        <tr r="H1332" s="2"/>
      </tp>
      <tp t="s">
        <v>#N/A N/A</v>
        <stp/>
        <stp>BDP|5543563424388723080</stp>
        <tr r="F150" s="2"/>
      </tp>
      <tp t="s">
        <v>#N/A N/A</v>
        <stp/>
        <stp>BDP|7814054210395053955</stp>
        <tr r="F4089" s="2"/>
      </tp>
      <tp t="s">
        <v>#N/A N/A</v>
        <stp/>
        <stp>BDP|9240669744136088782</stp>
        <tr r="C3458" s="2"/>
      </tp>
      <tp t="s">
        <v>#N/A N/A</v>
        <stp/>
        <stp>BDP|3606995765816155021</stp>
        <tr r="B3822" s="2"/>
      </tp>
      <tp t="s">
        <v>#N/A N/A</v>
        <stp/>
        <stp>BDP|1697925233567910671</stp>
        <tr r="B2855" s="2"/>
      </tp>
      <tp t="s">
        <v>#N/A N/A</v>
        <stp/>
        <stp>BDP|5162904614453979458</stp>
        <tr r="B2153" s="2"/>
      </tp>
      <tp t="s">
        <v>#N/A N/A</v>
        <stp/>
        <stp>BDP|9370787375582152169</stp>
        <tr r="F4591" s="2"/>
      </tp>
      <tp t="s">
        <v>#N/A N/A</v>
        <stp/>
        <stp>BDP|8754498805601172734</stp>
        <tr r="C4055" s="2"/>
      </tp>
      <tp t="s">
        <v>#N/A N/A</v>
        <stp/>
        <stp>BDP|8615879964535866943</stp>
        <tr r="C118" s="2"/>
      </tp>
      <tp t="s">
        <v>#N/A N/A</v>
        <stp/>
        <stp>BDP|5990177093416641125</stp>
        <tr r="D4423" s="2"/>
      </tp>
      <tp t="s">
        <v>#N/A N/A</v>
        <stp/>
        <stp>BDP|7666003759948665000</stp>
        <tr r="F293" s="2"/>
      </tp>
      <tp t="s">
        <v>#N/A N/A</v>
        <stp/>
        <stp>BDP|4952970607250040709</stp>
        <tr r="F2744" s="2"/>
      </tp>
      <tp t="s">
        <v>#N/A N/A</v>
        <stp/>
        <stp>BDP|3102362023621998947</stp>
        <tr r="G4601" s="2"/>
      </tp>
      <tp t="s">
        <v>#N/A N/A</v>
        <stp/>
        <stp>BDP|9981727256095212464</stp>
        <tr r="I2912" s="2"/>
      </tp>
      <tp t="s">
        <v>#N/A N/A</v>
        <stp/>
        <stp>BDP|9131955244098143688</stp>
        <tr r="I4726" s="2"/>
      </tp>
      <tp t="s">
        <v>#N/A N/A</v>
        <stp/>
        <stp>BDP|4802100181881171615</stp>
        <tr r="I1146" s="2"/>
      </tp>
      <tp t="s">
        <v>#N/A N/A</v>
        <stp/>
        <stp>BDP|9552987432648588136</stp>
        <tr r="A2184" s="2"/>
      </tp>
      <tp t="s">
        <v>#N/A N/A</v>
        <stp/>
        <stp>BDP|7968870966366915589</stp>
        <tr r="C913" s="2"/>
      </tp>
      <tp t="s">
        <v>#N/A N/A</v>
        <stp/>
        <stp>BDP|9458079129316363704</stp>
        <tr r="C1390" s="2"/>
      </tp>
      <tp t="s">
        <v>#N/A N/A</v>
        <stp/>
        <stp>BDP|7951905817992665713</stp>
        <tr r="H2379" s="2"/>
      </tp>
      <tp t="s">
        <v>#N/A N/A</v>
        <stp/>
        <stp>BDP|5414200345281969819</stp>
        <tr r="F4532" s="2"/>
      </tp>
      <tp t="s">
        <v>#N/A N/A</v>
        <stp/>
        <stp>BDP|6414928269193267042</stp>
        <tr r="A4477" s="2"/>
      </tp>
      <tp t="s">
        <v>#N/A N/A</v>
        <stp/>
        <stp>BDP|6817598392249204984</stp>
        <tr r="H1893" s="2"/>
      </tp>
      <tp t="s">
        <v>#N/A N/A</v>
        <stp/>
        <stp>BDP|8617214478246703118</stp>
        <tr r="F1578" s="2"/>
      </tp>
      <tp t="s">
        <v>#N/A N/A</v>
        <stp/>
        <stp>BDP|5351395113195477849</stp>
        <tr r="C549" s="2"/>
      </tp>
      <tp t="s">
        <v>#N/A N/A</v>
        <stp/>
        <stp>BDP|1490185864968096413</stp>
        <tr r="G1701" s="2"/>
      </tp>
      <tp t="s">
        <v>#N/A N/A</v>
        <stp/>
        <stp>BDP|5373735583827826726</stp>
        <tr r="G615" s="2"/>
      </tp>
      <tp t="s">
        <v>#N/A N/A</v>
        <stp/>
        <stp>BDP|4835994537185904168</stp>
        <tr r="I2178" s="2"/>
      </tp>
      <tp t="s">
        <v>#N/A N/A</v>
        <stp/>
        <stp>BDP|3809517962009663340</stp>
        <tr r="I4573" s="2"/>
      </tp>
      <tp t="s">
        <v>#N/A N/A</v>
        <stp/>
        <stp>BDP|2395927105301888054</stp>
        <tr r="D1072" s="2"/>
      </tp>
      <tp t="s">
        <v>#N/A N/A</v>
        <stp/>
        <stp>BDP|5342434458197072917</stp>
        <tr r="B1871" s="2"/>
      </tp>
      <tp t="s">
        <v>#N/A N/A</v>
        <stp/>
        <stp>BDP|8331295935693605000</stp>
        <tr r="F2792" s="2"/>
      </tp>
      <tp t="s">
        <v>#N/A N/A</v>
        <stp/>
        <stp>BDP|1290789260903403979</stp>
        <tr r="F4183" s="2"/>
      </tp>
      <tp t="s">
        <v>#N/A N/A</v>
        <stp/>
        <stp>BDP|6127243153039797288</stp>
        <tr r="I2814" s="2"/>
      </tp>
      <tp t="s">
        <v>#N/A N/A</v>
        <stp/>
        <stp>BDP|9899108585463402905</stp>
        <tr r="G3980" s="2"/>
      </tp>
      <tp t="s">
        <v>#N/A N/A</v>
        <stp/>
        <stp>BDP|8964169077500584441</stp>
        <tr r="G2401" s="2"/>
      </tp>
      <tp t="s">
        <v>#N/A N/A</v>
        <stp/>
        <stp>BDP|9507871233448011087</stp>
        <tr r="B2166" s="2"/>
      </tp>
      <tp t="s">
        <v>#N/A N/A</v>
        <stp/>
        <stp>BDP|2870627899611265683</stp>
        <tr r="A4043" s="2"/>
      </tp>
      <tp t="s">
        <v>#N/A N/A</v>
        <stp/>
        <stp>BDP|7210855418015262140</stp>
        <tr r="B2557" s="2"/>
      </tp>
      <tp t="s">
        <v>#N/A N/A</v>
        <stp/>
        <stp>BDP|5609935783446828871</stp>
        <tr r="B4108" s="2"/>
      </tp>
      <tp t="s">
        <v>#N/A N/A</v>
        <stp/>
        <stp>BDP|4297739303168321181</stp>
        <tr r="G254" s="2"/>
      </tp>
      <tp t="s">
        <v>#N/A N/A</v>
        <stp/>
        <stp>BDP|9026084860056068312</stp>
        <tr r="G1483" s="2"/>
      </tp>
      <tp t="s">
        <v>#N/A N/A</v>
        <stp/>
        <stp>BDP|5703887525515069036</stp>
        <tr r="H4148" s="2"/>
      </tp>
      <tp t="s">
        <v>#N/A N/A</v>
        <stp/>
        <stp>BDP|9214510925732770683</stp>
        <tr r="D3361" s="2"/>
      </tp>
      <tp t="s">
        <v>#N/A N/A</v>
        <stp/>
        <stp>BDP|3693299206573380838</stp>
        <tr r="I2398" s="2"/>
      </tp>
      <tp t="s">
        <v>#N/A N/A</v>
        <stp/>
        <stp>BDP|6050334418766641847</stp>
        <tr r="F4335" s="2"/>
      </tp>
      <tp t="s">
        <v>#N/A N/A</v>
        <stp/>
        <stp>BDP|5120231779093142932</stp>
        <tr r="A4341" s="2"/>
      </tp>
      <tp t="s">
        <v>#N/A N/A</v>
        <stp/>
        <stp>BDP|6860550501688505105</stp>
        <tr r="H2833" s="2"/>
      </tp>
      <tp t="s">
        <v>#N/A N/A</v>
        <stp/>
        <stp>BDP|9751085120446314751</stp>
        <tr r="C4131" s="2"/>
      </tp>
      <tp t="s">
        <v>#N/A N/A</v>
        <stp/>
        <stp>BDP|9996710186089187565</stp>
        <tr r="C1421" s="2"/>
      </tp>
      <tp t="s">
        <v>#N/A N/A</v>
        <stp/>
        <stp>BDP|7139288101946436955</stp>
        <tr r="H725" s="2"/>
      </tp>
      <tp t="s">
        <v>#N/A N/A</v>
        <stp/>
        <stp>BDP|8378050827785062582</stp>
        <tr r="H3000" s="2"/>
      </tp>
      <tp t="s">
        <v>#N/A N/A</v>
        <stp/>
        <stp>BDP|5677589286351186302</stp>
        <tr r="A3153" s="2"/>
      </tp>
      <tp t="s">
        <v>#N/A N/A</v>
        <stp/>
        <stp>BDP|7700471126882864978</stp>
        <tr r="F958" s="2"/>
      </tp>
      <tp t="s">
        <v>#N/A N/A</v>
        <stp/>
        <stp>BDP|4677370122418227787</stp>
        <tr r="I3723" s="2"/>
      </tp>
      <tp t="s">
        <v>#N/A N/A</v>
        <stp/>
        <stp>BDP|6667462978298276737</stp>
        <tr r="F1153" s="2"/>
      </tp>
      <tp t="s">
        <v>#N/A N/A</v>
        <stp/>
        <stp>BDP|7672059983600969508</stp>
        <tr r="C1875" s="2"/>
      </tp>
      <tp t="s">
        <v>#N/A N/A</v>
        <stp/>
        <stp>BDP|3745532289713268761</stp>
        <tr r="I3644" s="2"/>
      </tp>
      <tp t="s">
        <v>#N/A N/A</v>
        <stp/>
        <stp>BDP|5208986779602215387</stp>
        <tr r="B792" s="2"/>
      </tp>
      <tp t="s">
        <v>#N/A N/A</v>
        <stp/>
        <stp>BDP|6982678946656925882</stp>
        <tr r="G346" s="2"/>
      </tp>
      <tp t="s">
        <v>#N/A N/A</v>
        <stp/>
        <stp>BDP|2082222298610051340</stp>
        <tr r="A1309" s="2"/>
      </tp>
      <tp t="s">
        <v>#N/A N/A</v>
        <stp/>
        <stp>BDP|6676279256323905804</stp>
        <tr r="D3651" s="2"/>
      </tp>
      <tp t="s">
        <v>#N/A N/A</v>
        <stp/>
        <stp>BDP|8781616900645980119</stp>
        <tr r="I4472" s="2"/>
      </tp>
      <tp t="s">
        <v>#N/A N/A</v>
        <stp/>
        <stp>BDP|4437104888805201206</stp>
        <tr r="B4412" s="2"/>
      </tp>
      <tp t="s">
        <v>#N/A N/A</v>
        <stp/>
        <stp>BDP|6324608232718829176</stp>
        <tr r="H2448" s="2"/>
      </tp>
      <tp t="s">
        <v>#N/A N/A</v>
        <stp/>
        <stp>BDP|6822852234121188661</stp>
        <tr r="D381" s="2"/>
      </tp>
      <tp t="s">
        <v>#N/A N/A</v>
        <stp/>
        <stp>BDP|2214944128327141419</stp>
        <tr r="H1721" s="2"/>
      </tp>
      <tp t="s">
        <v>#N/A N/A</v>
        <stp/>
        <stp>BDP|8812367406885649401</stp>
        <tr r="A4791" s="2"/>
      </tp>
      <tp t="s">
        <v>#N/A N/A</v>
        <stp/>
        <stp>BDP|7392885054399648970</stp>
        <tr r="D24" s="2"/>
      </tp>
      <tp t="s">
        <v>#N/A N/A</v>
        <stp/>
        <stp>BDP|9872727166163039129</stp>
        <tr r="A3498" s="2"/>
      </tp>
      <tp t="s">
        <v>#N/A N/A</v>
        <stp/>
        <stp>BDP|4157911574454299482</stp>
        <tr r="F1581" s="2"/>
      </tp>
      <tp t="s">
        <v>#N/A N/A</v>
        <stp/>
        <stp>BDP|9994498112050486683</stp>
        <tr r="F1358" s="2"/>
      </tp>
      <tp t="s">
        <v>#N/A N/A</v>
        <stp/>
        <stp>BDP|8009689584789646540</stp>
        <tr r="C2282" s="2"/>
      </tp>
      <tp t="s">
        <v>#N/A N/A</v>
        <stp/>
        <stp>BDP|9006449182498962711</stp>
        <tr r="B1482" s="2"/>
      </tp>
      <tp t="s">
        <v>#N/A N/A</v>
        <stp/>
        <stp>BDP|9378893756919202707</stp>
        <tr r="H4298" s="2"/>
      </tp>
      <tp t="s">
        <v>#N/A N/A</v>
        <stp/>
        <stp>BDP|7745222589386497166</stp>
        <tr r="B3511" s="2"/>
      </tp>
      <tp t="s">
        <v>#N/A N/A</v>
        <stp/>
        <stp>BDP|5442628712680247884</stp>
        <tr r="G4323" s="2"/>
      </tp>
      <tp t="s">
        <v>#N/A N/A</v>
        <stp/>
        <stp>BDP|3240515595393878608</stp>
        <tr r="A1555" s="2"/>
      </tp>
      <tp t="s">
        <v>#N/A N/A</v>
        <stp/>
        <stp>BDP|3696919264647580183</stp>
        <tr r="D3389" s="2"/>
      </tp>
      <tp t="s">
        <v>#N/A N/A</v>
        <stp/>
        <stp>BDP|1877227917219071138</stp>
        <tr r="A3617" s="2"/>
      </tp>
      <tp t="s">
        <v>#N/A N/A</v>
        <stp/>
        <stp>BDP|9773279878775602304</stp>
        <tr r="D3309" s="2"/>
      </tp>
      <tp t="s">
        <v>#N/A N/A</v>
        <stp/>
        <stp>BDP|9117412468497321658</stp>
        <tr r="C4054" s="2"/>
      </tp>
      <tp t="s">
        <v>#N/A N/A</v>
        <stp/>
        <stp>BDP|1504470231938911444</stp>
        <tr r="F2251" s="2"/>
      </tp>
      <tp t="s">
        <v>#N/A N/A</v>
        <stp/>
        <stp>BDP|3475759968571327945</stp>
        <tr r="C1006" s="2"/>
      </tp>
      <tp t="s">
        <v>#N/A N/A</v>
        <stp/>
        <stp>BDP|5876143593594397324</stp>
        <tr r="B370" s="2"/>
      </tp>
      <tp t="s">
        <v>#N/A N/A</v>
        <stp/>
        <stp>BDP|7978709530178257156</stp>
        <tr r="G1320" s="2"/>
      </tp>
      <tp t="s">
        <v>#N/A N/A</v>
        <stp/>
        <stp>BDP|6550921838235591343</stp>
        <tr r="F2326" s="2"/>
      </tp>
      <tp t="s">
        <v>#N/A N/A</v>
        <stp/>
        <stp>BDP|8422393722491507249</stp>
        <tr r="D2866" s="2"/>
      </tp>
      <tp t="s">
        <v>#N/A N/A</v>
        <stp/>
        <stp>BDP|8908417222882313671</stp>
        <tr r="G4994" s="2"/>
      </tp>
      <tp t="s">
        <v>#N/A N/A</v>
        <stp/>
        <stp>BDP|1361935228990029067</stp>
        <tr r="I1238" s="2"/>
      </tp>
      <tp t="s">
        <v>#N/A N/A</v>
        <stp/>
        <stp>BDP|4022128552318706297</stp>
        <tr r="C140" s="2"/>
      </tp>
      <tp t="s">
        <v>#N/A N/A</v>
        <stp/>
        <stp>BDP|9249087963613233658</stp>
        <tr r="C4184" s="2"/>
      </tp>
      <tp t="s">
        <v>#N/A N/A</v>
        <stp/>
        <stp>BDP|6756913159725396526</stp>
        <tr r="G4908" s="2"/>
      </tp>
      <tp t="s">
        <v>#N/A N/A</v>
        <stp/>
        <stp>BDP|9751390306445179578</stp>
        <tr r="D452" s="2"/>
      </tp>
      <tp t="s">
        <v>#N/A N/A</v>
        <stp/>
        <stp>BDP|1651633172853890916</stp>
        <tr r="B1734" s="2"/>
      </tp>
      <tp t="s">
        <v>#N/A N/A</v>
        <stp/>
        <stp>BDP|8467257508718766801</stp>
        <tr r="D498" s="2"/>
      </tp>
      <tp t="s">
        <v>#N/A N/A</v>
        <stp/>
        <stp>BDP|7149996942202286269</stp>
        <tr r="F1724" s="2"/>
      </tp>
      <tp t="s">
        <v>#N/A N/A</v>
        <stp/>
        <stp>BDP|9450090470172675652</stp>
        <tr r="A952" s="2"/>
      </tp>
      <tp t="s">
        <v>#N/A N/A</v>
        <stp/>
        <stp>BDP|3227953903187271786</stp>
        <tr r="D1983" s="2"/>
      </tp>
      <tp t="s">
        <v>#N/A N/A</v>
        <stp/>
        <stp>BDP|2795649178519116045</stp>
        <tr r="F1067" s="2"/>
      </tp>
      <tp t="s">
        <v>#N/A N/A</v>
        <stp/>
        <stp>BDP|6921188276378807218</stp>
        <tr r="H1388" s="2"/>
      </tp>
      <tp t="s">
        <v>#N/A N/A</v>
        <stp/>
        <stp>BDP|2558685575518553131</stp>
        <tr r="D2291" s="2"/>
      </tp>
      <tp t="s">
        <v>#N/A N/A</v>
        <stp/>
        <stp>BDP|4277321246528073184</stp>
        <tr r="A3866" s="2"/>
      </tp>
      <tp t="s">
        <v>#N/A N/A</v>
        <stp/>
        <stp>BDP|3801843054751349550</stp>
        <tr r="A3938" s="2"/>
      </tp>
      <tp t="s">
        <v>#N/A N/A</v>
        <stp/>
        <stp>BDP|5011095617779138710</stp>
        <tr r="F1620" s="2"/>
      </tp>
      <tp t="s">
        <v>#N/A N/A</v>
        <stp/>
        <stp>BDP|8657123599888781246</stp>
        <tr r="H3688" s="2"/>
      </tp>
      <tp t="s">
        <v>#N/A N/A</v>
        <stp/>
        <stp>BDP|4208572655177918971</stp>
        <tr r="G1218" s="2"/>
      </tp>
      <tp t="s">
        <v>#N/A N/A</v>
        <stp/>
        <stp>BDP|9197117224954351491</stp>
        <tr r="B3413" s="2"/>
      </tp>
      <tp t="s">
        <v>#N/A N/A</v>
        <stp/>
        <stp>BDP|9851738825832078401</stp>
        <tr r="F4677" s="2"/>
      </tp>
      <tp t="s">
        <v>#N/A N/A</v>
        <stp/>
        <stp>BDP|5328940507270657686</stp>
        <tr r="A259" s="2"/>
      </tp>
      <tp t="s">
        <v>#N/A N/A</v>
        <stp/>
        <stp>BDP|4585787547645584813</stp>
        <tr r="I4752" s="2"/>
      </tp>
      <tp t="s">
        <v>#N/A N/A</v>
        <stp/>
        <stp>BDP|3890911657326796370</stp>
        <tr r="C3510" s="2"/>
      </tp>
      <tp t="s">
        <v>#N/A N/A</v>
        <stp/>
        <stp>BDP|1422055189500152372</stp>
        <tr r="C4420" s="2"/>
      </tp>
      <tp t="s">
        <v>#N/A N/A</v>
        <stp/>
        <stp>BDP|3312840209371874080</stp>
        <tr r="C2900" s="2"/>
      </tp>
      <tp t="s">
        <v>#N/A N/A</v>
        <stp/>
        <stp>BDP|5534002538409532563</stp>
        <tr r="G3111" s="2"/>
      </tp>
      <tp t="s">
        <v>#N/A N/A</v>
        <stp/>
        <stp>BDP|5961553197446249570</stp>
        <tr r="F2495" s="2"/>
      </tp>
      <tp t="s">
        <v>#N/A N/A</v>
        <stp/>
        <stp>BDP|4728091597056772101</stp>
        <tr r="G1444" s="2"/>
      </tp>
      <tp t="s">
        <v>#N/A N/A</v>
        <stp/>
        <stp>BDP|7350716880451817343</stp>
        <tr r="D4951" s="2"/>
      </tp>
      <tp t="s">
        <v>#N/A N/A</v>
        <stp/>
        <stp>BDP|2741403383654920037</stp>
        <tr r="B1674" s="2"/>
      </tp>
      <tp t="s">
        <v>#N/A N/A</v>
        <stp/>
        <stp>BDP|2777443944388806013</stp>
        <tr r="I4167" s="2"/>
      </tp>
      <tp t="s">
        <v>#N/A N/A</v>
        <stp/>
        <stp>BDP|3259381577078048534</stp>
        <tr r="I4103" s="2"/>
      </tp>
      <tp t="s">
        <v>#N/A N/A</v>
        <stp/>
        <stp>BDP|6486341851952804874</stp>
        <tr r="G4946" s="2"/>
      </tp>
      <tp t="s">
        <v>#N/A N/A</v>
        <stp/>
        <stp>BDP|1632206954219923551</stp>
        <tr r="C3018" s="2"/>
      </tp>
      <tp t="s">
        <v>#N/A N/A</v>
        <stp/>
        <stp>BDP|7307240623499931430</stp>
        <tr r="F2650" s="2"/>
      </tp>
      <tp t="s">
        <v>#N/A N/A</v>
        <stp/>
        <stp>BDP|8907626855322625361</stp>
        <tr r="I3122" s="2"/>
      </tp>
      <tp t="s">
        <v>#N/A N/A</v>
        <stp/>
        <stp>BDP|9240317377713347489</stp>
        <tr r="H766" s="2"/>
      </tp>
      <tp t="s">
        <v>#N/A N/A</v>
        <stp/>
        <stp>BDP|4792964938190743411</stp>
        <tr r="C4562" s="2"/>
      </tp>
      <tp t="s">
        <v>#N/A N/A</v>
        <stp/>
        <stp>BDP|4989618122938288278</stp>
        <tr r="D2818" s="2"/>
      </tp>
      <tp t="s">
        <v>#N/A N/A</v>
        <stp/>
        <stp>BDP|8454492520760608449</stp>
        <tr r="C3297" s="2"/>
      </tp>
      <tp t="s">
        <v>#N/A N/A</v>
        <stp/>
        <stp>BDP|7007534095294966509</stp>
        <tr r="I1069" s="2"/>
      </tp>
      <tp t="s">
        <v>#N/A N/A</v>
        <stp/>
        <stp>BDP|6892801834186738143</stp>
        <tr r="G2416" s="2"/>
      </tp>
      <tp t="s">
        <v>#N/A N/A</v>
        <stp/>
        <stp>BDP|7388302748092543816</stp>
        <tr r="C1368" s="2"/>
      </tp>
      <tp t="s">
        <v>#N/A N/A</v>
        <stp/>
        <stp>BDP|9280207259063542713</stp>
        <tr r="A3366" s="2"/>
      </tp>
      <tp t="s">
        <v>#N/A N/A</v>
        <stp/>
        <stp>BDP|8180083300370798219</stp>
        <tr r="A2909" s="2"/>
      </tp>
      <tp t="s">
        <v>#N/A N/A</v>
        <stp/>
        <stp>BDP|2458947912881534181</stp>
        <tr r="I778" s="2"/>
      </tp>
      <tp t="s">
        <v>#N/A N/A</v>
        <stp/>
        <stp>BDP|7195140012275174897</stp>
        <tr r="F4730" s="2"/>
      </tp>
      <tp t="s">
        <v>#N/A N/A</v>
        <stp/>
        <stp>BDP|5949020495930069610</stp>
        <tr r="A4245" s="2"/>
      </tp>
      <tp t="s">
        <v>#N/A N/A</v>
        <stp/>
        <stp>BDP|8995654570883185026</stp>
        <tr r="C3821" s="2"/>
      </tp>
      <tp t="s">
        <v>#N/A N/A</v>
        <stp/>
        <stp>BDP|2528849518339521831</stp>
        <tr r="C4543" s="2"/>
      </tp>
      <tp t="s">
        <v>#N/A N/A</v>
        <stp/>
        <stp>BDP|6689923243521071082</stp>
        <tr r="I2853" s="2"/>
      </tp>
      <tp t="s">
        <v>#N/A N/A</v>
        <stp/>
        <stp>BDP|1283051188720229327</stp>
        <tr r="H1632" s="2"/>
      </tp>
      <tp t="s">
        <v>#N/A N/A</v>
        <stp/>
        <stp>BDP|4108165890132179498</stp>
        <tr r="I2319" s="2"/>
      </tp>
      <tp t="s">
        <v>#N/A N/A</v>
        <stp/>
        <stp>BDP|2090918419186198663</stp>
        <tr r="C1634" s="2"/>
      </tp>
      <tp t="s">
        <v>#N/A N/A</v>
        <stp/>
        <stp>BDP|4890348792525267138</stp>
        <tr r="C3098" s="2"/>
      </tp>
      <tp t="s">
        <v>#N/A N/A</v>
        <stp/>
        <stp>BDP|5105509449049567725</stp>
        <tr r="B2630" s="2"/>
      </tp>
      <tp t="s">
        <v>#N/A N/A</v>
        <stp/>
        <stp>BDP|8495261929775304775</stp>
        <tr r="F1241" s="2"/>
      </tp>
      <tp t="s">
        <v>#N/A N/A</v>
        <stp/>
        <stp>BDP|8041731106295242089</stp>
        <tr r="H3464" s="2"/>
      </tp>
      <tp t="s">
        <v>#N/A N/A</v>
        <stp/>
        <stp>BDP|1653190260388539458</stp>
        <tr r="A3463" s="2"/>
      </tp>
      <tp t="s">
        <v>#N/A N/A</v>
        <stp/>
        <stp>BDP|9699495335191693538</stp>
        <tr r="F604" s="2"/>
      </tp>
      <tp t="s">
        <v>#N/A N/A</v>
        <stp/>
        <stp>BDP|8811992881110979369</stp>
        <tr r="I188" s="2"/>
      </tp>
      <tp t="s">
        <v>#N/A N/A</v>
        <stp/>
        <stp>BDP|7872571181119680973</stp>
        <tr r="I2243" s="2"/>
      </tp>
      <tp t="s">
        <v>#N/A N/A</v>
        <stp/>
        <stp>BDP|2551842016613188296</stp>
        <tr r="A1077" s="2"/>
      </tp>
      <tp t="s">
        <v>#N/A N/A</v>
        <stp/>
        <stp>BDP|7725953913263842668</stp>
        <tr r="H1078" s="2"/>
      </tp>
      <tp t="s">
        <v>#N/A N/A</v>
        <stp/>
        <stp>BDP|5536591282915720767</stp>
        <tr r="G2662" s="2"/>
      </tp>
      <tp t="s">
        <v>#N/A N/A</v>
        <stp/>
        <stp>BDP|1118681961233542828</stp>
        <tr r="F2488" s="2"/>
      </tp>
      <tp t="s">
        <v>#N/A N/A</v>
        <stp/>
        <stp>BDP|4477971612815742394</stp>
        <tr r="C1712" s="2"/>
      </tp>
      <tp t="s">
        <v>#N/A N/A</v>
        <stp/>
        <stp>BDP|4869028895414842380</stp>
        <tr r="H470" s="2"/>
      </tp>
      <tp t="s">
        <v>#N/A N/A</v>
        <stp/>
        <stp>BDP|8592736114042425693</stp>
        <tr r="A3378" s="2"/>
      </tp>
      <tp t="s">
        <v>#N/A N/A</v>
        <stp/>
        <stp>BDP|1496999560731599570</stp>
        <tr r="G326" s="2"/>
      </tp>
      <tp t="s">
        <v>#N/A N/A</v>
        <stp/>
        <stp>BDP|6744981131894448258</stp>
        <tr r="F2873" s="2"/>
      </tp>
      <tp t="s">
        <v>#N/A N/A</v>
        <stp/>
        <stp>BDP|3756993177360070763</stp>
        <tr r="C4113" s="2"/>
      </tp>
      <tp t="s">
        <v>#N/A N/A</v>
        <stp/>
        <stp>BDP|8661300996730848874</stp>
        <tr r="G193" s="2"/>
      </tp>
      <tp t="s">
        <v>#N/A N/A</v>
        <stp/>
        <stp>BDP|4928864731220643571</stp>
        <tr r="D1396" s="2"/>
      </tp>
      <tp t="s">
        <v>#N/A N/A</v>
        <stp/>
        <stp>BDP|8809345685568127173</stp>
        <tr r="F932" s="2"/>
      </tp>
      <tp t="s">
        <v>#N/A N/A</v>
        <stp/>
        <stp>BDP|1258840298333761961</stp>
        <tr r="A2217" s="2"/>
      </tp>
      <tp t="s">
        <v>#N/A N/A</v>
        <stp/>
        <stp>BDP|4716996966789311841</stp>
        <tr r="H578" s="2"/>
      </tp>
      <tp t="s">
        <v>#N/A N/A</v>
        <stp/>
        <stp>BDP|8612118709514943788</stp>
        <tr r="G2034" s="2"/>
      </tp>
      <tp t="s">
        <v>#N/A N/A</v>
        <stp/>
        <stp>BDP|6006822749431250163</stp>
        <tr r="A1652" s="2"/>
      </tp>
      <tp t="s">
        <v>#N/A N/A</v>
        <stp/>
        <stp>BDP|3368426450650805866</stp>
        <tr r="H2282" s="2"/>
      </tp>
      <tp t="s">
        <v>#N/A N/A</v>
        <stp/>
        <stp>BDP|1423749695947956234</stp>
        <tr r="I163" s="2"/>
      </tp>
      <tp t="s">
        <v>#N/A N/A</v>
        <stp/>
        <stp>BDP|2525495725438681608</stp>
        <tr r="I3591" s="2"/>
      </tp>
      <tp t="s">
        <v>#N/A N/A</v>
        <stp/>
        <stp>BDP|3466821553131211584</stp>
        <tr r="A3262" s="2"/>
      </tp>
      <tp t="s">
        <v>#N/A N/A</v>
        <stp/>
        <stp>BDP|5412294773533165905</stp>
        <tr r="H1985" s="2"/>
      </tp>
      <tp t="s">
        <v>#N/A N/A</v>
        <stp/>
        <stp>BDP|8137696304681570567</stp>
        <tr r="D2136" s="2"/>
      </tp>
      <tp t="s">
        <v>#N/A N/A</v>
        <stp/>
        <stp>BDP|9113917620448639092</stp>
        <tr r="B2860" s="2"/>
      </tp>
      <tp t="s">
        <v>#N/A N/A</v>
        <stp/>
        <stp>BDP|7886885102266858359</stp>
        <tr r="H4307" s="2"/>
      </tp>
      <tp t="s">
        <v>#N/A N/A</v>
        <stp/>
        <stp>BDP|3360935691420811964</stp>
        <tr r="G338" s="2"/>
      </tp>
      <tp t="s">
        <v>#N/A N/A</v>
        <stp/>
        <stp>BDP|3359187353494401934</stp>
        <tr r="G890" s="2"/>
      </tp>
      <tp t="s">
        <v>#N/A N/A</v>
        <stp/>
        <stp>BDP|5193700046459175598</stp>
        <tr r="C1163" s="2"/>
      </tp>
      <tp t="s">
        <v>#N/A N/A</v>
        <stp/>
        <stp>BDP|2925616101798180679</stp>
        <tr r="F1910" s="2"/>
      </tp>
      <tp t="s">
        <v>#N/A N/A</v>
        <stp/>
        <stp>BDP|4387264247881833955</stp>
        <tr r="B4809" s="2"/>
      </tp>
      <tp t="s">
        <v>#N/A N/A</v>
        <stp/>
        <stp>BDP|5410932804857503199</stp>
        <tr r="I1310" s="2"/>
      </tp>
      <tp t="s">
        <v>#N/A N/A</v>
        <stp/>
        <stp>BDP|8053683062236169440</stp>
        <tr r="A2979" s="2"/>
      </tp>
      <tp t="s">
        <v>#N/A N/A</v>
        <stp/>
        <stp>BDP|8965102066893189611</stp>
        <tr r="H2517" s="2"/>
      </tp>
      <tp t="s">
        <v>#N/A N/A</v>
        <stp/>
        <stp>BDP|4324083544813986995</stp>
        <tr r="I2193" s="2"/>
      </tp>
      <tp t="s">
        <v>#N/A N/A</v>
        <stp/>
        <stp>BDP|9880704763387639528</stp>
        <tr r="F2025" s="2"/>
      </tp>
      <tp t="s">
        <v>#N/A N/A</v>
        <stp/>
        <stp>BDP|2420149778268593624</stp>
        <tr r="G1937" s="2"/>
      </tp>
      <tp t="s">
        <v>#N/A N/A</v>
        <stp/>
        <stp>BDP|8428649612332954749</stp>
        <tr r="C2175" s="2"/>
      </tp>
      <tp t="s">
        <v>#N/A N/A</v>
        <stp/>
        <stp>BDP|3199709789401634713</stp>
        <tr r="I1552" s="2"/>
      </tp>
      <tp t="s">
        <v>#N/A N/A</v>
        <stp/>
        <stp>BDP|8781791277105496726</stp>
        <tr r="C473" s="2"/>
      </tp>
      <tp t="s">
        <v>#N/A N/A</v>
        <stp/>
        <stp>BDP|9491709355507642686</stp>
        <tr r="I4261" s="2"/>
      </tp>
      <tp t="s">
        <v>#N/A N/A</v>
        <stp/>
        <stp>BDP|8024138973355769188</stp>
        <tr r="G3257" s="2"/>
      </tp>
      <tp t="s">
        <v>#N/A N/A</v>
        <stp/>
        <stp>BDP|8544107540941258688</stp>
        <tr r="D4562" s="2"/>
      </tp>
      <tp t="s">
        <v>#N/A N/A</v>
        <stp/>
        <stp>BDP|8825800399224969771</stp>
        <tr r="C1495" s="2"/>
      </tp>
      <tp t="s">
        <v>#N/A N/A</v>
        <stp/>
        <stp>BDP|1406552067200918806</stp>
        <tr r="B3554" s="2"/>
      </tp>
      <tp t="s">
        <v>#N/A N/A</v>
        <stp/>
        <stp>BDP|9631183229587005782</stp>
        <tr r="C3794" s="2"/>
      </tp>
      <tp t="s">
        <v>#N/A N/A</v>
        <stp/>
        <stp>BDP|2514412863553145994</stp>
        <tr r="A2613" s="2"/>
      </tp>
      <tp t="s">
        <v>#N/A N/A</v>
        <stp/>
        <stp>BDP|6999529364129234624</stp>
        <tr r="C4140" s="2"/>
      </tp>
      <tp t="s">
        <v>#N/A N/A</v>
        <stp/>
        <stp>BDP|8962280117396122781</stp>
        <tr r="G1236" s="2"/>
      </tp>
      <tp t="s">
        <v>#N/A N/A</v>
        <stp/>
        <stp>BDP|3404843079875437311</stp>
        <tr r="I4228" s="2"/>
      </tp>
      <tp t="s">
        <v>#N/A N/A</v>
        <stp/>
        <stp>BDP|1254287226183589852</stp>
        <tr r="G4855" s="2"/>
      </tp>
      <tp t="s">
        <v>#N/A N/A</v>
        <stp/>
        <stp>BDP|9378448855485848766</stp>
        <tr r="A2779" s="2"/>
      </tp>
      <tp t="s">
        <v>#N/A N/A</v>
        <stp/>
        <stp>BDP|5658747180514776499</stp>
        <tr r="D3786" s="2"/>
      </tp>
      <tp t="s">
        <v>#N/A N/A</v>
        <stp/>
        <stp>BDP|5659734389400785074</stp>
        <tr r="G724" s="2"/>
      </tp>
      <tp t="s">
        <v>#N/A N/A</v>
        <stp/>
        <stp>BDP|6918321236344836899</stp>
        <tr r="D3143" s="2"/>
      </tp>
      <tp t="s">
        <v>#N/A N/A</v>
        <stp/>
        <stp>BDP|9520218378231754775</stp>
        <tr r="H819" s="2"/>
      </tp>
      <tp t="s">
        <v>#N/A N/A</v>
        <stp/>
        <stp>BDP|9562114651386099190</stp>
        <tr r="I3343" s="2"/>
      </tp>
      <tp t="s">
        <v>#N/A N/A</v>
        <stp/>
        <stp>BDP|1631849540505878260</stp>
        <tr r="D4945" s="2"/>
      </tp>
      <tp t="s">
        <v>#N/A N/A</v>
        <stp/>
        <stp>BDP|5654852695947963933</stp>
        <tr r="F4422" s="2"/>
      </tp>
      <tp t="s">
        <v>#N/A N/A</v>
        <stp/>
        <stp>BDP|7304430998137138759</stp>
        <tr r="A3896" s="2"/>
      </tp>
      <tp t="s">
        <v>#N/A N/A</v>
        <stp/>
        <stp>BDP|1915259422632513974</stp>
        <tr r="G2346" s="2"/>
      </tp>
      <tp t="s">
        <v>#N/A N/A</v>
        <stp/>
        <stp>BDP|3387934436100312397</stp>
        <tr r="D4348" s="2"/>
      </tp>
      <tp t="s">
        <v>#N/A N/A</v>
        <stp/>
        <stp>BDP|9222940907763574988</stp>
        <tr r="A2701" s="2"/>
      </tp>
      <tp t="s">
        <v>#N/A N/A</v>
        <stp/>
        <stp>BDP|1177183744718684676</stp>
        <tr r="I2156" s="2"/>
      </tp>
      <tp t="s">
        <v>#N/A N/A</v>
        <stp/>
        <stp>BDP|6840865853944227537</stp>
        <tr r="G1696" s="2"/>
      </tp>
      <tp t="s">
        <v>#N/A N/A</v>
        <stp/>
        <stp>BDP|9811701696728023529</stp>
        <tr r="I3403" s="2"/>
      </tp>
      <tp t="s">
        <v>#N/A N/A</v>
        <stp/>
        <stp>BDP|5690932649711330333</stp>
        <tr r="H1456" s="2"/>
      </tp>
      <tp t="s">
        <v>#N/A N/A</v>
        <stp/>
        <stp>BDP|1608512948413390903</stp>
        <tr r="F1832" s="2"/>
      </tp>
      <tp t="s">
        <v>#N/A N/A</v>
        <stp/>
        <stp>BDP|2165119075057000993</stp>
        <tr r="F1291" s="2"/>
      </tp>
      <tp t="s">
        <v>#N/A N/A</v>
        <stp/>
        <stp>BDP|6593355055658947202</stp>
        <tr r="C1551" s="2"/>
      </tp>
      <tp t="s">
        <v>#N/A N/A</v>
        <stp/>
        <stp>BDP|2573197821973646871</stp>
        <tr r="A2043" s="2"/>
      </tp>
      <tp t="s">
        <v>#N/A N/A</v>
        <stp/>
        <stp>BDP|9041205071875564380</stp>
        <tr r="D1518" s="2"/>
      </tp>
      <tp t="s">
        <v>#N/A N/A</v>
        <stp/>
        <stp>BDP|2105797384402852588</stp>
        <tr r="G670" s="2"/>
      </tp>
      <tp t="s">
        <v>#N/A N/A</v>
        <stp/>
        <stp>BDP|2809146353848529462</stp>
        <tr r="G2747" s="2"/>
      </tp>
      <tp t="s">
        <v>#N/A N/A</v>
        <stp/>
        <stp>BDP|1227979442227909127</stp>
        <tr r="G4882" s="2"/>
      </tp>
      <tp t="s">
        <v>#N/A N/A</v>
        <stp/>
        <stp>BDP|5191880958373455191</stp>
        <tr r="G1142" s="2"/>
      </tp>
      <tp t="s">
        <v>#N/A N/A</v>
        <stp/>
        <stp>BDP|1551240759009672523</stp>
        <tr r="I4208" s="2"/>
      </tp>
      <tp t="s">
        <v>#N/A N/A</v>
        <stp/>
        <stp>BDP|6430623040169382798</stp>
        <tr r="F1506" s="2"/>
      </tp>
      <tp t="s">
        <v>#N/A N/A</v>
        <stp/>
        <stp>BDP|9441773039251212645</stp>
        <tr r="B230" s="2"/>
      </tp>
      <tp t="s">
        <v>#N/A N/A</v>
        <stp/>
        <stp>BDP|2351382586251000214</stp>
        <tr r="C4490" s="2"/>
      </tp>
      <tp t="s">
        <v>#N/A N/A</v>
        <stp/>
        <stp>BDP|4781903965097827669</stp>
        <tr r="F4014" s="2"/>
      </tp>
      <tp t="s">
        <v>#N/A N/A</v>
        <stp/>
        <stp>BDP|8734467838530290578</stp>
        <tr r="I3525" s="2"/>
      </tp>
      <tp t="s">
        <v>#N/A N/A</v>
        <stp/>
        <stp>BDP|2918667692135465251</stp>
        <tr r="A736" s="2"/>
      </tp>
      <tp t="s">
        <v>#N/A N/A</v>
        <stp/>
        <stp>BDP|6269916473455962752</stp>
        <tr r="F1947" s="2"/>
      </tp>
      <tp t="s">
        <v>#N/A N/A</v>
        <stp/>
        <stp>BDP|9377701113472512790</stp>
        <tr r="D3995" s="2"/>
      </tp>
      <tp t="s">
        <v>#N/A N/A</v>
        <stp/>
        <stp>BDP|7342319091995673290</stp>
        <tr r="H3668" s="2"/>
      </tp>
      <tp t="s">
        <v>#N/A N/A</v>
        <stp/>
        <stp>BDP|3001935248430340447</stp>
        <tr r="A958" s="2"/>
      </tp>
      <tp t="s">
        <v>#N/A N/A</v>
        <stp/>
        <stp>BDP|9688549659332721102</stp>
        <tr r="C4417" s="2"/>
      </tp>
      <tp t="s">
        <v>#N/A N/A</v>
        <stp/>
        <stp>BDP|4367885104616449073</stp>
        <tr r="F535" s="2"/>
      </tp>
      <tp t="s">
        <v>#N/A N/A</v>
        <stp/>
        <stp>BDP|4191393167822629952</stp>
        <tr r="A933" s="2"/>
      </tp>
      <tp t="s">
        <v>#N/A N/A</v>
        <stp/>
        <stp>BDP|4428822164924749498</stp>
        <tr r="C1813" s="2"/>
      </tp>
      <tp t="s">
        <v>#N/A N/A</v>
        <stp/>
        <stp>BDP|6590897056015492422</stp>
        <tr r="I537" s="2"/>
      </tp>
      <tp t="s">
        <v>#N/A N/A</v>
        <stp/>
        <stp>BDP|7611022579489311323</stp>
        <tr r="I3658" s="2"/>
      </tp>
      <tp t="s">
        <v>#N/A N/A</v>
        <stp/>
        <stp>BDP|4940364547781446806</stp>
        <tr r="D1601" s="2"/>
      </tp>
      <tp t="s">
        <v>#N/A N/A</v>
        <stp/>
        <stp>BDP|5582407228631495854</stp>
        <tr r="C2841" s="2"/>
      </tp>
      <tp t="s">
        <v>#N/A N/A</v>
        <stp/>
        <stp>BDP|1768524201576961815</stp>
        <tr r="H2306" s="2"/>
      </tp>
      <tp t="s">
        <v>#N/A N/A</v>
        <stp/>
        <stp>BDP|1132855619965138708</stp>
        <tr r="A3845" s="2"/>
      </tp>
      <tp t="s">
        <v>#N/A N/A</v>
        <stp/>
        <stp>BDP|2649896802999748968</stp>
        <tr r="I1616" s="2"/>
      </tp>
      <tp t="s">
        <v>#N/A N/A</v>
        <stp/>
        <stp>BDP|8607392653293379730</stp>
        <tr r="D1754" s="2"/>
      </tp>
      <tp t="s">
        <v>#N/A N/A</v>
        <stp/>
        <stp>BDP|5462885421944890194</stp>
        <tr r="D3709" s="2"/>
      </tp>
      <tp t="s">
        <v>#N/A N/A</v>
        <stp/>
        <stp>BDP|9849776753919183814</stp>
        <tr r="F3328" s="2"/>
      </tp>
      <tp t="s">
        <v>#N/A N/A</v>
        <stp/>
        <stp>BDP|2041848903651396184</stp>
        <tr r="C34" s="2"/>
      </tp>
      <tp t="s">
        <v>#N/A N/A</v>
        <stp/>
        <stp>BDP|6775690771279520461</stp>
        <tr r="D1053" s="2"/>
      </tp>
      <tp t="s">
        <v>#N/A N/A</v>
        <stp/>
        <stp>BDP|6678630845437924957</stp>
        <tr r="A1852" s="2"/>
      </tp>
      <tp t="s">
        <v>#N/A N/A</v>
        <stp/>
        <stp>BDP|9593068719666113470</stp>
        <tr r="C356" s="2"/>
      </tp>
      <tp t="s">
        <v>#N/A N/A</v>
        <stp/>
        <stp>BDP|3476415364552902941</stp>
        <tr r="I1923" s="2"/>
      </tp>
      <tp t="s">
        <v>#N/A N/A</v>
        <stp/>
        <stp>BDP|8944627693644604923</stp>
        <tr r="I856" s="2"/>
      </tp>
      <tp t="s">
        <v>#N/A N/A</v>
        <stp/>
        <stp>BDP|2507593045871293874</stp>
        <tr r="A4261" s="2"/>
      </tp>
      <tp t="s">
        <v>#N/A N/A</v>
        <stp/>
        <stp>BDP|9965812015833289932</stp>
        <tr r="H3124" s="2"/>
      </tp>
      <tp t="s">
        <v>#N/A N/A</v>
        <stp/>
        <stp>BDP|3902967751715513068</stp>
        <tr r="H359" s="2"/>
      </tp>
      <tp t="s">
        <v>#N/A N/A</v>
        <stp/>
        <stp>BDP|2196384123638464134</stp>
        <tr r="A712" s="2"/>
      </tp>
      <tp t="s">
        <v>#N/A N/A</v>
        <stp/>
        <stp>BDP|2599664503658519683</stp>
        <tr r="H786" s="2"/>
      </tp>
      <tp t="s">
        <v>#N/A N/A</v>
        <stp/>
        <stp>BDP|3204481591852686608</stp>
        <tr r="F4145" s="2"/>
      </tp>
      <tp t="s">
        <v>#N/A N/A</v>
        <stp/>
        <stp>BDP|6021898154531431045</stp>
        <tr r="G4253" s="2"/>
      </tp>
      <tp t="s">
        <v>#N/A N/A</v>
        <stp/>
        <stp>BDP|6865523887437111619</stp>
        <tr r="I4397" s="2"/>
      </tp>
      <tp t="s">
        <v>#N/A N/A</v>
        <stp/>
        <stp>BDP|7261238954773880908</stp>
        <tr r="D3236" s="2"/>
      </tp>
      <tp t="s">
        <v>#N/A N/A</v>
        <stp/>
        <stp>BDP|3744981104451380151</stp>
        <tr r="H4962" s="2"/>
      </tp>
      <tp t="s">
        <v>#N/A N/A</v>
        <stp/>
        <stp>BDP|8209613977360884310</stp>
        <tr r="H4497" s="2"/>
      </tp>
      <tp t="s">
        <v>#N/A N/A</v>
        <stp/>
        <stp>BDP|2931008157145007832</stp>
        <tr r="C35" s="2"/>
      </tp>
      <tp t="s">
        <v>#N/A N/A</v>
        <stp/>
        <stp>BDP|1599844237151360182</stp>
        <tr r="C4071" s="2"/>
      </tp>
      <tp t="s">
        <v>#N/A N/A</v>
        <stp/>
        <stp>BDP|6221909047465948413</stp>
        <tr r="B1709" s="2"/>
      </tp>
      <tp t="s">
        <v>#N/A N/A</v>
        <stp/>
        <stp>BDP|3622737669719082111</stp>
        <tr r="A2167" s="2"/>
      </tp>
      <tp t="s">
        <v>#N/A N/A</v>
        <stp/>
        <stp>BDP|4141171300129391686</stp>
        <tr r="H1612" s="2"/>
      </tp>
      <tp t="s">
        <v>#N/A N/A</v>
        <stp/>
        <stp>BDP|7140819809022467700</stp>
        <tr r="D1851" s="2"/>
      </tp>
      <tp t="s">
        <v>#N/A N/A</v>
        <stp/>
        <stp>BDP|7498441783635611484</stp>
        <tr r="G259" s="2"/>
      </tp>
      <tp t="s">
        <v>#N/A N/A</v>
        <stp/>
        <stp>BDP|7467834748367740658</stp>
        <tr r="A3711" s="2"/>
      </tp>
      <tp t="s">
        <v>#N/A N/A</v>
        <stp/>
        <stp>BDP|9823100821086195656</stp>
        <tr r="G2827" s="2"/>
      </tp>
      <tp t="s">
        <v>#N/A N/A</v>
        <stp/>
        <stp>BDP|9555394227627295543</stp>
        <tr r="D1141" s="2"/>
      </tp>
      <tp t="s">
        <v>#N/A N/A</v>
        <stp/>
        <stp>BDP|5193358439577782871</stp>
        <tr r="D2003" s="2"/>
      </tp>
      <tp t="s">
        <v>#N/A N/A</v>
        <stp/>
        <stp>BDP|8571898800028419253</stp>
        <tr r="H2649" s="2"/>
      </tp>
      <tp t="s">
        <v>#N/A N/A</v>
        <stp/>
        <stp>BDP|5203285995840340414</stp>
        <tr r="H4542" s="2"/>
      </tp>
      <tp t="s">
        <v>#N/A N/A</v>
        <stp/>
        <stp>BDP|9072219462696710194</stp>
        <tr r="C3222" s="2"/>
      </tp>
      <tp t="s">
        <v>#N/A N/A</v>
        <stp/>
        <stp>BDP|3204949118466517760</stp>
        <tr r="D2878" s="2"/>
      </tp>
      <tp t="s">
        <v>#N/A N/A</v>
        <stp/>
        <stp>BDP|4685364310389428591</stp>
        <tr r="H1806" s="2"/>
      </tp>
      <tp t="s">
        <v>#N/A N/A</v>
        <stp/>
        <stp>BDP|3387349730168981134</stp>
        <tr r="A1070" s="2"/>
      </tp>
      <tp t="s">
        <v>#N/A N/A</v>
        <stp/>
        <stp>BDP|1570220492972841206</stp>
        <tr r="F2191" s="2"/>
      </tp>
      <tp t="s">
        <v>#N/A N/A</v>
        <stp/>
        <stp>BDP|6195064511705214894</stp>
        <tr r="B607" s="2"/>
      </tp>
      <tp t="s">
        <v>#N/A N/A</v>
        <stp/>
        <stp>BDP|2241958513740116085</stp>
        <tr r="A2839" s="2"/>
      </tp>
      <tp t="s">
        <v>#N/A N/A</v>
        <stp/>
        <stp>BDP|8054511253431692396</stp>
        <tr r="I3737" s="2"/>
      </tp>
      <tp t="s">
        <v>#N/A N/A</v>
        <stp/>
        <stp>BDP|6068839759126321743</stp>
        <tr r="D2608" s="2"/>
      </tp>
      <tp t="s">
        <v>#N/A N/A</v>
        <stp/>
        <stp>BDP|9204527579746590717</stp>
        <tr r="C408" s="2"/>
      </tp>
      <tp t="s">
        <v>#N/A N/A</v>
        <stp/>
        <stp>BDP|4944342362842641944</stp>
        <tr r="F1034" s="2"/>
      </tp>
      <tp t="s">
        <v>#N/A N/A</v>
        <stp/>
        <stp>BDP|2818455704854331871</stp>
        <tr r="A2668" s="2"/>
      </tp>
      <tp t="s">
        <v>#N/A N/A</v>
        <stp/>
        <stp>BDP|5877273505259217456</stp>
        <tr r="C1619" s="2"/>
      </tp>
      <tp t="s">
        <v>#N/A N/A</v>
        <stp/>
        <stp>BDP|4438745468406444917</stp>
        <tr r="A4665" s="2"/>
      </tp>
      <tp t="s">
        <v>#N/A N/A</v>
        <stp/>
        <stp>BDP|9474401176344838477</stp>
        <tr r="I4636" s="2"/>
      </tp>
      <tp t="s">
        <v>#N/A N/A</v>
        <stp/>
        <stp>BDP|8725078145226902018</stp>
        <tr r="I3027" s="2"/>
      </tp>
      <tp t="s">
        <v>#N/A N/A</v>
        <stp/>
        <stp>BDP|1024329248074627819</stp>
        <tr r="B1005" s="2"/>
      </tp>
      <tp t="s">
        <v>#N/A N/A</v>
        <stp/>
        <stp>BDP|7778353122494942844</stp>
        <tr r="D3040" s="2"/>
      </tp>
      <tp t="s">
        <v>#N/A N/A</v>
        <stp/>
        <stp>BDP|7779110018438134520</stp>
        <tr r="C4814" s="2"/>
      </tp>
      <tp t="s">
        <v>#N/A N/A</v>
        <stp/>
        <stp>BDP|7614892503267655277</stp>
        <tr r="C2279" s="2"/>
      </tp>
      <tp t="s">
        <v>#N/A N/A</v>
        <stp/>
        <stp>BDP|9812743194355474815</stp>
        <tr r="I78" s="2"/>
      </tp>
      <tp t="s">
        <v>#N/A N/A</v>
        <stp/>
        <stp>BDP|1273610208499716411</stp>
        <tr r="C1876" s="2"/>
      </tp>
      <tp t="s">
        <v>#N/A N/A</v>
        <stp/>
        <stp>BDP|8723233424192931040</stp>
        <tr r="A3700" s="2"/>
      </tp>
      <tp t="s">
        <v>#N/A N/A</v>
        <stp/>
        <stp>BDP|8045755125747862052</stp>
        <tr r="D4467" s="2"/>
      </tp>
      <tp t="s">
        <v>#N/A N/A</v>
        <stp/>
        <stp>BDP|5761939811634997312</stp>
        <tr r="G911" s="2"/>
      </tp>
      <tp t="s">
        <v>#N/A N/A</v>
        <stp/>
        <stp>BDP|8045049558954640375</stp>
        <tr r="B384" s="2"/>
      </tp>
      <tp t="s">
        <v>#N/A N/A</v>
        <stp/>
        <stp>BDP|8947505431000646430</stp>
        <tr r="C4511" s="2"/>
      </tp>
      <tp t="s">
        <v>#N/A N/A</v>
        <stp/>
        <stp>BDP|9496888338208123084</stp>
        <tr r="D4644" s="2"/>
      </tp>
      <tp t="s">
        <v>#N/A N/A</v>
        <stp/>
        <stp>BDP|8387230810794986542</stp>
        <tr r="H1385" s="2"/>
      </tp>
      <tp t="s">
        <v>#N/A N/A</v>
        <stp/>
        <stp>BDP|1709284847164028952</stp>
        <tr r="G3187" s="2"/>
      </tp>
      <tp t="s">
        <v>#N/A N/A</v>
        <stp/>
        <stp>BDP|7322529862809725794</stp>
        <tr r="B695" s="2"/>
      </tp>
      <tp t="s">
        <v>#N/A N/A</v>
        <stp/>
        <stp>BDP|4888758551659421551</stp>
        <tr r="F4008" s="2"/>
      </tp>
      <tp t="s">
        <v>#N/A N/A</v>
        <stp/>
        <stp>BDP|1764189457136795923</stp>
        <tr r="I2692" s="2"/>
      </tp>
      <tp t="s">
        <v>#N/A N/A</v>
        <stp/>
        <stp>BDP|2034614455272867917</stp>
        <tr r="B795" s="2"/>
      </tp>
      <tp t="s">
        <v>#N/A N/A</v>
        <stp/>
        <stp>BDP|6904921831893087575</stp>
        <tr r="A2755" s="2"/>
      </tp>
      <tp t="s">
        <v>#N/A N/A</v>
        <stp/>
        <stp>BDP|7356841977251808352</stp>
        <tr r="F4619" s="2"/>
      </tp>
      <tp t="s">
        <v>#N/A N/A</v>
        <stp/>
        <stp>BDP|6759219984540799684</stp>
        <tr r="A3921" s="2"/>
      </tp>
      <tp t="s">
        <v>#N/A N/A</v>
        <stp/>
        <stp>BDP|5867990537065220093</stp>
        <tr r="I1934" s="2"/>
      </tp>
      <tp t="s">
        <v>#N/A N/A</v>
        <stp/>
        <stp>BDP|2320995323376745537</stp>
        <tr r="G1905" s="2"/>
      </tp>
      <tp t="s">
        <v>#N/A N/A</v>
        <stp/>
        <stp>BDP|4402997969340145187</stp>
        <tr r="F2622" s="2"/>
      </tp>
      <tp t="s">
        <v>#N/A N/A</v>
        <stp/>
        <stp>BDP|8981789395205946901</stp>
        <tr r="I3032" s="2"/>
      </tp>
      <tp t="s">
        <v>#N/A N/A</v>
        <stp/>
        <stp>BDP|1864188208933583909</stp>
        <tr r="B559" s="2"/>
      </tp>
      <tp t="s">
        <v>#N/A N/A</v>
        <stp/>
        <stp>BDP|5166134626848854419</stp>
        <tr r="F1047" s="2"/>
      </tp>
      <tp t="s">
        <v>#N/A N/A</v>
        <stp/>
        <stp>BDP|7111811243139612886</stp>
        <tr r="F3554" s="2"/>
      </tp>
      <tp t="s">
        <v>#N/A N/A</v>
        <stp/>
        <stp>BDP|2366916112839597987</stp>
        <tr r="F4311" s="2"/>
      </tp>
      <tp t="s">
        <v>#N/A N/A</v>
        <stp/>
        <stp>BDP|6738631319039864282</stp>
        <tr r="C1196" s="2"/>
      </tp>
      <tp t="s">
        <v>#N/A N/A</v>
        <stp/>
        <stp>BDP|6942871480018718442</stp>
        <tr r="A2159" s="2"/>
      </tp>
      <tp t="s">
        <v>#N/A N/A</v>
        <stp/>
        <stp>BDP|3147247828049973092</stp>
        <tr r="B4317" s="2"/>
      </tp>
      <tp t="s">
        <v>#N/A N/A</v>
        <stp/>
        <stp>BDP|4369650391778975930</stp>
        <tr r="A1596" s="2"/>
      </tp>
      <tp t="s">
        <v>#N/A N/A</v>
        <stp/>
        <stp>BDP|4282893326167902363</stp>
        <tr r="C333" s="2"/>
      </tp>
      <tp t="s">
        <v>#N/A N/A</v>
        <stp/>
        <stp>BDP|6357859358204411586</stp>
        <tr r="C4043" s="2"/>
      </tp>
      <tp t="s">
        <v>#N/A N/A</v>
        <stp/>
        <stp>BDP|1646408793273471530</stp>
        <tr r="F3708" s="2"/>
      </tp>
      <tp t="s">
        <v>#N/A N/A</v>
        <stp/>
        <stp>BDP|2639332957209591753</stp>
        <tr r="H3560" s="2"/>
      </tp>
      <tp t="s">
        <v>#N/A N/A</v>
        <stp/>
        <stp>BDP|2954539421559047694</stp>
        <tr r="H370" s="2"/>
      </tp>
      <tp t="s">
        <v>#N/A N/A</v>
        <stp/>
        <stp>BDP|8041216580699381105</stp>
        <tr r="F2877" s="2"/>
      </tp>
      <tp t="s">
        <v>#N/A N/A</v>
        <stp/>
        <stp>BDP|1658747813888413572</stp>
        <tr r="A4191" s="2"/>
      </tp>
      <tp t="s">
        <v>#N/A N/A</v>
        <stp/>
        <stp>BDP|8991483021272643644</stp>
        <tr r="I1012" s="2"/>
      </tp>
      <tp t="s">
        <v>#N/A N/A</v>
        <stp/>
        <stp>BDP|7950923978884927784</stp>
        <tr r="C2988" s="2"/>
      </tp>
      <tp t="s">
        <v>#N/A N/A</v>
        <stp/>
        <stp>BDP|8464702713376292276</stp>
        <tr r="C2534" s="2"/>
      </tp>
      <tp t="s">
        <v>#N/A N/A</v>
        <stp/>
        <stp>BDP|6832660479238685531</stp>
        <tr r="G2417" s="2"/>
      </tp>
      <tp t="s">
        <v>#N/A N/A</v>
        <stp/>
        <stp>BDP|7825686709229283296</stp>
        <tr r="C2994" s="2"/>
      </tp>
      <tp t="s">
        <v>#N/A N/A</v>
        <stp/>
        <stp>BDP|5580427184643898098</stp>
        <tr r="I3687" s="2"/>
      </tp>
      <tp t="s">
        <v>#N/A N/A</v>
        <stp/>
        <stp>BDP|3131516445419491133</stp>
        <tr r="D309" s="2"/>
      </tp>
      <tp t="s">
        <v>#N/A N/A</v>
        <stp/>
        <stp>BDP|6670587736568877229</stp>
        <tr r="F4753" s="2"/>
      </tp>
      <tp t="s">
        <v>#N/A N/A</v>
        <stp/>
        <stp>BDP|5690577154087725807</stp>
        <tr r="C4768" s="2"/>
      </tp>
      <tp t="s">
        <v>#N/A N/A</v>
        <stp/>
        <stp>BDP|2633924976935834386</stp>
        <tr r="I1732" s="2"/>
      </tp>
      <tp t="s">
        <v>#N/A N/A</v>
        <stp/>
        <stp>BDP|7234357386084791246</stp>
        <tr r="D3692" s="2"/>
      </tp>
      <tp t="s">
        <v>#N/A N/A</v>
        <stp/>
        <stp>BDP|9526352885831564925</stp>
        <tr r="F1346" s="2"/>
      </tp>
      <tp t="s">
        <v>#N/A N/A</v>
        <stp/>
        <stp>BDP|1222834002236465558</stp>
        <tr r="B225" s="2"/>
      </tp>
      <tp t="s">
        <v>#N/A N/A</v>
        <stp/>
        <stp>BDP|9156778846103759353</stp>
        <tr r="F2781" s="2"/>
      </tp>
      <tp t="s">
        <v>#N/A N/A</v>
        <stp/>
        <stp>BDP|3454855721710352318</stp>
        <tr r="B248" s="2"/>
      </tp>
      <tp t="s">
        <v>#N/A N/A</v>
        <stp/>
        <stp>BDP|6280165484376022326</stp>
        <tr r="D2293" s="2"/>
      </tp>
      <tp t="s">
        <v>#N/A N/A</v>
        <stp/>
        <stp>BDP|1348656703835741804</stp>
        <tr r="G2385" s="2"/>
      </tp>
      <tp t="s">
        <v>#N/A N/A</v>
        <stp/>
        <stp>BDP|9671313973222157579</stp>
        <tr r="I825" s="2"/>
      </tp>
      <tp t="s">
        <v>#N/A N/A</v>
        <stp/>
        <stp>BDP|1146808466295605034</stp>
        <tr r="D3123" s="2"/>
      </tp>
      <tp t="s">
        <v>#N/A N/A</v>
        <stp/>
        <stp>BDP|8865486134492508739</stp>
        <tr r="A4221" s="2"/>
      </tp>
      <tp t="s">
        <v>#N/A N/A</v>
        <stp/>
        <stp>BDP|5205769595526794748</stp>
        <tr r="A1228" s="2"/>
      </tp>
      <tp t="s">
        <v>#N/A N/A</v>
        <stp/>
        <stp>BDP|7593596000658816065</stp>
        <tr r="A1926" s="2"/>
      </tp>
      <tp t="s">
        <v>#N/A N/A</v>
        <stp/>
        <stp>BDP|7900918739344771341</stp>
        <tr r="D3729" s="2"/>
      </tp>
      <tp t="s">
        <v>#N/A N/A</v>
        <stp/>
        <stp>BDP|8278460660948051866</stp>
        <tr r="C4564" s="2"/>
      </tp>
      <tp t="s">
        <v>#N/A N/A</v>
        <stp/>
        <stp>BDP|4694789319139798124</stp>
        <tr r="F4940" s="2"/>
      </tp>
      <tp t="s">
        <v>#N/A N/A</v>
        <stp/>
        <stp>BDP|4024976892237431939</stp>
        <tr r="B3013" s="2"/>
      </tp>
      <tp t="s">
        <v>#N/A N/A</v>
        <stp/>
        <stp>BDP|8815199966062544700</stp>
        <tr r="A452" s="2"/>
      </tp>
      <tp t="s">
        <v>#N/A N/A</v>
        <stp/>
        <stp>BDP|9699974747259464705</stp>
        <tr r="B986" s="2"/>
      </tp>
      <tp t="s">
        <v>#N/A N/A</v>
        <stp/>
        <stp>BDP|6284062941448611013</stp>
        <tr r="I4139" s="2"/>
      </tp>
      <tp t="s">
        <v>#N/A N/A</v>
        <stp/>
        <stp>BDP|4045437665184692827</stp>
        <tr r="F2067" s="2"/>
      </tp>
      <tp t="s">
        <v>#N/A N/A</v>
        <stp/>
        <stp>BDP|2064069805459709164</stp>
        <tr r="I3144" s="2"/>
      </tp>
      <tp t="s">
        <v>#N/A N/A</v>
        <stp/>
        <stp>BDP|9130389248232020635</stp>
        <tr r="B3504" s="2"/>
      </tp>
      <tp t="s">
        <v>#N/A N/A</v>
        <stp/>
        <stp>BDP|3426928794639970094</stp>
        <tr r="B3289" s="2"/>
      </tp>
      <tp t="s">
        <v>#N/A N/A</v>
        <stp/>
        <stp>BDP|4352456477934509965</stp>
        <tr r="D1196" s="2"/>
      </tp>
      <tp t="s">
        <v>#N/A N/A</v>
        <stp/>
        <stp>BDP|6967890247819248975</stp>
        <tr r="B1520" s="2"/>
      </tp>
      <tp t="s">
        <v>#N/A N/A</v>
        <stp/>
        <stp>BDP|8148552229756661398</stp>
        <tr r="A1778" s="2"/>
      </tp>
      <tp t="s">
        <v>#N/A N/A</v>
        <stp/>
        <stp>BDP|3675762030685352819</stp>
        <tr r="H686" s="2"/>
      </tp>
      <tp t="s">
        <v>#N/A N/A</v>
        <stp/>
        <stp>BDP|4624544000182205928</stp>
        <tr r="D4199" s="2"/>
      </tp>
      <tp t="s">
        <v>#N/A N/A</v>
        <stp/>
        <stp>BDP|5138635114388228068</stp>
        <tr r="C3541" s="2"/>
      </tp>
      <tp t="s">
        <v>#N/A N/A</v>
        <stp/>
        <stp>BDP|9631167804765596735</stp>
        <tr r="B2015" s="2"/>
      </tp>
      <tp t="s">
        <v>#N/A N/A</v>
        <stp/>
        <stp>BDP|4695373701225056823</stp>
        <tr r="F1797" s="2"/>
      </tp>
      <tp t="s">
        <v>#N/A N/A</v>
        <stp/>
        <stp>BDP|9488268704187380677</stp>
        <tr r="C1316" s="2"/>
      </tp>
      <tp t="s">
        <v>#N/A N/A</v>
        <stp/>
        <stp>BDP|7581309794922647552</stp>
        <tr r="G819" s="2"/>
      </tp>
      <tp t="s">
        <v>#N/A N/A</v>
        <stp/>
        <stp>BDP|7851197344788726009</stp>
        <tr r="F3091" s="2"/>
      </tp>
      <tp t="s">
        <v>#N/A N/A</v>
        <stp/>
        <stp>BDP|4652702284297287623</stp>
        <tr r="D3135" s="2"/>
      </tp>
      <tp t="s">
        <v>#N/A N/A</v>
        <stp/>
        <stp>BDP|4224710382136151727</stp>
        <tr r="F981" s="2"/>
      </tp>
      <tp t="s">
        <v>#N/A N/A</v>
        <stp/>
        <stp>BDP|9573783526432830412</stp>
        <tr r="I3639" s="2"/>
      </tp>
      <tp t="s">
        <v>#N/A N/A</v>
        <stp/>
        <stp>BDP|9379624966702646131</stp>
        <tr r="G4406" s="2"/>
      </tp>
      <tp t="s">
        <v>#N/A N/A</v>
        <stp/>
        <stp>BDP|1833775601075525995</stp>
        <tr r="C3714" s="2"/>
      </tp>
      <tp t="s">
        <v>#N/A N/A</v>
        <stp/>
        <stp>BDP|4453506627161313822</stp>
        <tr r="D275" s="2"/>
      </tp>
      <tp t="s">
        <v>#N/A N/A</v>
        <stp/>
        <stp>BDP|9262503232450277507</stp>
        <tr r="A584" s="2"/>
      </tp>
      <tp t="s">
        <v>#N/A N/A</v>
        <stp/>
        <stp>BDP|1507786063863562999</stp>
        <tr r="D1745" s="2"/>
      </tp>
      <tp t="s">
        <v>#N/A N/A</v>
        <stp/>
        <stp>BDP|6517706044227618855</stp>
        <tr r="G3544" s="2"/>
      </tp>
      <tp t="s">
        <v>#N/A N/A</v>
        <stp/>
        <stp>BDP|5505195883377563181</stp>
        <tr r="D4695" s="2"/>
      </tp>
      <tp t="s">
        <v>#N/A N/A</v>
        <stp/>
        <stp>BDP|2076904842013705672</stp>
        <tr r="A1225" s="2"/>
      </tp>
      <tp t="s">
        <v>#N/A N/A</v>
        <stp/>
        <stp>BDP|8304770933051192748</stp>
        <tr r="G3693" s="2"/>
      </tp>
      <tp t="s">
        <v>#N/A N/A</v>
        <stp/>
        <stp>BDP|1650225802218672124</stp>
        <tr r="G4107" s="2"/>
      </tp>
      <tp t="s">
        <v>#N/A N/A</v>
        <stp/>
        <stp>BDP|4958039991782832519</stp>
        <tr r="A383" s="2"/>
      </tp>
      <tp t="s">
        <v>#N/A N/A</v>
        <stp/>
        <stp>BDP|8483828119668941342</stp>
        <tr r="F2563" s="2"/>
      </tp>
      <tp t="s">
        <v>#N/A N/A</v>
        <stp/>
        <stp>BDP|2761266903898916299</stp>
        <tr r="I3646" s="2"/>
      </tp>
      <tp t="s">
        <v>#N/A N/A</v>
        <stp/>
        <stp>BDP|2561539583896168362</stp>
        <tr r="B1462" s="2"/>
      </tp>
      <tp t="s">
        <v>#N/A N/A</v>
        <stp/>
        <stp>BDP|5524340745348267044</stp>
        <tr r="D763" s="2"/>
      </tp>
      <tp t="s">
        <v>#N/A N/A</v>
        <stp/>
        <stp>BDP|5837951777899905819</stp>
        <tr r="A3982" s="2"/>
      </tp>
      <tp t="s">
        <v>#N/A N/A</v>
        <stp/>
        <stp>BDP|4545777096413121377</stp>
        <tr r="D630" s="2"/>
      </tp>
      <tp t="s">
        <v>#N/A N/A</v>
        <stp/>
        <stp>BDP|6536365394256210077</stp>
        <tr r="A4857" s="2"/>
      </tp>
      <tp t="s">
        <v>#N/A N/A</v>
        <stp/>
        <stp>BDP|2643866976481420606</stp>
        <tr r="D2310" s="2"/>
      </tp>
      <tp t="s">
        <v>#N/A N/A</v>
        <stp/>
        <stp>BDP|1313960514700739347</stp>
        <tr r="H2687" s="2"/>
      </tp>
      <tp t="s">
        <v>#N/A N/A</v>
        <stp/>
        <stp>BDP|2258832526020160243</stp>
        <tr r="A166" s="2"/>
      </tp>
      <tp t="s">
        <v>#N/A N/A</v>
        <stp/>
        <stp>BDP|5768773633442840997</stp>
        <tr r="I740" s="2"/>
      </tp>
      <tp t="s">
        <v>#N/A N/A</v>
        <stp/>
        <stp>BDP|7405926804821039508</stp>
        <tr r="B1548" s="2"/>
      </tp>
      <tp t="s">
        <v>#N/A N/A</v>
        <stp/>
        <stp>BDP|8471431536465342003</stp>
        <tr r="C3842" s="2"/>
      </tp>
      <tp t="s">
        <v>#N/A N/A</v>
        <stp/>
        <stp>BDP|3266879535981715352</stp>
        <tr r="G2761" s="2"/>
      </tp>
      <tp t="s">
        <v>#N/A N/A</v>
        <stp/>
        <stp>BDP|6624469300861019927</stp>
        <tr r="C1341" s="2"/>
      </tp>
      <tp t="s">
        <v>#N/A N/A</v>
        <stp/>
        <stp>BDP|8065314778121238795</stp>
        <tr r="C2679" s="2"/>
      </tp>
      <tp t="s">
        <v>#N/A N/A</v>
        <stp/>
        <stp>BDP|4111501632198377023</stp>
        <tr r="H3937" s="2"/>
      </tp>
      <tp t="s">
        <v>#N/A N/A</v>
        <stp/>
        <stp>BDP|9767671841471123024</stp>
        <tr r="I4127" s="2"/>
      </tp>
      <tp t="s">
        <v>#N/A N/A</v>
        <stp/>
        <stp>BDP|4102943421483018662</stp>
        <tr r="D2065" s="2"/>
      </tp>
      <tp t="s">
        <v>#N/A N/A</v>
        <stp/>
        <stp>BDP|5330330943901979989</stp>
        <tr r="B2461" s="2"/>
      </tp>
      <tp t="s">
        <v>#N/A N/A</v>
        <stp/>
        <stp>BDP|7950445673748870644</stp>
        <tr r="G4369" s="2"/>
      </tp>
      <tp t="s">
        <v>#N/A N/A</v>
        <stp/>
        <stp>BDP|2826564699426761220</stp>
        <tr r="F1830" s="2"/>
      </tp>
      <tp t="s">
        <v>#N/A N/A</v>
        <stp/>
        <stp>BDP|3325845247561009426</stp>
        <tr r="I1480" s="2"/>
      </tp>
      <tp t="s">
        <v>#N/A N/A</v>
        <stp/>
        <stp>BDP|3203863562092225565</stp>
        <tr r="I2928" s="2"/>
      </tp>
      <tp t="s">
        <v>#N/A N/A</v>
        <stp/>
        <stp>BDP|9318146542202429430</stp>
        <tr r="G4978" s="2"/>
      </tp>
      <tp t="s">
        <v>#N/A N/A</v>
        <stp/>
        <stp>BDP|3651663922565479843</stp>
        <tr r="F2421" s="2"/>
      </tp>
      <tp t="s">
        <v>#N/A N/A</v>
        <stp/>
        <stp>BDP|7477537091872063349</stp>
        <tr r="C4674" s="2"/>
      </tp>
      <tp t="s">
        <v>#N/A N/A</v>
        <stp/>
        <stp>BDP|5766767903539034100</stp>
        <tr r="A1844" s="2"/>
      </tp>
      <tp t="s">
        <v>#N/A N/A</v>
        <stp/>
        <stp>BDP|5577918605842671456</stp>
        <tr r="G1919" s="2"/>
      </tp>
      <tp t="s">
        <v>#N/A N/A</v>
        <stp/>
        <stp>BDP|2013534198662123687</stp>
        <tr r="G1486" s="2"/>
      </tp>
      <tp t="s">
        <v>#N/A N/A</v>
        <stp/>
        <stp>BDP|8288147417180715249</stp>
        <tr r="D1729" s="2"/>
      </tp>
      <tp t="s">
        <v>#N/A N/A</v>
        <stp/>
        <stp>BDP|3929762384217847110</stp>
        <tr r="C912" s="2"/>
      </tp>
      <tp t="s">
        <v>#N/A N/A</v>
        <stp/>
        <stp>BDP|5433920270785275465</stp>
        <tr r="F1262" s="2"/>
      </tp>
      <tp t="s">
        <v>#N/A N/A</v>
        <stp/>
        <stp>BDP|4434805082728709637</stp>
        <tr r="A3853" s="2"/>
      </tp>
      <tp t="s">
        <v>#N/A N/A</v>
        <stp/>
        <stp>BDP|4639044444463153950</stp>
        <tr r="C2922" s="2"/>
      </tp>
      <tp t="s">
        <v>#N/A N/A</v>
        <stp/>
        <stp>BDP|5338943997606238903</stp>
        <tr r="H4984" s="2"/>
      </tp>
      <tp t="s">
        <v>#N/A N/A</v>
        <stp/>
        <stp>BDP|2219835768063299584</stp>
        <tr r="B2298" s="2"/>
      </tp>
      <tp t="s">
        <v>#N/A N/A</v>
        <stp/>
        <stp>BDP|6379786216732879869</stp>
        <tr r="C14" s="2"/>
      </tp>
      <tp t="s">
        <v>#N/A N/A</v>
        <stp/>
        <stp>BDP|2348008381741268136</stp>
        <tr r="B4244" s="2"/>
      </tp>
      <tp t="s">
        <v>#N/A N/A</v>
        <stp/>
        <stp>BDP|3112532583072388610</stp>
        <tr r="A589" s="2"/>
      </tp>
      <tp t="s">
        <v>#N/A N/A</v>
        <stp/>
        <stp>BDP|4082864402156505027</stp>
        <tr r="F2107" s="2"/>
      </tp>
      <tp t="s">
        <v>#N/A N/A</v>
        <stp/>
        <stp>BDP|3653474526987242866</stp>
        <tr r="G893" s="2"/>
      </tp>
      <tp t="s">
        <v>#N/A N/A</v>
        <stp/>
        <stp>BDP|4649594059958277674</stp>
        <tr r="A4055" s="2"/>
      </tp>
      <tp t="s">
        <v>#N/A N/A</v>
        <stp/>
        <stp>BDP|8063022520823636372</stp>
        <tr r="G3787" s="2"/>
      </tp>
      <tp t="s">
        <v>#N/A N/A</v>
        <stp/>
        <stp>BDP|8668028213661779233</stp>
        <tr r="C3398" s="2"/>
      </tp>
      <tp t="s">
        <v>#N/A N/A</v>
        <stp/>
        <stp>BDP|7334616791970272227</stp>
        <tr r="G4819" s="2"/>
      </tp>
      <tp t="s">
        <v>#N/A N/A</v>
        <stp/>
        <stp>BDP|1189417562100525940</stp>
        <tr r="F1769" s="2"/>
      </tp>
      <tp t="s">
        <v>#N/A N/A</v>
        <stp/>
        <stp>BDP|2073830746676449229</stp>
        <tr r="H4187" s="2"/>
      </tp>
      <tp t="s">
        <v>#N/A N/A</v>
        <stp/>
        <stp>BDP|1026932464902546612</stp>
        <tr r="A1049" s="2"/>
      </tp>
      <tp t="s">
        <v>#N/A N/A</v>
        <stp/>
        <stp>BDP|4364054291132141558</stp>
        <tr r="H608" s="2"/>
      </tp>
      <tp t="s">
        <v>#N/A N/A</v>
        <stp/>
        <stp>BDP|5847474507373240898</stp>
        <tr r="G392" s="2"/>
      </tp>
      <tp t="s">
        <v>#N/A N/A</v>
        <stp/>
        <stp>BDP|2736334093404550619</stp>
        <tr r="C1224" s="2"/>
      </tp>
      <tp t="s">
        <v>#N/A N/A</v>
        <stp/>
        <stp>BDP|9602441451340942299</stp>
        <tr r="G843" s="2"/>
      </tp>
      <tp t="s">
        <v>#N/A N/A</v>
        <stp/>
        <stp>BDP|3892871322773982079</stp>
        <tr r="B1679" s="2"/>
      </tp>
      <tp t="s">
        <v>#N/A N/A</v>
        <stp/>
        <stp>BDP|2605971144905635005</stp>
        <tr r="H3331" s="2"/>
      </tp>
      <tp t="s">
        <v>#N/A N/A</v>
        <stp/>
        <stp>BDP|2023086051954264985</stp>
        <tr r="A432" s="2"/>
      </tp>
      <tp t="s">
        <v>#N/A N/A</v>
        <stp/>
        <stp>BDP|2166973411979206962</stp>
        <tr r="F3148" s="2"/>
      </tp>
      <tp t="s">
        <v>#N/A N/A</v>
        <stp/>
        <stp>BDP|4270199359619828394</stp>
        <tr r="A2923" s="2"/>
      </tp>
      <tp t="s">
        <v>#N/A N/A</v>
        <stp/>
        <stp>BDP|1957362588709516910</stp>
        <tr r="H4816" s="2"/>
      </tp>
      <tp t="s">
        <v>#N/A N/A</v>
        <stp/>
        <stp>BDP|5995718092034103580</stp>
        <tr r="G3535" s="2"/>
      </tp>
      <tp t="s">
        <v>#N/A N/A</v>
        <stp/>
        <stp>BDP|1526311657005376835</stp>
        <tr r="F3741" s="2"/>
      </tp>
      <tp t="s">
        <v>#N/A N/A</v>
        <stp/>
        <stp>BDP|2862992293100361822</stp>
        <tr r="G159" s="2"/>
      </tp>
      <tp t="s">
        <v>#N/A N/A</v>
        <stp/>
        <stp>BDP|5378880177876993667</stp>
        <tr r="I2797" s="2"/>
      </tp>
      <tp t="s">
        <v>#N/A N/A</v>
        <stp/>
        <stp>BDP|7862779958009295667</stp>
        <tr r="F1813" s="2"/>
      </tp>
      <tp t="s">
        <v>#N/A N/A</v>
        <stp/>
        <stp>BDP|8522911740106242956</stp>
        <tr r="F4905" s="2"/>
      </tp>
      <tp t="s">
        <v>#N/A N/A</v>
        <stp/>
        <stp>BDP|9124728467027333549</stp>
        <tr r="D788" s="2"/>
      </tp>
      <tp t="s">
        <v>#N/A N/A</v>
        <stp/>
        <stp>BDP|5365981363768902820</stp>
        <tr r="F923" s="2"/>
      </tp>
      <tp t="s">
        <v>#N/A N/A</v>
        <stp/>
        <stp>BDP|5126874916775204311</stp>
        <tr r="C805" s="2"/>
      </tp>
      <tp t="s">
        <v>#N/A N/A</v>
        <stp/>
        <stp>BDP|3595317241888362650</stp>
        <tr r="D387" s="2"/>
      </tp>
      <tp t="s">
        <v>#N/A N/A</v>
        <stp/>
        <stp>BDP|7523235146648168327</stp>
        <tr r="H555" s="2"/>
      </tp>
      <tp t="s">
        <v>#N/A N/A</v>
        <stp/>
        <stp>BDP|9562632803615745016</stp>
        <tr r="C4799" s="2"/>
      </tp>
      <tp t="s">
        <v>#N/A N/A</v>
        <stp/>
        <stp>BDP|1557532525575140915</stp>
        <tr r="C3683" s="2"/>
      </tp>
      <tp t="s">
        <v>#N/A N/A</v>
        <stp/>
        <stp>BDP|2725750790421605775</stp>
        <tr r="I23" s="2"/>
      </tp>
      <tp t="s">
        <v>#N/A N/A</v>
        <stp/>
        <stp>BDP|7371554397211225000</stp>
        <tr r="H2014" s="2"/>
      </tp>
      <tp t="s">
        <v>#N/A N/A</v>
        <stp/>
        <stp>BDP|9170422720340274522</stp>
        <tr r="A716" s="2"/>
      </tp>
      <tp t="s">
        <v>#N/A N/A</v>
        <stp/>
        <stp>BDP|2833916652344011084</stp>
        <tr r="A251" s="2"/>
      </tp>
      <tp t="s">
        <v>#N/A N/A</v>
        <stp/>
        <stp>BDP|1491594595062963528</stp>
        <tr r="H3287" s="2"/>
      </tp>
      <tp t="s">
        <v>#N/A N/A</v>
        <stp/>
        <stp>BDP|6330383998391851785</stp>
        <tr r="C3358" s="2"/>
      </tp>
      <tp t="s">
        <v>#N/A N/A</v>
        <stp/>
        <stp>BDP|5753223302144517915</stp>
        <tr r="A3658" s="2"/>
      </tp>
      <tp t="s">
        <v>#N/A N/A</v>
        <stp/>
        <stp>BDP|4889115737379994544</stp>
        <tr r="B3074" s="2"/>
      </tp>
      <tp t="s">
        <v>#N/A N/A</v>
        <stp/>
        <stp>BDP|6889562704988089198</stp>
        <tr r="A1302" s="2"/>
      </tp>
      <tp t="s">
        <v>#N/A N/A</v>
        <stp/>
        <stp>BDP|5661564784705022775</stp>
        <tr r="D3828" s="2"/>
      </tp>
      <tp t="s">
        <v>#N/A N/A</v>
        <stp/>
        <stp>BDP|6168894062790845213</stp>
        <tr r="H4808" s="2"/>
      </tp>
      <tp t="s">
        <v>#N/A N/A</v>
        <stp/>
        <stp>BDP|5189158425999782553</stp>
        <tr r="I925" s="2"/>
      </tp>
      <tp t="s">
        <v>#N/A N/A</v>
        <stp/>
        <stp>BDP|4468305725468539776</stp>
        <tr r="H4439" s="2"/>
      </tp>
      <tp t="s">
        <v>#N/A N/A</v>
        <stp/>
        <stp>BDP|6773921997009768562</stp>
        <tr r="A3576" s="2"/>
      </tp>
      <tp t="s">
        <v>#N/A N/A</v>
        <stp/>
        <stp>BDP|9540410221352404725</stp>
        <tr r="G1198" s="2"/>
      </tp>
      <tp t="s">
        <v>#N/A N/A</v>
        <stp/>
        <stp>BDP|4285804170613509248</stp>
        <tr r="H506" s="2"/>
      </tp>
      <tp t="s">
        <v>#N/A N/A</v>
        <stp/>
        <stp>BDP|7911694011169518377</stp>
        <tr r="F3045" s="2"/>
      </tp>
      <tp t="s">
        <v>#N/A N/A</v>
        <stp/>
        <stp>BDP|6022881375467820460</stp>
        <tr r="B2242" s="2"/>
      </tp>
      <tp t="s">
        <v>#N/A N/A</v>
        <stp/>
        <stp>BDP|8056932962695434867</stp>
        <tr r="F1770" s="2"/>
      </tp>
      <tp t="s">
        <v>#N/A N/A</v>
        <stp/>
        <stp>BDP|1369135184523546127</stp>
        <tr r="H1965" s="2"/>
      </tp>
      <tp t="s">
        <v>#N/A N/A</v>
        <stp/>
        <stp>BDP|9839721609146406246</stp>
        <tr r="H4568" s="2"/>
      </tp>
      <tp t="s">
        <v>#N/A N/A</v>
        <stp/>
        <stp>BDP|8529229907988677850</stp>
        <tr r="C563" s="2"/>
      </tp>
      <tp t="s">
        <v>#N/A N/A</v>
        <stp/>
        <stp>BDP|9312175846633901587</stp>
        <tr r="F261" s="2"/>
      </tp>
      <tp t="s">
        <v>#N/A N/A</v>
        <stp/>
        <stp>BDP|3784740762190050829</stp>
        <tr r="D4169" s="2"/>
      </tp>
      <tp t="s">
        <v>#N/A N/A</v>
        <stp/>
        <stp>BDP|8331947210513069942</stp>
        <tr r="I3141" s="2"/>
      </tp>
      <tp t="s">
        <v>#N/A N/A</v>
        <stp/>
        <stp>BDP|4466460723978522079</stp>
        <tr r="I4526" s="2"/>
      </tp>
      <tp t="s">
        <v>#N/A N/A</v>
        <stp/>
        <stp>BDP|6693574590163595371</stp>
        <tr r="G3598" s="2"/>
      </tp>
      <tp t="s">
        <v>#N/A N/A</v>
        <stp/>
        <stp>BDP|4435067676518205155</stp>
        <tr r="G4129" s="2"/>
      </tp>
      <tp t="s">
        <v>#N/A N/A</v>
        <stp/>
        <stp>BDP|1657090124699932014</stp>
        <tr r="B2" s="2"/>
      </tp>
      <tp t="s">
        <v>#N/A N/A</v>
        <stp/>
        <stp>BDP|7715178830577397801</stp>
        <tr r="I958" s="2"/>
      </tp>
      <tp t="s">
        <v>#N/A N/A</v>
        <stp/>
        <stp>BDP|8004441762988655839</stp>
        <tr r="C4915" s="2"/>
      </tp>
      <tp t="s">
        <v>#N/A N/A</v>
        <stp/>
        <stp>BDP|4198522172395295906</stp>
        <tr r="I716" s="2"/>
      </tp>
      <tp t="s">
        <v>#N/A N/A</v>
        <stp/>
        <stp>BDP|1007035331051442956</stp>
        <tr r="A124" s="2"/>
      </tp>
      <tp t="s">
        <v>#N/A N/A</v>
        <stp/>
        <stp>BDP|2312236338111960826</stp>
        <tr r="C1934" s="2"/>
      </tp>
      <tp t="s">
        <v>#N/A N/A</v>
        <stp/>
        <stp>BDP|8576330872505067372</stp>
        <tr r="A2332" s="2"/>
      </tp>
      <tp t="s">
        <v>#N/A N/A</v>
        <stp/>
        <stp>BDP|2293404646101520917</stp>
        <tr r="D2578" s="2"/>
      </tp>
      <tp t="s">
        <v>#N/A N/A</v>
        <stp/>
        <stp>BDP|5477949155316512505</stp>
        <tr r="I91" s="2"/>
      </tp>
      <tp t="s">
        <v>#N/A N/A</v>
        <stp/>
        <stp>BDP|7826755158807260870</stp>
        <tr r="F3551" s="2"/>
      </tp>
      <tp t="s">
        <v>#N/A N/A</v>
        <stp/>
        <stp>BDP|2293673192054446337</stp>
        <tr r="B4041" s="2"/>
      </tp>
      <tp t="s">
        <v>#N/A N/A</v>
        <stp/>
        <stp>BDP|8410310246577086234</stp>
        <tr r="C76" s="2"/>
      </tp>
      <tp t="s">
        <v>#N/A N/A</v>
        <stp/>
        <stp>BDP|3669947450896168337</stp>
        <tr r="C4656" s="2"/>
      </tp>
      <tp t="s">
        <v>#N/A N/A</v>
        <stp/>
        <stp>BDP|4633285208388045469</stp>
        <tr r="F4821" s="2"/>
      </tp>
      <tp t="s">
        <v>#N/A N/A</v>
        <stp/>
        <stp>BDP|6641725984700376339</stp>
        <tr r="G1343" s="2"/>
      </tp>
      <tp t="s">
        <v>#N/A N/A</v>
        <stp/>
        <stp>BDP|7749562246818159460</stp>
        <tr r="A908" s="2"/>
      </tp>
      <tp t="s">
        <v>#N/A N/A</v>
        <stp/>
        <stp>BDP|3602372653866383918</stp>
        <tr r="C4486" s="2"/>
      </tp>
      <tp t="s">
        <v>#N/A N/A</v>
        <stp/>
        <stp>BDP|3105673687876298138</stp>
        <tr r="B2107" s="2"/>
      </tp>
      <tp t="s">
        <v>#N/A N/A</v>
        <stp/>
        <stp>BDP|1565699593053821770</stp>
        <tr r="A1125" s="2"/>
      </tp>
      <tp t="s">
        <v>#N/A N/A</v>
        <stp/>
        <stp>BDP|5308755983368692832</stp>
        <tr r="A4652" s="2"/>
      </tp>
      <tp t="s">
        <v>#N/A N/A</v>
        <stp/>
        <stp>BDP|9912467434505893137</stp>
        <tr r="B2048" s="2"/>
      </tp>
      <tp t="s">
        <v>#N/A N/A</v>
        <stp/>
        <stp>BDP|1355972521834124440</stp>
        <tr r="F2583" s="2"/>
      </tp>
      <tp t="s">
        <v>#N/A N/A</v>
        <stp/>
        <stp>BDP|9865169413405536685</stp>
        <tr r="I1586" s="2"/>
      </tp>
      <tp t="s">
        <v>#N/A N/A</v>
        <stp/>
        <stp>BDP|3625971336952531124</stp>
        <tr r="C1582" s="2"/>
      </tp>
      <tp t="s">
        <v>#N/A N/A</v>
        <stp/>
        <stp>BDP|7441848404695367071</stp>
        <tr r="F393" s="2"/>
      </tp>
      <tp t="s">
        <v>#N/A N/A</v>
        <stp/>
        <stp>BDP|8113343614109270938</stp>
        <tr r="B2980" s="2"/>
      </tp>
      <tp t="s">
        <v>#N/A N/A</v>
        <stp/>
        <stp>BDP|2484604765020057815</stp>
        <tr r="G2787" s="2"/>
      </tp>
      <tp t="s">
        <v>#N/A N/A</v>
        <stp/>
        <stp>BDP|5206758006729922181</stp>
        <tr r="G1523" s="2"/>
      </tp>
      <tp t="s">
        <v>#N/A N/A</v>
        <stp/>
        <stp>BDP|1319662897305383114</stp>
        <tr r="C4984" s="2"/>
      </tp>
      <tp t="s">
        <v>#N/A N/A</v>
        <stp/>
        <stp>BDP|3004835655541254549</stp>
        <tr r="F4808" s="2"/>
      </tp>
      <tp t="s">
        <v>#N/A N/A</v>
        <stp/>
        <stp>BDP|6455802501011732528</stp>
        <tr r="G3827" s="2"/>
      </tp>
      <tp t="s">
        <v>#N/A N/A</v>
        <stp/>
        <stp>BDP|7248059885740537575</stp>
        <tr r="A3834" s="2"/>
      </tp>
      <tp t="s">
        <v>#N/A N/A</v>
        <stp/>
        <stp>BDP|9937985691883847086</stp>
        <tr r="B3671" s="2"/>
      </tp>
      <tp t="s">
        <v>#N/A N/A</v>
        <stp/>
        <stp>BDP|3530081896070296097</stp>
        <tr r="A1748" s="2"/>
      </tp>
      <tp t="s">
        <v>#N/A N/A</v>
        <stp/>
        <stp>BDP|7697857216412244671</stp>
        <tr r="A3451" s="2"/>
      </tp>
      <tp t="s">
        <v>#N/A N/A</v>
        <stp/>
        <stp>BDP|9758516897977628877</stp>
        <tr r="F919" s="2"/>
      </tp>
      <tp t="s">
        <v>#N/A N/A</v>
        <stp/>
        <stp>BDP|5102340024956411856</stp>
        <tr r="C870" s="2"/>
      </tp>
      <tp t="s">
        <v>#N/A N/A</v>
        <stp/>
        <stp>BDP|5373286417878947453</stp>
        <tr r="H4824" s="2"/>
      </tp>
      <tp t="s">
        <v>#N/A N/A</v>
        <stp/>
        <stp>BDP|1730219754369530574</stp>
        <tr r="B461" s="2"/>
      </tp>
      <tp t="s">
        <v>#N/A N/A</v>
        <stp/>
        <stp>BDP|1955601567748686385</stp>
        <tr r="G3420" s="2"/>
      </tp>
      <tp t="s">
        <v>#N/A N/A</v>
        <stp/>
        <stp>BDP|8486374876502326465</stp>
        <tr r="B2658" s="2"/>
      </tp>
      <tp t="s">
        <v>#N/A N/A</v>
        <stp/>
        <stp>BDP|8733732581709040453</stp>
        <tr r="D3100" s="2"/>
      </tp>
      <tp t="s">
        <v>#N/A N/A</v>
        <stp/>
        <stp>BDP|6473823216705171015</stp>
        <tr r="C2580" s="2"/>
      </tp>
      <tp t="s">
        <v>#N/A N/A</v>
        <stp/>
        <stp>BDP|1728600308708968562</stp>
        <tr r="G3566" s="2"/>
      </tp>
      <tp t="s">
        <v>#N/A N/A</v>
        <stp/>
        <stp>BDP|9045441953102241051</stp>
        <tr r="A3164" s="2"/>
      </tp>
      <tp t="s">
        <v>#N/A N/A</v>
        <stp/>
        <stp>BDP|3518874223842291135</stp>
        <tr r="H1964" s="2"/>
      </tp>
      <tp t="s">
        <v>#N/A N/A</v>
        <stp/>
        <stp>BDP|9523274731483175124</stp>
        <tr r="F4708" s="2"/>
      </tp>
      <tp t="s">
        <v>#N/A N/A</v>
        <stp/>
        <stp>BDP|2784244702503214938</stp>
        <tr r="I3004" s="2"/>
      </tp>
      <tp t="s">
        <v>#N/A N/A</v>
        <stp/>
        <stp>BDP|9706104093372261961</stp>
        <tr r="C361" s="2"/>
      </tp>
      <tp t="s">
        <v>#N/A N/A</v>
        <stp/>
        <stp>BDP|2047834642784608077</stp>
        <tr r="C4037" s="2"/>
      </tp>
      <tp t="s">
        <v>#N/A N/A</v>
        <stp/>
        <stp>BDP|5131175192584466305</stp>
        <tr r="F4704" s="2"/>
      </tp>
      <tp t="s">
        <v>#N/A N/A</v>
        <stp/>
        <stp>BDP|4967902120546918300</stp>
        <tr r="D3252" s="2"/>
      </tp>
      <tp t="s">
        <v>#N/A N/A</v>
        <stp/>
        <stp>BDP|6948183701615239821</stp>
        <tr r="B901" s="2"/>
      </tp>
      <tp t="s">
        <v>#N/A N/A</v>
        <stp/>
        <stp>BDP|9762503610716332142</stp>
        <tr r="D276" s="2"/>
      </tp>
      <tp t="s">
        <v>#N/A N/A</v>
        <stp/>
        <stp>BDP|4202601012530715977</stp>
        <tr r="C4745" s="2"/>
      </tp>
      <tp t="s">
        <v>#N/A N/A</v>
        <stp/>
        <stp>BDP|4313796769467797848</stp>
        <tr r="I338" s="2"/>
      </tp>
      <tp t="s">
        <v>#N/A N/A</v>
        <stp/>
        <stp>BDP|5530551292660323314</stp>
        <tr r="B916" s="2"/>
      </tp>
      <tp t="s">
        <v>#N/A N/A</v>
        <stp/>
        <stp>BDP|8953574512163818543</stp>
        <tr r="H1683" s="2"/>
      </tp>
      <tp t="s">
        <v>#N/A N/A</v>
        <stp/>
        <stp>BDP|6394999609080613553</stp>
        <tr r="H1638" s="2"/>
      </tp>
      <tp t="s">
        <v>#N/A N/A</v>
        <stp/>
        <stp>BDP|5062307673073423876</stp>
        <tr r="F44" s="2"/>
      </tp>
      <tp t="s">
        <v>#N/A N/A</v>
        <stp/>
        <stp>BDP|9661304355257639256</stp>
        <tr r="D2874" s="2"/>
      </tp>
      <tp t="s">
        <v>#N/A N/A</v>
        <stp/>
        <stp>BDP|4192316194846253266</stp>
        <tr r="D2086" s="2"/>
      </tp>
      <tp t="s">
        <v>#N/A N/A</v>
        <stp/>
        <stp>BDP|3367585230129831635</stp>
        <tr r="D2607" s="2"/>
      </tp>
      <tp t="s">
        <v>#N/A N/A</v>
        <stp/>
        <stp>BDP|7065463078049860767</stp>
        <tr r="I3313" s="2"/>
      </tp>
      <tp t="s">
        <v>#N/A N/A</v>
        <stp/>
        <stp>BDP|6708892349099600916</stp>
        <tr r="G3680" s="2"/>
      </tp>
      <tp t="s">
        <v>#N/A N/A</v>
        <stp/>
        <stp>BDP|5599206794970545446</stp>
        <tr r="I1902" s="2"/>
      </tp>
      <tp t="s">
        <v>#N/A N/A</v>
        <stp/>
        <stp>BDP|2347100041574359910</stp>
        <tr r="B4754" s="2"/>
      </tp>
      <tp t="s">
        <v>#N/A N/A</v>
        <stp/>
        <stp>BDP|3609816441723676602</stp>
        <tr r="D1773" s="2"/>
      </tp>
      <tp t="s">
        <v>#N/A N/A</v>
        <stp/>
        <stp>BDP|3263075487151116034</stp>
        <tr r="F2305" s="2"/>
      </tp>
      <tp t="s">
        <v>#N/A N/A</v>
        <stp/>
        <stp>BDP|8385459431460332541</stp>
        <tr r="B4216" s="2"/>
      </tp>
      <tp t="s">
        <v>#N/A N/A</v>
        <stp/>
        <stp>BDP|8412561772646466647</stp>
        <tr r="A197" s="2"/>
      </tp>
      <tp t="s">
        <v>#N/A N/A</v>
        <stp/>
        <stp>BDP|1809380265407278974</stp>
        <tr r="H540" s="2"/>
      </tp>
      <tp t="s">
        <v>#N/A N/A</v>
        <stp/>
        <stp>BDP|6487554331169281322</stp>
        <tr r="I3740" s="2"/>
      </tp>
      <tp t="s">
        <v>#N/A N/A</v>
        <stp/>
        <stp>BDP|3978174328649303352</stp>
        <tr r="G1330" s="2"/>
      </tp>
      <tp t="s">
        <v>#N/A N/A</v>
        <stp/>
        <stp>BDP|2534333773329444511</stp>
        <tr r="G2561" s="2"/>
      </tp>
      <tp t="s">
        <v>#N/A N/A</v>
        <stp/>
        <stp>BDP|2800449269519221378</stp>
        <tr r="H3227" s="2"/>
      </tp>
      <tp t="s">
        <v>#N/A N/A</v>
        <stp/>
        <stp>BDP|5527726507248114011</stp>
        <tr r="F1231" s="2"/>
      </tp>
      <tp t="s">
        <v>#N/A N/A</v>
        <stp/>
        <stp>BDP|6598608196712456175</stp>
        <tr r="C1072" s="2"/>
      </tp>
      <tp t="s">
        <v>#N/A N/A</v>
        <stp/>
        <stp>BDP|4849656633918751398</stp>
        <tr r="B3999" s="2"/>
      </tp>
      <tp t="s">
        <v>#N/A N/A</v>
        <stp/>
        <stp>BDP|7276667035889568157</stp>
        <tr r="I3855" s="2"/>
      </tp>
      <tp t="s">
        <v>#N/A N/A</v>
        <stp/>
        <stp>BDP|8699432167829227918</stp>
        <tr r="C1536" s="2"/>
      </tp>
      <tp t="s">
        <v>#N/A N/A</v>
        <stp/>
        <stp>BDP|1334976617833426067</stp>
        <tr r="D946" s="2"/>
      </tp>
      <tp t="s">
        <v>#N/A N/A</v>
        <stp/>
        <stp>BDP|5497744445568435403</stp>
        <tr r="C598" s="2"/>
      </tp>
      <tp t="s">
        <v>#N/A N/A</v>
        <stp/>
        <stp>BDP|5702439386776048532</stp>
        <tr r="G1318" s="2"/>
      </tp>
      <tp t="s">
        <v>#N/A N/A</v>
        <stp/>
        <stp>BDP|3161969705471481178</stp>
        <tr r="A603" s="2"/>
      </tp>
      <tp t="s">
        <v>#N/A N/A</v>
        <stp/>
        <stp>BDP|5083746124408856292</stp>
        <tr r="D2155" s="2"/>
      </tp>
      <tp t="s">
        <v>#N/A N/A</v>
        <stp/>
        <stp>BDP|5776254125866275941</stp>
        <tr r="C2243" s="2"/>
      </tp>
      <tp t="s">
        <v>#N/A N/A</v>
        <stp/>
        <stp>BDP|1475715987690080431</stp>
        <tr r="F4683" s="2"/>
      </tp>
      <tp t="s">
        <v>#N/A N/A</v>
        <stp/>
        <stp>BDP|9148136539663309299</stp>
        <tr r="G1210" s="2"/>
      </tp>
      <tp t="s">
        <v>#N/A N/A</v>
        <stp/>
        <stp>BDP|4101010582124495275</stp>
        <tr r="F3630" s="2"/>
      </tp>
      <tp t="s">
        <v>#N/A N/A</v>
        <stp/>
        <stp>BDP|3547110981129404908</stp>
        <tr r="F2403" s="2"/>
      </tp>
      <tp t="s">
        <v>#N/A N/A</v>
        <stp/>
        <stp>BDP|4246506624909479031</stp>
        <tr r="C4858" s="2"/>
      </tp>
      <tp t="s">
        <v>#N/A N/A</v>
        <stp/>
        <stp>BDP|1284381993577871606</stp>
        <tr r="I1490" s="2"/>
      </tp>
      <tp t="s">
        <v>#N/A N/A</v>
        <stp/>
        <stp>BDP|3053427292966760261</stp>
        <tr r="I450" s="2"/>
      </tp>
      <tp t="s">
        <v>#N/A N/A</v>
        <stp/>
        <stp>BDP|7170583986474699485</stp>
        <tr r="C2211" s="2"/>
      </tp>
      <tp t="s">
        <v>#N/A N/A</v>
        <stp/>
        <stp>BDP|3457812661934660334</stp>
        <tr r="G3194" s="2"/>
      </tp>
      <tp t="s">
        <v>#N/A N/A</v>
        <stp/>
        <stp>BDP|2002530595201594527</stp>
        <tr r="A1723" s="2"/>
      </tp>
      <tp t="s">
        <v>#N/A N/A</v>
        <stp/>
        <stp>BDP|2841789498407036196</stp>
        <tr r="F22" s="2"/>
      </tp>
      <tp t="s">
        <v>#N/A N/A</v>
        <stp/>
        <stp>BDP|1968296454339285577</stp>
        <tr r="A3992" s="2"/>
      </tp>
      <tp t="s">
        <v>#N/A N/A</v>
        <stp/>
        <stp>BDP|4653589779204242845</stp>
        <tr r="A943" s="2"/>
      </tp>
      <tp t="s">
        <v>#N/A N/A</v>
        <stp/>
        <stp>BDP|2091816471213144406</stp>
        <tr r="I2618" s="2"/>
      </tp>
      <tp t="s">
        <v>#N/A N/A</v>
        <stp/>
        <stp>BDP|1048196804998873243</stp>
        <tr r="H536" s="2"/>
      </tp>
      <tp t="s">
        <v>#N/A N/A</v>
        <stp/>
        <stp>BDP|9372748811695067071</stp>
        <tr r="H1100" s="2"/>
      </tp>
      <tp t="s">
        <v>#N/A N/A</v>
        <stp/>
        <stp>BDP|8421456605120229679</stp>
        <tr r="I1444" s="2"/>
      </tp>
      <tp t="s">
        <v>#N/A N/A</v>
        <stp/>
        <stp>BDP|2700455691795141038</stp>
        <tr r="H4051" s="2"/>
      </tp>
      <tp t="s">
        <v>#N/A N/A</v>
        <stp/>
        <stp>BDP|3156451600925508803</stp>
        <tr r="I1618" s="2"/>
      </tp>
      <tp t="s">
        <v>#N/A N/A</v>
        <stp/>
        <stp>BDP|5818983961020745077</stp>
        <tr r="B1426" s="2"/>
      </tp>
      <tp t="s">
        <v>#N/A N/A</v>
        <stp/>
        <stp>BDP|7013187547181718997</stp>
        <tr r="C2541" s="2"/>
      </tp>
      <tp t="s">
        <v>#N/A N/A</v>
        <stp/>
        <stp>BDP|9241011237700655036</stp>
        <tr r="I2169" s="2"/>
      </tp>
      <tp t="s">
        <v>#N/A N/A</v>
        <stp/>
        <stp>BDP|9477466736454533007</stp>
        <tr r="A4123" s="2"/>
      </tp>
      <tp t="s">
        <v>#N/A N/A</v>
        <stp/>
        <stp>BDP|8287051377035704068</stp>
        <tr r="C3386" s="2"/>
      </tp>
      <tp t="s">
        <v>#N/A N/A</v>
        <stp/>
        <stp>BDP|6484459384220079045</stp>
        <tr r="G222" s="2"/>
      </tp>
      <tp t="s">
        <v>#N/A N/A</v>
        <stp/>
        <stp>BDP|1351876467116769355</stp>
        <tr r="C1994" s="2"/>
      </tp>
      <tp t="s">
        <v>#N/A N/A</v>
        <stp/>
        <stp>BDP|3686199427099075397</stp>
        <tr r="F2700" s="2"/>
      </tp>
      <tp t="s">
        <v>#N/A N/A</v>
        <stp/>
        <stp>BDP|5180058699491971752</stp>
        <tr r="H1395" s="2"/>
      </tp>
      <tp t="s">
        <v>#N/A N/A</v>
        <stp/>
        <stp>BDP|9703812693774745631</stp>
        <tr r="C4292" s="2"/>
      </tp>
      <tp t="s">
        <v>#N/A N/A</v>
        <stp/>
        <stp>BDP|8473041580902666879</stp>
        <tr r="B4705" s="2"/>
      </tp>
      <tp t="s">
        <v>#N/A N/A</v>
        <stp/>
        <stp>BDP|3590006581126575709</stp>
        <tr r="D480" s="2"/>
      </tp>
      <tp t="s">
        <v>#N/A N/A</v>
        <stp/>
        <stp>BDP|2553232084687405571</stp>
        <tr r="B3451" s="2"/>
      </tp>
      <tp t="s">
        <v>#N/A N/A</v>
        <stp/>
        <stp>BDP|6151764980233163075</stp>
        <tr r="F4257" s="2"/>
      </tp>
      <tp t="s">
        <v>#N/A N/A</v>
        <stp/>
        <stp>BDP|4881578333338908043</stp>
        <tr r="D4253" s="2"/>
      </tp>
      <tp t="s">
        <v>#N/A N/A</v>
        <stp/>
        <stp>BDP|5443068168980843931</stp>
        <tr r="A3226" s="2"/>
      </tp>
      <tp t="s">
        <v>#N/A N/A</v>
        <stp/>
        <stp>BDP|2362755433744675820</stp>
        <tr r="I3643" s="2"/>
      </tp>
      <tp t="s">
        <v>#N/A N/A</v>
        <stp/>
        <stp>BDP|5161742486802367219</stp>
        <tr r="B2095" s="2"/>
      </tp>
      <tp t="s">
        <v>#N/A N/A</v>
        <stp/>
        <stp>BDP|8707026966791442567</stp>
        <tr r="I4114" s="2"/>
      </tp>
      <tp t="s">
        <v>#N/A N/A</v>
        <stp/>
        <stp>BDP|4733540891230239210</stp>
        <tr r="B2721" s="2"/>
      </tp>
      <tp t="s">
        <v>#N/A N/A</v>
        <stp/>
        <stp>BDP|9290241509829935871</stp>
        <tr r="H2408" s="2"/>
      </tp>
      <tp t="s">
        <v>#N/A N/A</v>
        <stp/>
        <stp>BDP|3002660471908039068</stp>
        <tr r="I3935" s="2"/>
      </tp>
      <tp t="s">
        <v>#N/A N/A</v>
        <stp/>
        <stp>BDP|8646994365178809533</stp>
        <tr r="A4345" s="2"/>
      </tp>
      <tp t="s">
        <v>#N/A N/A</v>
        <stp/>
        <stp>BDP|8443608121741394777</stp>
        <tr r="I1969" s="2"/>
      </tp>
      <tp t="s">
        <v>#N/A N/A</v>
        <stp/>
        <stp>BDP|5445747296226246750</stp>
        <tr r="F2602" s="2"/>
      </tp>
      <tp t="s">
        <v>#N/A N/A</v>
        <stp/>
        <stp>BDP|6548755021459755075</stp>
        <tr r="D3693" s="2"/>
      </tp>
      <tp t="s">
        <v>#N/A N/A</v>
        <stp/>
        <stp>BDP|9912935986256807453</stp>
        <tr r="A2284" s="2"/>
      </tp>
      <tp t="s">
        <v>#N/A N/A</v>
        <stp/>
        <stp>BDP|4921794798346166687</stp>
        <tr r="C4374" s="2"/>
      </tp>
      <tp t="s">
        <v>#N/A N/A</v>
        <stp/>
        <stp>BDP|5473079606658785734</stp>
        <tr r="B4349" s="2"/>
      </tp>
      <tp t="s">
        <v>#N/A N/A</v>
        <stp/>
        <stp>BDP|9736296199130071867</stp>
        <tr r="F1436" s="2"/>
      </tp>
      <tp t="s">
        <v>#N/A N/A</v>
        <stp/>
        <stp>BDP|2784133405769810089</stp>
        <tr r="F4662" s="2"/>
      </tp>
      <tp t="s">
        <v>#N/A N/A</v>
        <stp/>
        <stp>BDP|3888416288955908093</stp>
        <tr r="F123" s="2"/>
      </tp>
      <tp t="s">
        <v>#N/A N/A</v>
        <stp/>
        <stp>BDP|1475301099094851547</stp>
        <tr r="B311" s="2"/>
      </tp>
      <tp t="s">
        <v>#N/A N/A</v>
        <stp/>
        <stp>BDP|7856983574721509205</stp>
        <tr r="G362" s="2"/>
      </tp>
      <tp t="s">
        <v>#N/A N/A</v>
        <stp/>
        <stp>BDP|1219809777297142359</stp>
        <tr r="I4249" s="2"/>
      </tp>
      <tp t="s">
        <v>#N/A N/A</v>
        <stp/>
        <stp>BDP|8446217285910792864</stp>
        <tr r="B3779" s="2"/>
      </tp>
      <tp t="s">
        <v>#N/A N/A</v>
        <stp/>
        <stp>BDP|9388789337524839350</stp>
        <tr r="A3899" s="2"/>
      </tp>
      <tp t="s">
        <v>#N/A N/A</v>
        <stp/>
        <stp>BDP|5171487235290508885</stp>
        <tr r="F4517" s="2"/>
      </tp>
      <tp t="s">
        <v>#N/A N/A</v>
        <stp/>
        <stp>BDP|8490394025887907402</stp>
        <tr r="G3096" s="2"/>
      </tp>
      <tp t="s">
        <v>#N/A N/A</v>
        <stp/>
        <stp>BDP|3603299493191885357</stp>
        <tr r="H3405" s="2"/>
      </tp>
      <tp t="s">
        <v>#N/A N/A</v>
        <stp/>
        <stp>BDP|9785690752204586484</stp>
        <tr r="F2778" s="2"/>
      </tp>
      <tp t="s">
        <v>#N/A N/A</v>
        <stp/>
        <stp>BDP|3621822530085539705</stp>
        <tr r="I3663" s="2"/>
      </tp>
      <tp t="s">
        <v>#N/A N/A</v>
        <stp/>
        <stp>BDP|9218110725196367640</stp>
        <tr r="I3765" s="2"/>
      </tp>
      <tp t="s">
        <v>#N/A N/A</v>
        <stp/>
        <stp>BDP|3272962094661116804</stp>
        <tr r="G3009" s="2"/>
      </tp>
      <tp t="s">
        <v>#N/A N/A</v>
        <stp/>
        <stp>BDP|5190807831484682074</stp>
        <tr r="B2495" s="2"/>
      </tp>
      <tp t="s">
        <v>#N/A N/A</v>
        <stp/>
        <stp>BDP|1219123287281240342</stp>
        <tr r="B2456" s="2"/>
      </tp>
      <tp t="s">
        <v>#N/A N/A</v>
        <stp/>
        <stp>BDP|5540186360851853936</stp>
        <tr r="A404" s="2"/>
      </tp>
      <tp t="s">
        <v>#N/A N/A</v>
        <stp/>
        <stp>BDP|8775515224097128259</stp>
        <tr r="C1657" s="2"/>
      </tp>
      <tp t="s">
        <v>#N/A N/A</v>
        <stp/>
        <stp>BDP|2203909173061656715</stp>
        <tr r="B2363" s="2"/>
      </tp>
      <tp t="s">
        <v>#N/A N/A</v>
        <stp/>
        <stp>BDP|9101157782722696860</stp>
        <tr r="G444" s="2"/>
      </tp>
      <tp t="s">
        <v>#N/A N/A</v>
        <stp/>
        <stp>BDP|4284872940612026037</stp>
        <tr r="A3569" s="2"/>
      </tp>
      <tp t="s">
        <v>#N/A N/A</v>
        <stp/>
        <stp>BDP|1770839793912192806</stp>
        <tr r="H2096" s="2"/>
      </tp>
      <tp t="s">
        <v>#N/A N/A</v>
        <stp/>
        <stp>BDP|4810750530403345989</stp>
        <tr r="D2491" s="2"/>
      </tp>
      <tp t="s">
        <v>#N/A N/A</v>
        <stp/>
        <stp>BDP|1964380480535591522</stp>
        <tr r="D99" s="2"/>
      </tp>
      <tp t="s">
        <v>#N/A N/A</v>
        <stp/>
        <stp>BDP|2487814316902175349</stp>
        <tr r="A2221" s="2"/>
      </tp>
      <tp t="s">
        <v>#N/A N/A</v>
        <stp/>
        <stp>BDP|2057140643454126908</stp>
        <tr r="B267" s="2"/>
      </tp>
      <tp t="s">
        <v>#N/A N/A</v>
        <stp/>
        <stp>BDP|6379169671509741354</stp>
        <tr r="D2830" s="2"/>
      </tp>
      <tp t="s">
        <v>#N/A N/A</v>
        <stp/>
        <stp>BDP|8379905950897626933</stp>
        <tr r="B1304" s="2"/>
      </tp>
      <tp t="s">
        <v>#N/A N/A</v>
        <stp/>
        <stp>BDP|8056328407173367200</stp>
        <tr r="D2180" s="2"/>
      </tp>
      <tp t="s">
        <v>#N/A N/A</v>
        <stp/>
        <stp>BDP|8189402521483758711</stp>
        <tr r="D1550" s="2"/>
      </tp>
      <tp t="s">
        <v>#N/A N/A</v>
        <stp/>
        <stp>BDP|8627062751985720201</stp>
        <tr r="B4026" s="2"/>
      </tp>
      <tp t="s">
        <v>#N/A N/A</v>
        <stp/>
        <stp>BDP|7246408758609808540</stp>
        <tr r="C2915" s="2"/>
      </tp>
      <tp t="s">
        <v>#N/A N/A</v>
        <stp/>
        <stp>BDP|4885545291231922320</stp>
        <tr r="I4324" s="2"/>
      </tp>
      <tp t="s">
        <v>#N/A N/A</v>
        <stp/>
        <stp>BDP|9189442376238629837</stp>
        <tr r="A3020" s="2"/>
      </tp>
      <tp t="s">
        <v>#N/A N/A</v>
        <stp/>
        <stp>BDP|1690542004247025906</stp>
        <tr r="D3220" s="2"/>
      </tp>
      <tp t="s">
        <v>#N/A N/A</v>
        <stp/>
        <stp>BDP|9347038142514136357</stp>
        <tr r="I3698" s="2"/>
      </tp>
      <tp t="s">
        <v>#N/A N/A</v>
        <stp/>
        <stp>BDP|7585538350828706575</stp>
        <tr r="A2485" s="2"/>
      </tp>
      <tp t="s">
        <v>#N/A N/A</v>
        <stp/>
        <stp>BDP|4089077887885581332</stp>
        <tr r="D1633" s="2"/>
      </tp>
      <tp t="s">
        <v>#N/A N/A</v>
        <stp/>
        <stp>BDP|3378320857349784670</stp>
        <tr r="D4090" s="2"/>
      </tp>
      <tp t="s">
        <v>#N/A N/A</v>
        <stp/>
        <stp>BDP|6163715554787312919</stp>
        <tr r="I600" s="2"/>
      </tp>
      <tp t="s">
        <v>#N/A N/A</v>
        <stp/>
        <stp>BDP|9217867983962165105</stp>
        <tr r="D3307" s="2"/>
      </tp>
      <tp t="s">
        <v>#N/A N/A</v>
        <stp/>
        <stp>BDP|3618796289842340437</stp>
        <tr r="B3957" s="2"/>
      </tp>
      <tp t="s">
        <v>#N/A N/A</v>
        <stp/>
        <stp>BDP|6240112437376622848</stp>
        <tr r="D2655" s="2"/>
      </tp>
      <tp t="s">
        <v>#N/A N/A</v>
        <stp/>
        <stp>BDP|6150919446372338333</stp>
        <tr r="A2832" s="2"/>
      </tp>
      <tp t="s">
        <v>#N/A N/A</v>
        <stp/>
        <stp>BDP|6775946761521296263</stp>
        <tr r="B2193" s="2"/>
      </tp>
      <tp t="s">
        <v>#N/A N/A</v>
        <stp/>
        <stp>BDP|8943219262447956152</stp>
        <tr r="A4413" s="2"/>
      </tp>
      <tp t="s">
        <v>#N/A N/A</v>
        <stp/>
        <stp>BDP|7702914783008689452</stp>
        <tr r="A2465" s="2"/>
      </tp>
      <tp t="s">
        <v>#N/A N/A</v>
        <stp/>
        <stp>BDP|4039840648753287182</stp>
        <tr r="B783" s="2"/>
      </tp>
      <tp t="s">
        <v>#N/A N/A</v>
        <stp/>
        <stp>BDP|1730467552492392867</stp>
        <tr r="A3013" s="2"/>
      </tp>
      <tp t="s">
        <v>#N/A N/A</v>
        <stp/>
        <stp>BDP|4914837778661342075</stp>
        <tr r="H1855" s="2"/>
      </tp>
      <tp t="s">
        <v>#N/A N/A</v>
        <stp/>
        <stp>BDP|8909750805480849571</stp>
        <tr r="D4405" s="2"/>
      </tp>
      <tp t="s">
        <v>#N/A N/A</v>
        <stp/>
        <stp>BDP|8505612653440864191</stp>
        <tr r="A2477" s="2"/>
      </tp>
      <tp t="s">
        <v>#N/A N/A</v>
        <stp/>
        <stp>BDP|7329652074654030844</stp>
        <tr r="F1356" s="2"/>
      </tp>
      <tp t="s">
        <v>#N/A N/A</v>
        <stp/>
        <stp>BDP|5505712284846382652</stp>
        <tr r="G643" s="2"/>
      </tp>
      <tp t="s">
        <v>#N/A N/A</v>
        <stp/>
        <stp>BDP|6470466512909684000</stp>
        <tr r="H4770" s="2"/>
      </tp>
      <tp t="s">
        <v>#N/A N/A</v>
        <stp/>
        <stp>BDP|8309650332291431661</stp>
        <tr r="B3565" s="2"/>
      </tp>
      <tp t="s">
        <v>#N/A N/A</v>
        <stp/>
        <stp>BDP|3705320596845330668</stp>
        <tr r="B2643" s="2"/>
      </tp>
      <tp t="s">
        <v>#N/A N/A</v>
        <stp/>
        <stp>BDP|8356170073704653074</stp>
        <tr r="B3214" s="2"/>
      </tp>
      <tp t="s">
        <v>#N/A N/A</v>
        <stp/>
        <stp>BDP|6471846995214769946</stp>
        <tr r="I3767" s="2"/>
      </tp>
      <tp t="s">
        <v>#N/A N/A</v>
        <stp/>
        <stp>BDP|7903270039949997583</stp>
        <tr r="H1930" s="2"/>
      </tp>
      <tp t="s">
        <v>#N/A N/A</v>
        <stp/>
        <stp>BDP|2142727244453017815</stp>
        <tr r="B4425" s="2"/>
      </tp>
      <tp t="s">
        <v>#N/A N/A</v>
        <stp/>
        <stp>BDP|3690239995170626200</stp>
        <tr r="C4087" s="2"/>
      </tp>
      <tp t="s">
        <v>#N/A N/A</v>
        <stp/>
        <stp>BDP|7996087958428885071</stp>
        <tr r="D710" s="2"/>
      </tp>
      <tp t="s">
        <v>#N/A N/A</v>
        <stp/>
        <stp>BDP|5255124375268519161</stp>
        <tr r="G1786" s="2"/>
      </tp>
      <tp t="s">
        <v>#N/A N/A</v>
        <stp/>
        <stp>BDP|6701797565688838550</stp>
        <tr r="B2717" s="2"/>
      </tp>
      <tp t="s">
        <v>#N/A N/A</v>
        <stp/>
        <stp>BDP|8602724066021016247</stp>
        <tr r="C173" s="2"/>
      </tp>
      <tp t="s">
        <v>#N/A N/A</v>
        <stp/>
        <stp>BDP|9613826782045830686</stp>
        <tr r="F4543" s="2"/>
      </tp>
      <tp t="s">
        <v>#N/A N/A</v>
        <stp/>
        <stp>BDP|2010883277232842516</stp>
        <tr r="G2255" s="2"/>
      </tp>
      <tp t="s">
        <v>#N/A N/A</v>
        <stp/>
        <stp>BDP|7292528381747178763</stp>
        <tr r="G2396" s="2"/>
      </tp>
      <tp t="s">
        <v>#N/A N/A</v>
        <stp/>
        <stp>BDP|6394977479977968523</stp>
        <tr r="C1031" s="2"/>
      </tp>
      <tp t="s">
        <v>#N/A N/A</v>
        <stp/>
        <stp>BDP|5422614092296553643</stp>
        <tr r="D4927" s="2"/>
      </tp>
      <tp t="s">
        <v>#N/A N/A</v>
        <stp/>
        <stp>BDP|3182997944070256488</stp>
        <tr r="F3714" s="2"/>
      </tp>
      <tp t="s">
        <v>#N/A N/A</v>
        <stp/>
        <stp>BDP|3391152281163171308</stp>
        <tr r="F4075" s="2"/>
      </tp>
      <tp t="s">
        <v>#N/A N/A</v>
        <stp/>
        <stp>BDP|5535809352061777368</stp>
        <tr r="F4577" s="2"/>
      </tp>
      <tp t="s">
        <v>#N/A N/A</v>
        <stp/>
        <stp>BDP|8272306115605800592</stp>
        <tr r="C73" s="2"/>
      </tp>
      <tp t="s">
        <v>#N/A N/A</v>
        <stp/>
        <stp>BDP|3072519954190786943</stp>
        <tr r="H1280" s="2"/>
      </tp>
      <tp t="s">
        <v>#N/A N/A</v>
        <stp/>
        <stp>BDP|2423273191827695424</stp>
        <tr r="C4038" s="2"/>
      </tp>
      <tp t="s">
        <v>#N/A N/A</v>
        <stp/>
        <stp>BDP|6791239086147540111</stp>
        <tr r="G611" s="2"/>
      </tp>
      <tp t="s">
        <v>#N/A N/A</v>
        <stp/>
        <stp>BDP|2133411434049755653</stp>
        <tr r="H878" s="2"/>
      </tp>
      <tp t="s">
        <v>#N/A N/A</v>
        <stp/>
        <stp>BDP|2166522818485876953</stp>
        <tr r="H3685" s="2"/>
      </tp>
      <tp t="s">
        <v>#N/A N/A</v>
        <stp/>
        <stp>BDP|9290867289252394181</stp>
        <tr r="C2827" s="2"/>
      </tp>
      <tp t="s">
        <v>#N/A N/A</v>
        <stp/>
        <stp>BDP|6127478520709987392</stp>
        <tr r="D638" s="2"/>
      </tp>
      <tp t="s">
        <v>#N/A N/A</v>
        <stp/>
        <stp>BDP|2374301190046670436</stp>
        <tr r="I3859" s="2"/>
      </tp>
      <tp t="s">
        <v>#N/A N/A</v>
        <stp/>
        <stp>BDP|4285933131691397553</stp>
        <tr r="F628" s="2"/>
      </tp>
      <tp t="s">
        <v>#N/A N/A</v>
        <stp/>
        <stp>BDP|8328705954137768767</stp>
        <tr r="H2290" s="2"/>
      </tp>
      <tp t="s">
        <v>#N/A N/A</v>
        <stp/>
        <stp>BDP|2550061287037357717</stp>
        <tr r="A3856" s="2"/>
      </tp>
      <tp t="s">
        <v>#N/A N/A</v>
        <stp/>
        <stp>BDP|9502464573458774811</stp>
        <tr r="C487" s="2"/>
      </tp>
      <tp t="s">
        <v>#N/A N/A</v>
        <stp/>
        <stp>BDP|8363770025174663317</stp>
        <tr r="F820" s="2"/>
      </tp>
      <tp t="s">
        <v>#N/A N/A</v>
        <stp/>
        <stp>BDP|2934487128238917661</stp>
        <tr r="F2867" s="2"/>
      </tp>
      <tp t="s">
        <v>#N/A N/A</v>
        <stp/>
        <stp>BDP|9601321845620287459</stp>
        <tr r="A1681" s="2"/>
      </tp>
      <tp t="s">
        <v>#N/A N/A</v>
        <stp/>
        <stp>BDP|7441459411688740019</stp>
        <tr r="D1865" s="2"/>
      </tp>
      <tp t="s">
        <v>#N/A N/A</v>
        <stp/>
        <stp>BDP|1995690994725700158</stp>
        <tr r="F1609" s="2"/>
      </tp>
      <tp t="s">
        <v>#N/A N/A</v>
        <stp/>
        <stp>BDP|8663430084898094671</stp>
        <tr r="G692" s="2"/>
      </tp>
      <tp t="s">
        <v>#N/A N/A</v>
        <stp/>
        <stp>BDP|4027150822165146801</stp>
        <tr r="H3135" s="2"/>
      </tp>
      <tp t="s">
        <v>#N/A N/A</v>
        <stp/>
        <stp>BDP|3406264695865642761</stp>
        <tr r="A4219" s="2"/>
      </tp>
      <tp t="s">
        <v>#N/A N/A</v>
        <stp/>
        <stp>BDP|5513746292960154152</stp>
        <tr r="A1696" s="2"/>
      </tp>
      <tp t="s">
        <v>#N/A N/A</v>
        <stp/>
        <stp>BDP|9913437009426332178</stp>
        <tr r="G4931" s="2"/>
      </tp>
      <tp t="s">
        <v>#N/A N/A</v>
        <stp/>
        <stp>BDP|2164830972486199162</stp>
        <tr r="B1543" s="2"/>
      </tp>
      <tp t="s">
        <v>#N/A N/A</v>
        <stp/>
        <stp>BDP|8691008394168601338</stp>
        <tr r="I1092" s="2"/>
      </tp>
      <tp t="s">
        <v>#N/A N/A</v>
        <stp/>
        <stp>BDP|4593723205081225870</stp>
        <tr r="F2145" s="2"/>
      </tp>
      <tp t="s">
        <v>#N/A N/A</v>
        <stp/>
        <stp>BDP|8794400356383316053</stp>
        <tr r="A3107" s="2"/>
      </tp>
      <tp t="s">
        <v>#N/A N/A</v>
        <stp/>
        <stp>BDP|8690823392556152501</stp>
        <tr r="C2612" s="2"/>
      </tp>
      <tp t="s">
        <v>#N/A N/A</v>
        <stp/>
        <stp>BDP|2086966397481563937</stp>
        <tr r="I1979" s="2"/>
      </tp>
      <tp t="s">
        <v>#N/A N/A</v>
        <stp/>
        <stp>BDP|3550954687910918892</stp>
        <tr r="B289" s="2"/>
      </tp>
      <tp t="s">
        <v>#N/A N/A</v>
        <stp/>
        <stp>BDP|6577927471581272339</stp>
        <tr r="I4093" s="2"/>
      </tp>
      <tp t="s">
        <v>#N/A N/A</v>
        <stp/>
        <stp>BDP|8946006920464683485</stp>
        <tr r="D3691" s="2"/>
      </tp>
      <tp t="s">
        <v>#N/A N/A</v>
        <stp/>
        <stp>BDP|9783043848650955753</stp>
        <tr r="H3844" s="2"/>
      </tp>
      <tp t="s">
        <v>#N/A N/A</v>
        <stp/>
        <stp>BDP|8119736495205679968</stp>
        <tr r="D3118" s="2"/>
      </tp>
      <tp t="s">
        <v>#N/A N/A</v>
        <stp/>
        <stp>BDP|2637556828628595790</stp>
        <tr r="C2304" s="2"/>
      </tp>
      <tp t="s">
        <v>#N/A N/A</v>
        <stp/>
        <stp>BDP|1690644700048779520</stp>
        <tr r="F2280" s="2"/>
      </tp>
      <tp t="s">
        <v>#N/A N/A</v>
        <stp/>
        <stp>BDP|1505863711464732629</stp>
        <tr r="I1218" s="2"/>
      </tp>
      <tp t="s">
        <v>#N/A N/A</v>
        <stp/>
        <stp>BDP|7542789346028933653</stp>
        <tr r="D1384" s="2"/>
      </tp>
      <tp t="s">
        <v>#N/A N/A</v>
        <stp/>
        <stp>BDP|2446879702133521333</stp>
        <tr r="C3643" s="2"/>
      </tp>
      <tp t="s">
        <v>#N/A N/A</v>
        <stp/>
        <stp>BDP|7029774519552170989</stp>
        <tr r="H4344" s="2"/>
      </tp>
      <tp t="s">
        <v>#N/A N/A</v>
        <stp/>
        <stp>BDP|9643277773091397767</stp>
        <tr r="G2884" s="2"/>
      </tp>
      <tp t="s">
        <v>#N/A N/A</v>
        <stp/>
        <stp>BDP|6797976366504540742</stp>
        <tr r="C2660" s="2"/>
      </tp>
      <tp t="s">
        <v>#N/A N/A</v>
        <stp/>
        <stp>BDP|2156866705874116446</stp>
        <tr r="H963" s="2"/>
      </tp>
      <tp t="s">
        <v>#N/A N/A</v>
        <stp/>
        <stp>BDP|5365708092314405521</stp>
        <tr r="B253" s="2"/>
      </tp>
      <tp t="s">
        <v>#N/A N/A</v>
        <stp/>
        <stp>BDP|8802298041054466032</stp>
        <tr r="D2330" s="2"/>
      </tp>
      <tp t="s">
        <v>#N/A N/A</v>
        <stp/>
        <stp>BDP|8894495973468569902</stp>
        <tr r="C3580" s="2"/>
      </tp>
      <tp t="s">
        <v>#N/A N/A</v>
        <stp/>
        <stp>BDP|5038509461598749417</stp>
        <tr r="A1816" s="2"/>
      </tp>
      <tp t="s">
        <v>#N/A N/A</v>
        <stp/>
        <stp>BDP|9285685861257425481</stp>
        <tr r="B3645" s="2"/>
      </tp>
      <tp t="s">
        <v>#N/A N/A</v>
        <stp/>
        <stp>BDP|4092536392784351651</stp>
        <tr r="G2536" s="2"/>
      </tp>
      <tp t="s">
        <v>#N/A N/A</v>
        <stp/>
        <stp>BDP|1584012990731154324</stp>
        <tr r="I1330" s="2"/>
      </tp>
      <tp t="s">
        <v>#N/A N/A</v>
        <stp/>
        <stp>BDP|6414874364936153416</stp>
        <tr r="C365" s="2"/>
      </tp>
      <tp t="s">
        <v>#N/A N/A</v>
        <stp/>
        <stp>BDP|3052734680404394273</stp>
        <tr r="H1815" s="2"/>
      </tp>
      <tp t="s">
        <v>#N/A N/A</v>
        <stp/>
        <stp>BDP|9162031237876649644</stp>
        <tr r="G2551" s="2"/>
      </tp>
      <tp t="s">
        <v>#N/A N/A</v>
        <stp/>
        <stp>BDP|7026003284623086631</stp>
        <tr r="H4345" s="2"/>
      </tp>
      <tp t="s">
        <v>#N/A N/A</v>
        <stp/>
        <stp>BDP|1240787489223669729</stp>
        <tr r="B4952" s="2"/>
      </tp>
      <tp t="s">
        <v>#N/A N/A</v>
        <stp/>
        <stp>BDP|6462647656537752860</stp>
        <tr r="D899" s="2"/>
      </tp>
      <tp t="s">
        <v>#N/A N/A</v>
        <stp/>
        <stp>BDP|1205247041715342835</stp>
        <tr r="F244" s="2"/>
      </tp>
      <tp t="s">
        <v>#N/A N/A</v>
        <stp/>
        <stp>BDP|4776298713009297487</stp>
        <tr r="I4863" s="2"/>
      </tp>
      <tp t="s">
        <v>#N/A N/A</v>
        <stp/>
        <stp>BDP|6315987408260157550</stp>
        <tr r="I807" s="2"/>
      </tp>
      <tp t="s">
        <v>#N/A N/A</v>
        <stp/>
        <stp>BDP|4182628872787328854</stp>
        <tr r="G3631" s="2"/>
      </tp>
      <tp t="s">
        <v>#N/A N/A</v>
        <stp/>
        <stp>BDP|6946197420207752804</stp>
        <tr r="A4192" s="2"/>
      </tp>
      <tp t="s">
        <v>#N/A N/A</v>
        <stp/>
        <stp>BDP|8204925083206139554</stp>
        <tr r="B4174" s="2"/>
      </tp>
      <tp t="s">
        <v>#N/A N/A</v>
        <stp/>
        <stp>BDP|5147082215387222997</stp>
        <tr r="F1977" s="2"/>
      </tp>
      <tp t="s">
        <v>#N/A N/A</v>
        <stp/>
        <stp>BDP|9529575161650037042</stp>
        <tr r="G4775" s="2"/>
      </tp>
      <tp t="s">
        <v>#N/A N/A</v>
        <stp/>
        <stp>BDP|5472751296445640465</stp>
        <tr r="C547" s="2"/>
      </tp>
      <tp t="s">
        <v>#N/A N/A</v>
        <stp/>
        <stp>BDP|1688016592995144730</stp>
        <tr r="G2966" s="2"/>
      </tp>
      <tp t="s">
        <v>#N/A N/A</v>
        <stp/>
        <stp>BDP|6421806072357964482</stp>
        <tr r="G2395" s="2"/>
      </tp>
      <tp t="s">
        <v>#N/A N/A</v>
        <stp/>
        <stp>BDP|8321665301572488679</stp>
        <tr r="F4493" s="2"/>
      </tp>
      <tp t="s">
        <v>#N/A N/A</v>
        <stp/>
        <stp>BDP|2958356266639547482</stp>
        <tr r="I3923" s="2"/>
      </tp>
      <tp t="s">
        <v>#N/A N/A</v>
        <stp/>
        <stp>BDP|8191408300461350752</stp>
        <tr r="A3562" s="2"/>
      </tp>
      <tp t="s">
        <v>#N/A N/A</v>
        <stp/>
        <stp>BDP|7157773943548439665</stp>
        <tr r="D1255" s="2"/>
      </tp>
      <tp t="s">
        <v>#N/A N/A</v>
        <stp/>
        <stp>BDP|8054065257751210643</stp>
        <tr r="F1930" s="2"/>
      </tp>
      <tp t="s">
        <v>#N/A N/A</v>
        <stp/>
        <stp>BDP|5389525563299538509</stp>
        <tr r="C3872" s="2"/>
      </tp>
      <tp t="s">
        <v>#N/A N/A</v>
        <stp/>
        <stp>BDP|4461660793323586239</stp>
        <tr r="H2113" s="2"/>
      </tp>
      <tp t="s">
        <v>#N/A N/A</v>
        <stp/>
        <stp>BDP|2927626789166203072</stp>
        <tr r="C4541" s="2"/>
      </tp>
      <tp t="s">
        <v>#N/A N/A</v>
        <stp/>
        <stp>BDP|1054185699346471523</stp>
        <tr r="D961" s="2"/>
      </tp>
      <tp t="s">
        <v>#N/A N/A</v>
        <stp/>
        <stp>BDP|7068978204542152659</stp>
        <tr r="A3589" s="2"/>
      </tp>
      <tp t="s">
        <v>#N/A N/A</v>
        <stp/>
        <stp>BDP|9536020830938554858</stp>
        <tr r="F1013" s="2"/>
      </tp>
      <tp t="s">
        <v>#N/A N/A</v>
        <stp/>
        <stp>BDP|7677874987584572947</stp>
        <tr r="H2019" s="2"/>
      </tp>
      <tp t="s">
        <v>#N/A N/A</v>
        <stp/>
        <stp>BDP|2571970234770829294</stp>
        <tr r="B2484" s="2"/>
      </tp>
      <tp t="s">
        <v>#N/A N/A</v>
        <stp/>
        <stp>BDP|5724942058164568791</stp>
        <tr r="G3186" s="2"/>
      </tp>
      <tp t="s">
        <v>#N/A N/A</v>
        <stp/>
        <stp>BDP|9514585344112542088</stp>
        <tr r="C2000" s="2"/>
      </tp>
      <tp t="s">
        <v>#N/A N/A</v>
        <stp/>
        <stp>BDP|4537265986194980086</stp>
        <tr r="D1097" s="2"/>
      </tp>
      <tp t="s">
        <v>#N/A N/A</v>
        <stp/>
        <stp>BDP|7014516650038286576</stp>
        <tr r="F4690" s="2"/>
      </tp>
      <tp t="s">
        <v>#N/A N/A</v>
        <stp/>
        <stp>BDP|9526820724780758909</stp>
        <tr r="D4516" s="2"/>
      </tp>
      <tp t="s">
        <v>#N/A N/A</v>
        <stp/>
        <stp>BDP|1490096040648967706</stp>
        <tr r="G562" s="2"/>
      </tp>
      <tp t="s">
        <v>#N/A N/A</v>
        <stp/>
        <stp>BDP|4887091640522675833</stp>
        <tr r="F3647" s="2"/>
      </tp>
      <tp t="s">
        <v>#N/A N/A</v>
        <stp/>
        <stp>BDP|8455066103025634738</stp>
        <tr r="D1032" s="2"/>
      </tp>
      <tp t="s">
        <v>#N/A N/A</v>
        <stp/>
        <stp>BDP|5395519527960568847</stp>
        <tr r="C1002" s="2"/>
      </tp>
      <tp t="s">
        <v>#N/A N/A</v>
        <stp/>
        <stp>BDP|1985560249083305910</stp>
        <tr r="H3240" s="2"/>
      </tp>
      <tp t="s">
        <v>#N/A N/A</v>
        <stp/>
        <stp>BDP|4554674162506668829</stp>
        <tr r="C4385" s="2"/>
      </tp>
      <tp t="s">
        <v>#N/A N/A</v>
        <stp/>
        <stp>BDP|2155818447785027133</stp>
        <tr r="D2090" s="2"/>
      </tp>
      <tp t="s">
        <v>#N/A N/A</v>
        <stp/>
        <stp>BDP|8853379708385008432</stp>
        <tr r="C1745" s="2"/>
      </tp>
      <tp t="s">
        <v>#N/A N/A</v>
        <stp/>
        <stp>BDP|5323877037962280659</stp>
        <tr r="H1273" s="2"/>
      </tp>
      <tp t="s">
        <v>#N/A N/A</v>
        <stp/>
        <stp>BDP|9430748631566545107</stp>
        <tr r="D2056" s="2"/>
      </tp>
      <tp t="s">
        <v>#N/A N/A</v>
        <stp/>
        <stp>BDP|1383427529714807945</stp>
        <tr r="D1411" s="2"/>
      </tp>
      <tp t="s">
        <v>#N/A N/A</v>
        <stp/>
        <stp>BDP|9257126175426726368</stp>
        <tr r="B4878" s="2"/>
      </tp>
      <tp t="s">
        <v>#N/A N/A</v>
        <stp/>
        <stp>BDP|2019032254935201817</stp>
        <tr r="D1796" s="2"/>
      </tp>
      <tp t="s">
        <v>#N/A N/A</v>
        <stp/>
        <stp>BDP|9072734047859261921</stp>
        <tr r="H445" s="2"/>
      </tp>
      <tp t="s">
        <v>#N/A N/A</v>
        <stp/>
        <stp>BDP|5138391127788801639</stp>
        <tr r="I4156" s="2"/>
      </tp>
      <tp t="s">
        <v>#N/A N/A</v>
        <stp/>
        <stp>BDP|2278170789773184294</stp>
        <tr r="A973" s="2"/>
      </tp>
      <tp t="s">
        <v>#N/A N/A</v>
        <stp/>
        <stp>BDP|5089014973318424022</stp>
        <tr r="F2982" s="2"/>
      </tp>
      <tp t="s">
        <v>#N/A N/A</v>
        <stp/>
        <stp>BDP|7004461685410532129</stp>
        <tr r="B2411" s="2"/>
      </tp>
      <tp t="s">
        <v>#N/A N/A</v>
        <stp/>
        <stp>BDP|8758021025980429000</stp>
        <tr r="A1653" s="2"/>
      </tp>
      <tp t="s">
        <v>#N/A N/A</v>
        <stp/>
        <stp>BDP|5777143965479492166</stp>
        <tr r="C977" s="2"/>
      </tp>
      <tp t="s">
        <v>#N/A N/A</v>
        <stp/>
        <stp>BDP|4053167674159084165</stp>
        <tr r="B4889" s="2"/>
      </tp>
      <tp t="s">
        <v>#N/A N/A</v>
        <stp/>
        <stp>BDP|1885696251348715032</stp>
        <tr r="C100" s="2"/>
      </tp>
      <tp t="s">
        <v>#N/A N/A</v>
        <stp/>
        <stp>BDP|9868462309840359707</stp>
        <tr r="A4843" s="2"/>
      </tp>
      <tp t="s">
        <v>#N/A N/A</v>
        <stp/>
        <stp>BDP|4228495826718191087</stp>
        <tr r="H2765" s="2"/>
      </tp>
      <tp t="s">
        <v>#N/A N/A</v>
        <stp/>
        <stp>BDP|5683973762418564827</stp>
        <tr r="D1413" s="2"/>
      </tp>
      <tp t="s">
        <v>#N/A N/A</v>
        <stp/>
        <stp>BDP|3537862711641496120</stp>
        <tr r="B4177" s="2"/>
      </tp>
      <tp t="s">
        <v>#N/A N/A</v>
        <stp/>
        <stp>BDP|6785903773991056309</stp>
        <tr r="D340" s="2"/>
      </tp>
      <tp t="s">
        <v>#N/A N/A</v>
        <stp/>
        <stp>BDP|8273610705994110031</stp>
        <tr r="D4904" s="2"/>
      </tp>
      <tp t="s">
        <v>#N/A N/A</v>
        <stp/>
        <stp>BDP|7242137392886007375</stp>
        <tr r="D2484" s="2"/>
      </tp>
      <tp t="s">
        <v>#N/A N/A</v>
        <stp/>
        <stp>BDP|7419539141259757551</stp>
        <tr r="G4234" s="2"/>
      </tp>
      <tp t="s">
        <v>#N/A N/A</v>
        <stp/>
        <stp>BDP|9411611232583390502</stp>
        <tr r="D4171" s="2"/>
      </tp>
      <tp t="s">
        <v>#N/A N/A</v>
        <stp/>
        <stp>BDP|2465055157669626446</stp>
        <tr r="H4410" s="2"/>
      </tp>
      <tp t="s">
        <v>#N/A N/A</v>
        <stp/>
        <stp>BDP|1788116792686015508</stp>
        <tr r="D1419" s="2"/>
      </tp>
      <tp t="s">
        <v>#N/A N/A</v>
        <stp/>
        <stp>BDP|4577540392941792306</stp>
        <tr r="B4847" s="2"/>
      </tp>
      <tp t="s">
        <v>#N/A N/A</v>
        <stp/>
        <stp>BDP|5533312732097762856</stp>
        <tr r="B2249" s="2"/>
      </tp>
      <tp t="s">
        <v>#N/A N/A</v>
        <stp/>
        <stp>BDP|5721376026816544878</stp>
        <tr r="C1555" s="2"/>
      </tp>
      <tp t="s">
        <v>#N/A N/A</v>
        <stp/>
        <stp>BDP|9186114243892028476</stp>
        <tr r="G3620" s="2"/>
      </tp>
      <tp t="s">
        <v>#N/A N/A</v>
        <stp/>
        <stp>BDP|4533546092696428431</stp>
        <tr r="C2023" s="2"/>
      </tp>
      <tp t="s">
        <v>#N/A N/A</v>
        <stp/>
        <stp>BDP|4259142293666130002</stp>
        <tr r="D1591" s="2"/>
      </tp>
      <tp t="s">
        <v>#N/A N/A</v>
        <stp/>
        <stp>BDP|6778051760212151871</stp>
        <tr r="D1753" s="2"/>
      </tp>
      <tp t="s">
        <v>#N/A N/A</v>
        <stp/>
        <stp>BDP|6586549700061313863</stp>
        <tr r="F478" s="2"/>
      </tp>
      <tp t="s">
        <v>#N/A N/A</v>
        <stp/>
        <stp>BDP|5176900183126204845</stp>
        <tr r="A2997" s="2"/>
      </tp>
      <tp t="s">
        <v>#N/A N/A</v>
        <stp/>
        <stp>BDP|8623244121135202754</stp>
        <tr r="B4626" s="2"/>
      </tp>
      <tp t="s">
        <v>#N/A N/A</v>
        <stp/>
        <stp>BDP|9999682346905199428</stp>
        <tr r="B3329" s="2"/>
      </tp>
      <tp t="s">
        <v>#N/A N/A</v>
        <stp/>
        <stp>BDP|5785817948950925337</stp>
        <tr r="B1198" s="2"/>
      </tp>
      <tp t="s">
        <v>#N/A N/A</v>
        <stp/>
        <stp>BDP|8088628466311660366</stp>
        <tr r="A4714" s="2"/>
      </tp>
      <tp t="s">
        <v>#N/A N/A</v>
        <stp/>
        <stp>BDP|8964454769312513242</stp>
        <tr r="C3937" s="2"/>
      </tp>
      <tp t="s">
        <v>#N/A N/A</v>
        <stp/>
        <stp>BDP|3533554031097744821</stp>
        <tr r="I1528" s="2"/>
      </tp>
      <tp t="s">
        <v>#N/A N/A</v>
        <stp/>
        <stp>BDP|5053713593413369256</stp>
        <tr r="H4303" s="2"/>
      </tp>
      <tp t="s">
        <v>#N/A N/A</v>
        <stp/>
        <stp>BDP|4399535886092191137</stp>
        <tr r="H1804" s="2"/>
      </tp>
      <tp t="s">
        <v>#N/A N/A</v>
        <stp/>
        <stp>BDP|5141755481445234533</stp>
        <tr r="C1565" s="2"/>
      </tp>
      <tp t="s">
        <v>#N/A N/A</v>
        <stp/>
        <stp>BDP|8261101641252160566</stp>
        <tr r="C4812" s="2"/>
      </tp>
      <tp t="s">
        <v>#N/A N/A</v>
        <stp/>
        <stp>BDP|8753242320753059170</stp>
        <tr r="C2204" s="2"/>
      </tp>
      <tp t="s">
        <v>#N/A N/A</v>
        <stp/>
        <stp>BDP|1398510270240191977</stp>
        <tr r="I3575" s="2"/>
      </tp>
      <tp t="s">
        <v>#N/A N/A</v>
        <stp/>
        <stp>BDP|7066927457098870993</stp>
        <tr r="G177" s="2"/>
      </tp>
      <tp t="s">
        <v>#N/A N/A</v>
        <stp/>
        <stp>BDP|1714985206160884259</stp>
        <tr r="I3137" s="2"/>
      </tp>
      <tp t="s">
        <v>#N/A N/A</v>
        <stp/>
        <stp>BDP|5114834200274065365</stp>
        <tr r="C4567" s="2"/>
      </tp>
      <tp t="s">
        <v>#N/A N/A</v>
        <stp/>
        <stp>BDP|6517010787574686018</stp>
        <tr r="G3489" s="2"/>
      </tp>
      <tp t="s">
        <v>#N/A N/A</v>
        <stp/>
        <stp>BDP|5031342685485087159</stp>
        <tr r="C2510" s="2"/>
      </tp>
      <tp t="s">
        <v>#N/A N/A</v>
        <stp/>
        <stp>BDP|5514347884657062312</stp>
        <tr r="H4424" s="2"/>
      </tp>
      <tp t="s">
        <v>#N/A N/A</v>
        <stp/>
        <stp>BDP|6070243396561327654</stp>
        <tr r="D250" s="2"/>
      </tp>
      <tp t="s">
        <v>#N/A N/A</v>
        <stp/>
        <stp>BDP|4833924173166817650</stp>
        <tr r="B2272" s="2"/>
      </tp>
      <tp t="s">
        <v>#N/A N/A</v>
        <stp/>
        <stp>BDP|4624429595962212175</stp>
        <tr r="A558" s="2"/>
      </tp>
      <tp t="s">
        <v>#N/A N/A</v>
        <stp/>
        <stp>BDP|8653220245354657035</stp>
        <tr r="F3859" s="2"/>
      </tp>
      <tp t="s">
        <v>#N/A N/A</v>
        <stp/>
        <stp>BDP|7103604998636464492</stp>
        <tr r="H863" s="2"/>
      </tp>
      <tp t="s">
        <v>#N/A N/A</v>
        <stp/>
        <stp>BDP|6527325995885709319</stp>
        <tr r="D3056" s="2"/>
      </tp>
      <tp t="s">
        <v>#N/A N/A</v>
        <stp/>
        <stp>BDP|3242930544844476042</stp>
        <tr r="H1219" s="2"/>
      </tp>
      <tp t="s">
        <v>#N/A N/A</v>
        <stp/>
        <stp>BDP|4703754583894309575</stp>
        <tr r="G3496" s="2"/>
      </tp>
      <tp t="s">
        <v>#N/A N/A</v>
        <stp/>
        <stp>BDP|7697996738406216103</stp>
        <tr r="C1000" s="2"/>
      </tp>
      <tp t="s">
        <v>#N/A N/A</v>
        <stp/>
        <stp>BDP|8501917182587699452</stp>
        <tr r="F3884" s="2"/>
      </tp>
      <tp t="s">
        <v>#N/A N/A</v>
        <stp/>
        <stp>BDP|8158752954598787823</stp>
        <tr r="B940" s="2"/>
      </tp>
      <tp t="s">
        <v>#N/A N/A</v>
        <stp/>
        <stp>BDP|1483328780594195425</stp>
        <tr r="C1914" s="2"/>
      </tp>
      <tp t="s">
        <v>#N/A N/A</v>
        <stp/>
        <stp>BDP|6218467553828052523</stp>
        <tr r="C3369" s="2"/>
      </tp>
      <tp t="s">
        <v>#N/A N/A</v>
        <stp/>
        <stp>BDP|4262657124193203948</stp>
        <tr r="A3315" s="2"/>
      </tp>
      <tp t="s">
        <v>#N/A N/A</v>
        <stp/>
        <stp>BDP|5305503557837243834</stp>
        <tr r="G696" s="2"/>
      </tp>
      <tp t="s">
        <v>#N/A N/A</v>
        <stp/>
        <stp>BDP|2557719743293468863</stp>
        <tr r="G2402" s="2"/>
      </tp>
      <tp t="s">
        <v>#N/A N/A</v>
        <stp/>
        <stp>BDP|4068969262652942386</stp>
        <tr r="C3761" s="2"/>
      </tp>
      <tp t="s">
        <v>#N/A N/A</v>
        <stp/>
        <stp>BDP|8881059350224199391</stp>
        <tr r="G3989" s="2"/>
      </tp>
      <tp t="s">
        <v>#N/A N/A</v>
        <stp/>
        <stp>BDP|2145451659009976018</stp>
        <tr r="C4665" s="2"/>
      </tp>
      <tp t="s">
        <v>#N/A N/A</v>
        <stp/>
        <stp>BDP|8098144825515661424</stp>
        <tr r="B3202" s="2"/>
      </tp>
      <tp t="s">
        <v>#N/A N/A</v>
        <stp/>
        <stp>BDP|5369024153922185869</stp>
        <tr r="F1961" s="2"/>
      </tp>
      <tp t="s">
        <v>#N/A N/A</v>
        <stp/>
        <stp>BDP|6382521287404028535</stp>
        <tr r="G999" s="2"/>
      </tp>
      <tp t="s">
        <v>#N/A N/A</v>
        <stp/>
        <stp>BDP|6273903428977790089</stp>
        <tr r="I2490" s="2"/>
      </tp>
      <tp t="s">
        <v>#N/A N/A</v>
        <stp/>
        <stp>BDP|9286200095778340016</stp>
        <tr r="H1115" s="2"/>
      </tp>
      <tp t="s">
        <v>#N/A N/A</v>
        <stp/>
        <stp>BDP|9697844863378779534</stp>
        <tr r="F4049" s="2"/>
      </tp>
      <tp t="s">
        <v>#N/A N/A</v>
        <stp/>
        <stp>BDP|9529240670732790431</stp>
        <tr r="C2236" s="2"/>
      </tp>
      <tp t="s">
        <v>#N/A N/A</v>
        <stp/>
        <stp>BDP|3764523890964310130</stp>
        <tr r="H3114" s="2"/>
      </tp>
      <tp t="s">
        <v>#N/A N/A</v>
        <stp/>
        <stp>BDP|1496944824257950787</stp>
        <tr r="A4185" s="2"/>
      </tp>
      <tp t="s">
        <v>#N/A N/A</v>
        <stp/>
        <stp>BDP|2175416725877824987</stp>
        <tr r="H4756" s="2"/>
      </tp>
      <tp t="s">
        <v>#N/A N/A</v>
        <stp/>
        <stp>BDP|4249714891893109364</stp>
        <tr r="D1399" s="2"/>
      </tp>
      <tp t="s">
        <v>#N/A N/A</v>
        <stp/>
        <stp>BDP|4457914454254585617</stp>
        <tr r="H2589" s="2"/>
      </tp>
      <tp t="s">
        <v>#N/A N/A</v>
        <stp/>
        <stp>BDP|9246129925672566251</stp>
        <tr r="H982" s="2"/>
      </tp>
      <tp t="s">
        <v>#N/A N/A</v>
        <stp/>
        <stp>BDP|1017101395997544451</stp>
        <tr r="G4349" s="2"/>
      </tp>
      <tp t="s">
        <v>#N/A N/A</v>
        <stp/>
        <stp>BDP|8390537862297268656</stp>
        <tr r="B4467" s="2"/>
      </tp>
      <tp t="s">
        <v>#N/A N/A</v>
        <stp/>
        <stp>BDP|4470815572842471362</stp>
        <tr r="C2171" s="2"/>
      </tp>
      <tp t="s">
        <v>#N/A N/A</v>
        <stp/>
        <stp>BDP|9696783649013621347</stp>
        <tr r="B3190" s="2"/>
      </tp>
      <tp t="s">
        <v>#N/A N/A</v>
        <stp/>
        <stp>BDP|3761441723438489714</stp>
        <tr r="C4626" s="2"/>
      </tp>
      <tp t="s">
        <v>#N/A N/A</v>
        <stp/>
        <stp>BDP|2969829363912414498</stp>
        <tr r="D2492" s="2"/>
      </tp>
      <tp t="s">
        <v>#N/A N/A</v>
        <stp/>
        <stp>BDP|2926436088004482032</stp>
        <tr r="A1661" s="2"/>
      </tp>
      <tp t="s">
        <v>#N/A N/A</v>
        <stp/>
        <stp>BDP|6332242726204121850</stp>
        <tr r="A1251" s="2"/>
      </tp>
      <tp t="s">
        <v>#N/A N/A</v>
        <stp/>
        <stp>BDP|8827293200369157956</stp>
        <tr r="I2914" s="2"/>
      </tp>
      <tp t="s">
        <v>#N/A N/A</v>
        <stp/>
        <stp>BDP|4792771506880748945</stp>
        <tr r="H2023" s="2"/>
      </tp>
      <tp t="s">
        <v>#N/A N/A</v>
        <stp/>
        <stp>BDP|5607493740457345892</stp>
        <tr r="F2284" s="2"/>
      </tp>
      <tp t="s">
        <v>#N/A N/A</v>
        <stp/>
        <stp>BDP|1029587701718902653</stp>
        <tr r="D77" s="2"/>
      </tp>
      <tp t="s">
        <v>#N/A N/A</v>
        <stp/>
        <stp>BDP|5585576186706019419</stp>
        <tr r="C2248" s="2"/>
      </tp>
      <tp t="s">
        <v>#N/A N/A</v>
        <stp/>
        <stp>BDP|7245444966157599808</stp>
        <tr r="D1608" s="2"/>
      </tp>
      <tp t="s">
        <v>#N/A N/A</v>
        <stp/>
        <stp>BDP|2902793713038477624</stp>
        <tr r="B3437" s="2"/>
      </tp>
      <tp t="s">
        <v>#N/A N/A</v>
        <stp/>
        <stp>BDP|7967007488373166654</stp>
        <tr r="H1862" s="2"/>
      </tp>
      <tp t="s">
        <v>#N/A N/A</v>
        <stp/>
        <stp>BDP|9117032005870716359</stp>
        <tr r="H3009" s="2"/>
      </tp>
      <tp t="s">
        <v>#N/A N/A</v>
        <stp/>
        <stp>BDP|8058915793893626119</stp>
        <tr r="G2821" s="2"/>
      </tp>
      <tp t="s">
        <v>#N/A N/A</v>
        <stp/>
        <stp>BDP|5054259738906020884</stp>
        <tr r="C65" s="2"/>
      </tp>
      <tp t="s">
        <v>#N/A N/A</v>
        <stp/>
        <stp>BDP|6117700191404055653</stp>
        <tr r="I788" s="2"/>
      </tp>
      <tp t="s">
        <v>#N/A N/A</v>
        <stp/>
        <stp>BDP|3807112698286357776</stp>
        <tr r="B3630" s="2"/>
      </tp>
      <tp t="s">
        <v>#N/A N/A</v>
        <stp/>
        <stp>BDP|4052467382567479553</stp>
        <tr r="B1622" s="2"/>
      </tp>
      <tp t="s">
        <v>#N/A N/A</v>
        <stp/>
        <stp>BDP|9518926331930381905</stp>
        <tr r="H4885" s="2"/>
      </tp>
      <tp t="s">
        <v>#N/A N/A</v>
        <stp/>
        <stp>BDP|5632952857056865594</stp>
        <tr r="D4542" s="2"/>
      </tp>
      <tp t="s">
        <v>#N/A N/A</v>
        <stp/>
        <stp>BDP|9200474439796889219</stp>
        <tr r="C3280" s="2"/>
      </tp>
      <tp t="s">
        <v>#N/A N/A</v>
        <stp/>
        <stp>BDP|1715034772065732944</stp>
        <tr r="B2201" s="2"/>
      </tp>
      <tp t="s">
        <v>#N/A N/A</v>
        <stp/>
        <stp>BDP|3600709896272309569</stp>
        <tr r="F4624" s="2"/>
      </tp>
      <tp t="s">
        <v>#N/A N/A</v>
        <stp/>
        <stp>BDP|5973818600716824158</stp>
        <tr r="A1763" s="2"/>
      </tp>
      <tp t="s">
        <v>#N/A N/A</v>
        <stp/>
        <stp>BDP|2478576650900191873</stp>
        <tr r="B1065" s="2"/>
      </tp>
      <tp t="s">
        <v>#N/A N/A</v>
        <stp/>
        <stp>BDP|1188587086967236187</stp>
        <tr r="G2693" s="2"/>
      </tp>
      <tp t="s">
        <v>#N/A N/A</v>
        <stp/>
        <stp>BDP|6543259300987750923</stp>
        <tr r="F4176" s="2"/>
      </tp>
      <tp t="s">
        <v>#N/A N/A</v>
        <stp/>
        <stp>BDP|1214591491494643392</stp>
        <tr r="C443" s="2"/>
      </tp>
      <tp t="s">
        <v>#N/A N/A</v>
        <stp/>
        <stp>BDP|4043935227187242236</stp>
        <tr r="H3938" s="2"/>
      </tp>
      <tp t="s">
        <v>#N/A N/A</v>
        <stp/>
        <stp>BDP|6873789710818330260</stp>
        <tr r="G4744" s="2"/>
      </tp>
      <tp t="s">
        <v>#N/A N/A</v>
        <stp/>
        <stp>BDP|1416433587973064458</stp>
        <tr r="G2393" s="2"/>
      </tp>
      <tp t="s">
        <v>#N/A N/A</v>
        <stp/>
        <stp>BDP|8763506802084962393</stp>
        <tr r="C3491" s="2"/>
      </tp>
      <tp t="s">
        <v>#N/A N/A</v>
        <stp/>
        <stp>BDP|2988364041128202798</stp>
        <tr r="C393" s="2"/>
      </tp>
      <tp t="s">
        <v>#N/A N/A</v>
        <stp/>
        <stp>BDP|8504993957256672883</stp>
        <tr r="G4915" s="2"/>
      </tp>
      <tp t="s">
        <v>#N/A N/A</v>
        <stp/>
        <stp>BDP|8258660122401772743</stp>
        <tr r="A1339" s="2"/>
      </tp>
      <tp t="s">
        <v>#N/A N/A</v>
        <stp/>
        <stp>BDP|8869790652760152071</stp>
        <tr r="D4583" s="2"/>
      </tp>
      <tp t="s">
        <v>#N/A N/A</v>
        <stp/>
        <stp>BDP|3765427557469173166</stp>
        <tr r="D1852" s="2"/>
      </tp>
      <tp t="s">
        <v>#N/A N/A</v>
        <stp/>
        <stp>BDP|8492132486943737835</stp>
        <tr r="C1240" s="2"/>
      </tp>
      <tp t="s">
        <v>#N/A N/A</v>
        <stp/>
        <stp>BDP|7107270491747521171</stp>
        <tr r="C3179" s="2"/>
      </tp>
      <tp t="s">
        <v>#N/A N/A</v>
        <stp/>
        <stp>BDP|5160035292361674733</stp>
        <tr r="H731" s="2"/>
      </tp>
      <tp t="s">
        <v>#N/A N/A</v>
        <stp/>
        <stp>BDP|8516221674683348456</stp>
        <tr r="A4041" s="2"/>
      </tp>
      <tp t="s">
        <v>#N/A N/A</v>
        <stp/>
        <stp>BDP|4533464032270585919</stp>
        <tr r="H501" s="2"/>
      </tp>
      <tp t="s">
        <v>#N/A N/A</v>
        <stp/>
        <stp>BDP|2509630396054561302</stp>
        <tr r="F3951" s="2"/>
      </tp>
      <tp t="s">
        <v>#N/A N/A</v>
        <stp/>
        <stp>BDP|7139383139784608933</stp>
        <tr r="H4441" s="2"/>
      </tp>
      <tp t="s">
        <v>#N/A N/A</v>
        <stp/>
        <stp>BDP|1086354681206190600</stp>
        <tr r="H4476" s="2"/>
      </tp>
      <tp t="s">
        <v>#N/A N/A</v>
        <stp/>
        <stp>BDP|5351671083793119235</stp>
        <tr r="F2642" s="2"/>
      </tp>
      <tp t="s">
        <v>#N/A N/A</v>
        <stp/>
        <stp>BDP|4146174780336140120</stp>
        <tr r="B1910" s="2"/>
      </tp>
      <tp t="s">
        <v>#N/A N/A</v>
        <stp/>
        <stp>BDP|2663224901422450844</stp>
        <tr r="D4880" s="2"/>
      </tp>
      <tp t="s">
        <v>#N/A N/A</v>
        <stp/>
        <stp>BDP|1668228970368720669</stp>
        <tr r="I2283" s="2"/>
      </tp>
      <tp t="s">
        <v>#N/A N/A</v>
        <stp/>
        <stp>BDP|5343073737059340555</stp>
        <tr r="I2305" s="2"/>
      </tp>
      <tp t="s">
        <v>#N/A N/A</v>
        <stp/>
        <stp>BDP|1025947373646318314</stp>
        <tr r="H2541" s="2"/>
      </tp>
      <tp t="s">
        <v>#N/A N/A</v>
        <stp/>
        <stp>BDP|4349907190209102777</stp>
        <tr r="C2341" s="2"/>
      </tp>
      <tp t="s">
        <v>#N/A N/A</v>
        <stp/>
        <stp>BDP|1381018435889929043</stp>
        <tr r="C1271" s="2"/>
      </tp>
      <tp t="s">
        <v>#N/A N/A</v>
        <stp/>
        <stp>BDP|5217273283170487482</stp>
        <tr r="I2711" s="2"/>
      </tp>
      <tp t="s">
        <v>#N/A N/A</v>
        <stp/>
        <stp>BDP|5820119471211385918</stp>
        <tr r="G2768" s="2"/>
      </tp>
      <tp t="s">
        <v>#N/A N/A</v>
        <stp/>
        <stp>BDP|3230179147339865407</stp>
        <tr r="G1777" s="2"/>
      </tp>
      <tp t="s">
        <v>#N/A N/A</v>
        <stp/>
        <stp>BDP|7896912407273287669</stp>
        <tr r="I4216" s="2"/>
      </tp>
      <tp t="s">
        <v>#N/A N/A</v>
        <stp/>
        <stp>BDP|4765847158293525149</stp>
        <tr r="I773" s="2"/>
      </tp>
      <tp t="s">
        <v>#N/A N/A</v>
        <stp/>
        <stp>BDP|9193323583261856826</stp>
        <tr r="A4375" s="2"/>
      </tp>
      <tp t="s">
        <v>#N/A N/A</v>
        <stp/>
        <stp>BDP|5403689311610376943</stp>
        <tr r="B4071" s="2"/>
      </tp>
      <tp t="s">
        <v>#N/A N/A</v>
        <stp/>
        <stp>BDP|2192876215438133883</stp>
        <tr r="H4555" s="2"/>
      </tp>
      <tp t="s">
        <v>#N/A N/A</v>
        <stp/>
        <stp>BDP|4941302303358017409</stp>
        <tr r="I3041" s="2"/>
      </tp>
      <tp t="s">
        <v>#N/A N/A</v>
        <stp/>
        <stp>BDP|1581265791045971417</stp>
        <tr r="F436" s="2"/>
      </tp>
      <tp t="s">
        <v>#N/A N/A</v>
        <stp/>
        <stp>BDP|6755075302178182594</stp>
        <tr r="D4574" s="2"/>
      </tp>
      <tp t="s">
        <v>#N/A N/A</v>
        <stp/>
        <stp>BDP|6372997840857225727</stp>
        <tr r="A1634" s="2"/>
      </tp>
      <tp t="s">
        <v>#N/A N/A</v>
        <stp/>
        <stp>BDP|7234105024747495884</stp>
        <tr r="I1663" s="2"/>
      </tp>
      <tp t="s">
        <v>#N/A N/A</v>
        <stp/>
        <stp>BDP|3963976274913402545</stp>
        <tr r="G4941" s="2"/>
      </tp>
      <tp t="s">
        <v>#N/A N/A</v>
        <stp/>
        <stp>BDP|9320204559983477644</stp>
        <tr r="D1469" s="2"/>
      </tp>
      <tp t="s">
        <v>#N/A N/A</v>
        <stp/>
        <stp>BDP|3655891621317504518</stp>
        <tr r="C1774" s="2"/>
      </tp>
      <tp t="s">
        <v>#N/A N/A</v>
        <stp/>
        <stp>BDP|8587460228721141404</stp>
        <tr r="I1385" s="2"/>
      </tp>
      <tp t="s">
        <v>#N/A N/A</v>
        <stp/>
        <stp>BDP|1692884243975229359</stp>
        <tr r="B3183" s="2"/>
      </tp>
      <tp t="s">
        <v>#N/A N/A</v>
        <stp/>
        <stp>BDP|9889232707520794019</stp>
        <tr r="D4576" s="2"/>
      </tp>
      <tp t="s">
        <v>#N/A N/A</v>
        <stp/>
        <stp>BDP|9684526357683825115</stp>
        <tr r="B4182" s="2"/>
      </tp>
      <tp t="s">
        <v>#N/A N/A</v>
        <stp/>
        <stp>BDP|3095959420250880374</stp>
        <tr r="G3372" s="2"/>
      </tp>
      <tp t="s">
        <v>#N/A N/A</v>
        <stp/>
        <stp>BDP|3758130188983406222</stp>
        <tr r="F4850" s="2"/>
      </tp>
      <tp t="s">
        <v>#N/A N/A</v>
        <stp/>
        <stp>BDP|1647808546444234285</stp>
        <tr r="A4307" s="2"/>
      </tp>
      <tp t="s">
        <v>#N/A N/A</v>
        <stp/>
        <stp>BDP|9772256774906836145</stp>
        <tr r="D2656" s="2"/>
      </tp>
      <tp t="s">
        <v>#N/A N/A</v>
        <stp/>
        <stp>BDP|9136502553126847405</stp>
        <tr r="H2937" s="2"/>
      </tp>
      <tp t="s">
        <v>#N/A N/A</v>
        <stp/>
        <stp>BDP|7924826328936154089</stp>
        <tr r="D495" s="2"/>
      </tp>
      <tp t="s">
        <v>#N/A N/A</v>
        <stp/>
        <stp>BDP|5755874908275519373</stp>
        <tr r="F524" s="2"/>
      </tp>
      <tp t="s">
        <v>#N/A N/A</v>
        <stp/>
        <stp>BDP|3156771558449274366</stp>
        <tr r="H3591" s="2"/>
      </tp>
      <tp t="s">
        <v>#N/A N/A</v>
        <stp/>
        <stp>BDP|7304870372694872741</stp>
        <tr r="D3378" s="2"/>
      </tp>
      <tp t="s">
        <v>#N/A N/A</v>
        <stp/>
        <stp>BDP|6609892739554506297</stp>
        <tr r="D2800" s="2"/>
      </tp>
      <tp t="s">
        <v>#N/A N/A</v>
        <stp/>
        <stp>BDP|6425547839868483375</stp>
        <tr r="F48" s="2"/>
      </tp>
      <tp t="s">
        <v>#N/A N/A</v>
        <stp/>
        <stp>BDP|6922495612449079184</stp>
        <tr r="I2835" s="2"/>
      </tp>
      <tp t="s">
        <v>#N/A N/A</v>
        <stp/>
        <stp>BDP|9839929685862659134</stp>
        <tr r="I3868" s="2"/>
      </tp>
      <tp t="s">
        <v>#N/A N/A</v>
        <stp/>
        <stp>BDP|3485497821968355650</stp>
        <tr r="H3717" s="2"/>
      </tp>
      <tp t="s">
        <v>#N/A N/A</v>
        <stp/>
        <stp>BDP|5527220581065440184</stp>
        <tr r="F3141" s="2"/>
      </tp>
      <tp t="s">
        <v>#N/A N/A</v>
        <stp/>
        <stp>BDP|2279845142186671386</stp>
        <tr r="C946" s="2"/>
      </tp>
      <tp t="s">
        <v>#N/A N/A</v>
        <stp/>
        <stp>BDP|4476977625164907053</stp>
        <tr r="F2132" s="2"/>
      </tp>
      <tp t="s">
        <v>#N/A N/A</v>
        <stp/>
        <stp>BDP|7792598360066229961</stp>
        <tr r="G4692" s="2"/>
      </tp>
      <tp t="s">
        <v>#N/A N/A</v>
        <stp/>
        <stp>BDP|9037980384337709412</stp>
        <tr r="I2765" s="2"/>
      </tp>
      <tp t="s">
        <v>#N/A N/A</v>
        <stp/>
        <stp>BDP|8236604498025656967</stp>
        <tr r="D2798" s="2"/>
      </tp>
      <tp t="s">
        <v>#N/A N/A</v>
        <stp/>
        <stp>BDP|5776940349312833182</stp>
        <tr r="I3736" s="2"/>
      </tp>
      <tp t="s">
        <v>#N/A N/A</v>
        <stp/>
        <stp>BDP|6083380996587093041</stp>
        <tr r="I1613" s="2"/>
      </tp>
      <tp t="s">
        <v>#N/A N/A</v>
        <stp/>
        <stp>BDP|1840713125267345854</stp>
        <tr r="A910" s="2"/>
      </tp>
      <tp t="s">
        <v>#N/A N/A</v>
        <stp/>
        <stp>BDP|5529518618852118876</stp>
        <tr r="F495" s="2"/>
      </tp>
      <tp t="s">
        <v>#N/A N/A</v>
        <stp/>
        <stp>BDP|2419824890550448881</stp>
        <tr r="B459" s="2"/>
      </tp>
      <tp t="s">
        <v>#N/A N/A</v>
        <stp/>
        <stp>BDP|7198370129398562508</stp>
        <tr r="D698" s="2"/>
      </tp>
      <tp t="s">
        <v>#N/A N/A</v>
        <stp/>
        <stp>BDP|5002320803228877531</stp>
        <tr r="A2506" s="2"/>
      </tp>
      <tp t="s">
        <v>#N/A N/A</v>
        <stp/>
        <stp>BDP|6599913710932822765</stp>
        <tr r="C919" s="2"/>
      </tp>
      <tp t="s">
        <v>#N/A N/A</v>
        <stp/>
        <stp>BDP|8290302998599986091</stp>
        <tr r="C4134" s="2"/>
      </tp>
      <tp t="s">
        <v>#N/A N/A</v>
        <stp/>
        <stp>BDP|5081439861809969518</stp>
        <tr r="I3140" s="2"/>
      </tp>
      <tp t="s">
        <v>#N/A N/A</v>
        <stp/>
        <stp>BDP|9682888874734908990</stp>
        <tr r="G728" s="2"/>
      </tp>
      <tp t="s">
        <v>#N/A N/A</v>
        <stp/>
        <stp>BDP|9894967114953813981</stp>
        <tr r="F3198" s="2"/>
      </tp>
      <tp t="s">
        <v>#N/A N/A</v>
        <stp/>
        <stp>BDP|7876965977351303306</stp>
        <tr r="A1738" s="2"/>
      </tp>
      <tp t="s">
        <v>#N/A N/A</v>
        <stp/>
        <stp>BDP|9830376702010263155</stp>
        <tr r="C457" s="2"/>
      </tp>
      <tp t="s">
        <v>#N/A N/A</v>
        <stp/>
        <stp>BDP|9553550009676163123</stp>
        <tr r="D4641" s="2"/>
      </tp>
      <tp t="s">
        <v>#N/A N/A</v>
        <stp/>
        <stp>BDP|1017421176701667887</stp>
        <tr r="D3552" s="2"/>
      </tp>
      <tp t="s">
        <v>#N/A N/A</v>
        <stp/>
        <stp>BDP|2846932133496712555</stp>
        <tr r="C2357" s="2"/>
      </tp>
      <tp t="s">
        <v>#N/A N/A</v>
        <stp/>
        <stp>BDP|9695639878822486136</stp>
        <tr r="H4891" s="2"/>
      </tp>
      <tp t="s">
        <v>#N/A N/A</v>
        <stp/>
        <stp>BDP|2515110518418749108</stp>
        <tr r="D557" s="2"/>
      </tp>
      <tp t="s">
        <v>#N/A N/A</v>
        <stp/>
        <stp>BDP|4822798596408431985</stp>
        <tr r="I967" s="2"/>
      </tp>
      <tp t="s">
        <v>#N/A N/A</v>
        <stp/>
        <stp>BDP|5326297530517784860</stp>
        <tr r="G3453" s="2"/>
      </tp>
      <tp t="s">
        <v>#N/A N/A</v>
        <stp/>
        <stp>BDP|3591380464724445962</stp>
        <tr r="B3516" s="2"/>
      </tp>
      <tp t="s">
        <v>#N/A N/A</v>
        <stp/>
        <stp>BDP|1857166800519795227</stp>
        <tr r="B1686" s="2"/>
      </tp>
      <tp t="s">
        <v>#N/A N/A</v>
        <stp/>
        <stp>BDP|7895899096149822448</stp>
        <tr r="G3409" s="2"/>
      </tp>
      <tp t="s">
        <v>#N/A N/A</v>
        <stp/>
        <stp>BDP|9519485823297150348</stp>
        <tr r="D2598" s="2"/>
      </tp>
      <tp t="s">
        <v>#N/A N/A</v>
        <stp/>
        <stp>BDP|4522653265488991776</stp>
        <tr r="C16" s="2"/>
      </tp>
      <tp t="s">
        <v>#N/A N/A</v>
        <stp/>
        <stp>BDP|4115295975313587935</stp>
        <tr r="B3840" s="2"/>
      </tp>
      <tp t="s">
        <v>#N/A N/A</v>
        <stp/>
        <stp>BDP|7731861247861576180</stp>
        <tr r="G4911" s="2"/>
      </tp>
      <tp t="s">
        <v>#N/A N/A</v>
        <stp/>
        <stp>BDP|4984745227103239932</stp>
        <tr r="D959" s="2"/>
      </tp>
      <tp t="s">
        <v>#N/A N/A</v>
        <stp/>
        <stp>BDP|6787296969030476984</stp>
        <tr r="I631" s="2"/>
      </tp>
      <tp t="s">
        <v>#N/A N/A</v>
        <stp/>
        <stp>BDP|3515927509995749427</stp>
        <tr r="I4017" s="2"/>
      </tp>
      <tp t="s">
        <v>#N/A N/A</v>
        <stp/>
        <stp>BDP|8156549471249712880</stp>
        <tr r="F4698" s="2"/>
      </tp>
      <tp t="s">
        <v>#N/A N/A</v>
        <stp/>
        <stp>BDP|7222260288857753100</stp>
        <tr r="H4791" s="2"/>
      </tp>
      <tp t="s">
        <v>#N/A N/A</v>
        <stp/>
        <stp>BDP|2193886830205408762</stp>
        <tr r="C3788" s="2"/>
      </tp>
      <tp t="s">
        <v>#N/A N/A</v>
        <stp/>
        <stp>BDP|7281211830548143597</stp>
        <tr r="D632" s="2"/>
      </tp>
      <tp t="s">
        <v>#N/A N/A</v>
        <stp/>
        <stp>BDP|3578277775849541493</stp>
        <tr r="H1505" s="2"/>
      </tp>
      <tp t="s">
        <v>#N/A N/A</v>
        <stp/>
        <stp>BDP|9013682787985367973</stp>
        <tr r="I3601" s="2"/>
      </tp>
      <tp t="s">
        <v>#N/A N/A</v>
        <stp/>
        <stp>BDP|1726240795836931747</stp>
        <tr r="F3932" s="2"/>
      </tp>
      <tp t="s">
        <v>#N/A N/A</v>
        <stp/>
        <stp>BDP|3458583516559147509</stp>
        <tr r="G3855" s="2"/>
      </tp>
      <tp t="s">
        <v>#N/A N/A</v>
        <stp/>
        <stp>BDP|6590023066309829225</stp>
        <tr r="A1831" s="2"/>
      </tp>
      <tp t="s">
        <v>#N/A N/A</v>
        <stp/>
        <stp>BDP|8945297442094942109</stp>
        <tr r="D2173" s="2"/>
      </tp>
      <tp t="s">
        <v>#N/A N/A</v>
        <stp/>
        <stp>BDP|2282788097645143273</stp>
        <tr r="A3061" s="2"/>
      </tp>
      <tp t="s">
        <v>#N/A N/A</v>
        <stp/>
        <stp>BDP|3239989445902228760</stp>
        <tr r="C2299" s="2"/>
      </tp>
      <tp t="s">
        <v>#N/A N/A</v>
        <stp/>
        <stp>BDP|3034759386884879304</stp>
        <tr r="D2643" s="2"/>
      </tp>
      <tp t="s">
        <v>#N/A N/A</v>
        <stp/>
        <stp>BDP|3922367405638335321</stp>
        <tr r="H1019" s="2"/>
      </tp>
      <tp t="s">
        <v>#N/A N/A</v>
        <stp/>
        <stp>BDP|9606312328270102351</stp>
        <tr r="D2792" s="2"/>
      </tp>
      <tp t="s">
        <v>#N/A N/A</v>
        <stp/>
        <stp>BDP|9051144421018698989</stp>
        <tr r="H1969" s="2"/>
      </tp>
      <tp t="s">
        <v>#N/A N/A</v>
        <stp/>
        <stp>BDP|6498820615874914011</stp>
        <tr r="G80" s="2"/>
      </tp>
      <tp t="s">
        <v>#N/A N/A</v>
        <stp/>
        <stp>BDP|9712184144521299628</stp>
        <tr r="A3779" s="2"/>
      </tp>
      <tp t="s">
        <v>#N/A N/A</v>
        <stp/>
        <stp>BDP|7148827835450851752</stp>
        <tr r="H2048" s="2"/>
      </tp>
      <tp t="s">
        <v>#N/A N/A</v>
        <stp/>
        <stp>BDP|6520349727108985442</stp>
        <tr r="G3129" s="2"/>
      </tp>
      <tp t="s">
        <v>#N/A N/A</v>
        <stp/>
        <stp>BDP|2511493090844588022</stp>
        <tr r="F2492" s="2"/>
      </tp>
      <tp t="s">
        <v>#N/A N/A</v>
        <stp/>
        <stp>BDP|9944336194440509806</stp>
        <tr r="C1081" s="2"/>
      </tp>
      <tp t="s">
        <v>#N/A N/A</v>
        <stp/>
        <stp>BDP|4306791291958784973</stp>
        <tr r="B4999" s="2"/>
      </tp>
      <tp t="s">
        <v>#N/A N/A</v>
        <stp/>
        <stp>BDP|4543745787213937343</stp>
        <tr r="G4688" s="2"/>
      </tp>
      <tp t="s">
        <v>#N/A N/A</v>
        <stp/>
        <stp>BDP|2422334608159302374</stp>
        <tr r="A120" s="2"/>
      </tp>
      <tp t="s">
        <v>#N/A N/A</v>
        <stp/>
        <stp>BDP|4544183431189778403</stp>
        <tr r="H2008" s="2"/>
      </tp>
      <tp t="s">
        <v>#N/A N/A</v>
        <stp/>
        <stp>BDP|1987562016027487960</stp>
        <tr r="H492" s="2"/>
      </tp>
      <tp t="s">
        <v>#N/A N/A</v>
        <stp/>
        <stp>BDP|6067214964688819167</stp>
        <tr r="C4877" s="2"/>
      </tp>
      <tp t="s">
        <v>#N/A N/A</v>
        <stp/>
        <stp>BDP|9867053031354326541</stp>
        <tr r="A2595" s="2"/>
      </tp>
      <tp t="s">
        <v>#N/A N/A</v>
        <stp/>
        <stp>BDP|5884263821476188852</stp>
        <tr r="I2770" s="2"/>
      </tp>
      <tp t="s">
        <v>#N/A N/A</v>
        <stp/>
        <stp>BDP|8364283022383472064</stp>
        <tr r="C1051" s="2"/>
      </tp>
      <tp t="s">
        <v>#N/A N/A</v>
        <stp/>
        <stp>BDP|3117423819435935880</stp>
        <tr r="A4006" s="2"/>
      </tp>
      <tp t="s">
        <v>#N/A N/A</v>
        <stp/>
        <stp>BDP|1257860432449531886</stp>
        <tr r="A1208" s="2"/>
      </tp>
      <tp t="s">
        <v>#N/A N/A</v>
        <stp/>
        <stp>BDP|1700414349278314273</stp>
        <tr r="I2146" s="2"/>
      </tp>
      <tp t="s">
        <v>#N/A N/A</v>
        <stp/>
        <stp>BDP|4993573453556383953</stp>
        <tr r="A1305" s="2"/>
      </tp>
      <tp t="s">
        <v>#N/A N/A</v>
        <stp/>
        <stp>BDP|6452946924431936760</stp>
        <tr r="G1806" s="2"/>
      </tp>
      <tp t="s">
        <v>#N/A N/A</v>
        <stp/>
        <stp>BDP|6682290874598093003</stp>
        <tr r="D4643" s="2"/>
      </tp>
      <tp t="s">
        <v>#N/A N/A</v>
        <stp/>
        <stp>BDP|2390035373659957718</stp>
        <tr r="C4477" s="2"/>
      </tp>
      <tp t="s">
        <v>#N/A N/A</v>
        <stp/>
        <stp>BDP|6158049278883013962</stp>
        <tr r="C2360" s="2"/>
      </tp>
      <tp t="s">
        <v>#N/A N/A</v>
        <stp/>
        <stp>BDP|7824202886790107640</stp>
        <tr r="G2681" s="2"/>
      </tp>
      <tp t="s">
        <v>#N/A N/A</v>
        <stp/>
        <stp>BDP|4153890686376621933</stp>
        <tr r="I4843" s="2"/>
      </tp>
      <tp t="s">
        <v>#N/A N/A</v>
        <stp/>
        <stp>BDP|5314699875409033648</stp>
        <tr r="D4964" s="2"/>
      </tp>
      <tp t="s">
        <v>#N/A N/A</v>
        <stp/>
        <stp>BDP|2277968118210422139</stp>
        <tr r="H2635" s="2"/>
      </tp>
      <tp t="s">
        <v>#N/A N/A</v>
        <stp/>
        <stp>BDP|3150884256620227563</stp>
        <tr r="D2045" s="2"/>
      </tp>
      <tp t="s">
        <v>#N/A N/A</v>
        <stp/>
        <stp>BDP|8820400545122060163</stp>
        <tr r="C94" s="2"/>
      </tp>
      <tp t="s">
        <v>#N/A N/A</v>
        <stp/>
        <stp>BDP|7622235095367374085</stp>
        <tr r="F1681" s="2"/>
      </tp>
      <tp t="s">
        <v>#N/A N/A</v>
        <stp/>
        <stp>BDP|3151732652598823236</stp>
        <tr r="G1261" s="2"/>
      </tp>
      <tp t="s">
        <v>#N/A N/A</v>
        <stp/>
        <stp>BDP|3618153943364949923</stp>
        <tr r="G2940" s="2"/>
      </tp>
      <tp t="s">
        <v>#N/A N/A</v>
        <stp/>
        <stp>BDP|4158958456013082093</stp>
        <tr r="G3028" s="2"/>
      </tp>
      <tp t="s">
        <v>#N/A N/A</v>
        <stp/>
        <stp>BDP|8491497770745382568</stp>
        <tr r="I3949" s="2"/>
      </tp>
      <tp t="s">
        <v>#N/A N/A</v>
        <stp/>
        <stp>BDP|7853469896782202322</stp>
        <tr r="B1131" s="2"/>
      </tp>
      <tp t="s">
        <v>#N/A N/A</v>
        <stp/>
        <stp>BDP|4812535778458388581</stp>
        <tr r="C1311" s="2"/>
      </tp>
      <tp t="s">
        <v>#N/A N/A</v>
        <stp/>
        <stp>BDP|8663486566991517051</stp>
        <tr r="A3616" s="2"/>
      </tp>
      <tp t="s">
        <v>#N/A N/A</v>
        <stp/>
        <stp>BDP|1524269174106740986</stp>
        <tr r="H4490" s="2"/>
      </tp>
      <tp t="s">
        <v>#N/A N/A</v>
        <stp/>
        <stp>BDP|1633145468645404868</stp>
        <tr r="G4526" s="2"/>
      </tp>
      <tp t="s">
        <v>#N/A N/A</v>
        <stp/>
        <stp>BDP|7223988534221395759</stp>
        <tr r="D3964" s="2"/>
      </tp>
      <tp t="s">
        <v>#N/A N/A</v>
        <stp/>
        <stp>BDP|4121953131102588780</stp>
        <tr r="B4811" s="2"/>
      </tp>
      <tp t="s">
        <v>#N/A N/A</v>
        <stp/>
        <stp>BDP|6069199385453127751</stp>
        <tr r="F4032" s="2"/>
      </tp>
      <tp t="s">
        <v>#N/A N/A</v>
        <stp/>
        <stp>BDP|7128965635621804729</stp>
        <tr r="B1658" s="2"/>
      </tp>
      <tp t="s">
        <v>#N/A N/A</v>
        <stp/>
        <stp>BDP|9850017655342288561</stp>
        <tr r="D4828" s="2"/>
      </tp>
      <tp t="s">
        <v>#N/A N/A</v>
        <stp/>
        <stp>BDP|2698401388284407121</stp>
        <tr r="C2907" s="2"/>
      </tp>
      <tp t="s">
        <v>#N/A N/A</v>
        <stp/>
        <stp>BDP|7852309001209832696</stp>
        <tr r="G1240" s="2"/>
      </tp>
      <tp t="s">
        <v>#N/A N/A</v>
        <stp/>
        <stp>BDP|7799435047938882436</stp>
        <tr r="C235" s="2"/>
      </tp>
      <tp t="s">
        <v>#N/A N/A</v>
        <stp/>
        <stp>BDP|8277209932023936116</stp>
        <tr r="D3308" s="2"/>
      </tp>
      <tp t="s">
        <v>#N/A N/A</v>
        <stp/>
        <stp>BDP|7265895477600485300</stp>
        <tr r="C327" s="2"/>
      </tp>
      <tp t="s">
        <v>#N/A N/A</v>
        <stp/>
        <stp>BDP|4026963023244993047</stp>
        <tr r="I4851" s="2"/>
      </tp>
      <tp t="s">
        <v>#N/A N/A</v>
        <stp/>
        <stp>BDP|9014049209676072454</stp>
        <tr r="B3808" s="2"/>
      </tp>
      <tp t="s">
        <v>#N/A N/A</v>
        <stp/>
        <stp>BDP|6506037839329795700</stp>
        <tr r="D4976" s="2"/>
      </tp>
      <tp t="s">
        <v>#N/A N/A</v>
        <stp/>
        <stp>BDP|1431819052216614195</stp>
        <tr r="C4166" s="2"/>
      </tp>
      <tp t="s">
        <v>#N/A N/A</v>
        <stp/>
        <stp>BDP|6010099651041637967</stp>
        <tr r="G2336" s="2"/>
      </tp>
      <tp t="s">
        <v>#N/A N/A</v>
        <stp/>
        <stp>BDP|8611228408840056148</stp>
        <tr r="H2392" s="2"/>
      </tp>
      <tp t="s">
        <v>#N/A N/A</v>
        <stp/>
        <stp>BDP|8527919728328562011</stp>
        <tr r="I1084" s="2"/>
      </tp>
      <tp t="s">
        <v>#N/A N/A</v>
        <stp/>
        <stp>BDP|3577728421319971474</stp>
        <tr r="A1549" s="2"/>
      </tp>
      <tp t="s">
        <v>#N/A N/A</v>
        <stp/>
        <stp>BDP|5471059798533636477</stp>
        <tr r="G4458" s="2"/>
      </tp>
      <tp t="s">
        <v>#N/A N/A</v>
        <stp/>
        <stp>BDP|8907465415961178734</stp>
        <tr r="I1215" s="2"/>
      </tp>
      <tp t="s">
        <v>#N/A N/A</v>
        <stp/>
        <stp>BDP|5866569595053754144</stp>
        <tr r="H2223" s="2"/>
      </tp>
      <tp t="s">
        <v>#N/A N/A</v>
        <stp/>
        <stp>BDP|4770480690964523622</stp>
        <tr r="A982" s="2"/>
      </tp>
      <tp t="s">
        <v>#N/A N/A</v>
        <stp/>
        <stp>BDP|4897625921302592968</stp>
        <tr r="D4078" s="2"/>
      </tp>
      <tp t="s">
        <v>#N/A N/A</v>
        <stp/>
        <stp>BDP|9287186622694041502</stp>
        <tr r="D4837" s="2"/>
      </tp>
      <tp t="s">
        <v>#N/A N/A</v>
        <stp/>
        <stp>BDP|4172513796165632687</stp>
        <tr r="G4726" s="2"/>
      </tp>
      <tp t="s">
        <v>#N/A N/A</v>
        <stp/>
        <stp>BDP|1700784017725231921</stp>
        <tr r="I311" s="2"/>
      </tp>
      <tp t="s">
        <v>#N/A N/A</v>
        <stp/>
        <stp>BDP|9763252967505805350</stp>
        <tr r="D4809" s="2"/>
      </tp>
      <tp t="s">
        <v>#N/A N/A</v>
        <stp/>
        <stp>BDP|4649780612640163955</stp>
        <tr r="I4901" s="2"/>
      </tp>
      <tp t="s">
        <v>#N/A N/A</v>
        <stp/>
        <stp>BDP|1989857241200680634</stp>
        <tr r="I1949" s="2"/>
      </tp>
      <tp t="s">
        <v>#N/A N/A</v>
        <stp/>
        <stp>BDP|6859422496395222566</stp>
        <tr r="B3659" s="2"/>
      </tp>
      <tp t="s">
        <v>#N/A N/A</v>
        <stp/>
        <stp>BDP|9431694386619644555</stp>
        <tr r="A1415" s="2"/>
      </tp>
      <tp t="s">
        <v>#N/A N/A</v>
        <stp/>
        <stp>BDP|8106982431299804080</stp>
        <tr r="G959" s="2"/>
      </tp>
      <tp t="s">
        <v>#N/A N/A</v>
        <stp/>
        <stp>BDP|7290981547973645236</stp>
        <tr r="B627" s="2"/>
      </tp>
      <tp t="s">
        <v>#N/A N/A</v>
        <stp/>
        <stp>BDP|5228311289022728752</stp>
        <tr r="G691" s="2"/>
      </tp>
      <tp t="s">
        <v>#N/A N/A</v>
        <stp/>
        <stp>BDP|3874470719289718497</stp>
        <tr r="B1682" s="2"/>
      </tp>
      <tp t="s">
        <v>#N/A N/A</v>
        <stp/>
        <stp>BDP|8719242120037844434</stp>
        <tr r="F1196" s="2"/>
      </tp>
      <tp t="s">
        <v>#N/A N/A</v>
        <stp/>
        <stp>BDP|7621300598547257140</stp>
        <tr r="A4071" s="2"/>
      </tp>
      <tp t="s">
        <v>#N/A N/A</v>
        <stp/>
        <stp>BDP|9102441541023525191</stp>
        <tr r="I3613" s="2"/>
      </tp>
      <tp t="s">
        <v>#N/A N/A</v>
        <stp/>
        <stp>BDP|9770411408730366655</stp>
        <tr r="C4526" s="2"/>
      </tp>
      <tp t="s">
        <v>#N/A N/A</v>
        <stp/>
        <stp>BDP|4997970237030288533</stp>
        <tr r="A4625" s="2"/>
      </tp>
      <tp t="s">
        <v>#N/A N/A</v>
        <stp/>
        <stp>BDP|8019297711260630065</stp>
        <tr r="A411" s="2"/>
      </tp>
      <tp t="s">
        <v>#N/A N/A</v>
        <stp/>
        <stp>BDP|8672630443273951275</stp>
        <tr r="I2849" s="2"/>
      </tp>
      <tp t="s">
        <v>#N/A N/A</v>
        <stp/>
        <stp>BDP|9023212555750562594</stp>
        <tr r="I1160" s="2"/>
      </tp>
      <tp t="s">
        <v>#N/A N/A</v>
        <stp/>
        <stp>BDP|1077814836393704285</stp>
        <tr r="I3385" s="2"/>
      </tp>
      <tp t="s">
        <v>#N/A N/A</v>
        <stp/>
        <stp>BDP|4373898323716582345</stp>
        <tr r="C1387" s="2"/>
      </tp>
      <tp t="s">
        <v>#N/A N/A</v>
        <stp/>
        <stp>BDP|9874826765488506420</stp>
        <tr r="H4989" s="2"/>
      </tp>
      <tp t="s">
        <v>#N/A N/A</v>
        <stp/>
        <stp>BDP|5528758956195666988</stp>
        <tr r="G292" s="2"/>
      </tp>
      <tp t="s">
        <v>#N/A N/A</v>
        <stp/>
        <stp>BDP|9211670443980693084</stp>
        <tr r="C2478" s="2"/>
      </tp>
      <tp t="s">
        <v>#N/A N/A</v>
        <stp/>
        <stp>BDP|8183271792698522098</stp>
        <tr r="D515" s="2"/>
      </tp>
      <tp t="s">
        <v>#N/A N/A</v>
        <stp/>
        <stp>BDP|9669423129667366360</stp>
        <tr r="G3417" s="2"/>
      </tp>
      <tp t="s">
        <v>#N/A N/A</v>
        <stp/>
        <stp>BDP|8644791011270537530</stp>
        <tr r="F2365" s="2"/>
      </tp>
      <tp t="s">
        <v>#N/A N/A</v>
        <stp/>
        <stp>BDP|5454653528239667376</stp>
        <tr r="H408" s="2"/>
      </tp>
      <tp t="s">
        <v>#N/A N/A</v>
        <stp/>
        <stp>BDP|7389939351336149682</stp>
        <tr r="A1537" s="2"/>
      </tp>
      <tp t="s">
        <v>#N/A N/A</v>
        <stp/>
        <stp>BDP|1091154316518351289</stp>
        <tr r="I2653" s="2"/>
      </tp>
      <tp t="s">
        <v>#N/A N/A</v>
        <stp/>
        <stp>BDP|9625287046396020200</stp>
        <tr r="B451" s="2"/>
      </tp>
      <tp t="s">
        <v>#N/A N/A</v>
        <stp/>
        <stp>BDP|3375528688961351424</stp>
        <tr r="G2003" s="2"/>
      </tp>
      <tp t="s">
        <v>#N/A N/A</v>
        <stp/>
        <stp>BDP|9513745009076832380</stp>
        <tr r="I4109" s="2"/>
      </tp>
      <tp t="s">
        <v>#N/A N/A</v>
        <stp/>
        <stp>BDP|7482000499754103148</stp>
        <tr r="B2524" s="2"/>
      </tp>
      <tp t="s">
        <v>#N/A N/A</v>
        <stp/>
        <stp>BDP|2591575100575299987</stp>
        <tr r="A103" s="2"/>
      </tp>
      <tp t="s">
        <v>#N/A N/A</v>
        <stp/>
        <stp>BDP|1908179010263696905</stp>
        <tr r="A2560" s="2"/>
      </tp>
      <tp t="s">
        <v>#N/A N/A</v>
        <stp/>
        <stp>BDP|9170380515147499708</stp>
        <tr r="A1665" s="2"/>
      </tp>
      <tp t="s">
        <v>#N/A N/A</v>
        <stp/>
        <stp>BDP|9848262967165523343</stp>
        <tr r="I2433" s="2"/>
      </tp>
      <tp t="s">
        <v>#N/A N/A</v>
        <stp/>
        <stp>BDP|4982090615176495896</stp>
        <tr r="H1075" s="2"/>
      </tp>
      <tp t="s">
        <v>#N/A N/A</v>
        <stp/>
        <stp>BDP|5426566579239418571</stp>
        <tr r="C782" s="2"/>
      </tp>
      <tp t="s">
        <v>#N/A N/A</v>
        <stp/>
        <stp>BDP|6707646841309337690</stp>
        <tr r="H4620" s="2"/>
      </tp>
      <tp t="s">
        <v>#N/A N/A</v>
        <stp/>
        <stp>BDP|9995252160894075242</stp>
        <tr r="A4188" s="2"/>
      </tp>
      <tp t="s">
        <v>#N/A N/A</v>
        <stp/>
        <stp>BDP|5554581826239675057</stp>
        <tr r="H3552" s="2"/>
      </tp>
      <tp t="s">
        <v>#N/A N/A</v>
        <stp/>
        <stp>BDP|6989177278619887278</stp>
        <tr r="C3487" s="2"/>
      </tp>
      <tp t="s">
        <v>#N/A N/A</v>
        <stp/>
        <stp>BDP|7402798531689770120</stp>
        <tr r="B1329" s="2"/>
      </tp>
      <tp t="s">
        <v>#N/A N/A</v>
        <stp/>
        <stp>BDP|1538211558505789827</stp>
        <tr r="B3244" s="2"/>
      </tp>
      <tp t="s">
        <v>#N/A N/A</v>
        <stp/>
        <stp>BDP|5425686001819245160</stp>
        <tr r="B926" s="2"/>
      </tp>
      <tp t="s">
        <v>#N/A N/A</v>
        <stp/>
        <stp>BDP|3862088519428277125</stp>
        <tr r="B956" s="2"/>
      </tp>
      <tp t="s">
        <v>#N/A N/A</v>
        <stp/>
        <stp>BDP|1474279586166438684</stp>
        <tr r="H3840" s="2"/>
      </tp>
      <tp t="s">
        <v>#N/A N/A</v>
        <stp/>
        <stp>BDP|5716372177732871868</stp>
        <tr r="A1026" s="2"/>
      </tp>
      <tp t="s">
        <v>#N/A N/A</v>
        <stp/>
        <stp>BDP|8351486013922785469</stp>
        <tr r="A131" s="2"/>
      </tp>
      <tp t="s">
        <v>#N/A N/A</v>
        <stp/>
        <stp>BDP|9800862670205592823</stp>
        <tr r="F3191" s="2"/>
      </tp>
      <tp t="s">
        <v>#N/A N/A</v>
        <stp/>
        <stp>BDP|5238327298135978188</stp>
        <tr r="I2487" s="2"/>
      </tp>
      <tp t="s">
        <v>#N/A N/A</v>
        <stp/>
        <stp>BDP|6614728245597850903</stp>
        <tr r="C3509" s="2"/>
      </tp>
      <tp t="s">
        <v>#N/A N/A</v>
        <stp/>
        <stp>BDP|9547287901455150548</stp>
        <tr r="H1380" s="2"/>
      </tp>
      <tp t="s">
        <v>#N/A N/A</v>
        <stp/>
        <stp>BDP|1810409614569031653</stp>
        <tr r="I3147" s="2"/>
      </tp>
      <tp t="s">
        <v>#N/A N/A</v>
        <stp/>
        <stp>BDP|9489633954458949936</stp>
        <tr r="A471" s="2"/>
      </tp>
      <tp t="s">
        <v>#N/A N/A</v>
        <stp/>
        <stp>BDP|9480574069041014031</stp>
        <tr r="C2568" s="2"/>
      </tp>
      <tp t="s">
        <v>#N/A N/A</v>
        <stp/>
        <stp>BDP|7889239913149667679</stp>
        <tr r="D2606" s="2"/>
      </tp>
      <tp t="s">
        <v>#N/A N/A</v>
        <stp/>
        <stp>BDP|6080697597194429632</stp>
        <tr r="F4590" s="2"/>
      </tp>
      <tp t="s">
        <v>#N/A N/A</v>
        <stp/>
        <stp>BDP|7052492583614696456</stp>
        <tr r="C1603" s="2"/>
      </tp>
      <tp t="s">
        <v>#N/A N/A</v>
        <stp/>
        <stp>BDP|6803821616050761429</stp>
        <tr r="A3487" s="2"/>
      </tp>
      <tp t="s">
        <v>#N/A N/A</v>
        <stp/>
        <stp>BDP|3865473372242200969</stp>
        <tr r="B3152" s="2"/>
      </tp>
      <tp t="s">
        <v>#N/A N/A</v>
        <stp/>
        <stp>BDP|5490999263997749603</stp>
        <tr r="A1975" s="2"/>
      </tp>
      <tp t="s">
        <v>#N/A N/A</v>
        <stp/>
        <stp>BDP|8186046769433550601</stp>
        <tr r="C407" s="2"/>
      </tp>
      <tp t="s">
        <v>#N/A N/A</v>
        <stp/>
        <stp>BDP|9839001105583482101</stp>
        <tr r="D3603" s="2"/>
      </tp>
      <tp t="s">
        <v>#N/A N/A</v>
        <stp/>
        <stp>BDP|2878850613112603218</stp>
        <tr r="B2278" s="2"/>
      </tp>
      <tp t="s">
        <v>#N/A N/A</v>
        <stp/>
        <stp>BDP|4561946768414199413</stp>
        <tr r="C4435" s="2"/>
      </tp>
      <tp t="s">
        <v>#N/A N/A</v>
        <stp/>
        <stp>BDP|4829938377739050856</stp>
        <tr r="H3851" s="2"/>
      </tp>
      <tp t="s">
        <v>#N/A N/A</v>
        <stp/>
        <stp>BDP|8053710538877594055</stp>
        <tr r="D2176" s="2"/>
      </tp>
      <tp t="s">
        <v>#N/A N/A</v>
        <stp/>
        <stp>BDP|7010995987708304543</stp>
        <tr r="A1743" s="2"/>
      </tp>
      <tp t="s">
        <v>#N/A N/A</v>
        <stp/>
        <stp>BDP|1692288990376532721</stp>
        <tr r="C2950" s="2"/>
      </tp>
      <tp t="s">
        <v>#N/A N/A</v>
        <stp/>
        <stp>BDP|6443269223065148899</stp>
        <tr r="D1669" s="2"/>
      </tp>
      <tp t="s">
        <v>#N/A N/A</v>
        <stp/>
        <stp>BDP|2571377435671618887</stp>
        <tr r="A790" s="2"/>
      </tp>
      <tp t="s">
        <v>#N/A N/A</v>
        <stp/>
        <stp>BDP|5855965273480415005</stp>
        <tr r="B4024" s="2"/>
      </tp>
      <tp t="s">
        <v>#N/A N/A</v>
        <stp/>
        <stp>BDP|7161356143292749995</stp>
        <tr r="I2605" s="2"/>
      </tp>
      <tp t="s">
        <v>#N/A N/A</v>
        <stp/>
        <stp>BDP|3354747660249814062</stp>
        <tr r="A2655" s="2"/>
      </tp>
      <tp t="s">
        <v>#N/A N/A</v>
        <stp/>
        <stp>BDP|6291059286126903312</stp>
        <tr r="C444" s="2"/>
      </tp>
      <tp t="s">
        <v>#N/A N/A</v>
        <stp/>
        <stp>BDP|7372446573908985743</stp>
        <tr r="B1655" s="2"/>
      </tp>
      <tp t="s">
        <v>#N/A N/A</v>
        <stp/>
        <stp>BDP|4180439022179979004</stp>
        <tr r="C538" s="2"/>
      </tp>
      <tp t="s">
        <v>#N/A N/A</v>
        <stp/>
        <stp>BDP|7788620755126995903</stp>
        <tr r="I3085" s="2"/>
      </tp>
      <tp t="s">
        <v>#N/A N/A</v>
        <stp/>
        <stp>BDP|1737800121412724287</stp>
        <tr r="G1224" s="2"/>
      </tp>
      <tp t="s">
        <v>#N/A N/A</v>
        <stp/>
        <stp>BDP|9658398534611581371</stp>
        <tr r="H574" s="2"/>
      </tp>
      <tp t="s">
        <v>#N/A N/A</v>
        <stp/>
        <stp>BDP|8045526118550165724</stp>
        <tr r="C1182" s="2"/>
      </tp>
      <tp t="s">
        <v>#N/A N/A</v>
        <stp/>
        <stp>BDP|7116922447762831352</stp>
        <tr r="H3006" s="2"/>
      </tp>
      <tp t="s">
        <v>#N/A N/A</v>
        <stp/>
        <stp>BDP|9008436871443261291</stp>
        <tr r="A3055" s="2"/>
      </tp>
      <tp t="s">
        <v>#N/A N/A</v>
        <stp/>
        <stp>BDP|4442189245849885388</stp>
        <tr r="D4459" s="2"/>
      </tp>
      <tp t="s">
        <v>#N/A N/A</v>
        <stp/>
        <stp>BDP|9350811226730832855</stp>
        <tr r="B1650" s="2"/>
      </tp>
      <tp t="s">
        <v>#N/A N/A</v>
        <stp/>
        <stp>BDP|8715488047641689272</stp>
        <tr r="D3006" s="2"/>
      </tp>
      <tp t="s">
        <v>#N/A N/A</v>
        <stp/>
        <stp>BDP|3082592987842515726</stp>
        <tr r="I1548" s="2"/>
      </tp>
      <tp t="s">
        <v>#N/A N/A</v>
        <stp/>
        <stp>BDP|1434481878210406995</stp>
        <tr r="A4656" s="2"/>
      </tp>
      <tp t="s">
        <v>#N/A N/A</v>
        <stp/>
        <stp>BDP|1055775129309631614</stp>
        <tr r="A3352" s="2"/>
      </tp>
      <tp t="s">
        <v>#N/A N/A</v>
        <stp/>
        <stp>BDP|3882036284984721411</stp>
        <tr r="I3614" s="2"/>
      </tp>
      <tp t="s">
        <v>#N/A N/A</v>
        <stp/>
        <stp>BDP|7010501938549069314</stp>
        <tr r="I4267" s="2"/>
      </tp>
      <tp t="s">
        <v>#N/A N/A</v>
        <stp/>
        <stp>BDP|5147603107400730887</stp>
        <tr r="G3059" s="2"/>
      </tp>
      <tp t="s">
        <v>#N/A N/A</v>
        <stp/>
        <stp>BDP|7712940738403243506</stp>
        <tr r="C1620" s="2"/>
      </tp>
      <tp t="s">
        <v>#N/A N/A</v>
        <stp/>
        <stp>BDP|6655857569717606452</stp>
        <tr r="B1295" s="2"/>
      </tp>
      <tp t="s">
        <v>#N/A N/A</v>
        <stp/>
        <stp>BDP|3454486602039551521</stp>
        <tr r="G4010" s="2"/>
      </tp>
      <tp t="s">
        <v>#N/A N/A</v>
        <stp/>
        <stp>BDP|9860139116711368379</stp>
        <tr r="F4672" s="2"/>
      </tp>
      <tp t="s">
        <v>#N/A N/A</v>
        <stp/>
        <stp>BDP|5503299656788118129</stp>
        <tr r="A1196" s="2"/>
      </tp>
      <tp t="s">
        <v>#N/A N/A</v>
        <stp/>
        <stp>BDP|1099047324181094990</stp>
        <tr r="G1280" s="2"/>
      </tp>
      <tp t="s">
        <v>#N/A N/A</v>
        <stp/>
        <stp>BDP|6451150985061958546</stp>
        <tr r="C1021" s="2"/>
      </tp>
      <tp t="s">
        <v>#N/A N/A</v>
        <stp/>
        <stp>BDP|4816816232232770654</stp>
        <tr r="C3138" s="2"/>
      </tp>
      <tp t="s">
        <v>#N/A N/A</v>
        <stp/>
        <stp>BDP|5107687551359576445</stp>
        <tr r="A938" s="2"/>
      </tp>
      <tp t="s">
        <v>#N/A N/A</v>
        <stp/>
        <stp>BDP|2928390428579157104</stp>
        <tr r="B4107" s="2"/>
      </tp>
      <tp t="s">
        <v>#N/A N/A</v>
        <stp/>
        <stp>BDP|2448106381318800847</stp>
        <tr r="F118" s="2"/>
      </tp>
      <tp t="s">
        <v>#N/A N/A</v>
        <stp/>
        <stp>BDP|7610878965394377694</stp>
        <tr r="D4691" s="2"/>
      </tp>
      <tp t="s">
        <v>#N/A N/A</v>
        <stp/>
        <stp>BDP|2980041061606630945</stp>
        <tr r="I3776" s="2"/>
      </tp>
      <tp t="s">
        <v>#N/A N/A</v>
        <stp/>
        <stp>BDP|1850605886924705070</stp>
        <tr r="G2061" s="2"/>
      </tp>
      <tp t="s">
        <v>#N/A N/A</v>
        <stp/>
        <stp>BDP|9110551303425940208</stp>
        <tr r="C3914" s="2"/>
      </tp>
      <tp t="s">
        <v>#N/A N/A</v>
        <stp/>
        <stp>BDP|9078438857627390498</stp>
        <tr r="B3576" s="2"/>
      </tp>
      <tp t="s">
        <v>#N/A N/A</v>
        <stp/>
        <stp>BDP|7732908929137747076</stp>
        <tr r="B1135" s="2"/>
      </tp>
      <tp t="s">
        <v>#N/A N/A</v>
        <stp/>
        <stp>BDP|5473906545697775488</stp>
        <tr r="B1379" s="2"/>
      </tp>
      <tp t="s">
        <v>#N/A N/A</v>
        <stp/>
        <stp>BDP|8289966027698967045</stp>
        <tr r="A2596" s="2"/>
      </tp>
      <tp t="s">
        <v>#N/A N/A</v>
        <stp/>
        <stp>BDP|2968667713549179738</stp>
        <tr r="B2657" s="2"/>
      </tp>
      <tp t="s">
        <v>#N/A N/A</v>
        <stp/>
        <stp>BDP|3996421887330500470</stp>
        <tr r="C862" s="2"/>
      </tp>
      <tp t="s">
        <v>#N/A N/A</v>
        <stp/>
        <stp>BDP|3803096838243697816</stp>
        <tr r="C2821" s="2"/>
      </tp>
      <tp t="s">
        <v>#N/A N/A</v>
        <stp/>
        <stp>BDP|8353598851187359462</stp>
        <tr r="C1786" s="2"/>
      </tp>
      <tp t="s">
        <v>#N/A N/A</v>
        <stp/>
        <stp>BDP|8321743853184995533</stp>
        <tr r="C1054" s="2"/>
      </tp>
      <tp t="s">
        <v>#N/A N/A</v>
        <stp/>
        <stp>BDP|2994176912271608847</stp>
        <tr r="A1564" s="2"/>
      </tp>
      <tp t="s">
        <v>#N/A N/A</v>
        <stp/>
        <stp>BDP|3777894250866778376</stp>
        <tr r="I4742" s="2"/>
      </tp>
      <tp t="s">
        <v>#N/A N/A</v>
        <stp/>
        <stp>BDP|8899337274686154100</stp>
        <tr r="I3911" s="2"/>
      </tp>
      <tp t="s">
        <v>#N/A N/A</v>
        <stp/>
        <stp>BDP|3046434583734629088</stp>
        <tr r="C4001" s="2"/>
      </tp>
      <tp t="s">
        <v>#N/A N/A</v>
        <stp/>
        <stp>BDP|5840426225218889095</stp>
        <tr r="F4878" s="2"/>
      </tp>
      <tp t="s">
        <v>#N/A N/A</v>
        <stp/>
        <stp>BDP|3279085984747692760</stp>
        <tr r="C370" s="2"/>
      </tp>
      <tp t="s">
        <v>#N/A N/A</v>
        <stp/>
        <stp>BDP|5505483871944737955</stp>
        <tr r="G3207" s="2"/>
      </tp>
      <tp t="s">
        <v>#N/A N/A</v>
        <stp/>
        <stp>BDP|9033685767820108202</stp>
        <tr r="I2723" s="2"/>
      </tp>
      <tp t="s">
        <v>#N/A N/A</v>
        <stp/>
        <stp>BDP|8783876613299905340</stp>
        <tr r="C2825" s="2"/>
      </tp>
      <tp t="s">
        <v>#N/A N/A</v>
        <stp/>
        <stp>BDP|9651615179637984491</stp>
        <tr r="G766" s="2"/>
      </tp>
      <tp t="s">
        <v>#N/A N/A</v>
        <stp/>
        <stp>BDP|9736098102136210405</stp>
        <tr r="A1605" s="2"/>
      </tp>
      <tp t="s">
        <v>#N/A N/A</v>
        <stp/>
        <stp>BDP|5312243831839041680</stp>
        <tr r="F675" s="2"/>
      </tp>
      <tp t="s">
        <v>#N/A N/A</v>
        <stp/>
        <stp>BDP|1266115091845929757</stp>
        <tr r="D1589" s="2"/>
      </tp>
      <tp t="s">
        <v>#N/A N/A</v>
        <stp/>
        <stp>BDP|4405284384266751312</stp>
        <tr r="H3209" s="2"/>
      </tp>
      <tp t="s">
        <v>#N/A N/A</v>
        <stp/>
        <stp>BDP|2948332583204400635</stp>
        <tr r="A19" s="2"/>
      </tp>
      <tp t="s">
        <v>#N/A N/A</v>
        <stp/>
        <stp>BDP|6855420403490696919</stp>
        <tr r="F4897" s="2"/>
      </tp>
      <tp t="s">
        <v>#N/A N/A</v>
        <stp/>
        <stp>BDP|3109995366552190518</stp>
        <tr r="G3713" s="2"/>
      </tp>
      <tp t="s">
        <v>#N/A N/A</v>
        <stp/>
        <stp>BDP|4316430395306262494</stp>
        <tr r="D2803" s="2"/>
      </tp>
      <tp t="s">
        <v>#N/A N/A</v>
        <stp/>
        <stp>BDP|9961407119142923572</stp>
        <tr r="F161" s="2"/>
      </tp>
      <tp t="s">
        <v>#N/A N/A</v>
        <stp/>
        <stp>BDP|9976840282757013511</stp>
        <tr r="C4394" s="2"/>
      </tp>
      <tp t="s">
        <v>#N/A N/A</v>
        <stp/>
        <stp>BDP|9632085529214938407</stp>
        <tr r="B1040" s="2"/>
      </tp>
      <tp t="s">
        <v>#N/A N/A</v>
        <stp/>
        <stp>BDP|2580953957911130481</stp>
        <tr r="D1600" s="2"/>
      </tp>
      <tp t="s">
        <v>#N/A N/A</v>
        <stp/>
        <stp>BDP|2974761874580590909</stp>
        <tr r="B3361" s="2"/>
      </tp>
      <tp t="s">
        <v>#N/A N/A</v>
        <stp/>
        <stp>BDP|2427554239316161970</stp>
        <tr r="D4140" s="2"/>
      </tp>
      <tp t="s">
        <v>#N/A N/A</v>
        <stp/>
        <stp>BDP|4612291451208845085</stp>
        <tr r="B3438" s="2"/>
      </tp>
      <tp t="s">
        <v>#N/A N/A</v>
        <stp/>
        <stp>BDP|5874021960698150050</stp>
        <tr r="I3741" s="2"/>
      </tp>
      <tp t="s">
        <v>#N/A N/A</v>
        <stp/>
        <stp>BDP|8905734253187789608</stp>
        <tr r="I616" s="2"/>
      </tp>
      <tp t="s">
        <v>#N/A N/A</v>
        <stp/>
        <stp>BDP|9500726348174172505</stp>
        <tr r="C1547" s="2"/>
      </tp>
      <tp t="s">
        <v>#N/A N/A</v>
        <stp/>
        <stp>BDP|2874329596691359218</stp>
        <tr r="D2652" s="2"/>
      </tp>
      <tp t="s">
        <v>#N/A N/A</v>
        <stp/>
        <stp>BDP|1875739402808023571</stp>
        <tr r="F3858" s="2"/>
      </tp>
      <tp t="s">
        <v>#N/A N/A</v>
        <stp/>
        <stp>BDP|7882339852703456936</stp>
        <tr r="F3683" s="2"/>
      </tp>
      <tp t="s">
        <v>#N/A N/A</v>
        <stp/>
        <stp>BDP|1871370002181677854</stp>
        <tr r="G2998" s="2"/>
      </tp>
      <tp t="s">
        <v>#N/A N/A</v>
        <stp/>
        <stp>BDP|8938343703322923294</stp>
        <tr r="F1671" s="2"/>
      </tp>
      <tp t="s">
        <v>#N/A N/A</v>
        <stp/>
        <stp>BDP|2720180675148439705</stp>
        <tr r="D4878" s="2"/>
      </tp>
      <tp t="s">
        <v>#N/A N/A</v>
        <stp/>
        <stp>BDP|6556186593100605566</stp>
        <tr r="D1946" s="2"/>
      </tp>
      <tp t="s">
        <v>#N/A N/A</v>
        <stp/>
        <stp>BDP|5840301359560934867</stp>
        <tr r="B2876" s="2"/>
      </tp>
      <tp t="s">
        <v>#N/A N/A</v>
        <stp/>
        <stp>BDP|4632724188906799653</stp>
        <tr r="H1062" s="2"/>
      </tp>
      <tp t="s">
        <v>#N/A N/A</v>
        <stp/>
        <stp>BDP|8621401520037830207</stp>
        <tr r="A3818" s="2"/>
      </tp>
      <tp t="s">
        <v>#N/A N/A</v>
        <stp/>
        <stp>BDP|1902013721651030971</stp>
        <tr r="B2694" s="2"/>
      </tp>
      <tp t="s">
        <v>#N/A N/A</v>
        <stp/>
        <stp>BDP|6229821578431202340</stp>
        <tr r="B439" s="2"/>
      </tp>
      <tp t="s">
        <v>#N/A N/A</v>
        <stp/>
        <stp>BDP|9729814338240977994</stp>
        <tr r="C2367" s="2"/>
      </tp>
      <tp t="s">
        <v>#N/A N/A</v>
        <stp/>
        <stp>BDP|4889800721384093174</stp>
        <tr r="B755" s="2"/>
      </tp>
      <tp t="s">
        <v>#N/A N/A</v>
        <stp/>
        <stp>BDP|1471840319675143663</stp>
        <tr r="B4684" s="2"/>
      </tp>
      <tp t="s">
        <v>#N/A N/A</v>
        <stp/>
        <stp>BDP|5118131342793634882</stp>
        <tr r="D4160" s="2"/>
      </tp>
      <tp t="s">
        <v>#N/A N/A</v>
        <stp/>
        <stp>BDP|9732190624556628722</stp>
        <tr r="B1599" s="2"/>
      </tp>
      <tp t="s">
        <v>#N/A N/A</v>
        <stp/>
        <stp>BDP|4070875357313619186</stp>
        <tr r="B800" s="2"/>
      </tp>
      <tp t="s">
        <v>#N/A N/A</v>
        <stp/>
        <stp>BDP|8158632319937793321</stp>
        <tr r="D660" s="2"/>
      </tp>
      <tp t="s">
        <v>#N/A N/A</v>
        <stp/>
        <stp>BDP|8778773538495591220</stp>
        <tr r="C1925" s="2"/>
      </tp>
      <tp t="s">
        <v>#N/A N/A</v>
        <stp/>
        <stp>BDP|3035390846899747676</stp>
        <tr r="I4907" s="2"/>
      </tp>
      <tp t="s">
        <v>#N/A N/A</v>
        <stp/>
        <stp>BDP|5619989707852608509</stp>
        <tr r="C3364" s="2"/>
      </tp>
      <tp t="s">
        <v>#N/A N/A</v>
        <stp/>
        <stp>BDP|9123893590737499436</stp>
        <tr r="I3604" s="2"/>
      </tp>
      <tp t="s">
        <v>#N/A N/A</v>
        <stp/>
        <stp>BDP|3086633058892581912</stp>
        <tr r="B2709" s="2"/>
      </tp>
      <tp t="s">
        <v>#N/A N/A</v>
        <stp/>
        <stp>BDP|6506272318339618739</stp>
        <tr r="I986" s="2"/>
      </tp>
      <tp t="s">
        <v>#N/A N/A</v>
        <stp/>
        <stp>BDP|8817671873670676258</stp>
        <tr r="B3991" s="2"/>
      </tp>
      <tp t="s">
        <v>#N/A N/A</v>
        <stp/>
        <stp>BDP|1461880460940667451</stp>
        <tr r="D2341" s="2"/>
      </tp>
      <tp t="s">
        <v>#N/A N/A</v>
        <stp/>
        <stp>BDP|8392471369008587978</stp>
        <tr r="B3106" s="2"/>
      </tp>
      <tp t="s">
        <v>#N/A N/A</v>
        <stp/>
        <stp>BDP|5431446194311982226</stp>
        <tr r="A2457" s="2"/>
      </tp>
      <tp t="s">
        <v>#N/A N/A</v>
        <stp/>
        <stp>BDP|6468269395174961210</stp>
        <tr r="H4229" s="2"/>
      </tp>
      <tp t="s">
        <v>#N/A N/A</v>
        <stp/>
        <stp>BDP|2358746112219802629</stp>
        <tr r="F4925" s="2"/>
      </tp>
      <tp t="s">
        <v>#N/A N/A</v>
        <stp/>
        <stp>BDP|2559506299300436578</stp>
        <tr r="F3671" s="2"/>
      </tp>
      <tp t="s">
        <v>#N/A N/A</v>
        <stp/>
        <stp>BDP|9849353672444596251</stp>
        <tr r="H740" s="2"/>
      </tp>
      <tp t="s">
        <v>#N/A N/A</v>
        <stp/>
        <stp>BDP|1091293181183517321</stp>
        <tr r="C2487" s="2"/>
      </tp>
      <tp t="s">
        <v>#N/A N/A</v>
        <stp/>
        <stp>BDP|5896834896707597878</stp>
        <tr r="B3642" s="2"/>
      </tp>
      <tp t="s">
        <v>#N/A N/A</v>
        <stp/>
        <stp>BDP|3981381213022446897</stp>
        <tr r="F3720" s="2"/>
      </tp>
      <tp t="s">
        <v>#N/A N/A</v>
        <stp/>
        <stp>BDP|1355507150388923259</stp>
        <tr r="B4817" s="2"/>
      </tp>
      <tp t="s">
        <v>#N/A N/A</v>
        <stp/>
        <stp>BDP|2399945219661026012</stp>
        <tr r="I903" s="2"/>
      </tp>
      <tp t="s">
        <v>#N/A N/A</v>
        <stp/>
        <stp>BDP|7802710456848872682</stp>
        <tr r="G4424" s="2"/>
      </tp>
      <tp t="s">
        <v>#N/A N/A</v>
        <stp/>
        <stp>BDP|9647040575951927412</stp>
        <tr r="C4570" s="2"/>
      </tp>
      <tp t="s">
        <v>#N/A N/A</v>
        <stp/>
        <stp>BDP|9847743017971731530</stp>
        <tr r="H397" s="2"/>
      </tp>
      <tp t="s">
        <v>#N/A N/A</v>
        <stp/>
        <stp>BDP|2784713790937063099</stp>
        <tr r="F2224" s="2"/>
      </tp>
      <tp t="s">
        <v>#N/A N/A</v>
        <stp/>
        <stp>BDP|5446363017785991934</stp>
        <tr r="I1361" s="2"/>
      </tp>
      <tp t="s">
        <v>#N/A N/A</v>
        <stp/>
        <stp>BDP|4692343698480377564</stp>
        <tr r="G746" s="2"/>
      </tp>
      <tp t="s">
        <v>#N/A N/A</v>
        <stp/>
        <stp>BDP|9112196836721548148</stp>
        <tr r="A4257" s="2"/>
      </tp>
      <tp t="s">
        <v>#N/A N/A</v>
        <stp/>
        <stp>BDP|5544505692606190492</stp>
        <tr r="B4329" s="2"/>
      </tp>
      <tp t="s">
        <v>#N/A N/A</v>
        <stp/>
        <stp>BDP|1293986415414735674</stp>
        <tr r="H1466" s="2"/>
      </tp>
      <tp t="s">
        <v>#N/A N/A</v>
        <stp/>
        <stp>BDP|4898009534879456571</stp>
        <tr r="B4408" s="2"/>
      </tp>
      <tp t="s">
        <v>#N/A N/A</v>
        <stp/>
        <stp>BDP|4758163091084605399</stp>
        <tr r="I3163" s="2"/>
      </tp>
      <tp t="s">
        <v>#N/A N/A</v>
        <stp/>
        <stp>BDP|6932812791394159878</stp>
        <tr r="G3756" s="2"/>
      </tp>
      <tp t="s">
        <v>#N/A N/A</v>
        <stp/>
        <stp>BDP|9805161630836700666</stp>
        <tr r="B4206" s="2"/>
      </tp>
      <tp t="s">
        <v>#N/A N/A</v>
        <stp/>
        <stp>BDP|2389888280901718837</stp>
        <tr r="B375" s="2"/>
      </tp>
      <tp t="s">
        <v>#N/A N/A</v>
        <stp/>
        <stp>BDP|7975899347514844400</stp>
        <tr r="G878" s="2"/>
      </tp>
      <tp t="s">
        <v>#N/A N/A</v>
        <stp/>
        <stp>BDP|7479234395750825759</stp>
        <tr r="C313" s="2"/>
      </tp>
      <tp t="s">
        <v>#N/A N/A</v>
        <stp/>
        <stp>BDP|7285810407892293696</stp>
        <tr r="D1667" s="2"/>
      </tp>
      <tp t="s">
        <v>#N/A N/A</v>
        <stp/>
        <stp>BDP|5649369796312903600</stp>
        <tr r="I2407" s="2"/>
      </tp>
      <tp t="s">
        <v>#N/A N/A</v>
        <stp/>
        <stp>BDP|4034841398687291913</stp>
        <tr r="C1812" s="2"/>
      </tp>
      <tp t="s">
        <v>#N/A N/A</v>
        <stp/>
        <stp>BDP|6433635908399235227</stp>
        <tr r="C3206" s="2"/>
      </tp>
      <tp t="s">
        <v>#N/A N/A</v>
        <stp/>
        <stp>BDP|9892238552237055267</stp>
        <tr r="I2246" s="2"/>
      </tp>
      <tp t="s">
        <v>#N/A N/A</v>
        <stp/>
        <stp>BDP|6566760390852872148</stp>
        <tr r="B1089" s="2"/>
      </tp>
      <tp t="s">
        <v>#N/A N/A</v>
        <stp/>
        <stp>BDP|8632196661833582745</stp>
        <tr r="H833" s="2"/>
      </tp>
      <tp t="s">
        <v>#N/A N/A</v>
        <stp/>
        <stp>BDP|7256198637819603755</stp>
        <tr r="G648" s="2"/>
      </tp>
      <tp t="s">
        <v>#N/A N/A</v>
        <stp/>
        <stp>BDP|1792062997480880317</stp>
        <tr r="I3833" s="2"/>
      </tp>
      <tp t="s">
        <v>#N/A N/A</v>
        <stp/>
        <stp>BDP|5042699988718799893</stp>
        <tr r="H238" s="2"/>
      </tp>
      <tp t="s">
        <v>#N/A N/A</v>
        <stp/>
        <stp>BDP|6077819033482833459</stp>
        <tr r="F2974" s="2"/>
      </tp>
      <tp t="s">
        <v>#N/A N/A</v>
        <stp/>
        <stp>BDP|6787947615471102488</stp>
        <tr r="B664" s="2"/>
      </tp>
      <tp t="s">
        <v>#N/A N/A</v>
        <stp/>
        <stp>BDP|8013812655666936825</stp>
        <tr r="A2230" s="2"/>
      </tp>
      <tp t="s">
        <v>#N/A N/A</v>
        <stp/>
        <stp>BDP|3857100984397576662</stp>
        <tr r="H4837" s="2"/>
      </tp>
      <tp t="s">
        <v>#N/A N/A</v>
        <stp/>
        <stp>BDP|4131518093987951454</stp>
        <tr r="H2925" s="2"/>
      </tp>
      <tp t="s">
        <v>#N/A N/A</v>
        <stp/>
        <stp>BDP|4210694300770112951</stp>
        <tr r="C3100" s="2"/>
      </tp>
      <tp t="s">
        <v>#N/A N/A</v>
        <stp/>
        <stp>BDP|7980991936014839218</stp>
        <tr r="I1894" s="2"/>
      </tp>
      <tp t="s">
        <v>#N/A N/A</v>
        <stp/>
        <stp>BDP|6364550498361815096</stp>
        <tr r="A2129" s="2"/>
      </tp>
      <tp t="s">
        <v>#N/A N/A</v>
        <stp/>
        <stp>BDP|9988080803436487491</stp>
        <tr r="A2998" s="2"/>
      </tp>
      <tp t="s">
        <v>#N/A N/A</v>
        <stp/>
        <stp>BDP|2513951359024053160</stp>
        <tr r="C3543" s="2"/>
      </tp>
      <tp t="s">
        <v>#N/A N/A</v>
        <stp/>
        <stp>BDP|3272501534566903806</stp>
        <tr r="F2489" s="2"/>
      </tp>
      <tp t="s">
        <v>#N/A N/A</v>
        <stp/>
        <stp>BDP|7940347440288021326</stp>
        <tr r="F3875" s="2"/>
      </tp>
      <tp t="s">
        <v>#N/A N/A</v>
        <stp/>
        <stp>BDP|2670786185281511717</stp>
        <tr r="D1513" s="2"/>
      </tp>
      <tp t="s">
        <v>#N/A N/A</v>
        <stp/>
        <stp>BDP|9134654672412908106</stp>
        <tr r="I3304" s="2"/>
      </tp>
      <tp t="s">
        <v>#N/A N/A</v>
        <stp/>
        <stp>BDP|2884866246821241456</stp>
        <tr r="F3049" s="2"/>
      </tp>
      <tp t="s">
        <v>#N/A N/A</v>
        <stp/>
        <stp>BDP|7097778520000037986</stp>
        <tr r="C2309" s="2"/>
      </tp>
      <tp t="s">
        <v>#N/A N/A</v>
        <stp/>
        <stp>BDP|1755516492061941723</stp>
        <tr r="D4573" s="2"/>
      </tp>
      <tp t="s">
        <v>#N/A N/A</v>
        <stp/>
        <stp>BDP|3373032491000910170</stp>
        <tr r="C4270" s="2"/>
      </tp>
      <tp t="s">
        <v>#N/A N/A</v>
        <stp/>
        <stp>BDP|3494863296979342083</stp>
        <tr r="G3662" s="2"/>
      </tp>
      <tp t="s">
        <v>#N/A N/A</v>
        <stp/>
        <stp>BDP|6154680893495514707</stp>
        <tr r="B1700" s="2"/>
      </tp>
      <tp t="s">
        <v>#N/A N/A</v>
        <stp/>
        <stp>BDP|2625577788735163173</stp>
        <tr r="B4722" s="2"/>
      </tp>
      <tp t="s">
        <v>#N/A N/A</v>
        <stp/>
        <stp>BDP|6632715465098586489</stp>
        <tr r="I272" s="2"/>
      </tp>
      <tp t="s">
        <v>#N/A N/A</v>
        <stp/>
        <stp>BDP|9302786442055789419</stp>
        <tr r="H3617" s="2"/>
      </tp>
      <tp t="s">
        <v>#N/A N/A</v>
        <stp/>
        <stp>BDP|2875834265410853794</stp>
        <tr r="D1171" s="2"/>
      </tp>
      <tp t="s">
        <v>#N/A N/A</v>
        <stp/>
        <stp>BDP|9439724328387317023</stp>
        <tr r="G2818" s="2"/>
      </tp>
      <tp t="s">
        <v>#N/A N/A</v>
        <stp/>
        <stp>BDP|8659110613672348181</stp>
        <tr r="I3057" s="2"/>
      </tp>
      <tp t="s">
        <v>#N/A N/A</v>
        <stp/>
        <stp>BDP|5169890949625600786</stp>
        <tr r="A3601" s="2"/>
      </tp>
      <tp t="s">
        <v>#N/A N/A</v>
        <stp/>
        <stp>BDP|9220726044271215091</stp>
        <tr r="A1686" s="2"/>
      </tp>
      <tp t="s">
        <v>#N/A N/A</v>
        <stp/>
        <stp>BDP|9981198675212924609</stp>
        <tr r="I2529" s="2"/>
      </tp>
      <tp t="s">
        <v>#N/A N/A</v>
        <stp/>
        <stp>BDP|7953710516799030328</stp>
        <tr r="G2440" s="2"/>
      </tp>
      <tp t="s">
        <v>#N/A N/A</v>
        <stp/>
        <stp>BDP|5913421492260034359</stp>
        <tr r="A4551" s="2"/>
      </tp>
      <tp t="s">
        <v>#N/A N/A</v>
        <stp/>
        <stp>BDP|8855886172708941478</stp>
        <tr r="F4742" s="2"/>
      </tp>
      <tp t="s">
        <v>#N/A N/A</v>
        <stp/>
        <stp>BDP|2087079599278532878</stp>
        <tr r="F2441" s="2"/>
      </tp>
      <tp t="s">
        <v>#N/A N/A</v>
        <stp/>
        <stp>BDP|9552473869226050679</stp>
        <tr r="D4692" s="2"/>
      </tp>
      <tp t="s">
        <v>#N/A N/A</v>
        <stp/>
        <stp>BDP|1428601551171006899</stp>
        <tr r="I3602" s="2"/>
      </tp>
      <tp t="s">
        <v>#N/A N/A</v>
        <stp/>
        <stp>BDP|9066993075814709876</stp>
        <tr r="G1929" s="2"/>
      </tp>
      <tp t="s">
        <v>#N/A N/A</v>
        <stp/>
        <stp>BDP|6900157804514296860</stp>
        <tr r="F4550" s="2"/>
      </tp>
      <tp t="s">
        <v>#N/A N/A</v>
        <stp/>
        <stp>BDP|5413771598568685817</stp>
        <tr r="G4800" s="2"/>
      </tp>
      <tp t="s">
        <v>#N/A N/A</v>
        <stp/>
        <stp>BDP|9832767777205080754</stp>
        <tr r="I4118" s="2"/>
      </tp>
      <tp t="s">
        <v>#N/A N/A</v>
        <stp/>
        <stp>BDP|2500378288473242142</stp>
        <tr r="F849" s="2"/>
      </tp>
      <tp t="s">
        <v>#N/A N/A</v>
        <stp/>
        <stp>BDP|9206931665368917519</stp>
        <tr r="H2858" s="2"/>
      </tp>
      <tp t="s">
        <v>#N/A N/A</v>
        <stp/>
        <stp>BDP|7805824531564434338</stp>
        <tr r="C792" s="2"/>
      </tp>
      <tp t="s">
        <v>#N/A N/A</v>
        <stp/>
        <stp>BDP|6697785735209459031</stp>
        <tr r="H2450" s="2"/>
      </tp>
      <tp t="s">
        <v>#N/A N/A</v>
        <stp/>
        <stp>BDP|9076133518927756505</stp>
        <tr r="C1820" s="2"/>
      </tp>
      <tp t="s">
        <v>#N/A N/A</v>
        <stp/>
        <stp>BDP|5967423500358034278</stp>
        <tr r="B782" s="2"/>
      </tp>
      <tp t="s">
        <v>#N/A N/A</v>
        <stp/>
        <stp>BDP|5506884531063118618</stp>
        <tr r="C447" s="2"/>
      </tp>
      <tp t="s">
        <v>#N/A N/A</v>
        <stp/>
        <stp>BDP|5588827176145855456</stp>
        <tr r="H3514" s="2"/>
      </tp>
      <tp t="s">
        <v>#N/A N/A</v>
        <stp/>
        <stp>BDP|1284392861606259945</stp>
        <tr r="F4003" s="2"/>
      </tp>
      <tp t="s">
        <v>#N/A N/A</v>
        <stp/>
        <stp>BDP|4402330022507187981</stp>
        <tr r="A4836" s="2"/>
      </tp>
      <tp t="s">
        <v>#N/A N/A</v>
        <stp/>
        <stp>BDP|9830065201023636159</stp>
        <tr r="H4546" s="2"/>
      </tp>
      <tp t="s">
        <v>#N/A N/A</v>
        <stp/>
        <stp>BDP|7394530780765862444</stp>
        <tr r="G1848" s="2"/>
      </tp>
      <tp t="s">
        <v>#N/A N/A</v>
        <stp/>
        <stp>BDP|6907895988164396971</stp>
        <tr r="I4896" s="2"/>
      </tp>
      <tp t="s">
        <v>#N/A N/A</v>
        <stp/>
        <stp>BDP|7852342409146995900</stp>
        <tr r="B4510" s="2"/>
      </tp>
      <tp t="s">
        <v>#N/A N/A</v>
        <stp/>
        <stp>BDP|2941019891206368666</stp>
        <tr r="I1075" s="2"/>
      </tp>
      <tp t="s">
        <v>#N/A N/A</v>
        <stp/>
        <stp>BDP|4465936075266984774</stp>
        <tr r="B486" s="2"/>
      </tp>
      <tp t="s">
        <v>#N/A N/A</v>
        <stp/>
        <stp>BDP|1828417434984117903</stp>
        <tr r="G4615" s="2"/>
      </tp>
      <tp t="s">
        <v>#N/A N/A</v>
        <stp/>
        <stp>BDP|8880545351546349522</stp>
        <tr r="C1883" s="2"/>
      </tp>
      <tp t="s">
        <v>#N/A N/A</v>
        <stp/>
        <stp>BDP|5464907031423916705</stp>
        <tr r="A827" s="2"/>
      </tp>
      <tp t="s">
        <v>#N/A N/A</v>
        <stp/>
        <stp>BDP|5189145761950964913</stp>
        <tr r="H4579" s="2"/>
      </tp>
      <tp t="s">
        <v>#N/A N/A</v>
        <stp/>
        <stp>BDP|9614881366704533814</stp>
        <tr r="H3365" s="2"/>
      </tp>
      <tp t="s">
        <v>#N/A N/A</v>
        <stp/>
        <stp>BDP|2915229114939456374</stp>
        <tr r="D664" s="2"/>
      </tp>
      <tp t="s">
        <v>#N/A N/A</v>
        <stp/>
        <stp>BDP|5740219721456808839</stp>
        <tr r="H4903" s="2"/>
      </tp>
      <tp t="s">
        <v>#N/A N/A</v>
        <stp/>
        <stp>BDP|6143170588796545277</stp>
        <tr r="H2947" s="2"/>
      </tp>
      <tp t="s">
        <v>#N/A N/A</v>
        <stp/>
        <stp>BDP|8648027533004329482</stp>
        <tr r="F1614" s="2"/>
      </tp>
      <tp t="s">
        <v>#N/A N/A</v>
        <stp/>
        <stp>BDP|8056146398962196910</stp>
        <tr r="I3982" s="2"/>
      </tp>
      <tp t="s">
        <v>#N/A N/A</v>
        <stp/>
        <stp>BDP|3841730190996366048</stp>
        <tr r="A4801" s="2"/>
      </tp>
      <tp t="s">
        <v>#N/A N/A</v>
        <stp/>
        <stp>BDP|7768107532238957605</stp>
        <tr r="G2248" s="2"/>
      </tp>
      <tp t="s">
        <v>#N/A N/A</v>
        <stp/>
        <stp>BDP|7801821152561312077</stp>
        <tr r="A1890" s="2"/>
      </tp>
      <tp t="s">
        <v>#N/A N/A</v>
        <stp/>
        <stp>BDP|4519172458003548835</stp>
        <tr r="D3126" s="2"/>
      </tp>
      <tp t="s">
        <v>#N/A N/A</v>
        <stp/>
        <stp>BDP|1151891067620443474</stp>
        <tr r="D976" s="2"/>
      </tp>
      <tp t="s">
        <v>#N/A N/A</v>
        <stp/>
        <stp>BDP|1235539081817966056</stp>
        <tr r="C1709" s="2"/>
      </tp>
      <tp t="s">
        <v>#N/A N/A</v>
        <stp/>
        <stp>BDP|8715420748786557541</stp>
        <tr r="F1833" s="2"/>
      </tp>
      <tp t="s">
        <v>#N/A N/A</v>
        <stp/>
        <stp>BDP|9069355408371647076</stp>
        <tr r="A3791" s="2"/>
      </tp>
      <tp t="s">
        <v>#N/A N/A</v>
        <stp/>
        <stp>BDP|4949932508253836565</stp>
        <tr r="B2181" s="2"/>
      </tp>
      <tp t="s">
        <v>#N/A N/A</v>
        <stp/>
        <stp>BDP|7647476458289612433</stp>
        <tr r="I3005" s="2"/>
      </tp>
      <tp t="s">
        <v>#N/A N/A</v>
        <stp/>
        <stp>BDP|9223076244616941043</stp>
        <tr r="I1536" s="2"/>
      </tp>
      <tp t="s">
        <v>#N/A N/A</v>
        <stp/>
        <stp>BDP|9104569858993437176</stp>
        <tr r="I866" s="2"/>
      </tp>
      <tp t="s">
        <v>#N/A N/A</v>
        <stp/>
        <stp>BDP|9690869675124067992</stp>
        <tr r="D2383" s="2"/>
      </tp>
      <tp t="s">
        <v>#N/A N/A</v>
        <stp/>
        <stp>BDP|5473913420193032693</stp>
        <tr r="H4583" s="2"/>
      </tp>
      <tp t="s">
        <v>#N/A N/A</v>
        <stp/>
        <stp>BDP|1292137594723188184</stp>
        <tr r="B4647" s="2"/>
      </tp>
      <tp t="s">
        <v>#N/A N/A</v>
        <stp/>
        <stp>BDP|5749060944438908205</stp>
        <tr r="B3035" s="2"/>
      </tp>
      <tp t="s">
        <v>#N/A N/A</v>
        <stp/>
        <stp>BDP|1833993384268134385</stp>
        <tr r="A1014" s="2"/>
      </tp>
      <tp t="s">
        <v>#N/A N/A</v>
        <stp/>
        <stp>BDP|5080457066055637998</stp>
        <tr r="D451" s="2"/>
      </tp>
      <tp t="s">
        <v>#N/A N/A</v>
        <stp/>
        <stp>BDP|9607292015198273940</stp>
        <tr r="D2756" s="2"/>
      </tp>
      <tp t="s">
        <v>#N/A N/A</v>
        <stp/>
        <stp>BDP|4703877578112329270</stp>
        <tr r="C4556" s="2"/>
      </tp>
      <tp t="s">
        <v>#N/A N/A</v>
        <stp/>
        <stp>BDP|2913867403996196712</stp>
        <tr r="G1167" s="2"/>
      </tp>
      <tp t="s">
        <v>#N/A N/A</v>
        <stp/>
        <stp>BDP|7589386413926038823</stp>
        <tr r="D969" s="2"/>
      </tp>
      <tp t="s">
        <v>#N/A N/A</v>
        <stp/>
        <stp>BDP|2510348359728192750</stp>
        <tr r="B4713" s="2"/>
      </tp>
      <tp t="s">
        <v>#N/A N/A</v>
        <stp/>
        <stp>BDP|5752782481148731952</stp>
        <tr r="F790" s="2"/>
      </tp>
      <tp t="s">
        <v>#N/A N/A</v>
        <stp/>
        <stp>BDP|3168049788258432859</stp>
        <tr r="D4443" s="2"/>
      </tp>
      <tp t="s">
        <v>#N/A N/A</v>
        <stp/>
        <stp>BDP|6797265756382282890</stp>
        <tr r="A3086" s="2"/>
      </tp>
      <tp t="s">
        <v>#N/A N/A</v>
        <stp/>
        <stp>BDP|9973878472548146518</stp>
        <tr r="G4138" s="2"/>
      </tp>
      <tp t="s">
        <v>#N/A N/A</v>
        <stp/>
        <stp>BDP|9453036428625303503</stp>
        <tr r="H3273" s="2"/>
      </tp>
      <tp t="s">
        <v>#N/A N/A</v>
        <stp/>
        <stp>BDP|8942694471364560683</stp>
        <tr r="D1055" s="2"/>
      </tp>
      <tp t="s">
        <v>#N/A N/A</v>
        <stp/>
        <stp>BDP|2233835642776723385</stp>
        <tr r="G3249" s="2"/>
      </tp>
      <tp t="s">
        <v>#N/A N/A</v>
        <stp/>
        <stp>BDP|5435836077766587783</stp>
        <tr r="A588" s="2"/>
      </tp>
      <tp t="s">
        <v>#N/A N/A</v>
        <stp/>
        <stp>BDP|3806665588902301485</stp>
        <tr r="D4560" s="2"/>
      </tp>
      <tp t="s">
        <v>#N/A N/A</v>
        <stp/>
        <stp>BDP|3170869177285866253</stp>
        <tr r="B134" s="2"/>
      </tp>
      <tp t="s">
        <v>#N/A N/A</v>
        <stp/>
        <stp>BDP|7916874762112458059</stp>
        <tr r="D3734" s="2"/>
      </tp>
      <tp t="s">
        <v>#N/A N/A</v>
        <stp/>
        <stp>BDP|5686627085580800041</stp>
        <tr r="D4311" s="2"/>
      </tp>
      <tp t="s">
        <v>#N/A N/A</v>
        <stp/>
        <stp>BDP|3532896723083609148</stp>
        <tr r="F258" s="2"/>
      </tp>
      <tp t="s">
        <v>#N/A N/A</v>
        <stp/>
        <stp>BDP|4782877199059202763</stp>
        <tr r="H454" s="2"/>
      </tp>
      <tp t="s">
        <v>#N/A N/A</v>
        <stp/>
        <stp>BDP|5037483074848650571</stp>
        <tr r="F1334" s="2"/>
      </tp>
      <tp t="s">
        <v>#N/A N/A</v>
        <stp/>
        <stp>BDP|8987682152878644889</stp>
        <tr r="D2382" s="2"/>
      </tp>
      <tp t="s">
        <v>#N/A N/A</v>
        <stp/>
        <stp>BDP|2964598291353514693</stp>
        <tr r="D3791" s="2"/>
      </tp>
      <tp t="s">
        <v>#N/A N/A</v>
        <stp/>
        <stp>BDP|5169706633762788880</stp>
        <tr r="G3394" s="2"/>
      </tp>
      <tp t="s">
        <v>#N/A N/A</v>
        <stp/>
        <stp>BDP|3380413385342349693</stp>
        <tr r="F618" s="2"/>
      </tp>
      <tp t="s">
        <v>#N/A N/A</v>
        <stp/>
        <stp>BDP|8760047823860441192</stp>
        <tr r="B2575" s="2"/>
      </tp>
      <tp t="s">
        <v>#N/A N/A</v>
        <stp/>
        <stp>BDP|2839733099405723289</stp>
        <tr r="I4498" s="2"/>
      </tp>
      <tp t="s">
        <v>#N/A N/A</v>
        <stp/>
        <stp>BDP|3930469445591166966</stp>
        <tr r="A2001" s="2"/>
      </tp>
      <tp t="s">
        <v>#N/A N/A</v>
        <stp/>
        <stp>BDP|4277869339726372230</stp>
        <tr r="G3914" s="2"/>
      </tp>
      <tp t="s">
        <v>#N/A N/A</v>
        <stp/>
        <stp>BDP|3010868301333810325</stp>
        <tr r="F2277" s="2"/>
      </tp>
      <tp t="s">
        <v>#N/A N/A</v>
        <stp/>
        <stp>BDP|3856447695772195752</stp>
        <tr r="I2702" s="2"/>
      </tp>
      <tp t="s">
        <v>#N/A N/A</v>
        <stp/>
        <stp>BDP|7194867464360734290</stp>
        <tr r="H1282" s="2"/>
      </tp>
      <tp t="s">
        <v>#N/A N/A</v>
        <stp/>
        <stp>BDP|2805648179539064185</stp>
        <tr r="H4348" s="2"/>
      </tp>
      <tp t="s">
        <v>#N/A N/A</v>
        <stp/>
        <stp>BDP|9828991292404691680</stp>
        <tr r="F691" s="2"/>
      </tp>
      <tp t="s">
        <v>#N/A N/A</v>
        <stp/>
        <stp>BDP|9947624047732979281</stp>
        <tr r="G2434" s="2"/>
      </tp>
      <tp t="s">
        <v>#N/A N/A</v>
        <stp/>
        <stp>BDP|9959971387357702436</stp>
        <tr r="D4414" s="2"/>
      </tp>
      <tp t="s">
        <v>#N/A N/A</v>
        <stp/>
        <stp>BDP|9769817395470653381</stp>
        <tr r="H3825" s="2"/>
      </tp>
      <tp t="s">
        <v>#N/A N/A</v>
        <stp/>
        <stp>BDP|4476689593924630444</stp>
        <tr r="D3190" s="2"/>
      </tp>
      <tp t="s">
        <v>#N/A N/A</v>
        <stp/>
        <stp>BDP|8961120424409464964</stp>
        <tr r="F2745" s="2"/>
      </tp>
      <tp t="s">
        <v>#N/A N/A</v>
        <stp/>
        <stp>BDP|6701724407159742381</stp>
        <tr r="H444" s="2"/>
      </tp>
      <tp t="s">
        <v>#N/A N/A</v>
        <stp/>
        <stp>BDP|2804447051980871889</stp>
        <tr r="A45" s="2"/>
      </tp>
      <tp t="s">
        <v>#N/A N/A</v>
        <stp/>
        <stp>BDP|1616980664432279752</stp>
        <tr r="F4021" s="2"/>
      </tp>
      <tp t="s">
        <v>#N/A N/A</v>
        <stp/>
        <stp>BDP|8951813762305702806</stp>
        <tr r="H2498" s="2"/>
      </tp>
      <tp t="s">
        <v>#N/A N/A</v>
        <stp/>
        <stp>BDP|5694019248499609347</stp>
        <tr r="G1768" s="2"/>
      </tp>
      <tp t="s">
        <v>#N/A N/A</v>
        <stp/>
        <stp>BDP|6463423655655601980</stp>
        <tr r="D3332" s="2"/>
      </tp>
      <tp t="s">
        <v>#N/A N/A</v>
        <stp/>
        <stp>BDP|5822686979236477902</stp>
        <tr r="A2505" s="2"/>
      </tp>
      <tp t="s">
        <v>#N/A N/A</v>
        <stp/>
        <stp>BDP|4318826578197302774</stp>
        <tr r="D1310" s="2"/>
      </tp>
      <tp t="s">
        <v>#N/A N/A</v>
        <stp/>
        <stp>BDP|6773810908551183428</stp>
        <tr r="F1081" s="2"/>
      </tp>
      <tp t="s">
        <v>#N/A N/A</v>
        <stp/>
        <stp>BDP|7049435358315097869</stp>
        <tr r="G2585" s="2"/>
      </tp>
      <tp t="s">
        <v>#N/A N/A</v>
        <stp/>
        <stp>BDP|5069682925622228822</stp>
        <tr r="G2674" s="2"/>
      </tp>
      <tp t="s">
        <v>#N/A N/A</v>
        <stp/>
        <stp>BDP|9911694728817101148</stp>
        <tr r="D822" s="2"/>
      </tp>
      <tp t="s">
        <v>#N/A N/A</v>
        <stp/>
        <stp>BDP|7415312146339704295</stp>
        <tr r="C3460" s="2"/>
      </tp>
      <tp t="s">
        <v>#N/A N/A</v>
        <stp/>
        <stp>BDP|5155987784839388637</stp>
        <tr r="D1824" s="2"/>
      </tp>
      <tp t="s">
        <v>#N/A N/A</v>
        <stp/>
        <stp>BDP|2776932263153875527</stp>
        <tr r="A1513" s="2"/>
      </tp>
      <tp t="s">
        <v>#N/A N/A</v>
        <stp/>
        <stp>BDP|4577217306078904564</stp>
        <tr r="D4630" s="2"/>
      </tp>
      <tp t="s">
        <v>#N/A N/A</v>
        <stp/>
        <stp>BDP|9950925537541250934</stp>
        <tr r="B2711" s="2"/>
      </tp>
      <tp t="s">
        <v>#N/A N/A</v>
        <stp/>
        <stp>BDP|9327607535961289690</stp>
        <tr r="H2311" s="2"/>
      </tp>
      <tp t="s">
        <v>#N/A N/A</v>
        <stp/>
        <stp>BDP|7260893641388035871</stp>
        <tr r="F2815" s="2"/>
      </tp>
      <tp t="s">
        <v>#N/A N/A</v>
        <stp/>
        <stp>BDP|4957067487323754423</stp>
        <tr r="I1458" s="2"/>
      </tp>
      <tp t="s">
        <v>#N/A N/A</v>
        <stp/>
        <stp>BDP|8699882096812039057</stp>
        <tr r="G1186" s="2"/>
      </tp>
      <tp t="s">
        <v>#N/A N/A</v>
        <stp/>
        <stp>BDP|7442913249367105603</stp>
        <tr r="F3093" s="2"/>
      </tp>
      <tp t="s">
        <v>#N/A N/A</v>
        <stp/>
        <stp>BDP|8845834973558765424</stp>
        <tr r="B349" s="2"/>
      </tp>
      <tp t="s">
        <v>#N/A N/A</v>
        <stp/>
        <stp>BDP|2733300172159169493</stp>
        <tr r="A1762" s="2"/>
      </tp>
      <tp t="s">
        <v>#N/A N/A</v>
        <stp/>
        <stp>BDP|2428756488163532511</stp>
        <tr r="B676" s="2"/>
      </tp>
      <tp t="s">
        <v>#N/A N/A</v>
        <stp/>
        <stp>BDP|1923628117014596945</stp>
        <tr r="F3300" s="2"/>
      </tp>
      <tp t="s">
        <v>#N/A N/A</v>
        <stp/>
        <stp>BDP|6259998862757742538</stp>
        <tr r="F4522" s="2"/>
      </tp>
      <tp t="s">
        <v>#N/A N/A</v>
        <stp/>
        <stp>BDP|9947954031191793981</stp>
        <tr r="B2879" s="2"/>
      </tp>
      <tp t="s">
        <v>#N/A N/A</v>
        <stp/>
        <stp>BDP|6721913302537687304</stp>
        <tr r="B939" s="2"/>
      </tp>
      <tp t="s">
        <v>#N/A N/A</v>
        <stp/>
        <stp>BDP|3156904010807571766</stp>
        <tr r="B1018" s="2"/>
      </tp>
      <tp t="s">
        <v>#N/A N/A</v>
        <stp/>
        <stp>BDP|2034013047454592915</stp>
        <tr r="G289" s="2"/>
      </tp>
      <tp t="s">
        <v>#N/A N/A</v>
        <stp/>
        <stp>BDP|5444818394638310700</stp>
        <tr r="F4617" s="2"/>
      </tp>
      <tp t="s">
        <v>#N/A N/A</v>
        <stp/>
        <stp>BDP|8103122012946312501</stp>
        <tr r="A3555" s="2"/>
      </tp>
      <tp t="s">
        <v>#N/A N/A</v>
        <stp/>
        <stp>BDP|7017551441978416523</stp>
        <tr r="H1298" s="2"/>
      </tp>
      <tp t="s">
        <v>#N/A N/A</v>
        <stp/>
        <stp>BDP|2165485918049381500</stp>
        <tr r="G4896" s="2"/>
      </tp>
      <tp t="s">
        <v>#N/A N/A</v>
        <stp/>
        <stp>BDP|7531553558915936930</stp>
        <tr r="A242" s="2"/>
      </tp>
      <tp t="s">
        <v>#N/A N/A</v>
        <stp/>
        <stp>BDP|8312585378283481254</stp>
        <tr r="H190" s="2"/>
      </tp>
      <tp t="s">
        <v>#N/A N/A</v>
        <stp/>
        <stp>BDP|9549630830312539519</stp>
        <tr r="F4350" s="2"/>
      </tp>
      <tp t="s">
        <v>#N/A N/A</v>
        <stp/>
        <stp>BDP|6782580759979048448</stp>
        <tr r="C1122" s="2"/>
      </tp>
      <tp t="s">
        <v>#N/A N/A</v>
        <stp/>
        <stp>BDP|6689604575908387420</stp>
        <tr r="H892" s="2"/>
      </tp>
      <tp t="s">
        <v>#N/A N/A</v>
        <stp/>
        <stp>BDP|6586255582122084508</stp>
        <tr r="D113" s="2"/>
      </tp>
      <tp t="s">
        <v>#N/A N/A</v>
        <stp/>
        <stp>BDP|6802092293852564650</stp>
        <tr r="A2399" s="2"/>
      </tp>
      <tp t="s">
        <v>#N/A N/A</v>
        <stp/>
        <stp>BDP|7232192509059563458</stp>
        <tr r="F3088" s="2"/>
      </tp>
      <tp t="s">
        <v>#N/A N/A</v>
        <stp/>
        <stp>BDP|2195766281125779336</stp>
        <tr r="I3651" s="2"/>
      </tp>
      <tp t="s">
        <v>#N/A N/A</v>
        <stp/>
        <stp>BDP|8678127147517434159</stp>
        <tr r="B2199" s="2"/>
      </tp>
      <tp t="s">
        <v>#N/A N/A</v>
        <stp/>
        <stp>BDP|5980386727499211664</stp>
        <tr r="D1725" s="2"/>
      </tp>
      <tp t="s">
        <v>#N/A N/A</v>
        <stp/>
        <stp>BDP|2518902516809455851</stp>
        <tr r="H916" s="2"/>
      </tp>
      <tp t="s">
        <v>#N/A N/A</v>
        <stp/>
        <stp>BDP|1519369882165233414</stp>
        <tr r="D252" s="2"/>
      </tp>
      <tp t="s">
        <v>#N/A N/A</v>
        <stp/>
        <stp>BDP|8787039606532484142</stp>
        <tr r="B3033" s="2"/>
      </tp>
      <tp t="s">
        <v>#N/A N/A</v>
        <stp/>
        <stp>BDP|9923684540727673758</stp>
        <tr r="B587" s="2"/>
      </tp>
      <tp t="s">
        <v>#N/A N/A</v>
        <stp/>
        <stp>BDP|5875297012224346928</stp>
        <tr r="I1378" s="2"/>
      </tp>
      <tp t="s">
        <v>#N/A N/A</v>
        <stp/>
        <stp>BDP|2186605497761308774</stp>
        <tr r="D3289" s="2"/>
      </tp>
      <tp t="s">
        <v>#N/A N/A</v>
        <stp/>
        <stp>BDP|8023235839547183594</stp>
        <tr r="B69" s="2"/>
      </tp>
      <tp t="s">
        <v>#N/A N/A</v>
        <stp/>
        <stp>BDP|3449066891006805793</stp>
        <tr r="B2705" s="2"/>
      </tp>
      <tp t="s">
        <v>#N/A N/A</v>
        <stp/>
        <stp>BDP|1617205371629373664</stp>
        <tr r="I2377" s="2"/>
      </tp>
      <tp t="s">
        <v>#N/A N/A</v>
        <stp/>
        <stp>BDP|8342577970696340750</stp>
        <tr r="A4210" s="2"/>
      </tp>
      <tp t="s">
        <v>#N/A N/A</v>
        <stp/>
        <stp>BDP|9542169221707482643</stp>
        <tr r="H4578" s="2"/>
      </tp>
      <tp t="s">
        <v>#N/A N/A</v>
        <stp/>
        <stp>BDP|4391703387078739818</stp>
        <tr r="B3984" s="2"/>
      </tp>
      <tp t="s">
        <v>#N/A N/A</v>
        <stp/>
        <stp>BDP|2741957683180351806</stp>
        <tr r="F4842" s="2"/>
      </tp>
      <tp t="s">
        <v>#N/A N/A</v>
        <stp/>
        <stp>BDP|8608444423827280215</stp>
        <tr r="G370" s="2"/>
      </tp>
      <tp t="s">
        <v>#N/A N/A</v>
        <stp/>
        <stp>BDP|8728283243016672387</stp>
        <tr r="A3403" s="2"/>
      </tp>
      <tp t="s">
        <v>#N/A N/A</v>
        <stp/>
        <stp>BDP|3334037567436474817</stp>
        <tr r="H3726" s="2"/>
      </tp>
      <tp t="s">
        <v>#N/A N/A</v>
        <stp/>
        <stp>BDP|3171043404901585965</stp>
        <tr r="G386" s="2"/>
      </tp>
      <tp t="s">
        <v>#N/A N/A</v>
        <stp/>
        <stp>BDP|3957576592395799199</stp>
        <tr r="F3175" s="2"/>
      </tp>
      <tp t="s">
        <v>#N/A N/A</v>
        <stp/>
        <stp>BDP|3389832001231009138</stp>
        <tr r="A1384" s="2"/>
      </tp>
      <tp t="s">
        <v>#N/A N/A</v>
        <stp/>
        <stp>BDP|5064721067229247652</stp>
        <tr r="F549" s="2"/>
      </tp>
      <tp t="s">
        <v>#N/A N/A</v>
        <stp/>
        <stp>BDP|9039223107616278652</stp>
        <tr r="B3045" s="2"/>
      </tp>
      <tp t="s">
        <v>#N/A N/A</v>
        <stp/>
        <stp>BDP|1337005285762661024</stp>
        <tr r="I2276" s="2"/>
      </tp>
      <tp t="s">
        <v>#N/A N/A</v>
        <stp/>
        <stp>BDP|8060757922385452314</stp>
        <tr r="D4544" s="2"/>
      </tp>
      <tp t="s">
        <v>#N/A N/A</v>
        <stp/>
        <stp>BDP|4160910130051379412</stp>
        <tr r="H1278" s="2"/>
      </tp>
      <tp t="s">
        <v>#N/A N/A</v>
        <stp/>
        <stp>BDP|8779790529282769420</stp>
        <tr r="D2196" s="2"/>
      </tp>
      <tp t="s">
        <v>#N/A N/A</v>
        <stp/>
        <stp>BDP|7424808474863339012</stp>
        <tr r="I4008" s="2"/>
      </tp>
      <tp t="s">
        <v>#N/A N/A</v>
        <stp/>
        <stp>BDP|9042466103162340445</stp>
        <tr r="A3391" s="2"/>
      </tp>
      <tp t="s">
        <v>#N/A N/A</v>
        <stp/>
        <stp>BDP|1714046649148037687</stp>
        <tr r="G2895" s="2"/>
      </tp>
      <tp t="s">
        <v>#N/A N/A</v>
        <stp/>
        <stp>BDP|7969636294630979353</stp>
        <tr r="G3283" s="2"/>
      </tp>
      <tp t="s">
        <v>#N/A N/A</v>
        <stp/>
        <stp>BDP|9933897024101241943</stp>
        <tr r="C1521" s="2"/>
      </tp>
      <tp t="s">
        <v>#N/A N/A</v>
        <stp/>
        <stp>BDP|1040883529613105324</stp>
        <tr r="I3170" s="2"/>
      </tp>
      <tp t="s">
        <v>#N/A N/A</v>
        <stp/>
        <stp>BDP|1505508092712787422</stp>
        <tr r="A3078" s="2"/>
      </tp>
      <tp t="s">
        <v>#N/A N/A</v>
        <stp/>
        <stp>BDP|4013415420088590168</stp>
        <tr r="B2381" s="2"/>
      </tp>
      <tp t="s">
        <v>#N/A N/A</v>
        <stp/>
        <stp>BDP|6738976505660064470</stp>
        <tr r="C1244" s="2"/>
      </tp>
      <tp t="s">
        <v>#N/A N/A</v>
        <stp/>
        <stp>BDP|2726957619608122985</stp>
        <tr r="G1517" s="2"/>
      </tp>
      <tp t="s">
        <v>#N/A N/A</v>
        <stp/>
        <stp>BDP|4155337035648512701</stp>
        <tr r="G1738" s="2"/>
      </tp>
      <tp t="s">
        <v>#N/A N/A</v>
        <stp/>
        <stp>BDP|1762934233486105642</stp>
        <tr r="C4592" s="2"/>
      </tp>
      <tp t="s">
        <v>#N/A N/A</v>
        <stp/>
        <stp>BDP|8713942480791451355</stp>
        <tr r="I4452" s="2"/>
      </tp>
      <tp t="s">
        <v>#N/A N/A</v>
        <stp/>
        <stp>BDP|1105922276121366542</stp>
        <tr r="I4053" s="2"/>
      </tp>
      <tp t="s">
        <v>#N/A N/A</v>
        <stp/>
        <stp>BDP|7745249490352298530</stp>
        <tr r="H1956" s="2"/>
      </tp>
      <tp t="s">
        <v>#N/A N/A</v>
        <stp/>
        <stp>BDP|7147860663521218347</stp>
        <tr r="G743" s="2"/>
      </tp>
      <tp t="s">
        <v>#N/A N/A</v>
        <stp/>
        <stp>BDP|8622494746487348480</stp>
        <tr r="A1930" s="2"/>
      </tp>
      <tp t="s">
        <v>#N/A N/A</v>
        <stp/>
        <stp>BDP|9050954597117744572</stp>
        <tr r="B3064" s="2"/>
      </tp>
      <tp t="s">
        <v>#N/A N/A</v>
        <stp/>
        <stp>BDP|9455017968595754184</stp>
        <tr r="I2607" s="2"/>
      </tp>
      <tp t="s">
        <v>#N/A N/A</v>
        <stp/>
        <stp>BDP|1229973395759213301</stp>
        <tr r="F1246" s="2"/>
      </tp>
      <tp t="s">
        <v>#N/A N/A</v>
        <stp/>
        <stp>BDP|8243430876352770226</stp>
        <tr r="D4557" s="2"/>
      </tp>
      <tp t="s">
        <v>#N/A N/A</v>
        <stp/>
        <stp>BDP|8338282773223923537</stp>
        <tr r="C1679" s="2"/>
      </tp>
      <tp t="s">
        <v>#N/A N/A</v>
        <stp/>
        <stp>BDP|1224285219188546144</stp>
        <tr r="G1968" s="2"/>
      </tp>
      <tp t="s">
        <v>#N/A N/A</v>
        <stp/>
        <stp>BDP|4696047328388822516</stp>
        <tr r="A1829" s="2"/>
      </tp>
      <tp t="s">
        <v>#N/A N/A</v>
        <stp/>
        <stp>BDP|3516689082593537597</stp>
        <tr r="H3661" s="2"/>
      </tp>
      <tp t="s">
        <v>#N/A N/A</v>
        <stp/>
        <stp>BDP|9044078748675926350</stp>
        <tr r="I2341" s="2"/>
      </tp>
      <tp t="s">
        <v>#N/A N/A</v>
        <stp/>
        <stp>BDP|3059788585107741090</stp>
        <tr r="I2256" s="2"/>
      </tp>
      <tp t="s">
        <v>#N/A N/A</v>
        <stp/>
        <stp>BDP|9243405305690177658</stp>
        <tr r="H1225" s="2"/>
      </tp>
      <tp t="s">
        <v>#N/A N/A</v>
        <stp/>
        <stp>BDP|1921802131423948228</stp>
        <tr r="C3409" s="2"/>
      </tp>
      <tp t="s">
        <v>#N/A N/A</v>
        <stp/>
        <stp>BDP|8444881267559125499</stp>
        <tr r="A3342" s="2"/>
      </tp>
      <tp t="s">
        <v>#N/A N/A</v>
        <stp/>
        <stp>BDP|2449934376284313318</stp>
        <tr r="A3506" s="2"/>
      </tp>
      <tp t="s">
        <v>#N/A N/A</v>
        <stp/>
        <stp>BDP|6687377652429775276</stp>
        <tr r="C194" s="2"/>
      </tp>
      <tp t="s">
        <v>#N/A N/A</v>
        <stp/>
        <stp>BDP|7191326930414749875</stp>
        <tr r="F4465" s="2"/>
      </tp>
      <tp t="s">
        <v>#N/A N/A</v>
        <stp/>
        <stp>BDP|6745717790625191646</stp>
        <tr r="I930" s="2"/>
      </tp>
      <tp t="s">
        <v>#N/A N/A</v>
        <stp/>
        <stp>BDP|7737227382776202069</stp>
        <tr r="G1884" s="2"/>
      </tp>
      <tp t="s">
        <v>#N/A N/A</v>
        <stp/>
        <stp>BDP|8522236060852024554</stp>
        <tr r="G2938" s="2"/>
      </tp>
      <tp t="s">
        <v>#N/A N/A</v>
        <stp/>
        <stp>BDP|4116576176198796545</stp>
        <tr r="C3601" s="2"/>
      </tp>
      <tp t="s">
        <v>#N/A N/A</v>
        <stp/>
        <stp>BDP|7823885302407466358</stp>
        <tr r="G1617" s="2"/>
      </tp>
      <tp t="s">
        <v>#N/A N/A</v>
        <stp/>
        <stp>BDP|1712965513636694476</stp>
        <tr r="G4689" s="2"/>
      </tp>
      <tp t="s">
        <v>#N/A N/A</v>
        <stp/>
        <stp>BDP|6231095100489874408</stp>
        <tr r="D2239" s="2"/>
      </tp>
      <tp t="s">
        <v>#N/A N/A</v>
        <stp/>
        <stp>BDP|8298631750719630941</stp>
        <tr r="B203" s="2"/>
      </tp>
      <tp t="s">
        <v>#N/A N/A</v>
        <stp/>
        <stp>BDP|1106692689634696041</stp>
        <tr r="B4197" s="2"/>
      </tp>
      <tp t="s">
        <v>#N/A N/A</v>
        <stp/>
        <stp>BDP|3762039984062641257</stp>
        <tr r="F3298" s="2"/>
      </tp>
      <tp t="s">
        <v>#N/A N/A</v>
        <stp/>
        <stp>BDP|8693534379849898870</stp>
        <tr r="D3751" s="2"/>
      </tp>
      <tp t="s">
        <v>#N/A N/A</v>
        <stp/>
        <stp>BDP|2241303848806800813</stp>
        <tr r="H3533" s="2"/>
      </tp>
      <tp t="s">
        <v>#N/A N/A</v>
        <stp/>
        <stp>BDP|3298362920050304944</stp>
        <tr r="H905" s="2"/>
      </tp>
      <tp t="s">
        <v>#N/A N/A</v>
        <stp/>
        <stp>BDP|9522447260255398511</stp>
        <tr r="I4449" s="2"/>
      </tp>
      <tp t="s">
        <v>#N/A N/A</v>
        <stp/>
        <stp>BDP|6816669511489835340</stp>
        <tr r="H1545" s="2"/>
      </tp>
      <tp t="s">
        <v>#N/A N/A</v>
        <stp/>
        <stp>BDP|5458758463306789968</stp>
        <tr r="A99" s="2"/>
      </tp>
      <tp t="s">
        <v>#N/A N/A</v>
        <stp/>
        <stp>BDP|9419342410488510868</stp>
        <tr r="F2570" s="2"/>
      </tp>
      <tp t="s">
        <v>#N/A N/A</v>
        <stp/>
        <stp>BDP|5865776259338243479</stp>
        <tr r="A1338" s="2"/>
      </tp>
      <tp t="s">
        <v>#N/A N/A</v>
        <stp/>
        <stp>BDP|3174179695538630866</stp>
        <tr r="F3791" s="2"/>
      </tp>
      <tp t="s">
        <v>#N/A N/A</v>
        <stp/>
        <stp>BDP|5065508367475110855</stp>
        <tr r="A246" s="2"/>
      </tp>
      <tp t="s">
        <v>#N/A N/A</v>
        <stp/>
        <stp>BDP|6421963284928412417</stp>
        <tr r="A141" s="2"/>
      </tp>
      <tp t="s">
        <v>#N/A N/A</v>
        <stp/>
        <stp>BDP|2424838573264198260</stp>
        <tr r="A2840" s="2"/>
      </tp>
      <tp t="s">
        <v>#N/A N/A</v>
        <stp/>
        <stp>BDP|9463375415200549005</stp>
        <tr r="F3367" s="2"/>
      </tp>
      <tp t="s">
        <v>#N/A N/A</v>
        <stp/>
        <stp>BDP|5899033525114995842</stp>
        <tr r="C820" s="2"/>
      </tp>
      <tp t="s">
        <v>#N/A N/A</v>
        <stp/>
        <stp>BDP|7223770875138561465</stp>
        <tr r="D2475" s="2"/>
      </tp>
      <tp t="s">
        <v>#N/A N/A</v>
        <stp/>
        <stp>BDP|7957390759569222381</stp>
        <tr r="D54" s="2"/>
      </tp>
      <tp t="s">
        <v>#N/A N/A</v>
        <stp/>
        <stp>BDP|3333347534929993197</stp>
        <tr r="I1377" s="2"/>
      </tp>
      <tp t="s">
        <v>#N/A N/A</v>
        <stp/>
        <stp>BDP|8097740161421176379</stp>
        <tr r="A4402" s="2"/>
      </tp>
      <tp t="s">
        <v>#N/A N/A</v>
        <stp/>
        <stp>BDP|8590648244684669502</stp>
        <tr r="A842" s="2"/>
      </tp>
      <tp t="s">
        <v>#N/A N/A</v>
        <stp/>
        <stp>BDP|1004813327421378163</stp>
        <tr r="G3640" s="2"/>
      </tp>
      <tp t="s">
        <v>#N/A N/A</v>
        <stp/>
        <stp>BDP|8096268882831532829</stp>
        <tr r="G525" s="2"/>
      </tp>
      <tp t="s">
        <v>#N/A N/A</v>
        <stp/>
        <stp>BDP|8913251484989880032</stp>
        <tr r="H1648" s="2"/>
      </tp>
      <tp t="s">
        <v>#N/A N/A</v>
        <stp/>
        <stp>BDP|6881542048874213851</stp>
        <tr r="F4976" s="2"/>
      </tp>
      <tp t="s">
        <v>#N/A N/A</v>
        <stp/>
        <stp>BDP|7414026920027749921</stp>
        <tr r="G4642" s="2"/>
      </tp>
      <tp t="s">
        <v>#N/A N/A</v>
        <stp/>
        <stp>BDP|3498928221291080249</stp>
        <tr r="A660" s="2"/>
      </tp>
      <tp t="s">
        <v>#N/A N/A</v>
        <stp/>
        <stp>BDP|8161101232799379835</stp>
        <tr r="C520" s="2"/>
      </tp>
      <tp t="s">
        <v>#N/A N/A</v>
        <stp/>
        <stp>BDP|1305167830509716111</stp>
        <tr r="I2539" s="2"/>
      </tp>
      <tp t="s">
        <v>#N/A N/A</v>
        <stp/>
        <stp>BDP|3650194061088433790</stp>
        <tr r="I3045" s="2"/>
      </tp>
      <tp t="s">
        <v>#N/A N/A</v>
        <stp/>
        <stp>BDP|5506784727378912303</stp>
        <tr r="C778" s="2"/>
      </tp>
      <tp t="s">
        <v>#N/A N/A</v>
        <stp/>
        <stp>BDP|6624807254255375525</stp>
        <tr r="C3" s="2"/>
      </tp>
      <tp t="s">
        <v>#N/A N/A</v>
        <stp/>
        <stp>BDP|3275608580226212039</stp>
        <tr r="C1873" s="2"/>
      </tp>
      <tp t="s">
        <v>#N/A N/A</v>
        <stp/>
        <stp>BDP|9173295742146910207</stp>
        <tr r="F4097" s="2"/>
      </tp>
      <tp t="s">
        <v>#N/A N/A</v>
        <stp/>
        <stp>BDP|5650216496034606146</stp>
        <tr r="F2062" s="2"/>
      </tp>
      <tp t="s">
        <v>#N/A N/A</v>
        <stp/>
        <stp>BDP|3740844714713735231</stp>
        <tr r="I1459" s="2"/>
      </tp>
      <tp t="s">
        <v>#N/A N/A</v>
        <stp/>
        <stp>BDP|1463146997305526714</stp>
        <tr r="I4069" s="2"/>
      </tp>
      <tp t="s">
        <v>#N/A N/A</v>
        <stp/>
        <stp>BDP|5837776989125634432</stp>
        <tr r="G1153" s="2"/>
      </tp>
      <tp t="s">
        <v>#N/A N/A</v>
        <stp/>
        <stp>BDP|3310311304643703822</stp>
        <tr r="D66" s="2"/>
      </tp>
      <tp t="s">
        <v>#N/A N/A</v>
        <stp/>
        <stp>BDP|8136641559101956162</stp>
        <tr r="A3365" s="2"/>
      </tp>
      <tp t="s">
        <v>#N/A N/A</v>
        <stp/>
        <stp>BDP|6839163610358958542</stp>
        <tr r="G171" s="2"/>
      </tp>
      <tp t="s">
        <v>#N/A N/A</v>
        <stp/>
        <stp>BDP|3137721780211352631</stp>
        <tr r="D1646" s="2"/>
      </tp>
      <tp t="s">
        <v>#N/A N/A</v>
        <stp/>
        <stp>BDP|2643843423397393419</stp>
        <tr r="D4632" s="2"/>
      </tp>
      <tp t="s">
        <v>#N/A N/A</v>
        <stp/>
        <stp>BDP|2568254142668601770</stp>
        <tr r="F431" s="2"/>
      </tp>
      <tp t="s">
        <v>#N/A N/A</v>
        <stp/>
        <stp>BDP|6838736482034975636</stp>
        <tr r="A2924" s="2"/>
      </tp>
      <tp t="s">
        <v>#N/A N/A</v>
        <stp/>
        <stp>BDP|5013404244179510722</stp>
        <tr r="D743" s="2"/>
      </tp>
      <tp t="s">
        <v>#N/A N/A</v>
        <stp/>
        <stp>BDP|8080673231054057259</stp>
        <tr r="C67" s="2"/>
      </tp>
      <tp t="s">
        <v>#N/A N/A</v>
        <stp/>
        <stp>BDP|3397821545231547528</stp>
        <tr r="A189" s="2"/>
      </tp>
      <tp t="s">
        <v>#N/A N/A</v>
        <stp/>
        <stp>BDP|3727375124390509922</stp>
        <tr r="A3852" s="2"/>
      </tp>
      <tp t="s">
        <v>#N/A N/A</v>
        <stp/>
        <stp>BDP|8676728143019290960</stp>
        <tr r="B900" s="2"/>
      </tp>
      <tp t="s">
        <v>#N/A N/A</v>
        <stp/>
        <stp>BDP|9432383672226510085</stp>
        <tr r="F2231" s="2"/>
      </tp>
      <tp t="s">
        <v>#N/A N/A</v>
        <stp/>
        <stp>BDP|5052871745922530048</stp>
        <tr r="H4115" s="2"/>
      </tp>
      <tp t="s">
        <v>#N/A N/A</v>
        <stp/>
        <stp>BDP|2417553696776354376</stp>
        <tr r="F2" s="2"/>
      </tp>
      <tp t="s">
        <v>#N/A N/A</v>
        <stp/>
        <stp>BDP|4446444515423462924</stp>
        <tr r="G2045" s="2"/>
      </tp>
      <tp t="s">
        <v>#N/A N/A</v>
        <stp/>
        <stp>BDP|7589728495510900283</stp>
        <tr r="C1506" s="2"/>
      </tp>
      <tp t="s">
        <v>#N/A N/A</v>
        <stp/>
        <stp>BDP|9724143830128013807</stp>
        <tr r="H4763" s="2"/>
      </tp>
      <tp t="s">
        <v>#N/A N/A</v>
        <stp/>
        <stp>BDP|6434114942529500114</stp>
        <tr r="F296" s="2"/>
      </tp>
      <tp t="s">
        <v>#N/A N/A</v>
        <stp/>
        <stp>BDP|8295094653352209498</stp>
        <tr r="C1145" s="2"/>
      </tp>
      <tp t="s">
        <v>#N/A N/A</v>
        <stp/>
        <stp>BDP|3036745844163291818</stp>
        <tr r="H2946" s="2"/>
      </tp>
      <tp t="s">
        <v>#N/A N/A</v>
        <stp/>
        <stp>BDP|5174367330477559917</stp>
        <tr r="A1311" s="2"/>
      </tp>
      <tp t="s">
        <v>#N/A N/A</v>
        <stp/>
        <stp>BDP|7443629960169025558</stp>
        <tr r="C636" s="2"/>
      </tp>
      <tp t="s">
        <v>#N/A N/A</v>
        <stp/>
        <stp>BDP|1189560213186525812</stp>
        <tr r="C4072" s="2"/>
      </tp>
      <tp t="s">
        <v>#N/A N/A</v>
        <stp/>
        <stp>BDP|8242044040863563437</stp>
        <tr r="I2718" s="2"/>
      </tp>
      <tp t="s">
        <v>#N/A N/A</v>
        <stp/>
        <stp>BDP|6225773552046205958</stp>
        <tr r="D747" s="2"/>
      </tp>
      <tp t="s">
        <v>#N/A N/A</v>
        <stp/>
        <stp>BDP|6120893686099914479</stp>
        <tr r="F2976" s="2"/>
      </tp>
      <tp t="s">
        <v>#N/A N/A</v>
        <stp/>
        <stp>BDP|9191787948092237335</stp>
        <tr r="I554" s="2"/>
      </tp>
      <tp t="s">
        <v>#N/A N/A</v>
        <stp/>
        <stp>BDP|2877232495841926377</stp>
        <tr r="A430" s="2"/>
      </tp>
      <tp t="s">
        <v>#N/A N/A</v>
        <stp/>
        <stp>BDP|3694528971502598806</stp>
        <tr r="I2761" s="2"/>
      </tp>
      <tp t="s">
        <v>#N/A N/A</v>
        <stp/>
        <stp>BDP|4731856104814561330</stp>
        <tr r="C4157" s="2"/>
      </tp>
      <tp t="s">
        <v>#N/A N/A</v>
        <stp/>
        <stp>BDP|7556904535013482542</stp>
        <tr r="G1548" s="2"/>
      </tp>
      <tp t="s">
        <v>#N/A N/A</v>
        <stp/>
        <stp>BDP|8479438954456515461</stp>
        <tr r="C251" s="2"/>
      </tp>
      <tp t="s">
        <v>#N/A N/A</v>
        <stp/>
        <stp>BDP|6401189191521523485</stp>
        <tr r="A367" s="2"/>
      </tp>
      <tp t="s">
        <v>#N/A N/A</v>
        <stp/>
        <stp>BDP|4291596008279015337</stp>
        <tr r="A831" s="2"/>
      </tp>
      <tp t="s">
        <v>#N/A N/A</v>
        <stp/>
        <stp>BDP|7078421722972609862</stp>
        <tr r="B3251" s="2"/>
      </tp>
      <tp t="s">
        <v>#N/A N/A</v>
        <stp/>
        <stp>BDP|8769991366414879809</stp>
        <tr r="D629" s="2"/>
      </tp>
      <tp t="s">
        <v>#N/A N/A</v>
        <stp/>
        <stp>BDP|5729238475663306821</stp>
        <tr r="A3967" s="2"/>
      </tp>
      <tp t="s">
        <v>#N/A N/A</v>
        <stp/>
        <stp>BDP|7758385452638588282</stp>
        <tr r="G830" s="2"/>
      </tp>
      <tp t="s">
        <v>#N/A N/A</v>
        <stp/>
        <stp>BDP|4121932133880055511</stp>
        <tr r="A1876" s="2"/>
      </tp>
      <tp t="s">
        <v>#N/A N/A</v>
        <stp/>
        <stp>BDP|2973796054543409808</stp>
        <tr r="C2026" s="2"/>
      </tp>
      <tp t="s">
        <v>#N/A N/A</v>
        <stp/>
        <stp>BDP|8352669038832819459</stp>
        <tr r="C4611" s="2"/>
      </tp>
      <tp t="s">
        <v>#N/A N/A</v>
        <stp/>
        <stp>BDP|9391392754461939570</stp>
        <tr r="D3395" s="2"/>
      </tp>
      <tp t="s">
        <v>#N/A N/A</v>
        <stp/>
        <stp>BDP|1554064858766220998</stp>
        <tr r="B2356" s="2"/>
      </tp>
      <tp t="s">
        <v>#N/A N/A</v>
        <stp/>
        <stp>BDP|4578479130040318810</stp>
        <tr r="D3631" s="2"/>
      </tp>
      <tp t="s">
        <v>#N/A N/A</v>
        <stp/>
        <stp>BDP|9851653621773997557</stp>
        <tr r="F4928" s="2"/>
      </tp>
      <tp t="s">
        <v>#N/A N/A</v>
        <stp/>
        <stp>BDP|3578754095365090356</stp>
        <tr r="A4962" s="2"/>
      </tp>
      <tp t="s">
        <v>#N/A N/A</v>
        <stp/>
        <stp>BDP|5726854863785998587</stp>
        <tr r="B3514" s="2"/>
      </tp>
      <tp t="s">
        <v>#N/A N/A</v>
        <stp/>
        <stp>BDP|4322025224889601430</stp>
        <tr r="C4699" s="2"/>
      </tp>
      <tp t="s">
        <v>#N/A N/A</v>
        <stp/>
        <stp>BDP|4489890732572722680</stp>
        <tr r="G4903" s="2"/>
      </tp>
      <tp t="s">
        <v>#N/A N/A</v>
        <stp/>
        <stp>BDP|6188129693181171419</stp>
        <tr r="C945" s="2"/>
      </tp>
      <tp t="s">
        <v>#N/A N/A</v>
        <stp/>
        <stp>BDP|2311553333638281772</stp>
        <tr r="C4848" s="2"/>
      </tp>
      <tp t="s">
        <v>#N/A N/A</v>
        <stp/>
        <stp>BDP|4529054479368189083</stp>
        <tr r="A1133" s="2"/>
      </tp>
      <tp t="s">
        <v>#N/A N/A</v>
        <stp/>
        <stp>BDP|2656914530955505626</stp>
        <tr r="G3309" s="2"/>
      </tp>
      <tp t="s">
        <v>#N/A N/A</v>
        <stp/>
        <stp>BDP|5311977767254761543</stp>
        <tr r="A3976" s="2"/>
      </tp>
      <tp t="s">
        <v>#N/A N/A</v>
        <stp/>
        <stp>BDP|7533835511726093378</stp>
        <tr r="F3940" s="2"/>
      </tp>
      <tp t="s">
        <v>#N/A N/A</v>
        <stp/>
        <stp>BDP|1709133403262148965</stp>
        <tr r="A4900" s="2"/>
      </tp>
      <tp t="s">
        <v>#N/A N/A</v>
        <stp/>
        <stp>BDP|2952942758987262278</stp>
        <tr r="H3211" s="2"/>
      </tp>
      <tp t="s">
        <v>#N/A N/A</v>
        <stp/>
        <stp>BDP|2485955277024581336</stp>
        <tr r="H1436" s="2"/>
      </tp>
      <tp t="s">
        <v>#N/A N/A</v>
        <stp/>
        <stp>BDP|9677095219333107072</stp>
        <tr r="H2789" s="2"/>
      </tp>
      <tp t="s">
        <v>#N/A N/A</v>
        <stp/>
        <stp>BDP|4650780598041233045</stp>
        <tr r="B4267" s="2"/>
      </tp>
      <tp t="s">
        <v>#N/A N/A</v>
        <stp/>
        <stp>BDP|8182532572829376836</stp>
        <tr r="A66" s="2"/>
      </tp>
      <tp t="s">
        <v>#N/A N/A</v>
        <stp/>
        <stp>BDP|5570265197781705436</stp>
        <tr r="C1809" s="2"/>
      </tp>
      <tp t="s">
        <v>#N/A N/A</v>
        <stp/>
        <stp>BDP|5880298955670673922</stp>
        <tr r="B2750" s="2"/>
      </tp>
      <tp t="s">
        <v>#N/A N/A</v>
        <stp/>
        <stp>BDP|5526889226427889334</stp>
        <tr r="G4373" s="2"/>
      </tp>
      <tp t="s">
        <v>#N/A N/A</v>
        <stp/>
        <stp>BDP|6356309891941552673</stp>
        <tr r="A3152" s="2"/>
      </tp>
      <tp t="s">
        <v>#N/A N/A</v>
        <stp/>
        <stp>BDP|9594704542787193660</stp>
        <tr r="G3646" s="2"/>
      </tp>
      <tp t="s">
        <v>#N/A N/A</v>
        <stp/>
        <stp>BDP|4669027205466426954</stp>
        <tr r="F2166" s="2"/>
      </tp>
      <tp t="s">
        <v>#N/A N/A</v>
        <stp/>
        <stp>BDP|9534255908222833205</stp>
        <tr r="D2424" s="2"/>
      </tp>
      <tp t="s">
        <v>#N/A N/A</v>
        <stp/>
        <stp>BDP|3676267805722651830</stp>
        <tr r="A3230" s="2"/>
      </tp>
      <tp t="s">
        <v>#N/A N/A</v>
        <stp/>
        <stp>BDP|9461207834223242025</stp>
        <tr r="H65" s="2"/>
      </tp>
      <tp t="s">
        <v>#N/A N/A</v>
        <stp/>
        <stp>BDP|3520145931403632962</stp>
        <tr r="I4600" s="2"/>
      </tp>
      <tp t="s">
        <v>#N/A N/A</v>
        <stp/>
        <stp>BDP|5431934976867881792</stp>
        <tr r="A2938" s="2"/>
      </tp>
      <tp t="s">
        <v>#N/A N/A</v>
        <stp/>
        <stp>BDP|4853856573475816562</stp>
        <tr r="G1689" s="2"/>
      </tp>
      <tp t="s">
        <v>#N/A N/A</v>
        <stp/>
        <stp>BDP|2368265997463647147</stp>
        <tr r="D1070" s="2"/>
      </tp>
      <tp t="s">
        <v>#N/A N/A</v>
        <stp/>
        <stp>BDP|7254865137132476572</stp>
        <tr r="D1916" s="2"/>
      </tp>
      <tp t="s">
        <v>#N/A N/A</v>
        <stp/>
        <stp>BDP|5993557746457995834</stp>
        <tr r="F1503" s="2"/>
      </tp>
      <tp t="s">
        <v>#N/A N/A</v>
        <stp/>
        <stp>BDP|5672136980880386766</stp>
        <tr r="C2784" s="2"/>
      </tp>
      <tp t="s">
        <v>#N/A N/A</v>
        <stp/>
        <stp>BDP|2900983334993599004</stp>
        <tr r="D3637" s="2"/>
      </tp>
      <tp t="s">
        <v>#N/A N/A</v>
        <stp/>
        <stp>BDP|6562975884809586534</stp>
        <tr r="B4383" s="2"/>
      </tp>
      <tp t="s">
        <v>#N/A N/A</v>
        <stp/>
        <stp>BDP|9540759118380891400</stp>
        <tr r="C4187" s="2"/>
      </tp>
      <tp t="s">
        <v>#N/A N/A</v>
        <stp/>
        <stp>BDP|8369214172236131014</stp>
        <tr r="H27" s="2"/>
      </tp>
      <tp t="s">
        <v>#N/A N/A</v>
        <stp/>
        <stp>BDP|7327905322390706763</stp>
        <tr r="A3912" s="2"/>
      </tp>
      <tp t="s">
        <v>#N/A N/A</v>
        <stp/>
        <stp>BDP|8564516366546454666</stp>
        <tr r="I3198" s="2"/>
      </tp>
      <tp t="s">
        <v>#N/A N/A</v>
        <stp/>
        <stp>BDP|5485358454759785129</stp>
        <tr r="D3103" s="2"/>
      </tp>
      <tp t="s">
        <v>#N/A N/A</v>
        <stp/>
        <stp>BDP|5953553799711446313</stp>
        <tr r="B3571" s="2"/>
      </tp>
      <tp t="s">
        <v>#N/A N/A</v>
        <stp/>
        <stp>BDP|1201946993089258375</stp>
        <tr r="G1561" s="2"/>
      </tp>
      <tp t="s">
        <v>#N/A N/A</v>
        <stp/>
        <stp>BDP|4473978707755151344</stp>
        <tr r="B2648" s="2"/>
      </tp>
      <tp t="s">
        <v>#N/A N/A</v>
        <stp/>
        <stp>BDP|2288044297038228827</stp>
        <tr r="B3365" s="2"/>
      </tp>
      <tp t="s">
        <v>#N/A N/A</v>
        <stp/>
        <stp>BDP|7091412708488022084</stp>
        <tr r="F3190" s="2"/>
      </tp>
      <tp t="s">
        <v>#N/A N/A</v>
        <stp/>
        <stp>BDP|8921352983751882966</stp>
        <tr r="C3802" s="2"/>
      </tp>
      <tp t="s">
        <v>#N/A N/A</v>
        <stp/>
        <stp>BDP|9618678360711971390</stp>
        <tr r="F2347" s="2"/>
      </tp>
      <tp t="s">
        <v>#N/A N/A</v>
        <stp/>
        <stp>BDP|7333732311429786375</stp>
        <tr r="H481" s="2"/>
      </tp>
      <tp t="s">
        <v>#N/A N/A</v>
        <stp/>
        <stp>BDP|9572669771321142221</stp>
        <tr r="D3703" s="2"/>
      </tp>
      <tp t="s">
        <v>#N/A N/A</v>
        <stp/>
        <stp>BDP|5286875902923250549</stp>
        <tr r="D4486" s="2"/>
      </tp>
      <tp t="s">
        <v>#N/A N/A</v>
        <stp/>
        <stp>BDP|3759499407009166592</stp>
        <tr r="A2345" s="2"/>
      </tp>
      <tp t="s">
        <v>#N/A N/A</v>
        <stp/>
        <stp>BDP|6002675037128982087</stp>
        <tr r="D3156" s="2"/>
      </tp>
      <tp t="s">
        <v>#N/A N/A</v>
        <stp/>
        <stp>BDP|1241625328466878819</stp>
        <tr r="F4320" s="2"/>
      </tp>
      <tp t="s">
        <v>#N/A N/A</v>
        <stp/>
        <stp>BDP|9407531515383197520</stp>
        <tr r="A4330" s="2"/>
      </tp>
      <tp t="s">
        <v>#N/A N/A</v>
        <stp/>
        <stp>BDP|4121066695983076531</stp>
        <tr r="G2503" s="2"/>
      </tp>
      <tp t="s">
        <v>#N/A N/A</v>
        <stp/>
        <stp>BDP|8925540351843919040</stp>
        <tr r="A4239" s="2"/>
      </tp>
      <tp t="s">
        <v>#N/A N/A</v>
        <stp/>
        <stp>BDP|2394037064529267677</stp>
        <tr r="D3433" s="2"/>
      </tp>
      <tp t="s">
        <v>#N/A N/A</v>
        <stp/>
        <stp>BDP|9464917971339192541</stp>
        <tr r="I3865" s="2"/>
      </tp>
      <tp t="s">
        <v>#N/A N/A</v>
        <stp/>
        <stp>BDP|3661863904932573201</stp>
        <tr r="H1727" s="2"/>
      </tp>
      <tp t="s">
        <v>#N/A N/A</v>
        <stp/>
        <stp>BDP|2718944513027466659</stp>
        <tr r="C1381" s="2"/>
      </tp>
      <tp t="s">
        <v>#N/A N/A</v>
        <stp/>
        <stp>BDP|9877550869389693830</stp>
        <tr r="A1998" s="2"/>
      </tp>
      <tp t="s">
        <v>#N/A N/A</v>
        <stp/>
        <stp>BDP|7635002082821056551</stp>
        <tr r="G3957" s="2"/>
      </tp>
      <tp t="s">
        <v>#N/A N/A</v>
        <stp/>
        <stp>BDP|9517001630476787731</stp>
        <tr r="A2438" s="2"/>
      </tp>
      <tp t="s">
        <v>#N/A N/A</v>
        <stp/>
        <stp>BDP|4060834312211345738</stp>
        <tr r="I3869" s="2"/>
      </tp>
      <tp t="s">
        <v>#N/A N/A</v>
        <stp/>
        <stp>BDP|9034082868942549640</stp>
        <tr r="G1374" s="2"/>
      </tp>
      <tp t="s">
        <v>#N/A N/A</v>
        <stp/>
        <stp>BDP|1356863656774349319</stp>
        <tr r="D4582" s="2"/>
      </tp>
      <tp t="s">
        <v>#N/A N/A</v>
        <stp/>
        <stp>BDP|8629082629875006464</stp>
        <tr r="I4423" s="2"/>
      </tp>
      <tp t="s">
        <v>#N/A N/A</v>
        <stp/>
        <stp>BDP|3559194194044844419</stp>
        <tr r="D1321" s="2"/>
      </tp>
      <tp t="s">
        <v>#N/A N/A</v>
        <stp/>
        <stp>BDP|4145681586903988278</stp>
        <tr r="F2608" s="2"/>
      </tp>
      <tp t="s">
        <v>#N/A N/A</v>
        <stp/>
        <stp>BDP|6890753819359207275</stp>
        <tr r="F3776" s="2"/>
      </tp>
      <tp t="s">
        <v>#N/A N/A</v>
        <stp/>
        <stp>BDP|3142905390670687860</stp>
        <tr r="F248" s="2"/>
      </tp>
      <tp t="s">
        <v>#N/A N/A</v>
        <stp/>
        <stp>BDP|8579047695749585300</stp>
        <tr r="F1429" s="2"/>
      </tp>
      <tp t="s">
        <v>#N/A N/A</v>
        <stp/>
        <stp>BDP|7974821207750586487</stp>
        <tr r="A3556" s="2"/>
      </tp>
      <tp t="s">
        <v>#N/A N/A</v>
        <stp/>
        <stp>BDP|2924385798505854609</stp>
        <tr r="F3949" s="2"/>
      </tp>
      <tp t="s">
        <v>#N/A N/A</v>
        <stp/>
        <stp>BDP|6683206491377471124</stp>
        <tr r="I268" s="2"/>
      </tp>
      <tp t="s">
        <v>#N/A N/A</v>
        <stp/>
        <stp>BDP|7774007424969124735</stp>
        <tr r="C951" s="2"/>
      </tp>
      <tp t="s">
        <v>#N/A N/A</v>
        <stp/>
        <stp>BDP|9712142020034148539</stp>
        <tr r="A179" s="2"/>
      </tp>
      <tp t="s">
        <v>#N/A N/A</v>
        <stp/>
        <stp>BDP|5957936704705844271</stp>
        <tr r="F1665" s="2"/>
      </tp>
      <tp t="s">
        <v>#N/A N/A</v>
        <stp/>
        <stp>BDP|3379285800748338297</stp>
        <tr r="B1297" s="2"/>
      </tp>
      <tp t="s">
        <v>#N/A N/A</v>
        <stp/>
        <stp>BDP|3875520084024918167</stp>
        <tr r="F1993" s="2"/>
      </tp>
      <tp t="s">
        <v>#N/A N/A</v>
        <stp/>
        <stp>BDP|1575861635397761602</stp>
        <tr r="F3757" s="2"/>
      </tp>
      <tp t="s">
        <v>#N/A N/A</v>
        <stp/>
        <stp>BDP|8535169033481681076</stp>
        <tr r="B1175" s="2"/>
      </tp>
      <tp t="s">
        <v>#N/A N/A</v>
        <stp/>
        <stp>BDP|2677228266029369409</stp>
        <tr r="G2167" s="2"/>
      </tp>
      <tp t="s">
        <v>#N/A N/A</v>
        <stp/>
        <stp>BDP|8654620859032840241</stp>
        <tr r="H831" s="2"/>
      </tp>
      <tp t="s">
        <v>#N/A N/A</v>
        <stp/>
        <stp>BDP|5925045884740121692</stp>
        <tr r="I3632" s="2"/>
      </tp>
      <tp t="s">
        <v>#N/A N/A</v>
        <stp/>
        <stp>BDP|4620807206655180208</stp>
        <tr r="I3048" s="2"/>
      </tp>
      <tp t="s">
        <v>#N/A N/A</v>
        <stp/>
        <stp>BDP|9962036998348603350</stp>
        <tr r="G2046" s="2"/>
      </tp>
      <tp t="s">
        <v>#N/A N/A</v>
        <stp/>
        <stp>BDP|3904055081086964650</stp>
        <tr r="H1370" s="2"/>
      </tp>
      <tp t="s">
        <v>#N/A N/A</v>
        <stp/>
        <stp>BDP|7259227025064406801</stp>
        <tr r="G1232" s="2"/>
      </tp>
      <tp t="s">
        <v>#N/A N/A</v>
        <stp/>
        <stp>BDP|6947355243588636284</stp>
        <tr r="H2060" s="2"/>
      </tp>
      <tp t="s">
        <v>#N/A N/A</v>
        <stp/>
        <stp>BDP|7574241358653834801</stp>
        <tr r="A4398" s="2"/>
      </tp>
      <tp t="s">
        <v>#N/A N/A</v>
        <stp/>
        <stp>BDP|9604427723131656501</stp>
        <tr r="H2563" s="2"/>
      </tp>
      <tp t="s">
        <v>#N/A N/A</v>
        <stp/>
        <stp>BDP|9464917048658556790</stp>
        <tr r="H3085" s="2"/>
      </tp>
      <tp t="s">
        <v>#N/A N/A</v>
        <stp/>
        <stp>BDP|8201792654139714890</stp>
        <tr r="I1093" s="2"/>
      </tp>
      <tp t="s">
        <v>#N/A N/A</v>
        <stp/>
        <stp>BDP|2132878034935744743</stp>
        <tr r="F1790" s="2"/>
      </tp>
      <tp t="s">
        <v>#N/A N/A</v>
        <stp/>
        <stp>BDP|3170988076967951176</stp>
        <tr r="C4197" s="2"/>
      </tp>
      <tp t="s">
        <v>#N/A N/A</v>
        <stp/>
        <stp>BDP|1225902126003254270</stp>
        <tr r="A3389" s="2"/>
      </tp>
      <tp t="s">
        <v>#N/A N/A</v>
        <stp/>
        <stp>BDP|3708091877277055883</stp>
        <tr r="A1355" s="2"/>
      </tp>
      <tp t="s">
        <v>#N/A N/A</v>
        <stp/>
        <stp>BDP|7071592780338919912</stp>
        <tr r="D1389" s="2"/>
      </tp>
      <tp t="s">
        <v>#N/A N/A</v>
        <stp/>
        <stp>BDP|8668696730222800467</stp>
        <tr r="F4298" s="2"/>
      </tp>
      <tp t="s">
        <v>#N/A N/A</v>
        <stp/>
        <stp>BDP|2978082089253813213</stp>
        <tr r="H4052" s="2"/>
      </tp>
      <tp t="s">
        <v>#N/A N/A</v>
        <stp/>
        <stp>BDP|2559342054209110651</stp>
        <tr r="H2081" s="2"/>
      </tp>
      <tp t="s">
        <v>#N/A N/A</v>
        <stp/>
        <stp>BDP|5958136529259272403</stp>
        <tr r="F3592" s="2"/>
      </tp>
      <tp t="s">
        <v>#N/A N/A</v>
        <stp/>
        <stp>BDP|1719823524279560953</stp>
        <tr r="A1988" s="2"/>
      </tp>
      <tp t="s">
        <v>#N/A N/A</v>
        <stp/>
        <stp>BDP|5674964319572935411</stp>
        <tr r="A4785" s="2"/>
      </tp>
      <tp t="s">
        <v>#N/A N/A</v>
        <stp/>
        <stp>BDP|9603281459224733114</stp>
        <tr r="D735" s="2"/>
      </tp>
      <tp t="s">
        <v>#N/A N/A</v>
        <stp/>
        <stp>BDP|4797484286807142495</stp>
        <tr r="H3107" s="2"/>
      </tp>
      <tp t="s">
        <v>#N/A N/A</v>
        <stp/>
        <stp>BDP|2116703496207000064</stp>
        <tr r="A727" s="2"/>
      </tp>
      <tp t="s">
        <v>#N/A N/A</v>
        <stp/>
        <stp>BDP|4779875326413069674</stp>
        <tr r="I717" s="2"/>
      </tp>
      <tp t="s">
        <v>#N/A N/A</v>
        <stp/>
        <stp>BDP|4556419440986347965</stp>
        <tr r="C363" s="2"/>
      </tp>
      <tp t="s">
        <v>#N/A N/A</v>
        <stp/>
        <stp>BDP|4525075287517008046</stp>
        <tr r="B335" s="2"/>
      </tp>
      <tp t="s">
        <v>#N/A N/A</v>
        <stp/>
        <stp>BDP|2940044900539530092</stp>
        <tr r="I526" s="2"/>
      </tp>
      <tp t="s">
        <v>#N/A N/A</v>
        <stp/>
        <stp>BDP|1064290779376230931</stp>
        <tr r="I4737" s="2"/>
      </tp>
      <tp t="s">
        <v>#N/A N/A</v>
        <stp/>
        <stp>BDP|4176733769158902632</stp>
        <tr r="G4542" s="2"/>
      </tp>
      <tp t="s">
        <v>#N/A N/A</v>
        <stp/>
        <stp>BDP|5660812505066545067</stp>
        <tr r="B367" s="2"/>
      </tp>
      <tp t="s">
        <v>#N/A N/A</v>
        <stp/>
        <stp>BDP|5154611186570365040</stp>
        <tr r="C677" s="2"/>
      </tp>
      <tp t="s">
        <v>#N/A N/A</v>
        <stp/>
        <stp>BDP|6952498750548362429</stp>
        <tr r="H2683" s="2"/>
      </tp>
      <tp t="s">
        <v>#N/A N/A</v>
        <stp/>
        <stp>BDP|2791906351794396146</stp>
        <tr r="I2887" s="2"/>
      </tp>
      <tp t="s">
        <v>#N/A N/A</v>
        <stp/>
        <stp>BDP|2305892588491392808</stp>
        <tr r="I4286" s="2"/>
      </tp>
      <tp t="s">
        <v>#N/A N/A</v>
        <stp/>
        <stp>BDP|1347847232792209362</stp>
        <tr r="I3102" s="2"/>
      </tp>
      <tp t="s">
        <v>#N/A N/A</v>
        <stp/>
        <stp>BDP|8724970042618760644</stp>
        <tr r="H1329" s="2"/>
      </tp>
      <tp t="s">
        <v>#N/A N/A</v>
        <stp/>
        <stp>BDP|3733771592437002130</stp>
        <tr r="H1645" s="2"/>
      </tp>
      <tp t="s">
        <v>#N/A N/A</v>
        <stp/>
        <stp>BDP|9348970795775715774</stp>
        <tr r="H106" s="2"/>
      </tp>
      <tp t="s">
        <v>#N/A N/A</v>
        <stp/>
        <stp>BDP|1098437693891968686</stp>
        <tr r="C3927" s="2"/>
      </tp>
      <tp t="s">
        <v>#N/A N/A</v>
        <stp/>
        <stp>BDP|8249573459607407497</stp>
        <tr r="G31" s="2"/>
      </tp>
      <tp t="s">
        <v>#N/A N/A</v>
        <stp/>
        <stp>BDP|2480331584394439610</stp>
        <tr r="D2375" s="2"/>
      </tp>
      <tp t="s">
        <v>#N/A N/A</v>
        <stp/>
        <stp>BDP|4270152290504307329</stp>
        <tr r="I4487" s="2"/>
      </tp>
      <tp t="s">
        <v>#N/A N/A</v>
        <stp/>
        <stp>BDP|7536552981181302049</stp>
        <tr r="D1445" s="2"/>
      </tp>
      <tp t="s">
        <v>#N/A N/A</v>
        <stp/>
        <stp>BDP|7038118976938135208</stp>
        <tr r="G3232" s="2"/>
      </tp>
      <tp t="s">
        <v>#N/A N/A</v>
        <stp/>
        <stp>BDP|1146095772814555994</stp>
        <tr r="H2537" s="2"/>
      </tp>
      <tp t="s">
        <v>#N/A N/A</v>
        <stp/>
        <stp>BDP|3400193060896367985</stp>
        <tr r="A3969" s="2"/>
      </tp>
      <tp t="s">
        <v>#N/A N/A</v>
        <stp/>
        <stp>BDP|6491666463048349543</stp>
        <tr r="D2123" s="2"/>
      </tp>
      <tp t="s">
        <v>#N/A N/A</v>
        <stp/>
        <stp>BDP|2681134201041477960</stp>
        <tr r="H1602" s="2"/>
      </tp>
      <tp t="s">
        <v>#N/A N/A</v>
        <stp/>
        <stp>BDP|8693053324859187801</stp>
        <tr r="B4826" s="2"/>
      </tp>
      <tp t="s">
        <v>#N/A N/A</v>
        <stp/>
        <stp>BDP|4904436142308689786</stp>
        <tr r="D1872" s="2"/>
      </tp>
      <tp t="s">
        <v>#N/A N/A</v>
        <stp/>
        <stp>BDP|1119364657474387852</stp>
        <tr r="C698" s="2"/>
      </tp>
      <tp t="s">
        <v>#N/A N/A</v>
        <stp/>
        <stp>BDP|5783614750365558851</stp>
        <tr r="I1216" s="2"/>
      </tp>
      <tp t="s">
        <v>#N/A N/A</v>
        <stp/>
        <stp>BDP|3090744847029431215</stp>
        <tr r="B732" s="2"/>
      </tp>
      <tp t="s">
        <v>#N/A N/A</v>
        <stp/>
        <stp>BDP|1622944352132597434</stp>
        <tr r="G3570" s="2"/>
      </tp>
      <tp t="s">
        <v>#N/A N/A</v>
        <stp/>
        <stp>BDP|4060083398061585737</stp>
        <tr r="D2167" s="2"/>
      </tp>
      <tp t="s">
        <v>#N/A N/A</v>
        <stp/>
        <stp>BDP|2768110575778734728</stp>
        <tr r="G456" s="2"/>
      </tp>
      <tp t="s">
        <v>#N/A N/A</v>
        <stp/>
        <stp>BDP|5733467913349680225</stp>
        <tr r="H507" s="2"/>
      </tp>
      <tp t="s">
        <v>#N/A N/A</v>
        <stp/>
        <stp>BDP|8109426660847452611</stp>
        <tr r="A3894" s="2"/>
      </tp>
      <tp t="s">
        <v>#N/A N/A</v>
        <stp/>
        <stp>BDP|4037545770534209909</stp>
        <tr r="A421" s="2"/>
      </tp>
      <tp t="s">
        <v>#N/A N/A</v>
        <stp/>
        <stp>BDP|6002840222961810685</stp>
        <tr r="C4780" s="2"/>
      </tp>
      <tp t="s">
        <v>#N/A N/A</v>
        <stp/>
        <stp>BDP|1705419684270706636</stp>
        <tr r="H326" s="2"/>
      </tp>
      <tp t="s">
        <v>#N/A N/A</v>
        <stp/>
        <stp>BDP|5286455095075613621</stp>
        <tr r="B1015" s="2"/>
      </tp>
      <tp t="s">
        <v>#N/A N/A</v>
        <stp/>
        <stp>BDP|2396207850169227770</stp>
        <tr r="B4665" s="2"/>
      </tp>
      <tp t="s">
        <v>#N/A N/A</v>
        <stp/>
        <stp>BDP|1209109441277421814</stp>
        <tr r="A2521" s="2"/>
      </tp>
      <tp t="s">
        <v>#N/A N/A</v>
        <stp/>
        <stp>BDP|3293747632898538479</stp>
        <tr r="F4519" s="2"/>
      </tp>
      <tp t="s">
        <v>#N/A N/A</v>
        <stp/>
        <stp>BDP|1550286922878958202</stp>
        <tr r="C2458" s="2"/>
      </tp>
      <tp t="s">
        <v>#N/A N/A</v>
        <stp/>
        <stp>BDP|6992297257042626870</stp>
        <tr r="C1464" s="2"/>
      </tp>
      <tp t="s">
        <v>#N/A N/A</v>
        <stp/>
        <stp>BDP|8387136784808622248</stp>
        <tr r="I1320" s="2"/>
      </tp>
      <tp t="s">
        <v>#N/A N/A</v>
        <stp/>
        <stp>BDP|8574175623829002976</stp>
        <tr r="B2309" s="2"/>
      </tp>
      <tp t="s">
        <v>#N/A N/A</v>
        <stp/>
        <stp>BDP|4171103875909454064</stp>
        <tr r="G3751" s="2"/>
      </tp>
      <tp t="s">
        <v>#N/A N/A</v>
        <stp/>
        <stp>BDP|5639209010014741972</stp>
        <tr r="A1704" s="2"/>
      </tp>
      <tp t="s">
        <v>#N/A N/A</v>
        <stp/>
        <stp>BDP|9268552544024389763</stp>
        <tr r="I2543" s="2"/>
      </tp>
      <tp t="s">
        <v>#N/A N/A</v>
        <stp/>
        <stp>BDP|5555512387885399669</stp>
        <tr r="D418" s="2"/>
      </tp>
      <tp t="s">
        <v>#N/A N/A</v>
        <stp/>
        <stp>BDP|1854842394409947278</stp>
        <tr r="F2988" s="2"/>
      </tp>
      <tp t="s">
        <v>#N/A N/A</v>
        <stp/>
        <stp>BDP|8142054063854624175</stp>
        <tr r="A909" s="2"/>
      </tp>
      <tp t="s">
        <v>#N/A N/A</v>
        <stp/>
        <stp>BDP|3184263525100724836</stp>
        <tr r="D4620" s="2"/>
      </tp>
      <tp t="s">
        <v>#N/A N/A</v>
        <stp/>
        <stp>BDP|6642160557811300822</stp>
        <tr r="G3618" s="2"/>
      </tp>
      <tp t="s">
        <v>#N/A N/A</v>
        <stp/>
        <stp>BDP|6300867723005190210</stp>
        <tr r="F3400" s="2"/>
      </tp>
      <tp t="s">
        <v>#N/A N/A</v>
        <stp/>
        <stp>BDP|8539427361777343639</stp>
        <tr r="H910" s="2"/>
      </tp>
      <tp t="s">
        <v>#N/A N/A</v>
        <stp/>
        <stp>BDP|8270397765100973617</stp>
        <tr r="D1002" s="2"/>
      </tp>
      <tp t="s">
        <v>#N/A N/A</v>
        <stp/>
        <stp>BDP|2022871141634657161</stp>
        <tr r="D683" s="2"/>
      </tp>
      <tp t="s">
        <v>#N/A N/A</v>
        <stp/>
        <stp>BDP|5657356277293540974</stp>
        <tr r="C2916" s="2"/>
      </tp>
      <tp t="s">
        <v>#N/A N/A</v>
        <stp/>
        <stp>BDP|3648463005168167421</stp>
        <tr r="D1712" s="2"/>
      </tp>
      <tp t="s">
        <v>#N/A N/A</v>
        <stp/>
        <stp>BDP|8478651873177025545</stp>
        <tr r="I860" s="2"/>
      </tp>
      <tp t="s">
        <v>#N/A N/A</v>
        <stp/>
        <stp>BDP|5039851343554533654</stp>
        <tr r="H737" s="2"/>
      </tp>
      <tp t="s">
        <v>#N/A N/A</v>
        <stp/>
        <stp>BDP|8481777946421327109</stp>
        <tr r="G323" s="2"/>
      </tp>
      <tp t="s">
        <v>#N/A N/A</v>
        <stp/>
        <stp>BDP|3293843123036328408</stp>
        <tr r="F894" s="2"/>
      </tp>
      <tp t="s">
        <v>#N/A N/A</v>
        <stp/>
        <stp>BDP|1102482004556972823</stp>
        <tr r="I164" s="2"/>
      </tp>
      <tp t="s">
        <v>#N/A N/A</v>
        <stp/>
        <stp>BDP|6655797940738049692</stp>
        <tr r="D4087" s="2"/>
      </tp>
      <tp t="s">
        <v>#N/A N/A</v>
        <stp/>
        <stp>BDP|4075144183344410252</stp>
        <tr r="A4244" s="2"/>
      </tp>
      <tp t="s">
        <v>#N/A N/A</v>
        <stp/>
        <stp>BDP|1390350399370016099</stp>
        <tr r="C3805" s="2"/>
      </tp>
      <tp t="s">
        <v>#N/A N/A</v>
        <stp/>
        <stp>BDP|8233184584163912915</stp>
        <tr r="G4970" s="2"/>
      </tp>
      <tp t="s">
        <v>#N/A N/A</v>
        <stp/>
        <stp>BDP|6580218686822627528</stp>
        <tr r="F4868" s="2"/>
      </tp>
      <tp t="s">
        <v>#N/A N/A</v>
        <stp/>
        <stp>BDP|8642031327446606723</stp>
        <tr r="F4561" s="2"/>
      </tp>
      <tp t="s">
        <v>#N/A N/A</v>
        <stp/>
        <stp>BDP|3689611481050624669</stp>
        <tr r="A4363" s="2"/>
      </tp>
      <tp t="s">
        <v>#N/A N/A</v>
        <stp/>
        <stp>BDP|9175392037786850415</stp>
        <tr r="D4676" s="2"/>
      </tp>
      <tp t="s">
        <v>#N/A N/A</v>
        <stp/>
        <stp>BDP|8321240376743626512</stp>
        <tr r="F3590" s="2"/>
      </tp>
      <tp t="s">
        <v>#N/A N/A</v>
        <stp/>
        <stp>BDP|9795743115043070708</stp>
        <tr r="I1512" s="2"/>
      </tp>
      <tp t="s">
        <v>#N/A N/A</v>
        <stp/>
        <stp>BDP|5539326521249557657</stp>
        <tr r="H1371" s="2"/>
      </tp>
      <tp t="s">
        <v>#N/A N/A</v>
        <stp/>
        <stp>BDP|9688479837951190415</stp>
        <tr r="A2378" s="2"/>
      </tp>
      <tp t="s">
        <v>#N/A N/A</v>
        <stp/>
        <stp>BDP|6879618987302897101</stp>
        <tr r="F4969" s="2"/>
      </tp>
      <tp t="s">
        <v>#N/A N/A</v>
        <stp/>
        <stp>BDP|8564104892582905980</stp>
        <tr r="C4576" s="2"/>
      </tp>
      <tp t="s">
        <v>#N/A N/A</v>
        <stp/>
        <stp>BDP|8003242502635407443</stp>
        <tr r="B1222" s="2"/>
      </tp>
      <tp t="s">
        <v>#N/A N/A</v>
        <stp/>
        <stp>BDP|6159537531499276276</stp>
        <tr r="G1448" s="2"/>
      </tp>
      <tp t="s">
        <v>#N/A N/A</v>
        <stp/>
        <stp>BDP|1176452992380329733</stp>
        <tr r="D2449" s="2"/>
      </tp>
      <tp t="s">
        <v>#N/A N/A</v>
        <stp/>
        <stp>BDP|6443898610592885636</stp>
        <tr r="F2192" s="2"/>
      </tp>
      <tp t="s">
        <v>#N/A N/A</v>
        <stp/>
        <stp>BDP|1835485323914202879</stp>
        <tr r="C2103" s="2"/>
      </tp>
      <tp t="s">
        <v>#N/A N/A</v>
        <stp/>
        <stp>BDP|6327233690234274242</stp>
        <tr r="B3086" s="2"/>
      </tp>
      <tp t="s">
        <v>#N/A N/A</v>
        <stp/>
        <stp>BDP|8555650568326994579</stp>
        <tr r="G2750" s="2"/>
      </tp>
      <tp t="s">
        <v>#N/A N/A</v>
        <stp/>
        <stp>BDP|6110155121567420975</stp>
        <tr r="H4686" s="2"/>
      </tp>
      <tp t="s">
        <v>#N/A N/A</v>
        <stp/>
        <stp>BDP|1059964531697227733</stp>
        <tr r="B552" s="2"/>
      </tp>
      <tp t="s">
        <v>#N/A N/A</v>
        <stp/>
        <stp>BDP|1963824908051655331</stp>
        <tr r="A329" s="2"/>
      </tp>
      <tp t="s">
        <v>#N/A N/A</v>
        <stp/>
        <stp>BDP|5453616360548391616</stp>
        <tr r="C3676" s="2"/>
      </tp>
      <tp t="s">
        <v>#N/A N/A</v>
        <stp/>
        <stp>BDP|7419344997706780073</stp>
        <tr r="F2087" s="2"/>
      </tp>
      <tp t="s">
        <v>#N/A N/A</v>
        <stp/>
        <stp>BDP|2089067703899199037</stp>
        <tr r="H1023" s="2"/>
      </tp>
      <tp t="s">
        <v>#N/A N/A</v>
        <stp/>
        <stp>BDP|7649357593456061078</stp>
        <tr r="G4646" s="2"/>
      </tp>
      <tp t="s">
        <v>#N/A N/A</v>
        <stp/>
        <stp>BDP|2836097392541788130</stp>
        <tr r="H2466" s="2"/>
      </tp>
      <tp t="s">
        <v>#N/A N/A</v>
        <stp/>
        <stp>BDP|9705580859221688372</stp>
        <tr r="C369" s="2"/>
      </tp>
      <tp t="s">
        <v>#N/A N/A</v>
        <stp/>
        <stp>BDP|8963138377130343593</stp>
        <tr r="D3919" s="2"/>
      </tp>
      <tp t="s">
        <v>#N/A N/A</v>
        <stp/>
        <stp>BDP|2813021690965923540</stp>
        <tr r="D3295" s="2"/>
      </tp>
      <tp t="s">
        <v>#N/A N/A</v>
        <stp/>
        <stp>BDP|9211963281143717059</stp>
        <tr r="H504" s="2"/>
      </tp>
      <tp t="s">
        <v>#N/A N/A</v>
        <stp/>
        <stp>BDP|3235879024301278345</stp>
        <tr r="F1758" s="2"/>
      </tp>
      <tp t="s">
        <v>#N/A N/A</v>
        <stp/>
        <stp>BDP|7288532294363661344</stp>
        <tr r="C2098" s="2"/>
      </tp>
      <tp t="s">
        <v>#N/A N/A</v>
        <stp/>
        <stp>BDP|8600535742626103419</stp>
        <tr r="F68" s="2"/>
      </tp>
      <tp t="s">
        <v>#N/A N/A</v>
        <stp/>
        <stp>BDP|1458431842923582978</stp>
        <tr r="C2625" s="2"/>
      </tp>
      <tp t="s">
        <v>#N/A N/A</v>
        <stp/>
        <stp>BDP|5848666075387582894</stp>
        <tr r="A566" s="2"/>
      </tp>
      <tp t="s">
        <v>#N/A N/A</v>
        <stp/>
        <stp>BDP|8116357437645044649</stp>
        <tr r="G2997" s="2"/>
      </tp>
      <tp t="s">
        <v>#N/A N/A</v>
        <stp/>
        <stp>BDP|4827899707383806495</stp>
        <tr r="F3174" s="2"/>
      </tp>
      <tp t="s">
        <v>#N/A N/A</v>
        <stp/>
        <stp>BDP|5881141153792147897</stp>
        <tr r="H984" s="2"/>
      </tp>
      <tp t="s">
        <v>#N/A N/A</v>
        <stp/>
        <stp>BDP|3553011294130284151</stp>
        <tr r="I976" s="2"/>
      </tp>
      <tp t="s">
        <v>#N/A N/A</v>
        <stp/>
        <stp>BDP|8999233155393816704</stp>
        <tr r="H4893" s="2"/>
      </tp>
      <tp t="s">
        <v>#N/A N/A</v>
        <stp/>
        <stp>BDP|5398943509145179280</stp>
        <tr r="H360" s="2"/>
      </tp>
      <tp t="s">
        <v>#N/A N/A</v>
        <stp/>
        <stp>BDP|2183809201926322746</stp>
        <tr r="C128" s="2"/>
      </tp>
      <tp t="s">
        <v>#N/A N/A</v>
        <stp/>
        <stp>BDP|2086766053768022327</stp>
        <tr r="H3149" s="2"/>
      </tp>
      <tp t="s">
        <v>#N/A N/A</v>
        <stp/>
        <stp>BDP|8416259061110135766</stp>
        <tr r="D1152" s="2"/>
      </tp>
      <tp t="s">
        <v>#N/A N/A</v>
        <stp/>
        <stp>BDP|8249110733641277059</stp>
        <tr r="D3653" s="2"/>
      </tp>
      <tp t="s">
        <v>#N/A N/A</v>
        <stp/>
        <stp>BDP|8215792427833319586</stp>
        <tr r="G1297" s="2"/>
      </tp>
      <tp t="s">
        <v>#N/A N/A</v>
        <stp/>
        <stp>BDP|9233057563944345006</stp>
        <tr r="D1668" s="2"/>
      </tp>
      <tp t="s">
        <v>#N/A N/A</v>
        <stp/>
        <stp>BDP|3825897535127532468</stp>
        <tr r="G2793" s="2"/>
      </tp>
      <tp t="s">
        <v>#N/A N/A</v>
        <stp/>
        <stp>BDP|1221054123918030033</stp>
        <tr r="A626" s="2"/>
      </tp>
      <tp t="s">
        <v>#N/A N/A</v>
        <stp/>
        <stp>BDP|5343149591110163604</stp>
        <tr r="I249" s="2"/>
      </tp>
      <tp t="s">
        <v>#N/A N/A</v>
        <stp/>
        <stp>BDP|9236633959805748482</stp>
        <tr r="D682" s="2"/>
      </tp>
      <tp t="s">
        <v>#N/A N/A</v>
        <stp/>
        <stp>BDP|2228844823253726058</stp>
        <tr r="A1989" s="2"/>
      </tp>
      <tp t="s">
        <v>#N/A N/A</v>
        <stp/>
        <stp>BDP|5860623015070929919</stp>
        <tr r="B2779" s="2"/>
      </tp>
      <tp t="s">
        <v>#N/A N/A</v>
        <stp/>
        <stp>BDP|5363139802059481619</stp>
        <tr r="A4612" s="2"/>
      </tp>
      <tp t="s">
        <v>#N/A N/A</v>
        <stp/>
        <stp>BDP|3866490241350304844</stp>
        <tr r="I476" s="2"/>
      </tp>
      <tp t="s">
        <v>#N/A N/A</v>
        <stp/>
        <stp>BDP|8728066032482000241</stp>
        <tr r="I58" s="2"/>
      </tp>
      <tp t="s">
        <v>#N/A N/A</v>
        <stp/>
        <stp>BDP|2133118401729399154</stp>
        <tr r="I4253" s="2"/>
      </tp>
      <tp t="s">
        <v>#N/A N/A</v>
        <stp/>
        <stp>BDP|9989939177125294988</stp>
        <tr r="D3266" s="2"/>
      </tp>
      <tp t="s">
        <v>#N/A N/A</v>
        <stp/>
        <stp>BDP|4825844628492373704</stp>
        <tr r="I2565" s="2"/>
      </tp>
      <tp t="s">
        <v>#N/A N/A</v>
        <stp/>
        <stp>BDP|8465092969212267711</stp>
        <tr r="I3200" s="2"/>
      </tp>
      <tp t="s">
        <v>#N/A N/A</v>
        <stp/>
        <stp>BDP|5152761456664735811</stp>
        <tr r="H1771" s="2"/>
      </tp>
      <tp t="s">
        <v>#N/A N/A</v>
        <stp/>
        <stp>BDP|3340574817684013847</stp>
        <tr r="I4002" s="2"/>
      </tp>
      <tp t="s">
        <v>#N/A N/A</v>
        <stp/>
        <stp>BDP|6192429393341668115</stp>
        <tr r="H2881" s="2"/>
      </tp>
      <tp t="s">
        <v>#N/A N/A</v>
        <stp/>
        <stp>BDP|3155051289982847229</stp>
        <tr r="C1783" s="2"/>
      </tp>
      <tp t="s">
        <v>#N/A N/A</v>
        <stp/>
        <stp>BDP|7202950562316442564</stp>
        <tr r="C3207" s="2"/>
      </tp>
      <tp t="s">
        <v>#N/A N/A</v>
        <stp/>
        <stp>BDP|1666287202678815035</stp>
        <tr r="B4355" s="2"/>
      </tp>
      <tp t="s">
        <v>#N/A N/A</v>
        <stp/>
        <stp>BDP|7504183836096955855</stp>
        <tr r="A1921" s="2"/>
      </tp>
      <tp t="s">
        <v>#N/A N/A</v>
        <stp/>
        <stp>BDP|9682436519843911424</stp>
        <tr r="A199" s="2"/>
      </tp>
      <tp t="s">
        <v>#N/A N/A</v>
        <stp/>
        <stp>BDP|4507911570720363103</stp>
        <tr r="B70" s="2"/>
      </tp>
      <tp t="s">
        <v>#N/A N/A</v>
        <stp/>
        <stp>BDP|8424453201191312642</stp>
        <tr r="A4171" s="2"/>
      </tp>
      <tp t="s">
        <v>#N/A N/A</v>
        <stp/>
        <stp>BDP|4106480678179278545</stp>
        <tr r="A2918" s="2"/>
      </tp>
      <tp t="s">
        <v>#N/A N/A</v>
        <stp/>
        <stp>BDP|8862087199143858967</stp>
        <tr r="I1025" s="2"/>
      </tp>
      <tp t="s">
        <v>#N/A N/A</v>
        <stp/>
        <stp>BDP|1441421545259646326</stp>
        <tr r="A3454" s="2"/>
      </tp>
      <tp t="s">
        <v>#N/A N/A</v>
        <stp/>
        <stp>BDP|7470398749502460979</stp>
        <tr r="I4075" s="2"/>
      </tp>
      <tp t="s">
        <v>#N/A N/A</v>
        <stp/>
        <stp>BDP|7777586292673222380</stp>
        <tr r="D1564" s="2"/>
      </tp>
      <tp t="s">
        <v>#N/A N/A</v>
        <stp/>
        <stp>BDP|6598989821663954526</stp>
        <tr r="B3360" s="2"/>
      </tp>
      <tp t="s">
        <v>#N/A N/A</v>
        <stp/>
        <stp>BDP|2271950702297627742</stp>
        <tr r="A4282" s="2"/>
      </tp>
      <tp t="s">
        <v>#N/A N/A</v>
        <stp/>
        <stp>BDP|5072268442490787846</stp>
        <tr r="H4481" s="2"/>
      </tp>
      <tp t="s">
        <v>#N/A N/A</v>
        <stp/>
        <stp>BDP|2327455987230648505</stp>
        <tr r="F184" s="2"/>
      </tp>
      <tp t="s">
        <v>#N/A N/A</v>
        <stp/>
        <stp>BDP|5544300356070123852</stp>
        <tr r="B2312" s="2"/>
      </tp>
      <tp t="s">
        <v>#N/A N/A</v>
        <stp/>
        <stp>BDP|4462831389118806711</stp>
        <tr r="D2406" s="2"/>
      </tp>
      <tp t="s">
        <v>#N/A N/A</v>
        <stp/>
        <stp>BDP|3456005391600205101</stp>
        <tr r="I3747" s="2"/>
      </tp>
      <tp t="s">
        <v>#N/A N/A</v>
        <stp/>
        <stp>BDP|9278077157401165645</stp>
        <tr r="C1193" s="2"/>
      </tp>
      <tp t="s">
        <v>#N/A N/A</v>
        <stp/>
        <stp>BDP|6528825835684030255</stp>
        <tr r="B2005" s="2"/>
      </tp>
      <tp t="s">
        <v>#N/A N/A</v>
        <stp/>
        <stp>BDP|9112833493164765713</stp>
        <tr r="C1030" s="2"/>
      </tp>
      <tp t="s">
        <v>#N/A N/A</v>
        <stp/>
        <stp>BDP|6624962900882763608</stp>
        <tr r="G1122" s="2"/>
      </tp>
      <tp t="s">
        <v>#N/A N/A</v>
        <stp/>
        <stp>BDP|8909397046374533041</stp>
        <tr r="H2376" s="2"/>
      </tp>
      <tp t="s">
        <v>#N/A N/A</v>
        <stp/>
        <stp>BDP|9577254660120028676</stp>
        <tr r="I2985" s="2"/>
      </tp>
      <tp t="s">
        <v>#N/A N/A</v>
        <stp/>
        <stp>BDP|1694606078148924335</stp>
        <tr r="I840" s="2"/>
      </tp>
      <tp t="s">
        <v>#N/A N/A</v>
        <stp/>
        <stp>BDP|5469211198986914306</stp>
        <tr r="F294" s="2"/>
      </tp>
      <tp t="s">
        <v>#N/A N/A</v>
        <stp/>
        <stp>BDP|6381723702068221250</stp>
        <tr r="G624" s="2"/>
      </tp>
      <tp t="s">
        <v>#N/A N/A</v>
        <stp/>
        <stp>BDP|8551183256087963069</stp>
        <tr r="H2787" s="2"/>
      </tp>
      <tp t="s">
        <v>#N/A N/A</v>
        <stp/>
        <stp>BDP|4045919931231034445</stp>
        <tr r="F3270" s="2"/>
      </tp>
      <tp t="s">
        <v>#N/A N/A</v>
        <stp/>
        <stp>BDP|3023649800576839885</stp>
        <tr r="G1269" s="2"/>
      </tp>
      <tp t="s">
        <v>#N/A N/A</v>
        <stp/>
        <stp>BDP|9215241165440056679</stp>
        <tr r="I644" s="2"/>
      </tp>
      <tp t="s">
        <v>#N/A N/A</v>
        <stp/>
        <stp>BDP|3886889033970306340</stp>
        <tr r="F2533" s="2"/>
      </tp>
      <tp t="s">
        <v>#N/A N/A</v>
        <stp/>
        <stp>BDP|5861922966295876409</stp>
        <tr r="C3688" s="2"/>
      </tp>
      <tp t="s">
        <v>#N/A N/A</v>
        <stp/>
        <stp>BDP|6384692688560354352</stp>
        <tr r="F4710" s="2"/>
      </tp>
      <tp t="s">
        <v>#N/A N/A</v>
        <stp/>
        <stp>BDP|8686643646017103613</stp>
        <tr r="G2445" s="2"/>
      </tp>
      <tp t="s">
        <v>#N/A N/A</v>
        <stp/>
        <stp>BDP|4213353194223134668</stp>
        <tr r="F4699" s="2"/>
      </tp>
      <tp t="s">
        <v>#N/A N/A</v>
        <stp/>
        <stp>BDP|9302075333183096236</stp>
        <tr r="I3963" s="2"/>
      </tp>
      <tp t="s">
        <v>#N/A N/A</v>
        <stp/>
        <stp>BDP|4420852959243885141</stp>
        <tr r="D2230" s="2"/>
      </tp>
      <tp t="s">
        <v>#N/A N/A</v>
        <stp/>
        <stp>BDP|8687796646105868552</stp>
        <tr r="B2503" s="2"/>
      </tp>
      <tp t="s">
        <v>#N/A N/A</v>
        <stp/>
        <stp>BDP|5140881718837100047</stp>
        <tr r="B4394" s="2"/>
      </tp>
      <tp t="s">
        <v>#N/A N/A</v>
        <stp/>
        <stp>BDP|1194252085833102349</stp>
        <tr r="F4557" s="2"/>
      </tp>
      <tp t="s">
        <v>#N/A N/A</v>
        <stp/>
        <stp>BDP|5894653379159987699</stp>
        <tr r="H2313" s="2"/>
      </tp>
      <tp t="s">
        <v>#N/A N/A</v>
        <stp/>
        <stp>BDP|4754067020328385563</stp>
        <tr r="A3930" s="2"/>
      </tp>
      <tp t="s">
        <v>#N/A N/A</v>
        <stp/>
        <stp>BDP|8277261103920369103</stp>
        <tr r="C1255" s="2"/>
      </tp>
      <tp t="s">
        <v>#N/A N/A</v>
        <stp/>
        <stp>BDP|5943499485312939087</stp>
        <tr r="F2708" s="2"/>
      </tp>
      <tp t="s">
        <v>#N/A N/A</v>
        <stp/>
        <stp>BDP|6238608443858780721</stp>
        <tr r="I443" s="2"/>
      </tp>
      <tp t="s">
        <v>#N/A N/A</v>
        <stp/>
        <stp>BDP|8424987489411859399</stp>
        <tr r="F1295" s="2"/>
      </tp>
      <tp t="s">
        <v>#N/A N/A</v>
        <stp/>
        <stp>BDP|3894998756357666358</stp>
        <tr r="B2523" s="2"/>
      </tp>
      <tp t="s">
        <v>#N/A N/A</v>
        <stp/>
        <stp>BDP|2186499501724980942</stp>
        <tr r="B433" s="2"/>
      </tp>
      <tp t="s">
        <v>#N/A N/A</v>
        <stp/>
        <stp>BDP|4286966276446002766</stp>
        <tr r="G978" s="2"/>
      </tp>
      <tp t="s">
        <v>#N/A N/A</v>
        <stp/>
        <stp>BDP|7075982866465396694</stp>
        <tr r="I1067" s="2"/>
      </tp>
      <tp t="s">
        <v>#N/A N/A</v>
        <stp/>
        <stp>BDP|5892630184356858633</stp>
        <tr r="D1785" s="2"/>
      </tp>
      <tp t="s">
        <v>#N/A N/A</v>
        <stp/>
        <stp>BDP|4689765203030530821</stp>
        <tr r="B3620" s="2"/>
      </tp>
      <tp t="s">
        <v>#N/A N/A</v>
        <stp/>
        <stp>BDP|8440006630844202424</stp>
        <tr r="A3985" s="2"/>
      </tp>
      <tp t="s">
        <v>#N/A N/A</v>
        <stp/>
        <stp>BDP|5296547155668160660</stp>
        <tr r="B4886" s="2"/>
      </tp>
      <tp t="s">
        <v>#N/A N/A</v>
        <stp/>
        <stp>BDP|5824680303300086877</stp>
        <tr r="I494" s="2"/>
      </tp>
      <tp t="s">
        <v>#N/A N/A</v>
        <stp/>
        <stp>BDP|9033466394407481827</stp>
        <tr r="B1844" s="2"/>
      </tp>
      <tp t="s">
        <v>#N/A N/A</v>
        <stp/>
        <stp>BDP|2514949231285132657</stp>
        <tr r="B1125" s="2"/>
      </tp>
      <tp t="s">
        <v>#N/A N/A</v>
        <stp/>
        <stp>BDP|5638027490912120511</stp>
        <tr r="I3302" s="2"/>
      </tp>
      <tp t="s">
        <v>#N/A N/A</v>
        <stp/>
        <stp>BDP|8939892597336596465</stp>
        <tr r="A1563" s="2"/>
      </tp>
      <tp t="s">
        <v>#N/A N/A</v>
        <stp/>
        <stp>BDP|4662416769974938934</stp>
        <tr r="A2132" s="2"/>
      </tp>
      <tp t="s">
        <v>#N/A N/A</v>
        <stp/>
        <stp>BDP|9289249616810305177</stp>
        <tr r="B2200" s="2"/>
      </tp>
      <tp t="s">
        <v>#N/A N/A</v>
        <stp/>
        <stp>BDP|1484850721024014448</stp>
        <tr r="B1481" s="2"/>
      </tp>
      <tp t="s">
        <v>#N/A N/A</v>
        <stp/>
        <stp>BDP|6232641373489238534</stp>
        <tr r="I995" s="2"/>
      </tp>
      <tp t="s">
        <v>#N/A N/A</v>
        <stp/>
        <stp>BDP|5148151314487771937</stp>
        <tr r="D1404" s="2"/>
      </tp>
      <tp t="s">
        <v>#N/A N/A</v>
        <stp/>
        <stp>BDP|5731525620790012911</stp>
        <tr r="I1987" s="2"/>
      </tp>
      <tp t="s">
        <v>#N/A N/A</v>
        <stp/>
        <stp>BDP|7209296238405657816</stp>
        <tr r="F2557" s="2"/>
      </tp>
      <tp t="s">
        <v>#N/A N/A</v>
        <stp/>
        <stp>BDP|8968296029672851152</stp>
        <tr r="H887" s="2"/>
      </tp>
      <tp t="s">
        <v>#N/A N/A</v>
        <stp/>
        <stp>BDP|5712445211032639906</stp>
        <tr r="H3723" s="2"/>
      </tp>
      <tp t="s">
        <v>#N/A N/A</v>
        <stp/>
        <stp>BDP|8217636006756788349</stp>
        <tr r="C654" s="2"/>
      </tp>
      <tp t="s">
        <v>#N/A N/A</v>
        <stp/>
        <stp>BDP|1126963340597259011</stp>
        <tr r="C1042" s="2"/>
      </tp>
      <tp t="s">
        <v>#N/A N/A</v>
        <stp/>
        <stp>BDP|8753221636613224150</stp>
        <tr r="A3884" s="2"/>
      </tp>
      <tp t="s">
        <v>#N/A N/A</v>
        <stp/>
        <stp>BDP|7950575875408764682</stp>
        <tr r="C2820" s="2"/>
      </tp>
      <tp t="s">
        <v>#N/A N/A</v>
        <stp/>
        <stp>BDP|5249722192249456921</stp>
        <tr r="I149" s="2"/>
      </tp>
      <tp t="s">
        <v>#N/A N/A</v>
        <stp/>
        <stp>BDP|3232974131627905592</stp>
        <tr r="I1820" s="2"/>
      </tp>
      <tp t="s">
        <v>#N/A N/A</v>
        <stp/>
        <stp>BDP|2451727383285342327</stp>
        <tr r="C4875" s="2"/>
      </tp>
      <tp t="s">
        <v>#N/A N/A</v>
        <stp/>
        <stp>BDP|9127730022455618224</stp>
        <tr r="B18" s="2"/>
      </tp>
      <tp t="s">
        <v>#N/A N/A</v>
        <stp/>
        <stp>BDP|3206837371486186158</stp>
        <tr r="I174" s="2"/>
      </tp>
      <tp t="s">
        <v>#N/A N/A</v>
        <stp/>
        <stp>BDP|4527323113015963895</stp>
        <tr r="F157" s="2"/>
      </tp>
      <tp t="s">
        <v>#N/A N/A</v>
        <stp/>
        <stp>BDP|6791452017128004018</stp>
        <tr r="G4700" s="2"/>
      </tp>
      <tp t="s">
        <v>#N/A N/A</v>
        <stp/>
        <stp>BDP|8592230764336697101</stp>
        <tr r="D603" s="2"/>
      </tp>
      <tp t="s">
        <v>#N/A N/A</v>
        <stp/>
        <stp>BDP|4220272636948456639</stp>
        <tr r="H2896" s="2"/>
      </tp>
      <tp t="s">
        <v>#N/A N/A</v>
        <stp/>
        <stp>BDP|7703966502391368446</stp>
        <tr r="D3737" s="2"/>
      </tp>
      <tp t="s">
        <v>#N/A N/A</v>
        <stp/>
        <stp>BDP|8408818861879800485</stp>
        <tr r="A3683" s="2"/>
      </tp>
      <tp t="s">
        <v>#N/A N/A</v>
        <stp/>
        <stp>BDP|6652450694777412776</stp>
        <tr r="C3544" s="2"/>
      </tp>
      <tp t="s">
        <v>#N/A N/A</v>
        <stp/>
        <stp>BDP|8213070028146104785</stp>
        <tr r="B1513" s="2"/>
      </tp>
      <tp t="s">
        <v>#N/A N/A</v>
        <stp/>
        <stp>BDP|1424432925065352950</stp>
        <tr r="C1060" s="2"/>
      </tp>
      <tp t="s">
        <v>#N/A N/A</v>
        <stp/>
        <stp>BDP|8742837599476015492</stp>
        <tr r="C4809" s="2"/>
      </tp>
      <tp t="s">
        <v>#N/A N/A</v>
        <stp/>
        <stp>BDP|8526265120450775300</stp>
        <tr r="I4714" s="2"/>
      </tp>
      <tp t="s">
        <v>#N/A N/A</v>
        <stp/>
        <stp>BDP|1440268551279523428</stp>
        <tr r="A2296" s="2"/>
      </tp>
      <tp t="s">
        <v>#N/A N/A</v>
        <stp/>
        <stp>BDP|4704946311704725317</stp>
        <tr r="B696" s="2"/>
      </tp>
      <tp t="s">
        <v>#N/A N/A</v>
        <stp/>
        <stp>BDP|5948023361818736098</stp>
        <tr r="H2300" s="2"/>
      </tp>
      <tp t="s">
        <v>#N/A N/A</v>
        <stp/>
        <stp>BDP|2606076534078621273</stp>
        <tr r="G4638" s="2"/>
      </tp>
      <tp t="s">
        <v>#N/A N/A</v>
        <stp/>
        <stp>BDP|1643160964794944990</stp>
        <tr r="F1422" s="2"/>
      </tp>
      <tp t="s">
        <v>#N/A N/A</v>
        <stp/>
        <stp>BDP|9542024764325244150</stp>
        <tr r="H1159" s="2"/>
      </tp>
      <tp t="s">
        <v>#N/A N/A</v>
        <stp/>
        <stp>BDP|7332923359522906253</stp>
        <tr r="H773" s="2"/>
      </tp>
      <tp t="s">
        <v>#N/A N/A</v>
        <stp/>
        <stp>BDP|9250260937362088178</stp>
        <tr r="C826" s="2"/>
      </tp>
      <tp t="s">
        <v>#N/A N/A</v>
        <stp/>
        <stp>BDP|3524526482824492153</stp>
        <tr r="D1841" s="2"/>
      </tp>
      <tp t="s">
        <v>#N/A N/A</v>
        <stp/>
        <stp>BDP|3382683692627537088</stp>
        <tr r="I1678" s="2"/>
      </tp>
      <tp t="s">
        <v>#N/A N/A</v>
        <stp/>
        <stp>BDP|9428857083572243042</stp>
        <tr r="D1104" s="2"/>
      </tp>
      <tp t="s">
        <v>#N/A N/A</v>
        <stp/>
        <stp>BDP|5918839368424394453</stp>
        <tr r="I1341" s="2"/>
      </tp>
      <tp t="s">
        <v>#N/A N/A</v>
        <stp/>
        <stp>BDP|6823390383530009661</stp>
        <tr r="C1430" s="2"/>
      </tp>
      <tp t="s">
        <v>#N/A N/A</v>
        <stp/>
        <stp>BDP|7307370440209796262</stp>
        <tr r="C4360" s="2"/>
      </tp>
      <tp t="s">
        <v>#N/A N/A</v>
        <stp/>
        <stp>BDP|8728174359182883546</stp>
        <tr r="F1906" s="2"/>
      </tp>
      <tp t="s">
        <v>#N/A N/A</v>
        <stp/>
        <stp>BDP|1185690098155742024</stp>
        <tr r="H3353" s="2"/>
      </tp>
      <tp t="s">
        <v>#N/A N/A</v>
        <stp/>
        <stp>BDP|8486697822354869323</stp>
        <tr r="B3040" s="2"/>
      </tp>
      <tp t="s">
        <v>#N/A N/A</v>
        <stp/>
        <stp>BDP|9250680537015990214</stp>
        <tr r="D4097" s="2"/>
      </tp>
      <tp t="s">
        <v>#N/A N/A</v>
        <stp/>
        <stp>BDP|4447728974588241755</stp>
        <tr r="D4001" s="2"/>
      </tp>
      <tp t="s">
        <v>#N/A N/A</v>
        <stp/>
        <stp>BDP|6102516284803872391</stp>
        <tr r="A61" s="2"/>
      </tp>
      <tp t="s">
        <v>#N/A N/A</v>
        <stp/>
        <stp>BDP|4989144698471344634</stp>
        <tr r="G4777" s="2"/>
      </tp>
      <tp t="s">
        <v>#N/A N/A</v>
        <stp/>
        <stp>BDP|7718150357400642869</stp>
        <tr r="C1990" s="2"/>
      </tp>
      <tp t="s">
        <v>#N/A N/A</v>
        <stp/>
        <stp>BDP|8508974191827512435</stp>
        <tr r="H2760" s="2"/>
      </tp>
      <tp t="s">
        <v>#N/A N/A</v>
        <stp/>
        <stp>BDP|9541043844621102719</stp>
        <tr r="H4520" s="2"/>
      </tp>
      <tp t="s">
        <v>#N/A N/A</v>
        <stp/>
        <stp>BDP|4517806257551110368</stp>
        <tr r="H2829" s="2"/>
      </tp>
      <tp t="s">
        <v>#N/A N/A</v>
        <stp/>
        <stp>BDP|1607314644935031865</stp>
        <tr r="I601" s="2"/>
      </tp>
      <tp t="s">
        <v>#N/A N/A</v>
        <stp/>
        <stp>BDP|4431927241081495366</stp>
        <tr r="C3717" s="2"/>
      </tp>
      <tp t="s">
        <v>#N/A N/A</v>
        <stp/>
        <stp>BDP|3967978524035739686</stp>
        <tr r="B699" s="2"/>
      </tp>
      <tp t="s">
        <v>#N/A N/A</v>
        <stp/>
        <stp>BDP|9543820843056987887</stp>
        <tr r="A3209" s="2"/>
      </tp>
      <tp t="s">
        <v>#N/A N/A</v>
        <stp/>
        <stp>BDP|4253426287734580776</stp>
        <tr r="B3688" s="2"/>
      </tp>
      <tp t="s">
        <v>#N/A N/A</v>
        <stp/>
        <stp>BDP|5101829866243090308</stp>
        <tr r="G3155" s="2"/>
      </tp>
      <tp t="s">
        <v>#N/A N/A</v>
        <stp/>
        <stp>BDP|3127548400464529951</stp>
        <tr r="D1138" s="2"/>
      </tp>
      <tp t="s">
        <v>#N/A N/A</v>
        <stp/>
        <stp>BDP|4119741089528186880</stp>
        <tr r="G1871" s="2"/>
      </tp>
      <tp t="s">
        <v>#N/A N/A</v>
        <stp/>
        <stp>BDP|2240076804190392976</stp>
        <tr r="D3756" s="2"/>
      </tp>
      <tp t="s">
        <v>#N/A N/A</v>
        <stp/>
        <stp>BDP|2184567865463738907</stp>
        <tr r="B3015" s="2"/>
      </tp>
      <tp t="s">
        <v>#N/A N/A</v>
        <stp/>
        <stp>BDP|5459587294777523588</stp>
        <tr r="I2576" s="2"/>
      </tp>
      <tp t="s">
        <v>#N/A N/A</v>
        <stp/>
        <stp>BDP|8208192564107985334</stp>
        <tr r="G511" s="2"/>
      </tp>
      <tp t="s">
        <v>#N/A N/A</v>
        <stp/>
        <stp>BDP|2420749674141539846</stp>
        <tr r="I904" s="2"/>
      </tp>
      <tp t="s">
        <v>#N/A N/A</v>
        <stp/>
        <stp>BDP|9101431072420737128</stp>
        <tr r="C3589" s="2"/>
      </tp>
      <tp t="s">
        <v>#N/A N/A</v>
        <stp/>
        <stp>BDP|4188847805003158444</stp>
        <tr r="D4760" s="2"/>
      </tp>
      <tp t="s">
        <v>#N/A N/A</v>
        <stp/>
        <stp>BDP|1007873855282025572</stp>
        <tr r="G4237" s="2"/>
      </tp>
      <tp t="s">
        <v>#N/A N/A</v>
        <stp/>
        <stp>BDP|9725530570042566245</stp>
        <tr r="D2575" s="2"/>
      </tp>
      <tp t="s">
        <v>#N/A N/A</v>
        <stp/>
        <stp>BDP|8534151390799402214</stp>
        <tr r="C3930" s="2"/>
      </tp>
      <tp t="s">
        <v>#N/A N/A</v>
        <stp/>
        <stp>BDP|1410450765201633970</stp>
        <tr r="D1664" s="2"/>
      </tp>
      <tp t="s">
        <v>#N/A N/A</v>
        <stp/>
        <stp>BDP|5730522382126493569</stp>
        <tr r="G771" s="2"/>
      </tp>
      <tp t="s">
        <v>#N/A N/A</v>
        <stp/>
        <stp>BDP|9366449569616901629</stp>
        <tr r="G1506" s="2"/>
      </tp>
      <tp t="s">
        <v>#N/A N/A</v>
        <stp/>
        <stp>BDP|6243374397793676410</stp>
        <tr r="H1537" s="2"/>
      </tp>
      <tp t="s">
        <v>#N/A N/A</v>
        <stp/>
        <stp>BDP|6441105960702007816</stp>
        <tr r="C3188" s="2"/>
      </tp>
      <tp t="s">
        <v>#N/A N/A</v>
        <stp/>
        <stp>BDP|5260834538746558390</stp>
        <tr r="B2568" s="2"/>
      </tp>
      <tp t="s">
        <v>#N/A N/A</v>
        <stp/>
        <stp>BDP|4263868871292587257</stp>
        <tr r="H1482" s="2"/>
      </tp>
      <tp t="s">
        <v>#N/A N/A</v>
        <stp/>
        <stp>BDP|6296639193245206751</stp>
        <tr r="I1131" s="2"/>
      </tp>
      <tp t="s">
        <v>#N/A N/A</v>
        <stp/>
        <stp>BDP|2011204255687339933</stp>
        <tr r="H1211" s="2"/>
      </tp>
      <tp t="s">
        <v>#N/A N/A</v>
        <stp/>
        <stp>BDP|9577127632011642167</stp>
        <tr r="H2182" s="2"/>
      </tp>
      <tp t="s">
        <v>#N/A N/A</v>
        <stp/>
        <stp>BDP|4844836633571829556</stp>
        <tr r="C116" s="2"/>
      </tp>
      <tp t="s">
        <v>#N/A N/A</v>
        <stp/>
        <stp>BDP|4640680787691410080</stp>
        <tr r="H2773" s="2"/>
      </tp>
      <tp t="s">
        <v>#N/A N/A</v>
        <stp/>
        <stp>BDP|5606411667329626532</stp>
        <tr r="H2206" s="2"/>
      </tp>
      <tp t="s">
        <v>#N/A N/A</v>
        <stp/>
        <stp>BDP|5307610174247033833</stp>
        <tr r="H2625" s="2"/>
      </tp>
      <tp t="s">
        <v>#N/A N/A</v>
        <stp/>
        <stp>BDP|1609172390156490408</stp>
        <tr r="H2591" s="2"/>
      </tp>
      <tp t="s">
        <v>#N/A N/A</v>
        <stp/>
        <stp>BDP|9277715407642173706</stp>
        <tr r="G2165" s="2"/>
      </tp>
      <tp t="s">
        <v>#N/A N/A</v>
        <stp/>
        <stp>BDP|2827915334425013687</stp>
        <tr r="I1225" s="2"/>
      </tp>
      <tp t="s">
        <v>#N/A N/A</v>
        <stp/>
        <stp>BDP|5647585740478972727</stp>
        <tr r="I4386" s="2"/>
      </tp>
      <tp t="s">
        <v>#N/A N/A</v>
        <stp/>
        <stp>BDP|8415023978155248192</stp>
        <tr r="G3428" s="2"/>
      </tp>
      <tp t="s">
        <v>#N/A N/A</v>
        <stp/>
        <stp>BDP|3268157141305101827</stp>
        <tr r="B2807" s="2"/>
      </tp>
      <tp t="s">
        <v>#N/A N/A</v>
        <stp/>
        <stp>BDP|3941221159229209652</stp>
        <tr r="F1315" s="2"/>
      </tp>
      <tp t="s">
        <v>#N/A N/A</v>
        <stp/>
        <stp>BDP|2060501187070575474</stp>
        <tr r="H2583" s="2"/>
      </tp>
      <tp t="s">
        <v>#N/A N/A</v>
        <stp/>
        <stp>BDP|7233610109399734387</stp>
        <tr r="I3342" s="2"/>
      </tp>
      <tp t="s">
        <v>#N/A N/A</v>
        <stp/>
        <stp>BDP|5827927768978286953</stp>
        <tr r="A2299" s="2"/>
      </tp>
      <tp t="s">
        <v>#N/A N/A</v>
        <stp/>
        <stp>BDP|3903917925105109691</stp>
        <tr r="H4846" s="2"/>
      </tp>
      <tp t="s">
        <v>#N/A N/A</v>
        <stp/>
        <stp>BDP|3352045288366969632</stp>
        <tr r="H3867" s="2"/>
      </tp>
      <tp t="s">
        <v>#N/A N/A</v>
        <stp/>
        <stp>BDP|2534469502914334976</stp>
        <tr r="D1675" s="2"/>
      </tp>
      <tp t="s">
        <v>#N/A N/A</v>
        <stp/>
        <stp>BDP|8264427136843675758</stp>
        <tr r="I132" s="2"/>
      </tp>
      <tp t="s">
        <v>#N/A N/A</v>
        <stp/>
        <stp>BDP|9579535287188464703</stp>
        <tr r="B1227" s="2"/>
      </tp>
      <tp t="s">
        <v>#N/A N/A</v>
        <stp/>
        <stp>BDP|7542836000971447579</stp>
        <tr r="H4607" s="2"/>
      </tp>
      <tp t="s">
        <v>#N/A N/A</v>
        <stp/>
        <stp>BDP|4130432574135349902</stp>
        <tr r="H1347" s="2"/>
      </tp>
      <tp t="s">
        <v>#N/A N/A</v>
        <stp/>
        <stp>BDP|6630958183974519805</stp>
        <tr r="F85" s="2"/>
      </tp>
      <tp t="s">
        <v>#N/A N/A</v>
        <stp/>
        <stp>BDP|9916258405528525767</stp>
        <tr r="I3890" s="2"/>
      </tp>
      <tp t="s">
        <v>#N/A N/A</v>
        <stp/>
        <stp>BDP|7227079109426444522</stp>
        <tr r="I1318" s="2"/>
      </tp>
      <tp t="s">
        <v>#N/A N/A</v>
        <stp/>
        <stp>BDP|4207585210760032408</stp>
        <tr r="G985" s="2"/>
      </tp>
      <tp t="s">
        <v>#N/A N/A</v>
        <stp/>
        <stp>BDP|8353889601101737577</stp>
        <tr r="G4543" s="2"/>
      </tp>
      <tp t="s">
        <v>#N/A N/A</v>
        <stp/>
        <stp>BDP|9727866098979279513</stp>
        <tr r="A2635" s="2"/>
      </tp>
      <tp t="s">
        <v>#N/A N/A</v>
        <stp/>
        <stp>BDP|8829829806607077362</stp>
        <tr r="C3286" s="2"/>
      </tp>
      <tp t="s">
        <v>#N/A N/A</v>
        <stp/>
        <stp>BDP|3980010107830195741</stp>
        <tr r="F2458" s="2"/>
      </tp>
      <tp t="s">
        <v>#N/A N/A</v>
        <stp/>
        <stp>BDP|6874101863292360729</stp>
        <tr r="A2080" s="2"/>
      </tp>
      <tp t="s">
        <v>#N/A N/A</v>
        <stp/>
        <stp>BDP|3474069410347948112</stp>
        <tr r="F3684" s="2"/>
      </tp>
      <tp t="s">
        <v>#N/A N/A</v>
        <stp/>
        <stp>BDP|9434981436802041504</stp>
        <tr r="B2982" s="2"/>
      </tp>
      <tp t="s">
        <v>#N/A N/A</v>
        <stp/>
        <stp>BDP|9840458164557306803</stp>
        <tr r="D840" s="2"/>
      </tp>
      <tp t="s">
        <v>#N/A N/A</v>
        <stp/>
        <stp>BDP|3749183198718921748</stp>
        <tr r="I3891" s="2"/>
      </tp>
      <tp t="s">
        <v>#N/A N/A</v>
        <stp/>
        <stp>BDP|6827426705494532209</stp>
        <tr r="C3845" s="2"/>
      </tp>
      <tp t="s">
        <v>#N/A N/A</v>
        <stp/>
        <stp>BDP|4836811542375050919</stp>
        <tr r="B4335" s="2"/>
      </tp>
      <tp t="s">
        <v>#N/A N/A</v>
        <stp/>
        <stp>BDP|5189988487718528818</stp>
        <tr r="C668" s="2"/>
      </tp>
      <tp t="s">
        <v>#N/A N/A</v>
        <stp/>
        <stp>BDP|7611405959281631338</stp>
        <tr r="H2747" s="2"/>
      </tp>
      <tp t="s">
        <v>#N/A N/A</v>
        <stp/>
        <stp>BDP|9187971898645078845</stp>
        <tr r="I3222" s="2"/>
      </tp>
      <tp t="s">
        <v>#N/A N/A</v>
        <stp/>
        <stp>BDP|9800813174957139564</stp>
        <tr r="I1304" s="2"/>
      </tp>
      <tp t="s">
        <v>#N/A N/A</v>
        <stp/>
        <stp>BDP|4434204442912908453</stp>
        <tr r="D994" s="2"/>
      </tp>
      <tp t="s">
        <v>#N/A N/A</v>
        <stp/>
        <stp>BDP|2322244814994909102</stp>
        <tr r="D1954" s="2"/>
      </tp>
      <tp t="s">
        <v>#N/A N/A</v>
        <stp/>
        <stp>BDP|6475494725904468061</stp>
        <tr r="A1958" s="2"/>
      </tp>
      <tp t="s">
        <v>#N/A N/A</v>
        <stp/>
        <stp>BDP|6165067168863566703</stp>
        <tr r="H349" s="2"/>
      </tp>
      <tp t="s">
        <v>#N/A N/A</v>
        <stp/>
        <stp>BDP|7663283656803462767</stp>
        <tr r="H2756" s="2"/>
      </tp>
      <tp t="s">
        <v>#N/A N/A</v>
        <stp/>
        <stp>BDP|7286725514177675287</stp>
        <tr r="H2732" s="2"/>
      </tp>
      <tp t="s">
        <v>#N/A N/A</v>
        <stp/>
        <stp>BDP|3149172316871260684</stp>
        <tr r="G1920" s="2"/>
      </tp>
      <tp t="s">
        <v>#N/A N/A</v>
        <stp/>
        <stp>BDP|1298439373300085687</stp>
        <tr r="I1537" s="2"/>
      </tp>
      <tp t="s">
        <v>#N/A N/A</v>
        <stp/>
        <stp>BDP|9985029991122995695</stp>
        <tr r="G1538" s="2"/>
      </tp>
      <tp t="s">
        <v>#N/A N/A</v>
        <stp/>
        <stp>BDP|2543678429366814491</stp>
        <tr r="G1105" s="2"/>
      </tp>
      <tp t="s">
        <v>#N/A N/A</v>
        <stp/>
        <stp>BDP|5045138468632515444</stp>
        <tr r="B1696" s="2"/>
      </tp>
      <tp t="s">
        <v>#N/A N/A</v>
        <stp/>
        <stp>BDP|5966434270191055309</stp>
        <tr r="B1590" s="2"/>
      </tp>
      <tp t="s">
        <v>#N/A N/A</v>
        <stp/>
        <stp>BDP|2630098560062628236</stp>
        <tr r="F3069" s="2"/>
      </tp>
      <tp t="s">
        <v>#N/A N/A</v>
        <stp/>
        <stp>BDP|5123916653604844918</stp>
        <tr r="H3301" s="2"/>
      </tp>
      <tp t="s">
        <v>#N/A N/A</v>
        <stp/>
        <stp>BDP|7253028605426865571</stp>
        <tr r="H681" s="2"/>
      </tp>
      <tp t="s">
        <v>#N/A N/A</v>
        <stp/>
        <stp>BDP|7577878612662255882</stp>
        <tr r="C3470" s="2"/>
      </tp>
      <tp t="s">
        <v>#N/A N/A</v>
        <stp/>
        <stp>BDP|7380282034242309066</stp>
        <tr r="A707" s="2"/>
      </tp>
      <tp t="s">
        <v>#N/A N/A</v>
        <stp/>
        <stp>BDP|6526257044563888766</stp>
        <tr r="F2807" s="2"/>
      </tp>
      <tp t="s">
        <v>#N/A N/A</v>
        <stp/>
        <stp>BDP|6547454180366349899</stp>
        <tr r="I208" s="2"/>
      </tp>
      <tp t="s">
        <v>#N/A N/A</v>
        <stp/>
        <stp>BDP|1682095241001191055</stp>
        <tr r="G1835" s="2"/>
      </tp>
      <tp t="s">
        <v>#N/A N/A</v>
        <stp/>
        <stp>BDP|1437763338383013203</stp>
        <tr r="H2686" s="2"/>
      </tp>
      <tp t="s">
        <v>#N/A N/A</v>
        <stp/>
        <stp>BDP|2319588129675087486</stp>
        <tr r="F2818" s="2"/>
      </tp>
      <tp t="s">
        <v>#N/A N/A</v>
        <stp/>
        <stp>BDP|3049976055629050280</stp>
        <tr r="G1366" s="2"/>
      </tp>
      <tp t="s">
        <v>#N/A N/A</v>
        <stp/>
        <stp>BDP|6791773461615341688</stp>
        <tr r="G3439" s="2"/>
      </tp>
      <tp t="s">
        <v>#N/A N/A</v>
        <stp/>
        <stp>BDP|5140467895465169991</stp>
        <tr r="H3963" s="2"/>
      </tp>
      <tp t="s">
        <v>#N/A N/A</v>
        <stp/>
        <stp>BDP|7244853984452863115</stp>
        <tr r="G1655" s="2"/>
      </tp>
      <tp t="s">
        <v>#N/A N/A</v>
        <stp/>
        <stp>BDP|7618197522751733102</stp>
        <tr r="D3022" s="2"/>
      </tp>
      <tp t="s">
        <v>#N/A N/A</v>
        <stp/>
        <stp>BDP|6949725540522243333</stp>
        <tr r="H4674" s="2"/>
      </tp>
      <tp t="s">
        <v>#N/A N/A</v>
        <stp/>
        <stp>BDP|5900554705306219215</stp>
        <tr r="G1854" s="2"/>
      </tp>
      <tp t="s">
        <v>#N/A N/A</v>
        <stp/>
        <stp>BDP|7602050844755501284</stp>
        <tr r="G1653" s="2"/>
      </tp>
      <tp t="s">
        <v>#N/A N/A</v>
        <stp/>
        <stp>BDP|1066163161783930142</stp>
        <tr r="D4762" s="2"/>
      </tp>
      <tp t="s">
        <v>#N/A N/A</v>
        <stp/>
        <stp>BDP|6954380908968194926</stp>
        <tr r="D4536" s="2"/>
      </tp>
      <tp t="s">
        <v>#N/A N/A</v>
        <stp/>
        <stp>BDP|3060652821643984079</stp>
        <tr r="D2640" s="2"/>
      </tp>
      <tp t="s">
        <v>#N/A N/A</v>
        <stp/>
        <stp>BDP|7813652944958087931</stp>
        <tr r="G2103" s="2"/>
      </tp>
      <tp t="s">
        <v>#N/A N/A</v>
        <stp/>
        <stp>BDP|2384812493127297090</stp>
        <tr r="D1377" s="2"/>
      </tp>
      <tp t="s">
        <v>#N/A N/A</v>
        <stp/>
        <stp>BDP|8725313658762123856</stp>
        <tr r="B2102" s="2"/>
      </tp>
      <tp t="s">
        <v>#N/A N/A</v>
        <stp/>
        <stp>BDP|9904688137001583992</stp>
        <tr r="H4894" s="2"/>
      </tp>
      <tp t="s">
        <v>#N/A N/A</v>
        <stp/>
        <stp>BDP|2722947410257922907</stp>
        <tr r="G530" s="2"/>
      </tp>
      <tp t="s">
        <v>#N/A N/A</v>
        <stp/>
        <stp>BDP|3749611099399101144</stp>
        <tr r="I1711" s="2"/>
      </tp>
      <tp t="s">
        <v>#N/A N/A</v>
        <stp/>
        <stp>BDP|1116704471620303591</stp>
        <tr r="A4694" s="2"/>
      </tp>
      <tp t="s">
        <v>#N/A N/A</v>
        <stp/>
        <stp>BDP|1911268023447776218</stp>
        <tr r="G1507" s="2"/>
      </tp>
      <tp t="s">
        <v>#N/A N/A</v>
        <stp/>
        <stp>BDP|5339793941563308127</stp>
        <tr r="I2600" s="2"/>
      </tp>
      <tp t="s">
        <v>#N/A N/A</v>
        <stp/>
        <stp>BDP|4116060539631639226</stp>
        <tr r="F497" s="2"/>
      </tp>
      <tp t="s">
        <v>#N/A N/A</v>
        <stp/>
        <stp>BDP|8870741875414703840</stp>
        <tr r="H2441" s="2"/>
      </tp>
      <tp t="s">
        <v>#N/A N/A</v>
        <stp/>
        <stp>BDP|7745037489569203253</stp>
        <tr r="I2067" s="2"/>
      </tp>
      <tp t="s">
        <v>#N/A N/A</v>
        <stp/>
        <stp>BDP|3668311345387876706</stp>
        <tr r="C921" s="2"/>
      </tp>
      <tp t="s">
        <v>#N/A N/A</v>
        <stp/>
        <stp>BDP|1827209371923424375</stp>
        <tr r="B3522" s="2"/>
      </tp>
      <tp t="s">
        <v>#N/A N/A</v>
        <stp/>
        <stp>BDP|5347459409492786724</stp>
        <tr r="B2763" s="2"/>
      </tp>
      <tp t="s">
        <v>#N/A N/A</v>
        <stp/>
        <stp>BDP|6905070883463384949</stp>
        <tr r="G2532" s="2"/>
      </tp>
      <tp t="s">
        <v>#N/A N/A</v>
        <stp/>
        <stp>BDP|9052413649398017521</stp>
        <tr r="F165" s="2"/>
      </tp>
      <tp t="s">
        <v>#N/A N/A</v>
        <stp/>
        <stp>BDP|8362665379778023562</stp>
        <tr r="A1512" s="2"/>
      </tp>
      <tp t="s">
        <v>#N/A N/A</v>
        <stp/>
        <stp>BDP|5016612121360906534</stp>
        <tr r="A1673" s="2"/>
      </tp>
      <tp t="s">
        <v>#N/A N/A</v>
        <stp/>
        <stp>BDP|8399600589437408549</stp>
        <tr r="A3041" s="2"/>
      </tp>
      <tp t="s">
        <v>#N/A N/A</v>
        <stp/>
        <stp>BDP|4692087134857705472</stp>
        <tr r="B4416" s="2"/>
      </tp>
      <tp t="s">
        <v>#N/A N/A</v>
        <stp/>
        <stp>BDP|7628384061053410513</stp>
        <tr r="C2192" s="2"/>
      </tp>
      <tp t="s">
        <v>#N/A N/A</v>
        <stp/>
        <stp>BDP|4660687202611305750</stp>
        <tr r="A162" s="2"/>
      </tp>
      <tp t="s">
        <v>#N/A N/A</v>
        <stp/>
        <stp>BDP|7224681679413824112</stp>
        <tr r="C2077" s="2"/>
      </tp>
      <tp t="s">
        <v>#N/A N/A</v>
        <stp/>
        <stp>BDP|9610805309437267271</stp>
        <tr r="D3269" s="2"/>
      </tp>
      <tp t="s">
        <v>#N/A N/A</v>
        <stp/>
        <stp>BDP|8969152526066656966</stp>
        <tr r="C4573" s="2"/>
      </tp>
      <tp t="s">
        <v>#N/A N/A</v>
        <stp/>
        <stp>BDP|8839833736510215753</stp>
        <tr r="A1167" s="2"/>
      </tp>
      <tp t="s">
        <v>#N/A N/A</v>
        <stp/>
        <stp>BDP|9825225791505609375</stp>
        <tr r="H1145" s="2"/>
      </tp>
      <tp t="s">
        <v>#N/A N/A</v>
        <stp/>
        <stp>BDP|6095072513092655188</stp>
        <tr r="I2824" s="2"/>
      </tp>
      <tp t="s">
        <v>#N/A N/A</v>
        <stp/>
        <stp>BDP|3478434803677978474</stp>
        <tr r="B1164" s="2"/>
      </tp>
      <tp t="s">
        <v>#N/A N/A</v>
        <stp/>
        <stp>BDP|5728381318604453796</stp>
        <tr r="F840" s="2"/>
      </tp>
      <tp t="s">
        <v>#N/A N/A</v>
        <stp/>
        <stp>BDP|3511066505801840652</stp>
        <tr r="A2142" s="2"/>
      </tp>
      <tp t="s">
        <v>#N/A N/A</v>
        <stp/>
        <stp>BDP|2535979122825293892</stp>
        <tr r="C3156" s="2"/>
      </tp>
      <tp t="s">
        <v>#N/A N/A</v>
        <stp/>
        <stp>BDP|4894943415201264906</stp>
        <tr r="A2131" s="2"/>
      </tp>
      <tp t="s">
        <v>#N/A N/A</v>
        <stp/>
        <stp>BDP|3798438589299492222</stp>
        <tr r="B2755" s="2"/>
      </tp>
      <tp t="s">
        <v>#N/A N/A</v>
        <stp/>
        <stp>BDP|7360591921982426644</stp>
        <tr r="F880" s="2"/>
      </tp>
      <tp t="s">
        <v>#N/A N/A</v>
        <stp/>
        <stp>BDP|4390684459574133783</stp>
        <tr r="H1361" s="2"/>
      </tp>
      <tp t="s">
        <v>#N/A N/A</v>
        <stp/>
        <stp>BDP|5235253287459983224</stp>
        <tr r="B4389" s="2"/>
      </tp>
      <tp t="s">
        <v>#N/A N/A</v>
        <stp/>
        <stp>BDP|6155217159387131239</stp>
        <tr r="H394" s="2"/>
      </tp>
      <tp t="s">
        <v>#N/A N/A</v>
        <stp/>
        <stp>BDP|8841538182776019721</stp>
        <tr r="F4960" s="2"/>
      </tp>
      <tp t="s">
        <v>#N/A N/A</v>
        <stp/>
        <stp>BDP|5987631044792321167</stp>
        <tr r="H3411" s="2"/>
      </tp>
      <tp t="s">
        <v>#N/A N/A</v>
        <stp/>
        <stp>BDP|2461450171790293593</stp>
        <tr r="G4268" s="2"/>
      </tp>
      <tp t="s">
        <v>#N/A N/A</v>
        <stp/>
        <stp>BDP|6542177046591741689</stp>
        <tr r="F1464" s="2"/>
      </tp>
      <tp t="s">
        <v>#N/A N/A</v>
        <stp/>
        <stp>BDP|2284831717656836956</stp>
        <tr r="G3628" s="2"/>
      </tp>
      <tp t="s">
        <v>#N/A N/A</v>
        <stp/>
        <stp>BDP|4939264113606334548</stp>
        <tr r="C424" s="2"/>
      </tp>
      <tp t="s">
        <v>#N/A N/A</v>
        <stp/>
        <stp>BDP|3848758630751392258</stp>
        <tr r="F3115" s="2"/>
      </tp>
      <tp t="s">
        <v>#N/A N/A</v>
        <stp/>
        <stp>BDP|9996927338967999014</stp>
        <tr r="C1741" s="2"/>
      </tp>
      <tp t="s">
        <v>#N/A N/A</v>
        <stp/>
        <stp>BDP|1421653710956808422</stp>
        <tr r="A1017" s="2"/>
      </tp>
      <tp t="s">
        <v>#N/A N/A</v>
        <stp/>
        <stp>BDP|5784266350470245683</stp>
        <tr r="C2119" s="2"/>
      </tp>
      <tp t="s">
        <v>#N/A N/A</v>
        <stp/>
        <stp>BDP|8046601159997142835</stp>
        <tr r="B2393" s="2"/>
      </tp>
      <tp t="s">
        <v>#N/A N/A</v>
        <stp/>
        <stp>BDP|1196281056085271762</stp>
        <tr r="B4655" s="2"/>
      </tp>
      <tp t="s">
        <v>#N/A N/A</v>
        <stp/>
        <stp>BDP|6665264552497121289</stp>
        <tr r="D2177" s="2"/>
      </tp>
      <tp t="s">
        <v>#N/A N/A</v>
        <stp/>
        <stp>BDP|7318704679901245235</stp>
        <tr r="G610" s="2"/>
      </tp>
      <tp t="s">
        <v>#N/A N/A</v>
        <stp/>
        <stp>BDP|6836833542267161938</stp>
        <tr r="D4305" s="2"/>
      </tp>
      <tp t="s">
        <v>#N/A N/A</v>
        <stp/>
        <stp>BDP|6207252524584934618</stp>
        <tr r="I3018" s="2"/>
      </tp>
      <tp t="s">
        <v>#N/A N/A</v>
        <stp/>
        <stp>BDP|4656398902000560337</stp>
        <tr r="B3029" s="2"/>
      </tp>
      <tp t="s">
        <v>#N/A N/A</v>
        <stp/>
        <stp>BDP|1507366248080585252</stp>
        <tr r="B3158" s="2"/>
      </tp>
      <tp t="s">
        <v>#N/A N/A</v>
        <stp/>
        <stp>BDP|6949862186957149534</stp>
        <tr r="C3244" s="2"/>
      </tp>
      <tp t="s">
        <v>#N/A N/A</v>
        <stp/>
        <stp>BDP|2160184247513406018</stp>
        <tr r="A283" s="2"/>
      </tp>
      <tp t="s">
        <v>#N/A N/A</v>
        <stp/>
        <stp>BDP|4264089965096531013</stp>
        <tr r="I1497" s="2"/>
      </tp>
      <tp t="s">
        <v>#N/A N/A</v>
        <stp/>
        <stp>BDP|5797037338111200350</stp>
        <tr r="G3472" s="2"/>
      </tp>
      <tp t="s">
        <v>#N/A N/A</v>
        <stp/>
        <stp>BDP|8396538243788989511</stp>
        <tr r="G3675" s="2"/>
      </tp>
      <tp t="s">
        <v>#N/A N/A</v>
        <stp/>
        <stp>BDP|9820709904632218853</stp>
        <tr r="G2458" s="2"/>
      </tp>
      <tp t="s">
        <v>#N/A N/A</v>
        <stp/>
        <stp>BDP|5995134543177049327</stp>
        <tr r="C658" s="2"/>
      </tp>
      <tp t="s">
        <v>#N/A N/A</v>
        <stp/>
        <stp>BDP|4821440030572289550</stp>
        <tr r="G1158" s="2"/>
      </tp>
      <tp t="s">
        <v>#N/A N/A</v>
        <stp/>
        <stp>BDP|2561691127917324532</stp>
        <tr r="F2504" s="2"/>
      </tp>
      <tp t="s">
        <v>#N/A N/A</v>
        <stp/>
        <stp>BDP|9937013032847256933</stp>
        <tr r="G4447" s="2"/>
      </tp>
      <tp t="s">
        <v>#N/A N/A</v>
        <stp/>
        <stp>BDP|1761364725212791687</stp>
        <tr r="A4993" s="2"/>
      </tp>
      <tp t="s">
        <v>#N/A N/A</v>
        <stp/>
        <stp>BDP|5011087906169099850</stp>
        <tr r="H4088" s="2"/>
      </tp>
      <tp t="s">
        <v>#N/A N/A</v>
        <stp/>
        <stp>BDP|6530901195163247199</stp>
        <tr r="A4639" s="2"/>
      </tp>
      <tp t="s">
        <v>#N/A N/A</v>
        <stp/>
        <stp>BDP|7600086645513984495</stp>
        <tr r="F2013" s="2"/>
      </tp>
      <tp t="s">
        <v>#N/A N/A</v>
        <stp/>
        <stp>BDP|8653490249268904449</stp>
        <tr r="D2769" s="2"/>
      </tp>
      <tp t="s">
        <v>#N/A N/A</v>
        <stp/>
        <stp>BDP|8259974470842765091</stp>
        <tr r="I4145" s="2"/>
      </tp>
      <tp t="s">
        <v>#N/A N/A</v>
        <stp/>
        <stp>BDP|4659495751082289376</stp>
        <tr r="C1117" s="2"/>
      </tp>
      <tp t="s">
        <v>#N/A N/A</v>
        <stp/>
        <stp>BDP|4881721574544553408</stp>
        <tr r="H2198" s="2"/>
      </tp>
      <tp t="s">
        <v>#N/A N/A</v>
        <stp/>
        <stp>BDP|2069794425785258651</stp>
        <tr r="D529" s="2"/>
      </tp>
      <tp t="s">
        <v>#N/A N/A</v>
        <stp/>
        <stp>BDP|3249046771479833944</stp>
        <tr r="H320" s="2"/>
      </tp>
      <tp t="s">
        <v>#N/A N/A</v>
        <stp/>
        <stp>BDP|6941344303697230674</stp>
        <tr r="C2414" s="2"/>
      </tp>
      <tp t="s">
        <v>#N/A N/A</v>
        <stp/>
        <stp>BDP|2973013017405776237</stp>
        <tr r="H4605" s="2"/>
      </tp>
      <tp t="s">
        <v>#N/A N/A</v>
        <stp/>
        <stp>BDP|6404624938880454719</stp>
        <tr r="I3497" s="2"/>
      </tp>
      <tp t="s">
        <v>#N/A N/A</v>
        <stp/>
        <stp>BDP|2879592278571310511</stp>
        <tr r="G3163" s="2"/>
      </tp>
      <tp t="s">
        <v>#N/A N/A</v>
        <stp/>
        <stp>BDP|1618773771251207490</stp>
        <tr r="I3520" s="2"/>
      </tp>
      <tp t="s">
        <v>#N/A N/A</v>
        <stp/>
        <stp>BDP|6766844709152109803</stp>
        <tr r="H3194" s="2"/>
      </tp>
      <tp t="s">
        <v>#N/A N/A</v>
        <stp/>
        <stp>BDP|8778985102331471426</stp>
        <tr r="G4431" s="2"/>
      </tp>
      <tp t="s">
        <v>#N/A N/A</v>
        <stp/>
        <stp>BDP|8697868936392813550</stp>
        <tr r="C619" s="2"/>
      </tp>
      <tp t="s">
        <v>#N/A N/A</v>
        <stp/>
        <stp>BDP|5966916467757650921</stp>
        <tr r="H264" s="2"/>
      </tp>
      <tp t="s">
        <v>#N/A N/A</v>
        <stp/>
        <stp>BDP|2874531162124475163</stp>
        <tr r="I3133" s="2"/>
      </tp>
      <tp t="s">
        <v>#N/A N/A</v>
        <stp/>
        <stp>BDP|6579722307107205297</stp>
        <tr r="C1086" s="2"/>
      </tp>
      <tp t="s">
        <v>#N/A N/A</v>
        <stp/>
        <stp>BDP|1520560954224552196</stp>
        <tr r="F1856" s="2"/>
      </tp>
      <tp t="s">
        <v>#N/A N/A</v>
        <stp/>
        <stp>BDP|2114623979744362320</stp>
        <tr r="F2754" s="2"/>
      </tp>
      <tp t="s">
        <v>#N/A N/A</v>
        <stp/>
        <stp>BDP|6202618329476592047</stp>
        <tr r="C2566" s="2"/>
      </tp>
      <tp t="s">
        <v>#N/A N/A</v>
        <stp/>
        <stp>BDP|7674648465922874143</stp>
        <tr r="G2652" s="2"/>
      </tp>
      <tp t="s">
        <v>#N/A N/A</v>
        <stp/>
        <stp>BDP|4066104868111731642</stp>
        <tr r="F4222" s="2"/>
      </tp>
      <tp t="s">
        <v>#N/A N/A</v>
        <stp/>
        <stp>BDP|4613370720199204882</stp>
        <tr r="C1795" s="2"/>
      </tp>
      <tp t="s">
        <v>#N/A N/A</v>
        <stp/>
        <stp>BDP|1103504878764577376</stp>
        <tr r="D1479" s="2"/>
      </tp>
      <tp t="s">
        <v>#N/A N/A</v>
        <stp/>
        <stp>BDP|2870727956355378141</stp>
        <tr r="A1433" s="2"/>
      </tp>
      <tp t="s">
        <v>#N/A N/A</v>
        <stp/>
        <stp>BDP|9289997660796780475</stp>
        <tr r="A1575" s="2"/>
      </tp>
      <tp t="s">
        <v>#N/A N/A</v>
        <stp/>
        <stp>BDP|5192268688708424301</stp>
        <tr r="G4231" s="2"/>
      </tp>
      <tp t="s">
        <v>#N/A N/A</v>
        <stp/>
        <stp>BDP|2659858688496894085</stp>
        <tr r="G3976" s="2"/>
      </tp>
      <tp t="s">
        <v>#N/A N/A</v>
        <stp/>
        <stp>BDP|8826160793697784319</stp>
        <tr r="F2127" s="2"/>
      </tp>
      <tp t="s">
        <v>#N/A N/A</v>
        <stp/>
        <stp>BDP|1816108556270383167</stp>
        <tr r="C4695" s="2"/>
      </tp>
      <tp t="s">
        <v>#N/A N/A</v>
        <stp/>
        <stp>BDP|2954448931998374947</stp>
        <tr r="A3395" s="2"/>
      </tp>
      <tp t="s">
        <v>#N/A N/A</v>
        <stp/>
        <stp>BDP|8937826057205545427</stp>
        <tr r="D4507" s="2"/>
      </tp>
      <tp t="s">
        <v>#N/A N/A</v>
        <stp/>
        <stp>BDP|7496429649953486005</stp>
        <tr r="C3451" s="2"/>
      </tp>
      <tp t="s">
        <v>#N/A N/A</v>
        <stp/>
        <stp>BDP|6410215515518379982</stp>
        <tr r="G2987" s="2"/>
      </tp>
      <tp t="s">
        <v>#N/A N/A</v>
        <stp/>
        <stp>BDP|6207286372284603350</stp>
        <tr r="D3243" s="2"/>
      </tp>
      <tp t="s">
        <v>#N/A N/A</v>
        <stp/>
        <stp>BDP|8599294460548050079</stp>
        <tr r="G1188" s="2"/>
      </tp>
      <tp t="s">
        <v>#N/A N/A</v>
        <stp/>
        <stp>BDP|7111633758851398127</stp>
        <tr r="C2336" s="2"/>
      </tp>
      <tp t="s">
        <v>#N/A N/A</v>
        <stp/>
        <stp>BDP|7361090480412011914</stp>
        <tr r="H4986" s="2"/>
      </tp>
      <tp t="s">
        <v>#N/A N/A</v>
        <stp/>
        <stp>BDP|9635226295315355394</stp>
        <tr r="G1966" s="2"/>
      </tp>
      <tp t="s">
        <v>#N/A N/A</v>
        <stp/>
        <stp>BDP|2588728717069815936</stp>
        <tr r="C3700" s="2"/>
      </tp>
      <tp t="s">
        <v>#N/A N/A</v>
        <stp/>
        <stp>BDP|2309618524947551583</stp>
        <tr r="A751" s="2"/>
      </tp>
      <tp t="s">
        <v>#N/A N/A</v>
        <stp/>
        <stp>BDP|7162625268620339331</stp>
        <tr r="A127" s="2"/>
      </tp>
      <tp t="s">
        <v>#N/A N/A</v>
        <stp/>
        <stp>BDP|1535498746744382122</stp>
        <tr r="C2268" s="2"/>
      </tp>
      <tp t="s">
        <v>#N/A N/A</v>
        <stp/>
        <stp>BDP|1662434136246044482</stp>
        <tr r="D1685" s="2"/>
      </tp>
      <tp t="s">
        <v>#N/A N/A</v>
        <stp/>
        <stp>BDP|5014511647698857855</stp>
        <tr r="B776" s="2"/>
      </tp>
      <tp t="s">
        <v>#N/A N/A</v>
        <stp/>
        <stp>BDP|1545533778793226474</stp>
        <tr r="I3149" s="2"/>
      </tp>
      <tp t="s">
        <v>#N/A N/A</v>
        <stp/>
        <stp>BDP|5031632025244858150</stp>
        <tr r="A648" s="2"/>
      </tp>
      <tp t="s">
        <v>#N/A N/A</v>
        <stp/>
        <stp>BDP|4854338906432087167</stp>
        <tr r="B3141" s="2"/>
      </tp>
      <tp t="s">
        <v>#N/A N/A</v>
        <stp/>
        <stp>BDP|9033424031803206996</stp>
        <tr r="D2675" s="2"/>
      </tp>
      <tp t="s">
        <v>#N/A N/A</v>
        <stp/>
        <stp>BDP|5726896066699938698</stp>
        <tr r="C2391" s="2"/>
      </tp>
      <tp t="s">
        <v>#N/A N/A</v>
        <stp/>
        <stp>BDP|9189296724715296869</stp>
        <tr r="D1767" s="2"/>
      </tp>
      <tp t="s">
        <v>#N/A N/A</v>
        <stp/>
        <stp>BDP|4439283146920680648</stp>
        <tr r="B4715" s="2"/>
      </tp>
      <tp t="s">
        <v>#N/A N/A</v>
        <stp/>
        <stp>BDP|8292678511948858344</stp>
        <tr r="I839" s="2"/>
      </tp>
      <tp t="s">
        <v>#N/A N/A</v>
        <stp/>
        <stp>BDP|1070506001324037499</stp>
        <tr r="B2468" s="2"/>
      </tp>
      <tp t="s">
        <v>#N/A N/A</v>
        <stp/>
        <stp>BDP|2258143662990407187</stp>
        <tr r="A1886" s="2"/>
      </tp>
      <tp t="s">
        <v>#N/A N/A</v>
        <stp/>
        <stp>BDP|3930517264984438006</stp>
        <tr r="D2002" s="2"/>
      </tp>
      <tp t="s">
        <v>#N/A N/A</v>
        <stp/>
        <stp>BDP|2708493647252218438</stp>
        <tr r="B2344" s="2"/>
      </tp>
      <tp t="s">
        <v>#N/A N/A</v>
        <stp/>
        <stp>BDP|2239087062918265823</stp>
        <tr r="D184" s="2"/>
      </tp>
      <tp t="s">
        <v>#N/A N/A</v>
        <stp/>
        <stp>BDP|1121483961811670666</stp>
        <tr r="A215" s="2"/>
      </tp>
      <tp t="s">
        <v>#N/A N/A</v>
        <stp/>
        <stp>BDP|1308608895393822961</stp>
        <tr r="F1946" s="2"/>
      </tp>
      <tp t="s">
        <v>#N/A N/A</v>
        <stp/>
        <stp>BDP|2386663089698104055</stp>
        <tr r="I2730" s="2"/>
      </tp>
      <tp t="s">
        <v>#N/A N/A</v>
        <stp/>
        <stp>BDP|5650527681578591485</stp>
        <tr r="G2948" s="2"/>
      </tp>
      <tp t="s">
        <v>#N/A N/A</v>
        <stp/>
        <stp>BDP|2978456932453098267</stp>
        <tr r="F2002" s="2"/>
      </tp>
      <tp t="s">
        <v>#N/A N/A</v>
        <stp/>
        <stp>BDP|1577460492811007995</stp>
        <tr r="A3756" s="2"/>
      </tp>
      <tp t="s">
        <v>#N/A N/A</v>
        <stp/>
        <stp>BDP|5304473362472695184</stp>
        <tr r="I2910" s="2"/>
      </tp>
      <tp t="s">
        <v>#N/A N/A</v>
        <stp/>
        <stp>BDP|5431882297468282817</stp>
        <tr r="H396" s="2"/>
      </tp>
      <tp t="s">
        <v>#N/A N/A</v>
        <stp/>
        <stp>BDP|4825216426534282453</stp>
        <tr r="G865" s="2"/>
      </tp>
      <tp t="s">
        <v>#N/A N/A</v>
        <stp/>
        <stp>BDP|3986003995846689821</stp>
        <tr r="H3295" s="2"/>
      </tp>
      <tp t="s">
        <v>#N/A N/A</v>
        <stp/>
        <stp>BDP|4998166742245009050</stp>
        <tr r="A223" s="2"/>
      </tp>
      <tp t="s">
        <v>#N/A N/A</v>
        <stp/>
        <stp>BDP|5154052072690681684</stp>
        <tr r="C556" s="2"/>
      </tp>
      <tp t="s">
        <v>#N/A N/A</v>
        <stp/>
        <stp>BDP|3232291526682411518</stp>
        <tr r="B3615" s="2"/>
      </tp>
      <tp t="s">
        <v>#N/A N/A</v>
        <stp/>
        <stp>BDP|6594734333312439490</stp>
        <tr r="C1838" s="2"/>
      </tp>
      <tp t="s">
        <v>#N/A N/A</v>
        <stp/>
        <stp>BDP|9709720993731697282</stp>
        <tr r="A4174" s="2"/>
      </tp>
      <tp t="s">
        <v>#N/A N/A</v>
        <stp/>
        <stp>BDP|9983301385507514111</stp>
        <tr r="A3133" s="2"/>
      </tp>
      <tp t="s">
        <v>#N/A N/A</v>
        <stp/>
        <stp>BDP|5331992511041142829</stp>
        <tr r="I1115" s="2"/>
      </tp>
      <tp t="s">
        <v>#N/A N/A</v>
        <stp/>
        <stp>BDP|6465143359065103309</stp>
        <tr r="B4929" s="2"/>
      </tp>
      <tp t="s">
        <v>#N/A N/A</v>
        <stp/>
        <stp>BDP|7962497960512994311</stp>
        <tr r="C895" s="2"/>
      </tp>
      <tp t="s">
        <v>#N/A N/A</v>
        <stp/>
        <stp>BDP|9749708780756615496</stp>
        <tr r="H3686" s="2"/>
      </tp>
      <tp t="s">
        <v>#N/A N/A</v>
        <stp/>
        <stp>BDP|3577778363497812116</stp>
        <tr r="F4451" s="2"/>
      </tp>
      <tp t="s">
        <v>#N/A N/A</v>
        <stp/>
        <stp>BDP|6809726152620299026</stp>
        <tr r="B994" s="2"/>
      </tp>
      <tp t="s">
        <v>#N/A N/A</v>
        <stp/>
        <stp>BDP|2655434268921659532</stp>
        <tr r="H1975" s="2"/>
      </tp>
      <tp t="s">
        <v>#N/A N/A</v>
        <stp/>
        <stp>BDP|3401349451385103485</stp>
        <tr r="F3602" s="2"/>
      </tp>
      <tp t="s">
        <v>#N/A N/A</v>
        <stp/>
        <stp>BDP|3906404804803060054</stp>
        <tr r="C377" s="2"/>
      </tp>
      <tp t="s">
        <v>#N/A N/A</v>
        <stp/>
        <stp>BDP|6835218505961288164</stp>
        <tr r="I1831" s="2"/>
      </tp>
      <tp t="s">
        <v>#N/A N/A</v>
        <stp/>
        <stp>BDP|7145316294489495081</stp>
        <tr r="A715" s="2"/>
      </tp>
      <tp t="s">
        <v>#N/A N/A</v>
        <stp/>
        <stp>BDP|7074033970637838330</stp>
        <tr r="H4308" s="2"/>
      </tp>
      <tp t="s">
        <v>#N/A N/A</v>
        <stp/>
        <stp>BDP|5552884400961400819</stp>
        <tr r="F950" s="2"/>
      </tp>
      <tp t="s">
        <v>#N/A N/A</v>
        <stp/>
        <stp>BDP|1177697635688208877</stp>
        <tr r="B3847" s="2"/>
      </tp>
      <tp t="s">
        <v>#N/A N/A</v>
        <stp/>
        <stp>BDP|6386369010630404096</stp>
        <tr r="A4125" s="2"/>
      </tp>
      <tp t="s">
        <v>#N/A N/A</v>
        <stp/>
        <stp>BDP|7007033205521846263</stp>
        <tr r="G2522" s="2"/>
      </tp>
      <tp t="s">
        <v>#N/A N/A</v>
        <stp/>
        <stp>BDP|9251521282314860420</stp>
        <tr r="H2853" s="2"/>
      </tp>
      <tp t="s">
        <v>#N/A N/A</v>
        <stp/>
        <stp>BDP|1948531437556204571</stp>
        <tr r="C1252" s="2"/>
      </tp>
      <tp t="s">
        <v>#N/A N/A</v>
        <stp/>
        <stp>BDP|4454184915274865494</stp>
        <tr r="G3447" s="2"/>
      </tp>
      <tp t="s">
        <v>#N/A N/A</v>
        <stp/>
        <stp>BDP|5373805754744768882</stp>
        <tr r="I85" s="2"/>
      </tp>
      <tp t="s">
        <v>#N/A N/A</v>
        <stp/>
        <stp>BDP|3853131669247845722</stp>
        <tr r="H3885" s="2"/>
      </tp>
      <tp t="s">
        <v>#N/A N/A</v>
        <stp/>
        <stp>BDP|5920977475756013933</stp>
        <tr r="H4185" s="2"/>
      </tp>
      <tp t="s">
        <v>#N/A N/A</v>
        <stp/>
        <stp>BDP|5550950603099953120</stp>
        <tr r="A1008" s="2"/>
      </tp>
      <tp t="s">
        <v>#N/A N/A</v>
        <stp/>
        <stp>BDP|3836000510252399438</stp>
        <tr r="F453" s="2"/>
      </tp>
      <tp t="s">
        <v>#N/A N/A</v>
        <stp/>
        <stp>BDP|7732396533272614135</stp>
        <tr r="H627" s="2"/>
      </tp>
      <tp t="s">
        <v>#N/A N/A</v>
        <stp/>
        <stp>BDP|4268250817974852709</stp>
        <tr r="C2246" s="2"/>
      </tp>
      <tp t="s">
        <v>#N/A N/A</v>
        <stp/>
        <stp>BDP|5736741950797372480</stp>
        <tr r="A531" s="2"/>
      </tp>
      <tp t="s">
        <v>#N/A N/A</v>
        <stp/>
        <stp>BDP|6207587611514794249</stp>
        <tr r="A668" s="2"/>
      </tp>
      <tp t="s">
        <v>#N/A N/A</v>
        <stp/>
        <stp>BDP|6256514607547416087</stp>
        <tr r="G4708" s="2"/>
      </tp>
      <tp t="s">
        <v>#N/A N/A</v>
        <stp/>
        <stp>BDP|3519084911873484507</stp>
        <tr r="C2465" s="2"/>
      </tp>
      <tp t="s">
        <v>#N/A N/A</v>
        <stp/>
        <stp>BDP|7537436888529723610</stp>
        <tr r="D3148" s="2"/>
      </tp>
      <tp t="s">
        <v>#N/A N/A</v>
        <stp/>
        <stp>BDP|5253117112798164981</stp>
        <tr r="I2224" s="2"/>
      </tp>
      <tp t="s">
        <v>#N/A N/A</v>
        <stp/>
        <stp>BDP|6679465490529807605</stp>
        <tr r="D2285" s="2"/>
      </tp>
      <tp t="s">
        <v>#N/A N/A</v>
        <stp/>
        <stp>BDP|3217316427837996153</stp>
        <tr r="A3620" s="2"/>
      </tp>
      <tp t="s">
        <v>#N/A N/A</v>
        <stp/>
        <stp>BDP|9016159335408013788</stp>
        <tr r="F2443" s="2"/>
      </tp>
      <tp t="s">
        <v>#N/A N/A</v>
        <stp/>
        <stp>BDP|1319453306332138397</stp>
        <tr r="D108" s="2"/>
      </tp>
      <tp t="s">
        <v>#N/A N/A</v>
        <stp/>
        <stp>BDP|3775194603895398367</stp>
        <tr r="F5000" s="2"/>
      </tp>
      <tp t="s">
        <v>#N/A N/A</v>
        <stp/>
        <stp>BDP|3201081316397025145</stp>
        <tr r="B235" s="2"/>
      </tp>
      <tp t="s">
        <v>#N/A N/A</v>
        <stp/>
        <stp>BDP|3558538210297832468</stp>
        <tr r="F260" s="2"/>
      </tp>
      <tp t="s">
        <v>#N/A N/A</v>
        <stp/>
        <stp>BDP|1808067414780538477</stp>
        <tr r="C2636" s="2"/>
      </tp>
      <tp t="s">
        <v>#N/A N/A</v>
        <stp/>
        <stp>BDP|9657445315169779182</stp>
        <tr r="D4934" s="2"/>
      </tp>
      <tp t="s">
        <v>#N/A N/A</v>
        <stp/>
        <stp>BDP|4820714031341860584</stp>
        <tr r="D2107" s="2"/>
      </tp>
      <tp t="s">
        <v>#N/A N/A</v>
        <stp/>
        <stp>BDP|1433703548402716432</stp>
        <tr r="C3542" s="2"/>
      </tp>
      <tp t="s">
        <v>#N/A N/A</v>
        <stp/>
        <stp>BDP|9303945801580660481</stp>
        <tr r="H4639" s="2"/>
      </tp>
      <tp t="s">
        <v>#N/A N/A</v>
        <stp/>
        <stp>BDP|4596215799943628830</stp>
        <tr r="F2522" s="2"/>
      </tp>
      <tp t="s">
        <v>#N/A N/A</v>
        <stp/>
        <stp>BDP|3108416009630624375</stp>
        <tr r="F1810" s="2"/>
      </tp>
      <tp t="s">
        <v>#N/A N/A</v>
        <stp/>
        <stp>BDP|4468513258213343364</stp>
        <tr r="C4004" s="2"/>
      </tp>
      <tp t="s">
        <v>#N/A N/A</v>
        <stp/>
        <stp>BDP|8359973368214163755</stp>
        <tr r="I3622" s="2"/>
      </tp>
      <tp t="s">
        <v>#N/A N/A</v>
        <stp/>
        <stp>BDP|6621930430420433893</stp>
        <tr r="B4992" s="2"/>
      </tp>
      <tp t="s">
        <v>#N/A N/A</v>
        <stp/>
        <stp>BDP|6951336703075064413</stp>
        <tr r="B4734" s="2"/>
      </tp>
      <tp t="s">
        <v>#N/A N/A</v>
        <stp/>
        <stp>BDP|7321376419234514501</stp>
        <tr r="H579" s="2"/>
      </tp>
      <tp t="s">
        <v>#N/A N/A</v>
        <stp/>
        <stp>BDP|6582276973476140188</stp>
        <tr r="H1099" s="2"/>
      </tp>
      <tp t="s">
        <v>#N/A N/A</v>
        <stp/>
        <stp>BDP|4941723671090406061</stp>
        <tr r="F4596" s="2"/>
      </tp>
      <tp t="s">
        <v>#N/A N/A</v>
        <stp/>
        <stp>BDP|1579100081059966557</stp>
        <tr r="F2730" s="2"/>
      </tp>
      <tp t="s">
        <v>#N/A N/A</v>
        <stp/>
        <stp>BDP|5137732278404557569</stp>
        <tr r="A3110" s="2"/>
      </tp>
      <tp t="s">
        <v>#N/A N/A</v>
        <stp/>
        <stp>BDP|6814799182324839921</stp>
        <tr r="D854" s="2"/>
      </tp>
      <tp t="s">
        <v>#N/A N/A</v>
        <stp/>
        <stp>BDP|1977153926876556060</stp>
        <tr r="I2095" s="2"/>
      </tp>
      <tp t="s">
        <v>#N/A N/A</v>
        <stp/>
        <stp>BDP|3698002855720309295</stp>
        <tr r="G320" s="2"/>
      </tp>
      <tp t="s">
        <v>#N/A N/A</v>
        <stp/>
        <stp>BDP|5621340529893629340</stp>
        <tr r="I148" s="2"/>
      </tp>
      <tp t="s">
        <v>#N/A N/A</v>
        <stp/>
        <stp>BDP|4861765984866568965</stp>
        <tr r="I1274" s="2"/>
      </tp>
      <tp t="s">
        <v>#N/A N/A</v>
        <stp/>
        <stp>BDP|5796139409264382472</stp>
        <tr r="D2253" s="2"/>
      </tp>
      <tp t="s">
        <v>#N/A N/A</v>
        <stp/>
        <stp>BDP|4640827352284905969</stp>
        <tr r="G2334" s="2"/>
      </tp>
      <tp t="s">
        <v>#N/A N/A</v>
        <stp/>
        <stp>BDP|6228408046251964346</stp>
        <tr r="I2715" s="2"/>
      </tp>
      <tp t="s">
        <v>#N/A N/A</v>
        <stp/>
        <stp>BDP|5310865681937871651</stp>
        <tr r="A3337" s="2"/>
      </tp>
      <tp t="s">
        <v>#N/A N/A</v>
        <stp/>
        <stp>BDP|7880200235443462101</stp>
        <tr r="F2396" s="2"/>
      </tp>
      <tp t="s">
        <v>#N/A N/A</v>
        <stp/>
        <stp>BDP|4985239049620887624</stp>
        <tr r="I1814" s="2"/>
      </tp>
      <tp t="s">
        <v>#N/A N/A</v>
        <stp/>
        <stp>BDP|7596696374707124501</stp>
        <tr r="F2112" s="2"/>
      </tp>
      <tp t="s">
        <v>#N/A N/A</v>
        <stp/>
        <stp>BDP|6783629243220881070</stp>
        <tr r="H3486" s="2"/>
      </tp>
      <tp t="s">
        <v>#N/A N/A</v>
        <stp/>
        <stp>BDP|5284080913427624765</stp>
        <tr r="D916" s="2"/>
      </tp>
      <tp t="s">
        <v>#N/A N/A</v>
        <stp/>
        <stp>BDP|2963779877352378431</stp>
        <tr r="F2219" s="2"/>
      </tp>
      <tp t="s">
        <v>#N/A N/A</v>
        <stp/>
        <stp>BDP|5257001762272197585</stp>
        <tr r="G1252" s="2"/>
      </tp>
      <tp t="s">
        <v>#N/A N/A</v>
        <stp/>
        <stp>BDP|4946869375489357606</stp>
        <tr r="F3666" s="2"/>
      </tp>
      <tp t="s">
        <v>#N/A N/A</v>
        <stp/>
        <stp>BDP|2890895999157847093</stp>
        <tr r="F977" s="2"/>
      </tp>
      <tp t="s">
        <v>#N/A N/A</v>
        <stp/>
        <stp>BDP|5292660848471033253</stp>
        <tr r="B1838" s="2"/>
      </tp>
      <tp t="s">
        <v>#N/A N/A</v>
        <stp/>
        <stp>BDP|4869268406615036716</stp>
        <tr r="F730" s="2"/>
      </tp>
      <tp t="s">
        <v>#N/A N/A</v>
        <stp/>
        <stp>BDP|8887157472519506336</stp>
        <tr r="C495" s="2"/>
      </tp>
      <tp t="s">
        <v>#N/A N/A</v>
        <stp/>
        <stp>BDP|6401640779802731177</stp>
        <tr r="A3910" s="2"/>
      </tp>
      <tp t="s">
        <v>#N/A N/A</v>
        <stp/>
        <stp>BDP|9801612367779495430</stp>
        <tr r="I4748" s="2"/>
      </tp>
      <tp t="s">
        <v>#N/A N/A</v>
        <stp/>
        <stp>BDP|9906920623843434557</stp>
        <tr r="C141" s="2"/>
      </tp>
      <tp t="s">
        <v>#N/A N/A</v>
        <stp/>
        <stp>BDP|1169034018973442773</stp>
        <tr r="G1014" s="2"/>
      </tp>
      <tp t="s">
        <v>#N/A N/A</v>
        <stp/>
        <stp>BDP|5207114841845865136</stp>
        <tr r="D2672" s="2"/>
      </tp>
      <tp t="s">
        <v>#N/A N/A</v>
        <stp/>
        <stp>BDP|5102576376752184186</stp>
        <tr r="G573" s="2"/>
      </tp>
      <tp t="s">
        <v>#N/A N/A</v>
        <stp/>
        <stp>BDP|9821578693867093654</stp>
        <tr r="A3025" s="2"/>
      </tp>
      <tp t="s">
        <v>#N/A N/A</v>
        <stp/>
        <stp>BDP|7721289267571148605</stp>
        <tr r="D405" s="2"/>
      </tp>
      <tp t="s">
        <v>#N/A N/A</v>
        <stp/>
        <stp>BDP|6681464496578776780</stp>
        <tr r="A177" s="2"/>
      </tp>
      <tp t="s">
        <v>#N/A N/A</v>
        <stp/>
        <stp>BDP|6696760648125632475</stp>
        <tr r="A4918" s="2"/>
      </tp>
      <tp t="s">
        <v>#N/A N/A</v>
        <stp/>
        <stp>BDP|8303379691055850342</stp>
        <tr r="D2025" s="2"/>
      </tp>
      <tp t="s">
        <v>#N/A N/A</v>
        <stp/>
        <stp>BDP|9833399893583813430</stp>
        <tr r="A3603" s="2"/>
      </tp>
      <tp t="s">
        <v>#N/A N/A</v>
        <stp/>
        <stp>BDP|2185533422332150383</stp>
        <tr r="D4532" s="2"/>
      </tp>
      <tp t="s">
        <v>#N/A N/A</v>
        <stp/>
        <stp>BDP|3393922339165944880</stp>
        <tr r="H478" s="2"/>
      </tp>
      <tp t="s">
        <v>#N/A N/A</v>
        <stp/>
        <stp>BDP|2525574888993487879</stp>
        <tr r="B4972" s="2"/>
      </tp>
      <tp t="s">
        <v>#N/A N/A</v>
        <stp/>
        <stp>BDP|5724459848548755945</stp>
        <tr r="G3614" s="2"/>
      </tp>
      <tp t="s">
        <v>#N/A N/A</v>
        <stp/>
        <stp>BDP|3827787154565898057</stp>
        <tr r="D4271" s="2"/>
      </tp>
      <tp t="s">
        <v>#N/A N/A</v>
        <stp/>
        <stp>BDP|3380666123723805078</stp>
        <tr r="D2347" s="2"/>
      </tp>
      <tp t="s">
        <v>#N/A N/A</v>
        <stp/>
        <stp>BDP|5077795827762679613</stp>
        <tr r="C2673" s="2"/>
      </tp>
      <tp t="s">
        <v>#N/A N/A</v>
        <stp/>
        <stp>BDP|1212666477327319394</stp>
        <tr r="H1801" s="2"/>
      </tp>
      <tp t="s">
        <v>#N/A N/A</v>
        <stp/>
        <stp>BDP|5125182457694623115</stp>
        <tr r="C3130" s="2"/>
      </tp>
      <tp t="s">
        <v>#N/A N/A</v>
        <stp/>
        <stp>BDP|5939654209773869446</stp>
        <tr r="C2618" s="2"/>
      </tp>
      <tp t="s">
        <v>#N/A N/A</v>
        <stp/>
        <stp>BDP|6098289632093444074</stp>
        <tr r="D4018" s="2"/>
      </tp>
      <tp t="s">
        <v>#N/A N/A</v>
        <stp/>
        <stp>BDP|2349094162016796669</stp>
        <tr r="D870" s="2"/>
      </tp>
      <tp t="s">
        <v>#N/A N/A</v>
        <stp/>
        <stp>BDP|7523033627696043783</stp>
        <tr r="D975" s="2"/>
      </tp>
      <tp t="s">
        <v>#N/A N/A</v>
        <stp/>
        <stp>BDP|6779124060295438082</stp>
        <tr r="I947" s="2"/>
      </tp>
      <tp t="s">
        <v>#N/A N/A</v>
        <stp/>
        <stp>BDP|3220266331003846542</stp>
        <tr r="B506" s="2"/>
      </tp>
      <tp t="s">
        <v>#N/A N/A</v>
        <stp/>
        <stp>BDP|5620682264082502362</stp>
        <tr r="I3296" s="2"/>
      </tp>
      <tp t="s">
        <v>#N/A N/A</v>
        <stp/>
        <stp>BDP|5104085104827582610</stp>
        <tr r="I2449" s="2"/>
      </tp>
      <tp t="s">
        <v>#N/A N/A</v>
        <stp/>
        <stp>BDP|1865720035218045965</stp>
        <tr r="C4132" s="2"/>
      </tp>
      <tp t="s">
        <v>#N/A N/A</v>
        <stp/>
        <stp>BDP|5209614389169553665</stp>
        <tr r="D2365" s="2"/>
      </tp>
      <tp t="s">
        <v>#N/A N/A</v>
        <stp/>
        <stp>BDP|8259063787093353797</stp>
        <tr r="D424" s="2"/>
      </tp>
      <tp t="s">
        <v>#N/A N/A</v>
        <stp/>
        <stp>BDP|8315590132412544845</stp>
        <tr r="B1564" s="2"/>
      </tp>
      <tp t="s">
        <v>#N/A N/A</v>
        <stp/>
        <stp>BDP|3523146265393404393</stp>
        <tr r="C4908" s="2"/>
      </tp>
      <tp t="s">
        <v>#N/A N/A</v>
        <stp/>
        <stp>BDP|1083374163553492397</stp>
        <tr r="A2030" s="2"/>
      </tp>
      <tp t="s">
        <v>#N/A N/A</v>
        <stp/>
        <stp>BDP|1391212038133797744</stp>
        <tr r="B2329" s="2"/>
      </tp>
      <tp t="s">
        <v>#N/A N/A</v>
        <stp/>
        <stp>BDP|2881163456886758461</stp>
        <tr r="H1495" s="2"/>
      </tp>
      <tp t="s">
        <v>#N/A N/A</v>
        <stp/>
        <stp>BDP|5974905527023605915</stp>
        <tr r="I2581" s="2"/>
      </tp>
      <tp t="s">
        <v>#N/A N/A</v>
        <stp/>
        <stp>BDP|7892439766257557610</stp>
        <tr r="F1950" s="2"/>
      </tp>
      <tp t="s">
        <v>#N/A N/A</v>
        <stp/>
        <stp>BDP|2514844239109447457</stp>
        <tr r="F1386" s="2"/>
      </tp>
      <tp t="s">
        <v>#N/A N/A</v>
        <stp/>
        <stp>BDP|7975772516705743061</stp>
        <tr r="H2753" s="2"/>
      </tp>
      <tp t="s">
        <v>#N/A N/A</v>
        <stp/>
        <stp>BDP|1744395810622638512</stp>
        <tr r="D955" s="2"/>
      </tp>
      <tp t="s">
        <v>#N/A N/A</v>
        <stp/>
        <stp>BDP|1153203065131412090</stp>
        <tr r="A3321" s="2"/>
      </tp>
      <tp t="s">
        <v>#N/A N/A</v>
        <stp/>
        <stp>BDP|2671307276707171586</stp>
        <tr r="G2849" s="2"/>
      </tp>
      <tp t="s">
        <v>#N/A N/A</v>
        <stp/>
        <stp>BDP|9743291133335199959</stp>
        <tr r="G2296" s="2"/>
      </tp>
      <tp t="s">
        <v>#N/A N/A</v>
        <stp/>
        <stp>BDP|8547984673421883385</stp>
        <tr r="C1738" s="2"/>
      </tp>
      <tp t="s">
        <v>#N/A N/A</v>
        <stp/>
        <stp>BDP|3648457930985568585</stp>
        <tr r="I3992" s="2"/>
      </tp>
      <tp t="s">
        <v>#N/A N/A</v>
        <stp/>
        <stp>BDP|1384196764283857180</stp>
        <tr r="F2703" s="2"/>
      </tp>
      <tp t="s">
        <v>#N/A N/A</v>
        <stp/>
        <stp>BDP|8150865969334131619</stp>
        <tr r="H1228" s="2"/>
      </tp>
      <tp t="s">
        <v>#N/A N/A</v>
        <stp/>
        <stp>BDP|9936828220490446712</stp>
        <tr r="F2515" s="2"/>
      </tp>
      <tp t="s">
        <v>#N/A N/A</v>
        <stp/>
        <stp>BDP|1670798519603961017</stp>
        <tr r="H3127" s="2"/>
      </tp>
      <tp t="s">
        <v>#N/A N/A</v>
        <stp/>
        <stp>BDP|8363369749543652847</stp>
        <tr r="G1840" s="2"/>
      </tp>
      <tp t="s">
        <v>#N/A N/A</v>
        <stp/>
        <stp>BDP|8951163993104464069</stp>
        <tr r="H432" s="2"/>
      </tp>
      <tp t="s">
        <v>#N/A N/A</v>
        <stp/>
        <stp>BDP|3083155956747445496</stp>
        <tr r="H209" s="2"/>
      </tp>
      <tp t="s">
        <v>#N/A N/A</v>
        <stp/>
        <stp>BDP|4827890170679877678</stp>
        <tr r="F4157" s="2"/>
      </tp>
      <tp t="s">
        <v>#N/A N/A</v>
        <stp/>
        <stp>BDP|5805326434914077503</stp>
        <tr r="G4404" s="2"/>
      </tp>
      <tp t="s">
        <v>#N/A N/A</v>
        <stp/>
        <stp>BDP|4570251267225160189</stp>
        <tr r="B3689" s="2"/>
      </tp>
      <tp t="s">
        <v>#N/A N/A</v>
        <stp/>
        <stp>BDP|1891753758187390089</stp>
        <tr r="C282" s="2"/>
      </tp>
      <tp t="s">
        <v>#N/A N/A</v>
        <stp/>
        <stp>BDP|2703603839505683665</stp>
        <tr r="G1428" s="2"/>
      </tp>
      <tp t="s">
        <v>#N/A N/A</v>
        <stp/>
        <stp>BDP|4851146883610162908</stp>
        <tr r="H2470" s="2"/>
      </tp>
      <tp t="s">
        <v>#N/A N/A</v>
        <stp/>
        <stp>BDP|9340057838978584659</stp>
        <tr r="A3187" s="2"/>
      </tp>
      <tp t="s">
        <v>#N/A N/A</v>
        <stp/>
        <stp>BDP|5297124748577302352</stp>
        <tr r="F119" s="2"/>
      </tp>
      <tp t="s">
        <v>#N/A N/A</v>
        <stp/>
        <stp>BDP|5670231409820043320</stp>
        <tr r="H2154" s="2"/>
      </tp>
      <tp t="s">
        <v>#N/A N/A</v>
        <stp/>
        <stp>BDP|7916063425408695925</stp>
        <tr r="G3338" s="2"/>
      </tp>
      <tp t="s">
        <v>#N/A N/A</v>
        <stp/>
        <stp>BDP|8173299923545149945</stp>
        <tr r="B4386" s="2"/>
      </tp>
      <tp t="s">
        <v>#N/A N/A</v>
        <stp/>
        <stp>BDP|9764187605614542819</stp>
        <tr r="I2932" s="2"/>
      </tp>
      <tp t="s">
        <v>#N/A N/A</v>
        <stp/>
        <stp>BDP|8260267908926124830</stp>
        <tr r="C2707" s="2"/>
      </tp>
      <tp t="s">
        <v>#N/A N/A</v>
        <stp/>
        <stp>BDP|5252878082331050096</stp>
        <tr r="G4101" s="2"/>
      </tp>
      <tp t="s">
        <v>#N/A N/A</v>
        <stp/>
        <stp>BDP|8412339948618101303</stp>
        <tr r="B4421" s="2"/>
      </tp>
      <tp t="s">
        <v>#N/A N/A</v>
        <stp/>
        <stp>BDP|9779779273464956942</stp>
        <tr r="B2151" s="2"/>
      </tp>
      <tp t="s">
        <v>#N/A N/A</v>
        <stp/>
        <stp>BDP|1764018933314867237</stp>
        <tr r="F334" s="2"/>
      </tp>
      <tp t="s">
        <v>#N/A N/A</v>
        <stp/>
        <stp>BDP|6892630343103516336</stp>
        <tr r="H1949" s="2"/>
      </tp>
      <tp t="s">
        <v>#N/A N/A</v>
        <stp/>
        <stp>BDP|2982077042502740051</stp>
        <tr r="H924" s="2"/>
      </tp>
      <tp t="s">
        <v>#N/A N/A</v>
        <stp/>
        <stp>BDP|7988335364271590759</stp>
        <tr r="I4564" s="2"/>
      </tp>
      <tp t="s">
        <v>#N/A N/A</v>
        <stp/>
        <stp>BDP|6824854901433096924</stp>
        <tr r="H473" s="2"/>
      </tp>
      <tp t="s">
        <v>#N/A N/A</v>
        <stp/>
        <stp>BDP|7107366085669975159</stp>
        <tr r="D4336" s="2"/>
      </tp>
      <tp t="s">
        <v>#N/A N/A</v>
        <stp/>
        <stp>BDP|5136852588114077529</stp>
        <tr r="F968" s="2"/>
      </tp>
      <tp t="s">
        <v>#N/A N/A</v>
        <stp/>
        <stp>BDP|7495297321891317219</stp>
        <tr r="C4517" s="2"/>
      </tp>
      <tp t="s">
        <v>#N/A N/A</v>
        <stp/>
        <stp>BDP|7855485929157593226</stp>
        <tr r="F3151" s="2"/>
      </tp>
      <tp t="s">
        <v>#N/A N/A</v>
        <stp/>
        <stp>BDP|6916437700424104253</stp>
        <tr r="D2059" s="2"/>
      </tp>
      <tp t="s">
        <v>#N/A N/A</v>
        <stp/>
        <stp>BDP|2255936768201743804</stp>
        <tr r="A1863" s="2"/>
      </tp>
      <tp t="s">
        <v>#N/A N/A</v>
        <stp/>
        <stp>BDP|4680418124823911548</stp>
        <tr r="F1183" s="2"/>
      </tp>
      <tp t="s">
        <v>#N/A N/A</v>
        <stp/>
        <stp>BDP|2836465728439139990</stp>
        <tr r="H82" s="2"/>
      </tp>
      <tp t="s">
        <v>#N/A N/A</v>
        <stp/>
        <stp>BDP|3646759409513388371</stp>
        <tr r="B584" s="2"/>
      </tp>
      <tp t="s">
        <v>#N/A N/A</v>
        <stp/>
        <stp>BDP|7539361418233515200</stp>
        <tr r="D3853" s="2"/>
      </tp>
      <tp t="s">
        <v>#N/A N/A</v>
        <stp/>
        <stp>BDP|3222784605515153506</stp>
        <tr r="C4961" s="2"/>
      </tp>
      <tp t="s">
        <v>#N/A N/A</v>
        <stp/>
        <stp>BDP|4124424008627450315</stp>
        <tr r="H1696" s="2"/>
      </tp>
      <tp t="s">
        <v>#N/A N/A</v>
        <stp/>
        <stp>BDP|1474920615354576983</stp>
        <tr r="B4242" s="2"/>
      </tp>
      <tp t="s">
        <v>#N/A N/A</v>
        <stp/>
        <stp>BDP|6640875869514704814</stp>
        <tr r="D3566" s="2"/>
      </tp>
      <tp t="s">
        <v>#N/A N/A</v>
        <stp/>
        <stp>BDP|6329113186639203287</stp>
        <tr r="F211" s="2"/>
      </tp>
      <tp t="s">
        <v>#N/A N/A</v>
        <stp/>
        <stp>BDP|4494515554967762780</stp>
        <tr r="I3187" s="2"/>
      </tp>
      <tp t="s">
        <v>#N/A N/A</v>
        <stp/>
        <stp>BDP|4725625725664766094</stp>
        <tr r="A1934" s="2"/>
      </tp>
      <tp t="s">
        <v>#N/A N/A</v>
        <stp/>
        <stp>BDP|1825423150730514414</stp>
        <tr r="G2893" s="2"/>
      </tp>
      <tp t="s">
        <v>#N/A N/A</v>
        <stp/>
        <stp>BDP|7083600947517887616</stp>
        <tr r="C2964" s="2"/>
      </tp>
      <tp t="s">
        <v>#N/A N/A</v>
        <stp/>
        <stp>BDP|7235183081199561304</stp>
        <tr r="C3506" s="2"/>
      </tp>
      <tp t="s">
        <v>#N/A N/A</v>
        <stp/>
        <stp>BDP|1815202336990210428</stp>
        <tr r="F4211" s="2"/>
      </tp>
      <tp t="s">
        <v>#N/A N/A</v>
        <stp/>
        <stp>BDP|4244780164835169419</stp>
        <tr r="C2796" s="2"/>
      </tp>
      <tp t="s">
        <v>#N/A N/A</v>
        <stp/>
        <stp>BDP|4705576745314258593</stp>
        <tr r="F4727" s="2"/>
      </tp>
      <tp t="s">
        <v>#N/A N/A</v>
        <stp/>
        <stp>BDP|1701306438075334027</stp>
        <tr r="A4346" s="2"/>
      </tp>
      <tp t="s">
        <v>#N/A N/A</v>
        <stp/>
        <stp>BDP|9281191544859446157</stp>
        <tr r="F1606" s="2"/>
      </tp>
      <tp t="s">
        <v>#N/A N/A</v>
        <stp/>
        <stp>BDP|6767973689391139267</stp>
        <tr r="A3147" s="2"/>
      </tp>
      <tp t="s">
        <v>#N/A N/A</v>
        <stp/>
        <stp>BDP|7323155941232810416</stp>
        <tr r="C4312" s="2"/>
      </tp>
      <tp t="s">
        <v>#N/A N/A</v>
        <stp/>
        <stp>BDP|4702626508975685352</stp>
        <tr r="H161" s="2"/>
      </tp>
      <tp t="s">
        <v>#N/A N/A</v>
        <stp/>
        <stp>BDP|9246301719679531605</stp>
        <tr r="D2633" s="2"/>
      </tp>
      <tp t="s">
        <v>#N/A N/A</v>
        <stp/>
        <stp>BDP|5741835399177155720</stp>
        <tr r="F924" s="2"/>
      </tp>
      <tp t="s">
        <v>#N/A N/A</v>
        <stp/>
        <stp>BDP|5500451226906850108</stp>
        <tr r="C1260" s="2"/>
      </tp>
      <tp t="s">
        <v>#N/A N/A</v>
        <stp/>
        <stp>BDP|5940135923054721606</stp>
        <tr r="H2929" s="2"/>
      </tp>
      <tp t="s">
        <v>#N/A N/A</v>
        <stp/>
        <stp>BDP|5494812088836429774</stp>
        <tr r="D851" s="2"/>
      </tp>
      <tp t="s">
        <v>#N/A N/A</v>
        <stp/>
        <stp>BDP|6087783595939117527</stp>
        <tr r="H3220" s="2"/>
      </tp>
      <tp t="s">
        <v>#N/A N/A</v>
        <stp/>
        <stp>BDP|9344786802388413234</stp>
        <tr r="I1409" s="2"/>
      </tp>
      <tp t="s">
        <v>#N/A N/A</v>
        <stp/>
        <stp>BDP|2933775460417116017</stp>
        <tr r="G4426" s="2"/>
      </tp>
      <tp t="s">
        <v>#N/A N/A</v>
        <stp/>
        <stp>BDP|3160056751345832734</stp>
        <tr r="A1434" s="2"/>
      </tp>
      <tp t="s">
        <v>#N/A N/A</v>
        <stp/>
        <stp>BDP|4777771560431705095</stp>
        <tr r="G3020" s="2"/>
      </tp>
      <tp t="s">
        <v>#N/A N/A</v>
        <stp/>
        <stp>BDP|5278451207983687680</stp>
        <tr r="C4653" s="2"/>
      </tp>
      <tp t="s">
        <v>#N/A N/A</v>
        <stp/>
        <stp>BDP|3503927398133302421</stp>
        <tr r="A1939" s="2"/>
      </tp>
      <tp t="s">
        <v>#N/A N/A</v>
        <stp/>
        <stp>BDP|8992647392407293434</stp>
        <tr r="D2947" s="2"/>
      </tp>
      <tp t="s">
        <v>#N/A N/A</v>
        <stp/>
        <stp>BDP|2973469853351193633</stp>
        <tr r="H4256" s="2"/>
      </tp>
      <tp t="s">
        <v>#N/A N/A</v>
        <stp/>
        <stp>BDP|9479565923288660291</stp>
        <tr r="B2281" s="2"/>
      </tp>
      <tp t="s">
        <v>#N/A N/A</v>
        <stp/>
        <stp>BDP|3738292336820580636</stp>
        <tr r="D4601" s="2"/>
      </tp>
      <tp t="s">
        <v>#N/A N/A</v>
        <stp/>
        <stp>BDP|2716454687392892838</stp>
        <tr r="D1194" s="2"/>
      </tp>
      <tp t="s">
        <v>#N/A N/A</v>
        <stp/>
        <stp>BDP|3424550626451894119</stp>
        <tr r="D1394" s="2"/>
      </tp>
      <tp t="s">
        <v>#N/A N/A</v>
        <stp/>
        <stp>BDP|9730150498183514615</stp>
        <tr r="I2966" s="2"/>
      </tp>
      <tp t="s">
        <v>#N/A N/A</v>
        <stp/>
        <stp>BDP|3796819656819645395</stp>
        <tr r="H4489" s="2"/>
      </tp>
      <tp t="s">
        <v>#N/A N/A</v>
        <stp/>
        <stp>BDP|6815045523962648260</stp>
        <tr r="G3325" s="2"/>
      </tp>
      <tp t="s">
        <v>#N/A N/A</v>
        <stp/>
        <stp>BDP|5979476913473490764</stp>
        <tr r="D4411" s="2"/>
      </tp>
      <tp t="s">
        <v>#N/A N/A</v>
        <stp/>
        <stp>BDP|2417486441370245608</stp>
        <tr r="B2845" s="2"/>
      </tp>
      <tp t="s">
        <v>#N/A N/A</v>
        <stp/>
        <stp>BDP|5056581844311563169</stp>
        <tr r="B3624" s="2"/>
      </tp>
      <tp t="s">
        <v>#N/A N/A</v>
        <stp/>
        <stp>BDP|7054569969241775171</stp>
        <tr r="B2730" s="2"/>
      </tp>
      <tp t="s">
        <v>#N/A N/A</v>
        <stp/>
        <stp>BDP|1136002225253889433</stp>
        <tr r="F1456" s="2"/>
      </tp>
      <tp t="s">
        <v>#N/A N/A</v>
        <stp/>
        <stp>BDP|5693719939693355628</stp>
        <tr r="F2329" s="2"/>
      </tp>
      <tp t="s">
        <v>#N/A N/A</v>
        <stp/>
        <stp>BDP|5628495531392595446</stp>
        <tr r="G3140" s="2"/>
      </tp>
      <tp t="s">
        <v>#N/A N/A</v>
        <stp/>
        <stp>BDP|5964693395918277680</stp>
        <tr r="D3175" s="2"/>
      </tp>
      <tp t="s">
        <v>#N/A N/A</v>
        <stp/>
        <stp>BDP|3811005223777307278</stp>
        <tr r="H1147" s="2"/>
      </tp>
      <tp t="s">
        <v>#N/A N/A</v>
        <stp/>
        <stp>BDP|1122992297411477449</stp>
        <tr r="H922" s="2"/>
      </tp>
      <tp t="s">
        <v>#N/A N/A</v>
        <stp/>
        <stp>BDP|8235454459954035910</stp>
        <tr r="F3008" s="2"/>
      </tp>
      <tp t="s">
        <v>#N/A N/A</v>
        <stp/>
        <stp>BDP|3761499514243153145</stp>
        <tr r="F94" s="2"/>
      </tp>
      <tp t="s">
        <v>#N/A N/A</v>
        <stp/>
        <stp>BDP|8457183707484386977</stp>
        <tr r="B139" s="2"/>
      </tp>
      <tp t="s">
        <v>#N/A N/A</v>
        <stp/>
        <stp>BDP|9297503290089922845</stp>
        <tr r="I4079" s="2"/>
      </tp>
      <tp t="s">
        <v>#N/A N/A</v>
        <stp/>
        <stp>BDP|2498995397145436313</stp>
        <tr r="D3744" s="2"/>
      </tp>
      <tp t="s">
        <v>#N/A N/A</v>
        <stp/>
        <stp>BDP|4122592362586295570</stp>
        <tr r="A1457" s="2"/>
      </tp>
      <tp t="s">
        <v>#N/A N/A</v>
        <stp/>
        <stp>BDP|5847306110525595621</stp>
        <tr r="D1018" s="2"/>
      </tp>
      <tp t="s">
        <v>#N/A N/A</v>
        <stp/>
        <stp>BDP|9598464710359835142</stp>
        <tr r="I1966" s="2"/>
      </tp>
      <tp t="s">
        <v>#N/A N/A</v>
        <stp/>
        <stp>BDP|3497043543397822444</stp>
        <tr r="A1226" s="2"/>
      </tp>
      <tp t="s">
        <v>#N/A N/A</v>
        <stp/>
        <stp>BDP|6085211163600520683</stp>
        <tr r="B2219" s="2"/>
      </tp>
      <tp t="s">
        <v>#N/A N/A</v>
        <stp/>
        <stp>BDP|4450798589848823736</stp>
        <tr r="H646" s="2"/>
      </tp>
      <tp t="s">
        <v>#N/A N/A</v>
        <stp/>
        <stp>BDP|6596182870922601643</stp>
        <tr r="D1333" s="2"/>
      </tp>
      <tp t="s">
        <v>#N/A N/A</v>
        <stp/>
        <stp>BDP|8302704188290130354</stp>
        <tr r="F1133" s="2"/>
      </tp>
      <tp t="s">
        <v>#N/A N/A</v>
        <stp/>
        <stp>BDP|1160348892969949613</stp>
        <tr r="G3324" s="2"/>
      </tp>
      <tp t="s">
        <v>#N/A N/A</v>
        <stp/>
        <stp>BDP|2741107061165804412</stp>
        <tr r="A4227" s="2"/>
      </tp>
      <tp t="s">
        <v>#N/A N/A</v>
        <stp/>
        <stp>BDP|5677421984708670596</stp>
        <tr r="D4448" s="2"/>
      </tp>
      <tp t="s">
        <v>#N/A N/A</v>
        <stp/>
        <stp>BDP|6135781681888091573</stp>
        <tr r="D2650" s="2"/>
      </tp>
      <tp t="s">
        <v>#N/A N/A</v>
        <stp/>
        <stp>BDP|4181398013021527311</stp>
        <tr r="H3419" s="2"/>
      </tp>
      <tp t="s">
        <v>#N/A N/A</v>
        <stp/>
        <stp>BDP|3589583623332989283</stp>
        <tr r="G2159" s="2"/>
      </tp>
      <tp t="s">
        <v>#N/A N/A</v>
        <stp/>
        <stp>BDP|9016688336320011818</stp>
        <tr r="F4217" s="2"/>
      </tp>
      <tp t="s">
        <v>#N/A N/A</v>
        <stp/>
        <stp>BDP|6568484883209947787</stp>
        <tr r="A4275" s="2"/>
      </tp>
      <tp t="s">
        <v>#N/A N/A</v>
        <stp/>
        <stp>BDP|3012040346921982243</stp>
        <tr r="A4648" s="2"/>
      </tp>
      <tp t="s">
        <v>#N/A N/A</v>
        <stp/>
        <stp>BDP|7723934897086432586</stp>
        <tr r="F3365" s="2"/>
      </tp>
      <tp t="s">
        <v>#N/A N/A</v>
        <stp/>
        <stp>BDP|8049180363492543916</stp>
        <tr r="I4014" s="2"/>
      </tp>
      <tp t="s">
        <v>#N/A N/A</v>
        <stp/>
        <stp>BDP|2717786955445227173</stp>
        <tr r="F1154" s="2"/>
      </tp>
      <tp t="s">
        <v>#N/A N/A</v>
        <stp/>
        <stp>BDP|9659581854505656831</stp>
        <tr r="H1131" s="2"/>
      </tp>
      <tp t="s">
        <v>#N/A N/A</v>
        <stp/>
        <stp>BDP|2947210955516251701</stp>
        <tr r="D3991" s="2"/>
      </tp>
      <tp t="s">
        <v>#N/A N/A</v>
        <stp/>
        <stp>BDP|5866133127290770245</stp>
        <tr r="D29" s="2"/>
      </tp>
      <tp t="s">
        <v>#N/A N/A</v>
        <stp/>
        <stp>BDP|3234587339242536391</stp>
        <tr r="C2533" s="2"/>
      </tp>
      <tp t="s">
        <v>#N/A N/A</v>
        <stp/>
        <stp>BDP|8533385297023146546</stp>
        <tr r="A1191" s="2"/>
      </tp>
      <tp t="s">
        <v>#N/A N/A</v>
        <stp/>
        <stp>BDP|5745196753212675743</stp>
        <tr r="F2479" s="2"/>
      </tp>
      <tp t="s">
        <v>#N/A N/A</v>
        <stp/>
        <stp>BDP|5307723739476257356</stp>
        <tr r="D596" s="2"/>
      </tp>
      <tp t="s">
        <v>#N/A N/A</v>
        <stp/>
        <stp>BDP|2356371238566343001</stp>
        <tr r="A130" s="2"/>
      </tp>
      <tp t="s">
        <v>#N/A N/A</v>
        <stp/>
        <stp>BDP|5071295310987698506</stp>
        <tr r="D3797" s="2"/>
      </tp>
      <tp t="s">
        <v>#N/A N/A</v>
        <stp/>
        <stp>BDP|7215058028786691763</stp>
        <tr r="A625" s="2"/>
      </tp>
      <tp t="s">
        <v>#N/A N/A</v>
        <stp/>
        <stp>BDP|2178355208542460775</stp>
        <tr r="A2972" s="2"/>
      </tp>
      <tp t="s">
        <v>#N/A N/A</v>
        <stp/>
        <stp>BDP|2955420849051886759</stp>
        <tr r="C3359" s="2"/>
      </tp>
      <tp t="s">
        <v>#N/A N/A</v>
        <stp/>
        <stp>BDP|2959532487878384313</stp>
        <tr r="I1285" s="2"/>
      </tp>
      <tp t="s">
        <v>#N/A N/A</v>
        <stp/>
        <stp>BDP|4787524808974741155</stp>
        <tr r="B4115" s="2"/>
      </tp>
      <tp t="s">
        <v>#N/A N/A</v>
        <stp/>
        <stp>BDP|5969478924350630739</stp>
        <tr r="G3221" s="2"/>
      </tp>
      <tp t="s">
        <v>#N/A N/A</v>
        <stp/>
        <stp>BDP|6095275161882813412</stp>
        <tr r="D3707" s="2"/>
      </tp>
      <tp t="s">
        <v>#N/A N/A</v>
        <stp/>
        <stp>BDP|4077836793494721580</stp>
        <tr r="I4867" s="2"/>
      </tp>
      <tp t="s">
        <v>#N/A N/A</v>
        <stp/>
        <stp>BDP|9070345604569999769</stp>
        <tr r="G303" s="2"/>
      </tp>
      <tp t="s">
        <v>#N/A N/A</v>
        <stp/>
        <stp>BDP|6101664560174859607</stp>
        <tr r="D3124" s="2"/>
      </tp>
      <tp t="s">
        <v>#N/A N/A</v>
        <stp/>
        <stp>BDP|3310410729053006247</stp>
        <tr r="G3213" s="2"/>
      </tp>
      <tp t="s">
        <v>#N/A N/A</v>
        <stp/>
        <stp>BDP|9177282793751247770</stp>
        <tr r="B3938" s="2"/>
      </tp>
      <tp t="s">
        <v>#N/A N/A</v>
        <stp/>
        <stp>BDP|5329375927866588691</stp>
        <tr r="C614" s="2"/>
      </tp>
      <tp t="s">
        <v>#N/A N/A</v>
        <stp/>
        <stp>BDP|1539375834110038592</stp>
        <tr r="C317" s="2"/>
      </tp>
      <tp t="s">
        <v>#N/A N/A</v>
        <stp/>
        <stp>BDP|6871642341910134006</stp>
        <tr r="I270" s="2"/>
      </tp>
      <tp t="s">
        <v>#N/A N/A</v>
        <stp/>
        <stp>BDP|3812599825667866701</stp>
        <tr r="H2350" s="2"/>
      </tp>
      <tp t="s">
        <v>#N/A N/A</v>
        <stp/>
        <stp>BDP|6652988811122022837</stp>
        <tr r="A4016" s="2"/>
      </tp>
      <tp t="s">
        <v>#N/A N/A</v>
        <stp/>
        <stp>BDP|7745419736467880349</stp>
        <tr r="D2632" s="2"/>
      </tp>
      <tp t="s">
        <v>#N/A N/A</v>
        <stp/>
        <stp>BDP|6786538919237989182</stp>
        <tr r="I3929" s="2"/>
      </tp>
      <tp t="s">
        <v>#N/A N/A</v>
        <stp/>
        <stp>BDP|8097278638575656859</stp>
        <tr r="C385" s="2"/>
      </tp>
      <tp t="s">
        <v>#N/A N/A</v>
        <stp/>
        <stp>BDP|8574301873349351198</stp>
        <tr r="G3284" s="2"/>
      </tp>
      <tp t="s">
        <v>#N/A N/A</v>
        <stp/>
        <stp>BDP|3493529672444184197</stp>
        <tr r="H487" s="2"/>
      </tp>
      <tp t="s">
        <v>#N/A N/A</v>
        <stp/>
        <stp>BDP|1834599485440876802</stp>
        <tr r="A1591" s="2"/>
      </tp>
      <tp t="s">
        <v>#N/A N/A</v>
        <stp/>
        <stp>BDP|8766750598873221146</stp>
        <tr r="G4801" s="2"/>
      </tp>
      <tp t="s">
        <v>#N/A N/A</v>
        <stp/>
        <stp>BDP|8494005722106970830</stp>
        <tr r="I3629" s="2"/>
      </tp>
      <tp t="s">
        <v>#N/A N/A</v>
        <stp/>
        <stp>BDP|5590060246183916603</stp>
        <tr r="F3232" s="2"/>
      </tp>
      <tp t="s">
        <v>#N/A N/A</v>
        <stp/>
        <stp>BDP|3509486655733296562</stp>
        <tr r="A3832" s="2"/>
      </tp>
      <tp t="s">
        <v>#N/A N/A</v>
        <stp/>
        <stp>BDP|9874074705898151574</stp>
        <tr r="C2127" s="2"/>
      </tp>
      <tp t="s">
        <v>#N/A N/A</v>
        <stp/>
        <stp>BDP|3935512642155793314</stp>
        <tr r="D3901" s="2"/>
      </tp>
      <tp t="s">
        <v>#N/A N/A</v>
        <stp/>
        <stp>BDP|8017369333255941903</stp>
        <tr r="B4353" s="2"/>
      </tp>
      <tp t="s">
        <v>#N/A N/A</v>
        <stp/>
        <stp>BDP|6864111673656486225</stp>
        <tr r="A12" s="2"/>
      </tp>
      <tp t="s">
        <v>#N/A N/A</v>
        <stp/>
        <stp>BDP|8978686181895841741</stp>
        <tr r="A3073" s="2"/>
      </tp>
      <tp t="s">
        <v>#N/A N/A</v>
        <stp/>
        <stp>BDP|2061303638251281763</stp>
        <tr r="C4411" s="2"/>
      </tp>
      <tp t="s">
        <v>#N/A N/A</v>
        <stp/>
        <stp>BDP|2574447945795199392</stp>
        <tr r="I1509" s="2"/>
      </tp>
      <tp t="s">
        <v>#N/A N/A</v>
        <stp/>
        <stp>BDP|9755084746799782022</stp>
        <tr r="F1523" s="2"/>
      </tp>
      <tp t="s">
        <v>#N/A N/A</v>
        <stp/>
        <stp>BDP|3917042659712837008</stp>
        <tr r="F482" s="2"/>
      </tp>
      <tp t="s">
        <v>#N/A N/A</v>
        <stp/>
        <stp>BDP|4094461156816894746</stp>
        <tr r="D2332" s="2"/>
      </tp>
      <tp t="s">
        <v>#N/A N/A</v>
        <stp/>
        <stp>BDP|5291274513684335697</stp>
        <tr r="F1855" s="2"/>
      </tp>
      <tp t="s">
        <v>#N/A N/A</v>
        <stp/>
        <stp>BDP|3205854787611944658</stp>
        <tr r="G2382" s="2"/>
      </tp>
      <tp t="s">
        <v>#N/A N/A</v>
        <stp/>
        <stp>BDP|8848021294194220108</stp>
        <tr r="H1685" s="2"/>
      </tp>
      <tp t="s">
        <v>#N/A N/A</v>
        <stp/>
        <stp>BDP|4297367602197907431</stp>
        <tr r="A3473" s="2"/>
      </tp>
      <tp t="s">
        <v>#N/A N/A</v>
        <stp/>
        <stp>BDP|1029756528806345626</stp>
        <tr r="I950" s="2"/>
      </tp>
      <tp t="s">
        <v>#N/A N/A</v>
        <stp/>
        <stp>BDP|7195206272091924763</stp>
        <tr r="H937" s="2"/>
      </tp>
      <tp t="s">
        <v>#N/A N/A</v>
        <stp/>
        <stp>BDP|3839399154662852318</stp>
        <tr r="B3054" s="2"/>
      </tp>
      <tp t="s">
        <v>#N/A N/A</v>
        <stp/>
        <stp>BDP|1472294161999922899</stp>
        <tr r="I3337" s="2"/>
      </tp>
      <tp t="s">
        <v>#N/A N/A</v>
        <stp/>
        <stp>BDP|7289421318291539719</stp>
        <tr r="H3626" s="2"/>
      </tp>
      <tp t="s">
        <v>#N/A N/A</v>
        <stp/>
        <stp>BDP|8457246559809332268</stp>
        <tr r="A180" s="2"/>
      </tp>
      <tp t="s">
        <v>#N/A N/A</v>
        <stp/>
        <stp>BDP|6035467660612953237</stp>
        <tr r="D2805" s="2"/>
      </tp>
      <tp t="s">
        <v>#N/A N/A</v>
        <stp/>
        <stp>BDP|4592510593074289891</stp>
        <tr r="I2186" s="2"/>
      </tp>
      <tp t="s">
        <v>#N/A N/A</v>
        <stp/>
        <stp>BDP|1404405008224140510</stp>
        <tr r="B4571" s="2"/>
      </tp>
      <tp t="s">
        <v>#N/A N/A</v>
        <stp/>
        <stp>BDP|3211402349056640114</stp>
        <tr r="C1444" s="2"/>
      </tp>
      <tp t="s">
        <v>#N/A N/A</v>
        <stp/>
        <stp>BDP|4834157713779698949</stp>
        <tr r="C1178" s="2"/>
      </tp>
      <tp t="s">
        <v>#N/A N/A</v>
        <stp/>
        <stp>BDP|2738797496111370971</stp>
        <tr r="A78" s="2"/>
      </tp>
      <tp t="s">
        <v>#N/A N/A</v>
        <stp/>
        <stp>BDP|1341554415228679996</stp>
        <tr r="I924" s="2"/>
      </tp>
      <tp t="s">
        <v>#N/A N/A</v>
        <stp/>
        <stp>BDP|8831564894462601200</stp>
        <tr r="D1593" s="2"/>
      </tp>
      <tp t="s">
        <v>#N/A N/A</v>
        <stp/>
        <stp>BDP|8439796120120030914</stp>
        <tr r="I4078" s="2"/>
      </tp>
      <tp t="s">
        <v>#N/A N/A</v>
        <stp/>
        <stp>BDP|4640303628158517975</stp>
        <tr r="B333" s="2"/>
      </tp>
      <tp t="s">
        <v>#N/A N/A</v>
        <stp/>
        <stp>BDP|5799984255504384952</stp>
        <tr r="F2954" s="2"/>
      </tp>
      <tp t="s">
        <v>#N/A N/A</v>
        <stp/>
        <stp>BDP|6931030639189676897</stp>
        <tr r="A613" s="2"/>
      </tp>
      <tp t="s">
        <v>#N/A N/A</v>
        <stp/>
        <stp>BDP|8559498710869152012</stp>
        <tr r="H1942" s="2"/>
      </tp>
      <tp t="s">
        <v>#N/A N/A</v>
        <stp/>
        <stp>BDP|7391283877145679369</stp>
        <tr r="C1302" s="2"/>
      </tp>
      <tp t="s">
        <v>#N/A N/A</v>
        <stp/>
        <stp>BDP|4073030971241658685</stp>
        <tr r="B1043" s="2"/>
      </tp>
      <tp t="s">
        <v>#N/A N/A</v>
        <stp/>
        <stp>BDP|1231417616995119589</stp>
        <tr r="A1356" s="2"/>
      </tp>
      <tp t="s">
        <v>#N/A N/A</v>
        <stp/>
        <stp>BDP|3964176459950397385</stp>
        <tr r="F2147" s="2"/>
      </tp>
      <tp t="s">
        <v>#N/A N/A</v>
        <stp/>
        <stp>BDP|3220154062207043795</stp>
        <tr r="D2736" s="2"/>
      </tp>
      <tp t="s">
        <v>#N/A N/A</v>
        <stp/>
        <stp>BDP|9998684776864901820</stp>
        <tr r="I3295" s="2"/>
      </tp>
      <tp t="s">
        <v>#N/A N/A</v>
        <stp/>
        <stp>BDP|7245674908776810393</stp>
        <tr r="I3803" s="2"/>
      </tp>
      <tp t="s">
        <v>#N/A N/A</v>
        <stp/>
        <stp>BDP|6130506773664955472</stp>
        <tr r="D1665" s="2"/>
      </tp>
      <tp t="s">
        <v>#N/A N/A</v>
        <stp/>
        <stp>BDP|1869535603795280568</stp>
        <tr r="F1204" s="2"/>
      </tp>
      <tp t="s">
        <v>#N/A N/A</v>
        <stp/>
        <stp>BDP|2195471372283962618</stp>
        <tr r="F1222" s="2"/>
      </tp>
      <tp t="s">
        <v>#N/A N/A</v>
        <stp/>
        <stp>BDP|1957325417513659464</stp>
        <tr r="A3168" s="2"/>
      </tp>
      <tp t="s">
        <v>#N/A N/A</v>
        <stp/>
        <stp>BDP|5993337803787676539</stp>
        <tr r="G4009" s="2"/>
      </tp>
      <tp t="s">
        <v>#N/A N/A</v>
        <stp/>
        <stp>BDP|5887337844913408571</stp>
        <tr r="A4331" s="2"/>
      </tp>
      <tp t="s">
        <v>#N/A N/A</v>
        <stp/>
        <stp>BDP|4389050656215989055</stp>
        <tr r="A1649" s="2"/>
      </tp>
      <tp t="s">
        <v>#N/A N/A</v>
        <stp/>
        <stp>BDP|7451320014901993072</stp>
        <tr r="B1386" s="2"/>
      </tp>
      <tp t="s">
        <v>#N/A N/A</v>
        <stp/>
        <stp>BDP|6908740943818373918</stp>
        <tr r="I1946" s="2"/>
      </tp>
      <tp t="s">
        <v>#N/A N/A</v>
        <stp/>
        <stp>BDP|4067636568481374144</stp>
        <tr r="D4763" s="2"/>
      </tp>
      <tp t="s">
        <v>#N/A N/A</v>
        <stp/>
        <stp>BDP|2249713112310923041</stp>
        <tr r="F885" s="2"/>
      </tp>
      <tp t="s">
        <v>#N/A N/A</v>
        <stp/>
        <stp>BDP|9106407689042233362</stp>
        <tr r="B4765" s="2"/>
      </tp>
      <tp t="s">
        <v>#N/A N/A</v>
        <stp/>
        <stp>BDP|7615735869640058201</stp>
        <tr r="H912" s="2"/>
      </tp>
      <tp t="s">
        <v>#N/A N/A</v>
        <stp/>
        <stp>BDP|1711294263011661075</stp>
        <tr r="C4707" s="2"/>
      </tp>
      <tp t="s">
        <v>#N/A N/A</v>
        <stp/>
        <stp>BDP|4338630029421162547</stp>
        <tr r="I4529" s="2"/>
      </tp>
      <tp t="s">
        <v>#N/A N/A</v>
        <stp/>
        <stp>BDP|1929543097680598938</stp>
        <tr r="D4586" s="2"/>
      </tp>
      <tp t="s">
        <v>#N/A N/A</v>
        <stp/>
        <stp>BDP|5528583574116405516</stp>
        <tr r="A1870" s="2"/>
      </tp>
      <tp t="s">
        <v>#N/A N/A</v>
        <stp/>
        <stp>BDP|3282208854540824021</stp>
        <tr r="C3073" s="2"/>
      </tp>
      <tp t="s">
        <v>#N/A N/A</v>
        <stp/>
        <stp>BDP|5535283933279460962</stp>
        <tr r="D2225" s="2"/>
      </tp>
      <tp t="s">
        <v>#N/A N/A</v>
        <stp/>
        <stp>BDP|7224126875471140482</stp>
        <tr r="I2054" s="2"/>
      </tp>
      <tp t="s">
        <v>#N/A N/A</v>
        <stp/>
        <stp>BDP|6405236347462586683</stp>
        <tr r="A1141" s="2"/>
      </tp>
      <tp t="s">
        <v>#N/A N/A</v>
        <stp/>
        <stp>BDP|6648572441586982542</stp>
        <tr r="B1397" s="2"/>
      </tp>
      <tp t="s">
        <v>#N/A N/A</v>
        <stp/>
        <stp>BDP|5924133617977945695</stp>
        <tr r="H1791" s="2"/>
      </tp>
      <tp t="s">
        <v>#N/A N/A</v>
        <stp/>
        <stp>BDP|7690199454653761419</stp>
        <tr r="G4263" s="2"/>
      </tp>
      <tp t="s">
        <v>#N/A N/A</v>
        <stp/>
        <stp>BDP|9671322988884860292</stp>
        <tr r="D898" s="2"/>
      </tp>
      <tp t="s">
        <v>#N/A N/A</v>
        <stp/>
        <stp>BDP|5495246994268004294</stp>
        <tr r="C939" s="2"/>
      </tp>
      <tp t="s">
        <v>#N/A N/A</v>
        <stp/>
        <stp>BDP|7065474709942448576</stp>
        <tr r="G2258" s="2"/>
      </tp>
      <tp t="s">
        <v>#N/A N/A</v>
        <stp/>
        <stp>BDP|5964928796066753773</stp>
        <tr r="C74" s="2"/>
      </tp>
      <tp t="s">
        <v>#N/A N/A</v>
        <stp/>
        <stp>BDP|1925604934349458948</stp>
        <tr r="B3775" s="2"/>
      </tp>
      <tp t="s">
        <v>#N/A N/A</v>
        <stp/>
        <stp>BDP|2859439224618137831</stp>
        <tr r="B1026" s="2"/>
      </tp>
      <tp t="s">
        <v>#N/A N/A</v>
        <stp/>
        <stp>BDP|4884251003330678255</stp>
        <tr r="F2197" s="2"/>
      </tp>
      <tp t="s">
        <v>#N/A N/A</v>
        <stp/>
        <stp>BDP|3621350748724471429</stp>
        <tr r="A3215" s="2"/>
      </tp>
      <tp t="s">
        <v>#N/A N/A</v>
        <stp/>
        <stp>BDP|4178715439887125353</stp>
        <tr r="C2888" s="2"/>
      </tp>
      <tp t="s">
        <v>#N/A N/A</v>
        <stp/>
        <stp>BDP|6206220438133522008</stp>
        <tr r="G2978" s="2"/>
      </tp>
      <tp t="s">
        <v>#N/A N/A</v>
        <stp/>
        <stp>BDP|7651234500615198495</stp>
        <tr r="F4316" s="2"/>
      </tp>
      <tp t="s">
        <v>#N/A N/A</v>
        <stp/>
        <stp>BDP|2787645939274041770</stp>
        <tr r="D2611" s="2"/>
      </tp>
      <tp t="s">
        <v>#N/A N/A</v>
        <stp/>
        <stp>BDP|5887907483195131576</stp>
        <tr r="H2286" s="2"/>
      </tp>
      <tp t="s">
        <v>#N/A N/A</v>
        <stp/>
        <stp>BDP|7070258659607140307</stp>
        <tr r="B4484" s="2"/>
      </tp>
      <tp t="s">
        <v>#N/A N/A</v>
        <stp/>
        <stp>BDP|2333789958465921176</stp>
        <tr r="H1749" s="2"/>
      </tp>
      <tp t="s">
        <v>#N/A N/A</v>
        <stp/>
        <stp>BDP|4971328226049371835</stp>
        <tr r="D2903" s="2"/>
      </tp>
      <tp t="s">
        <v>#N/A N/A</v>
        <stp/>
        <stp>BDP|2493061774023275292</stp>
        <tr r="B1345" s="2"/>
      </tp>
      <tp t="s">
        <v>#N/A N/A</v>
        <stp/>
        <stp>BDP|4057999635628900287</stp>
        <tr r="F1384" s="2"/>
      </tp>
      <tp t="s">
        <v>#N/A N/A</v>
        <stp/>
        <stp>BDP|7422044822094887572</stp>
        <tr r="D1096" s="2"/>
      </tp>
      <tp t="s">
        <v>#N/A N/A</v>
        <stp/>
        <stp>BDP|8316570948839338426</stp>
        <tr r="A3848" s="2"/>
      </tp>
      <tp t="s">
        <v>#N/A N/A</v>
        <stp/>
        <stp>BDP|3664604734943870170</stp>
        <tr r="A3863" s="2"/>
      </tp>
      <tp t="s">
        <v>#N/A N/A</v>
        <stp/>
        <stp>BDP|8545887641803751362</stp>
        <tr r="D2262" s="2"/>
      </tp>
      <tp t="s">
        <v>#N/A N/A</v>
        <stp/>
        <stp>BDP|6241196749681880670</stp>
        <tr r="B3422" s="2"/>
      </tp>
      <tp t="s">
        <v>#N/A N/A</v>
        <stp/>
        <stp>BDP|7455166086923965903</stp>
        <tr r="C2394" s="2"/>
      </tp>
      <tp t="s">
        <v>#N/A N/A</v>
        <stp/>
        <stp>BDP|2803027766474540448</stp>
        <tr r="H2455" s="2"/>
      </tp>
      <tp t="s">
        <v>#N/A N/A</v>
        <stp/>
        <stp>BDP|3241573925883853355</stp>
        <tr r="F721" s="2"/>
      </tp>
      <tp t="s">
        <v>#N/A N/A</v>
        <stp/>
        <stp>BDP|2098018617263394485</stp>
        <tr r="H2484" s="2"/>
      </tp>
      <tp t="s">
        <v>#N/A N/A</v>
        <stp/>
        <stp>BDP|4514686568546143698</stp>
        <tr r="G4336" s="2"/>
      </tp>
      <tp t="s">
        <v>#N/A N/A</v>
        <stp/>
        <stp>BDP|5506911049958772471</stp>
        <tr r="A428" s="2"/>
      </tp>
      <tp t="s">
        <v>#N/A N/A</v>
        <stp/>
        <stp>BDP|8928878904152316644</stp>
        <tr r="A779" s="2"/>
      </tp>
      <tp t="s">
        <v>#N/A N/A</v>
        <stp/>
        <stp>BDP|5865978102428448040</stp>
        <tr r="G167" s="2"/>
      </tp>
      <tp t="s">
        <v>#N/A N/A</v>
        <stp/>
        <stp>BDP|8988276470570531966</stp>
        <tr r="F1868" s="2"/>
      </tp>
      <tp t="s">
        <v>#N/A N/A</v>
        <stp/>
        <stp>BDP|1588788446554117275</stp>
        <tr r="A4811" s="2"/>
      </tp>
      <tp t="s">
        <v>#N/A N/A</v>
        <stp/>
        <stp>BDP|8080096322678613609</stp>
        <tr r="C1977" s="2"/>
      </tp>
      <tp t="s">
        <v>#N/A N/A</v>
        <stp/>
        <stp>BDP|5369487833732232475</stp>
        <tr r="H4505" s="2"/>
      </tp>
      <tp t="s">
        <v>#N/A N/A</v>
        <stp/>
        <stp>BDP|5532207578523324733</stp>
        <tr r="I2110" s="2"/>
      </tp>
      <tp t="s">
        <v>#N/A N/A</v>
        <stp/>
        <stp>BDP|1276212030126617285</stp>
        <tr r="C2082" s="2"/>
      </tp>
      <tp t="s">
        <v>#N/A N/A</v>
        <stp/>
        <stp>BDP|2184394183208369558</stp>
        <tr r="D1828" s="2"/>
      </tp>
      <tp t="s">
        <v>#N/A N/A</v>
        <stp/>
        <stp>BDP|7609213218544633445</stp>
        <tr r="B3870" s="2"/>
      </tp>
      <tp t="s">
        <v>#N/A N/A</v>
        <stp/>
        <stp>BDP|6809778642786369739</stp>
        <tr r="F4475" s="2"/>
      </tp>
      <tp t="s">
        <v>#N/A N/A</v>
        <stp/>
        <stp>BDP|7007095341095012254</stp>
        <tr r="D2719" s="2"/>
      </tp>
      <tp t="s">
        <v>#N/A N/A</v>
        <stp/>
        <stp>BDP|5129829143654457998</stp>
        <tr r="F3877" s="2"/>
      </tp>
      <tp t="s">
        <v>#N/A N/A</v>
        <stp/>
        <stp>BDP|8602233676420833967</stp>
        <tr r="H2955" s="2"/>
      </tp>
      <tp t="s">
        <v>#N/A N/A</v>
        <stp/>
        <stp>BDP|4756397774161471537</stp>
        <tr r="D893" s="2"/>
      </tp>
      <tp t="s">
        <v>#N/A N/A</v>
        <stp/>
        <stp>BDP|7678781889088214484</stp>
        <tr r="H2233" s="2"/>
      </tp>
      <tp t="s">
        <v>#N/A N/A</v>
        <stp/>
        <stp>BDP|8039604860795532980</stp>
        <tr r="B2016" s="2"/>
      </tp>
      <tp t="s">
        <v>#N/A N/A</v>
        <stp/>
        <stp>BDP|8265334288342579515</stp>
        <tr r="A1159" s="2"/>
      </tp>
      <tp t="s">
        <v>#N/A N/A</v>
        <stp/>
        <stp>BDP|9679182380066769241</stp>
        <tr r="A3720" s="2"/>
      </tp>
      <tp t="s">
        <v>#N/A N/A</v>
        <stp/>
        <stp>BDP|2671897225079204552</stp>
        <tr r="F2440" s="2"/>
      </tp>
      <tp t="s">
        <v>#N/A N/A</v>
        <stp/>
        <stp>BDP|8271928210896866253</stp>
        <tr r="F1077" s="2"/>
      </tp>
      <tp t="s">
        <v>#N/A N/A</v>
        <stp/>
        <stp>BDP|1636292823645335026</stp>
        <tr r="F397" s="2"/>
      </tp>
      <tp t="s">
        <v>#N/A N/A</v>
        <stp/>
        <stp>BDP|7367284841006087378</stp>
        <tr r="H4422" s="2"/>
      </tp>
      <tp t="s">
        <v>#N/A N/A</v>
        <stp/>
        <stp>BDP|9656161285641159595</stp>
        <tr r="B1202" s="2"/>
      </tp>
      <tp t="s">
        <v>#N/A N/A</v>
        <stp/>
        <stp>BDP|5600731159171152200</stp>
        <tr r="A1589" s="2"/>
      </tp>
      <tp t="s">
        <v>#N/A N/A</v>
        <stp/>
        <stp>BDP|5530365259544134365</stp>
        <tr r="B2929" s="2"/>
      </tp>
      <tp t="s">
        <v>#N/A N/A</v>
        <stp/>
        <stp>BDP|6099842862239241598</stp>
        <tr r="I2544" s="2"/>
      </tp>
      <tp t="s">
        <v>#N/A N/A</v>
        <stp/>
        <stp>BDP|7379256962582163587</stp>
        <tr r="G517" s="2"/>
      </tp>
      <tp t="s">
        <v>#N/A N/A</v>
        <stp/>
        <stp>BDP|6838950255586374865</stp>
        <tr r="F814" s="2"/>
      </tp>
      <tp t="s">
        <v>#N/A N/A</v>
        <stp/>
        <stp>BDP|4049461110563969622</stp>
        <tr r="D1734" s="2"/>
      </tp>
      <tp t="s">
        <v>#N/A N/A</v>
        <stp/>
        <stp>BDP|4336418074535838639</stp>
        <tr r="H4270" s="2"/>
      </tp>
      <tp t="s">
        <v>#N/A N/A</v>
        <stp/>
        <stp>BDP|7434443661581802041</stp>
        <tr r="C3807" s="2"/>
      </tp>
      <tp t="s">
        <v>#N/A N/A</v>
        <stp/>
        <stp>BDP|9979735195434003722</stp>
        <tr r="F2260" s="2"/>
      </tp>
      <tp t="s">
        <v>#N/A N/A</v>
        <stp/>
        <stp>BDP|6330685823150456616</stp>
        <tr r="C4390" s="2"/>
      </tp>
      <tp t="s">
        <v>#N/A N/A</v>
        <stp/>
        <stp>BDP|2182007068458591815</stp>
        <tr r="I859" s="2"/>
      </tp>
      <tp t="s">
        <v>#N/A N/A</v>
        <stp/>
        <stp>BDP|7879586368681170147</stp>
        <tr r="H3610" s="2"/>
      </tp>
      <tp t="s">
        <v>#N/A N/A</v>
        <stp/>
        <stp>BDP|3897189573542845366</stp>
        <tr r="A4815" s="2"/>
      </tp>
      <tp t="s">
        <v>#N/A N/A</v>
        <stp/>
        <stp>BDP|1091757878081581450</stp>
        <tr r="D8" s="2"/>
      </tp>
      <tp t="s">
        <v>#N/A N/A</v>
        <stp/>
        <stp>BDP|2223343989194622944</stp>
        <tr r="H3336" s="2"/>
      </tp>
      <tp t="s">
        <v>#N/A N/A</v>
        <stp/>
        <stp>BDP|8344726412243716997</stp>
        <tr r="I2023" s="2"/>
      </tp>
      <tp t="s">
        <v>#N/A N/A</v>
        <stp/>
        <stp>BDP|3662334189729859596</stp>
        <tr r="C1799" s="2"/>
      </tp>
      <tp t="s">
        <v>#N/A N/A</v>
        <stp/>
        <stp>BDP|5911420076486862485</stp>
        <tr r="B1748" s="2"/>
      </tp>
      <tp t="s">
        <v>#N/A N/A</v>
        <stp/>
        <stp>BDP|8101044981851769513</stp>
        <tr r="I1339" s="2"/>
      </tp>
      <tp t="s">
        <v>#N/A N/A</v>
        <stp/>
        <stp>BDP|9641302329824870850</stp>
        <tr r="A297" s="2"/>
      </tp>
      <tp t="s">
        <v>#N/A N/A</v>
        <stp/>
        <stp>BDP|7780140447907509138</stp>
        <tr r="G1246" s="2"/>
      </tp>
      <tp t="s">
        <v>#N/A N/A</v>
        <stp/>
        <stp>BDP|6576465101306209028</stp>
        <tr r="D4920" s="2"/>
      </tp>
      <tp t="s">
        <v>#N/A N/A</v>
        <stp/>
        <stp>BDP|6087224775637078054</stp>
        <tr r="A2509" s="2"/>
      </tp>
      <tp t="s">
        <v>#N/A N/A</v>
        <stp/>
        <stp>BDP|2699066510584144336</stp>
        <tr r="D2541" s="2"/>
      </tp>
      <tp t="s">
        <v>#N/A N/A</v>
        <stp/>
        <stp>BDP|1422416533267290567</stp>
        <tr r="A305" s="2"/>
      </tp>
      <tp t="s">
        <v>#N/A N/A</v>
        <stp/>
        <stp>BDP|6995629959857978697</stp>
        <tr r="D600" s="2"/>
      </tp>
      <tp t="s">
        <v>#N/A N/A</v>
        <stp/>
        <stp>BDP|5603712662151606118</stp>
        <tr r="H4794" s="2"/>
      </tp>
      <tp t="s">
        <v>#N/A N/A</v>
        <stp/>
        <stp>BDP|5650968355705165867</stp>
        <tr r="B1499" s="2"/>
      </tp>
      <tp t="s">
        <v>#N/A N/A</v>
        <stp/>
        <stp>BDP|5196432024031014641</stp>
        <tr r="I4763" s="2"/>
      </tp>
      <tp t="s">
        <v>#N/A N/A</v>
        <stp/>
        <stp>BDP|2386122850161064336</stp>
        <tr r="C1416" s="2"/>
      </tp>
      <tp t="s">
        <v>#N/A N/A</v>
        <stp/>
        <stp>BDP|9446433354935939986</stp>
        <tr r="B903" s="2"/>
      </tp>
      <tp t="s">
        <v>#N/A N/A</v>
        <stp/>
        <stp>BDP|7010717043911549150</stp>
        <tr r="F3607" s="2"/>
      </tp>
      <tp t="s">
        <v>#N/A N/A</v>
        <stp/>
        <stp>BDP|5344622760059383804</stp>
        <tr r="I2225" s="2"/>
      </tp>
      <tp t="s">
        <v>#N/A N/A</v>
        <stp/>
        <stp>BDP|7862779376245933624</stp>
        <tr r="C1209" s="2"/>
      </tp>
      <tp t="s">
        <v>#N/A N/A</v>
        <stp/>
        <stp>BDP|2112010653825017612</stp>
        <tr r="I1534" s="2"/>
      </tp>
      <tp t="s">
        <v>#N/A N/A</v>
        <stp/>
        <stp>BDP|5691159757714185175</stp>
        <tr r="I1520" s="2"/>
      </tp>
      <tp t="s">
        <v>#N/A N/A</v>
        <stp/>
        <stp>BDP|6555387509793271248</stp>
        <tr r="D2887" s="2"/>
      </tp>
      <tp t="s">
        <v>#N/A N/A</v>
        <stp/>
        <stp>BDP|8976558589594193569</stp>
        <tr r="G443" s="2"/>
      </tp>
      <tp t="s">
        <v>#N/A N/A</v>
        <stp/>
        <stp>BDP|9534653644098491723</stp>
        <tr r="F3454" s="2"/>
      </tp>
      <tp t="s">
        <v>#N/A N/A</v>
        <stp/>
        <stp>BDP|4247015673077592075</stp>
        <tr r="B3756" s="2"/>
      </tp>
      <tp t="s">
        <v>#N/A N/A</v>
        <stp/>
        <stp>BDP|9761130192903706632</stp>
        <tr r="H3690" s="2"/>
      </tp>
      <tp t="s">
        <v>#N/A N/A</v>
        <stp/>
        <stp>BDP|1785042434755089358</stp>
        <tr r="B180" s="2"/>
      </tp>
      <tp t="s">
        <v>#N/A N/A</v>
        <stp/>
        <stp>BDP|7963499960046134731</stp>
        <tr r="D3060" s="2"/>
      </tp>
      <tp t="s">
        <v>#N/A N/A</v>
        <stp/>
        <stp>BDP|4430037306016696651</stp>
        <tr r="F3531" s="2"/>
      </tp>
      <tp t="s">
        <v>#N/A N/A</v>
        <stp/>
        <stp>BDP|6663291602877956766</stp>
        <tr r="F1745" s="2"/>
      </tp>
      <tp t="s">
        <v>#N/A N/A</v>
        <stp/>
        <stp>BDP|2236573553756223069</stp>
        <tr r="H3189" s="2"/>
      </tp>
      <tp t="s">
        <v>#N/A N/A</v>
        <stp/>
        <stp>BDP|3098593701187266581</stp>
        <tr r="G304" s="2"/>
      </tp>
      <tp t="s">
        <v>#N/A N/A</v>
        <stp/>
        <stp>BDP|8489243695387423035</stp>
        <tr r="G3642" s="2"/>
      </tp>
      <tp t="s">
        <v>#N/A N/A</v>
        <stp/>
        <stp>BDP|5157736571960531146</stp>
        <tr r="I1954" s="2"/>
      </tp>
      <tp t="s">
        <v>#N/A N/A</v>
        <stp/>
        <stp>BDP|9420438794558714861</stp>
        <tr r="A2772" s="2"/>
      </tp>
      <tp t="s">
        <v>#N/A N/A</v>
        <stp/>
        <stp>BDP|4912374085238986300</stp>
        <tr r="F475" s="2"/>
      </tp>
      <tp t="s">
        <v>#N/A N/A</v>
        <stp/>
        <stp>BDP|2262044742551581330</stp>
        <tr r="B1834" s="2"/>
      </tp>
      <tp t="s">
        <v>#N/A N/A</v>
        <stp/>
        <stp>BDP|3298530429191974130</stp>
        <tr r="B3772" s="2"/>
      </tp>
      <tp t="s">
        <v>#N/A N/A</v>
        <stp/>
        <stp>BDP|3076396777483584092</stp>
        <tr r="B2670" s="2"/>
      </tp>
      <tp t="s">
        <v>#N/A N/A</v>
        <stp/>
        <stp>BDP|4679230322236386662</stp>
        <tr r="A1463" s="2"/>
      </tp>
      <tp t="s">
        <v>#N/A N/A</v>
        <stp/>
        <stp>BDP|7381331792161774871</stp>
        <tr r="G2341" s="2"/>
      </tp>
      <tp t="s">
        <v>#N/A N/A</v>
        <stp/>
        <stp>BDP|1386443601031346071</stp>
        <tr r="F500" s="2"/>
      </tp>
      <tp t="s">
        <v>#N/A N/A</v>
        <stp/>
        <stp>BDP|7740732034770482767</stp>
        <tr r="H880" s="2"/>
      </tp>
      <tp t="s">
        <v>#N/A N/A</v>
        <stp/>
        <stp>BDP|7691152209352170091</stp>
        <tr r="C2043" s="2"/>
      </tp>
      <tp t="s">
        <v>#N/A N/A</v>
        <stp/>
        <stp>BDP|2443887877890131986</stp>
        <tr r="A2265" s="2"/>
      </tp>
      <tp t="s">
        <v>#N/A N/A</v>
        <stp/>
        <stp>BDP|4049171639176525498</stp>
        <tr r="A3886" s="2"/>
      </tp>
      <tp t="s">
        <v>#N/A N/A</v>
        <stp/>
        <stp>BDP|1146668577416478261</stp>
        <tr r="B2139" s="2"/>
      </tp>
      <tp t="s">
        <v>#N/A N/A</v>
        <stp/>
        <stp>BDP|3133789328461462379</stp>
        <tr r="D2508" s="2"/>
      </tp>
      <tp t="s">
        <v>#N/A N/A</v>
        <stp/>
        <stp>BDP|7315075918183773193</stp>
        <tr r="A5" s="2"/>
      </tp>
      <tp t="s">
        <v>#N/A N/A</v>
        <stp/>
        <stp>BDP|2183172234032730678</stp>
        <tr r="A2226" s="2"/>
      </tp>
      <tp t="s">
        <v>#N/A N/A</v>
        <stp/>
        <stp>BDP|8525330271119374165</stp>
        <tr r="G2043" s="2"/>
      </tp>
      <tp t="s">
        <v>#N/A N/A</v>
        <stp/>
        <stp>BDP|2033568005521872298</stp>
        <tr r="B1364" s="2"/>
      </tp>
      <tp t="s">
        <v>#N/A N/A</v>
        <stp/>
        <stp>BDP|3334634257210554401</stp>
        <tr r="D4918" s="2"/>
      </tp>
      <tp t="s">
        <v>#N/A N/A</v>
        <stp/>
        <stp>BDP|4486741638877854325</stp>
        <tr r="I2111" s="2"/>
      </tp>
      <tp t="s">
        <v>#N/A N/A</v>
        <stp/>
        <stp>BDP|1950576750644979153</stp>
        <tr r="C260" s="2"/>
      </tp>
      <tp t="s">
        <v>#N/A N/A</v>
        <stp/>
        <stp>BDP|2265537780512419974</stp>
        <tr r="A3421" s="2"/>
      </tp>
      <tp t="s">
        <v>#N/A N/A</v>
        <stp/>
        <stp>BDP|7914676050727833743</stp>
        <tr r="D3538" s="2"/>
      </tp>
      <tp t="s">
        <v>#N/A N/A</v>
        <stp/>
        <stp>BDP|6285045101232467019</stp>
        <tr r="D1063" s="2"/>
      </tp>
      <tp t="s">
        <v>#N/A N/A</v>
        <stp/>
        <stp>BDP|6579752727293167441</stp>
        <tr r="F3736" s="2"/>
      </tp>
      <tp t="s">
        <v>#N/A N/A</v>
        <stp/>
        <stp>BDP|2235349538892958457</stp>
        <tr r="F1553" s="2"/>
      </tp>
      <tp t="s">
        <v>#N/A N/A</v>
        <stp/>
        <stp>BDP|8053430076206422935</stp>
        <tr r="F2076" s="2"/>
      </tp>
      <tp t="s">
        <v>#N/A N/A</v>
        <stp/>
        <stp>BDP|3100231554595062542</stp>
        <tr r="B4223" s="2"/>
      </tp>
      <tp t="s">
        <v>#N/A N/A</v>
        <stp/>
        <stp>BDP|8156230878270966911</stp>
        <tr r="D2781" s="2"/>
      </tp>
      <tp t="s">
        <v>#N/A N/A</v>
        <stp/>
        <stp>BDP|9432030597795341110</stp>
        <tr r="A3611" s="2"/>
      </tp>
      <tp t="s">
        <v>#N/A N/A</v>
        <stp/>
        <stp>BDP|3939389850098780942</stp>
        <tr r="I3379" s="2"/>
      </tp>
      <tp t="s">
        <v>#N/A N/A</v>
        <stp/>
        <stp>BDP|2928285559262872322</stp>
        <tr r="B4395" s="2"/>
      </tp>
      <tp t="s">
        <v>#N/A N/A</v>
        <stp/>
        <stp>BDP|4575915940295061865</stp>
        <tr r="B1901" s="2"/>
      </tp>
      <tp t="s">
        <v>#N/A N/A</v>
        <stp/>
        <stp>BDP|2931516009056721544</stp>
        <tr r="F1003" s="2"/>
      </tp>
      <tp t="s">
        <v>#N/A N/A</v>
        <stp/>
        <stp>BDP|8546921764731665277</stp>
        <tr r="B441" s="2"/>
      </tp>
      <tp t="s">
        <v>#N/A N/A</v>
        <stp/>
        <stp>BDP|2029544862073264663</stp>
        <tr r="I2680" s="2"/>
      </tp>
      <tp t="s">
        <v>#N/A N/A</v>
        <stp/>
        <stp>BDP|4549242101637609543</stp>
        <tr r="C1131" s="2"/>
      </tp>
      <tp t="s">
        <v>#N/A N/A</v>
        <stp/>
        <stp>BDP|9341836416400758430</stp>
        <tr r="F2961" s="2"/>
      </tp>
      <tp t="s">
        <v>#N/A N/A</v>
        <stp/>
        <stp>BDP|4261752343555538631</stp>
        <tr r="H2398" s="2"/>
      </tp>
      <tp t="s">
        <v>#N/A N/A</v>
        <stp/>
        <stp>BDP|5795537656884503555</stp>
        <tr r="G3154" s="2"/>
      </tp>
      <tp t="s">
        <v>#N/A N/A</v>
        <stp/>
        <stp>BDP|3393027106402399560</stp>
        <tr r="H1809" s="2"/>
      </tp>
      <tp t="s">
        <v>#N/A N/A</v>
        <stp/>
        <stp>BDP|5140827096535038576</stp>
        <tr r="A1881" s="2"/>
      </tp>
      <tp t="s">
        <v>#N/A N/A</v>
        <stp/>
        <stp>BDP|7164892645489706682</stp>
        <tr r="H4160" s="2"/>
      </tp>
      <tp t="s">
        <v>#N/A N/A</v>
        <stp/>
        <stp>BDP|7481522665209599943</stp>
        <tr r="C1937" s="2"/>
      </tp>
      <tp t="s">
        <v>#N/A N/A</v>
        <stp/>
        <stp>BDP|4592235909031877359</stp>
        <tr r="G1001" s="2"/>
      </tp>
      <tp t="s">
        <v>#N/A N/A</v>
        <stp/>
        <stp>BDP|2795044812804407377</stp>
        <tr r="D4670" s="2"/>
      </tp>
      <tp t="s">
        <v>#N/A N/A</v>
        <stp/>
        <stp>BDP|5265753393649157673</stp>
        <tr r="D4343" s="2"/>
      </tp>
      <tp t="s">
        <v>#N/A N/A</v>
        <stp/>
        <stp>BDP|8499940424223799417</stp>
        <tr r="G541" s="2"/>
      </tp>
      <tp t="s">
        <v>#N/A N/A</v>
        <stp/>
        <stp>BDP|4667245348060135695</stp>
        <tr r="D1040" s="2"/>
      </tp>
      <tp t="s">
        <v>#N/A N/A</v>
        <stp/>
        <stp>BDP|9596958763554835692</stp>
        <tr r="A3797" s="2"/>
      </tp>
      <tp t="s">
        <v>#N/A N/A</v>
        <stp/>
        <stp>BDP|7737534877738760963</stp>
        <tr r="A718" s="2"/>
      </tp>
      <tp t="s">
        <v>#N/A N/A</v>
        <stp/>
        <stp>BDP|7721233879121616794</stp>
        <tr r="C2945" s="2"/>
      </tp>
      <tp t="s">
        <v>#N/A N/A</v>
        <stp/>
        <stp>BDP|4025028275897340063</stp>
        <tr r="H3246" s="2"/>
      </tp>
      <tp t="s">
        <v>#N/A N/A</v>
        <stp/>
        <stp>BDP|2903567819032762034</stp>
        <tr r="B826" s="2"/>
      </tp>
      <tp t="s">
        <v>#N/A N/A</v>
        <stp/>
        <stp>BDP|1382868554710072834</stp>
        <tr r="F3282" s="2"/>
      </tp>
      <tp t="s">
        <v>#N/A N/A</v>
        <stp/>
        <stp>BDP|1701042202771073436</stp>
        <tr r="B474" s="2"/>
      </tp>
      <tp t="s">
        <v>#N/A N/A</v>
        <stp/>
        <stp>BDP|3263354622067203156</stp>
        <tr r="A1974" s="2"/>
      </tp>
      <tp t="s">
        <v>#N/A N/A</v>
        <stp/>
        <stp>BDP|5492409344747209603</stp>
        <tr r="D776" s="2"/>
      </tp>
      <tp t="s">
        <v>#N/A N/A</v>
        <stp/>
        <stp>BDP|1104031590609258526</stp>
        <tr r="H211" s="2"/>
      </tp>
      <tp t="s">
        <v>#N/A N/A</v>
        <stp/>
        <stp>BDP|8095919152707451755</stp>
        <tr r="D4457" s="2"/>
      </tp>
      <tp t="s">
        <v>#N/A N/A</v>
        <stp/>
        <stp>BDP|1381703116307766409</stp>
        <tr r="G4648" s="2"/>
      </tp>
      <tp t="s">
        <v>#N/A N/A</v>
        <stp/>
        <stp>BDP|6591478267978092876</stp>
        <tr r="I9" s="2"/>
      </tp>
      <tp t="s">
        <v>#N/A N/A</v>
        <stp/>
        <stp>BDP|8436913350829581927</stp>
        <tr r="B3726" s="2"/>
      </tp>
      <tp t="s">
        <v>#N/A N/A</v>
        <stp/>
        <stp>BDP|7272943844889795772</stp>
        <tr r="H798" s="2"/>
      </tp>
      <tp t="s">
        <v>#N/A N/A</v>
        <stp/>
        <stp>BDP|9474904665241376301</stp>
        <tr r="H62" s="2"/>
      </tp>
      <tp t="s">
        <v>#N/A N/A</v>
        <stp/>
        <stp>BDP|7930273157024972020</stp>
        <tr r="G4346" s="2"/>
      </tp>
      <tp t="s">
        <v>#N/A N/A</v>
        <stp/>
        <stp>BDP|2904200879724016721</stp>
        <tr r="A5001" s="2"/>
      </tp>
      <tp t="s">
        <v>#N/A N/A</v>
        <stp/>
        <stp>BDP|1269477322273606034</stp>
        <tr r="B2775" s="2"/>
      </tp>
      <tp t="s">
        <v>#N/A N/A</v>
        <stp/>
        <stp>BDP|6519471752007758453</stp>
        <tr r="B4288" s="2"/>
      </tp>
      <tp t="s">
        <v>#N/A N/A</v>
        <stp/>
        <stp>BDP|1846304303765108381</stp>
        <tr r="C3748" s="2"/>
      </tp>
      <tp t="s">
        <v>#N/A N/A</v>
        <stp/>
        <stp>BDP|7336708572435074621</stp>
        <tr r="I4420" s="2"/>
      </tp>
      <tp t="s">
        <v>#N/A N/A</v>
        <stp/>
        <stp>BDP|6137858031800687902</stp>
        <tr r="I3119" s="2"/>
      </tp>
      <tp t="s">
        <v>#N/A N/A</v>
        <stp/>
        <stp>BDP|3644822390525497333</stp>
        <tr r="C4191" s="2"/>
      </tp>
      <tp t="s">
        <v>#N/A N/A</v>
        <stp/>
        <stp>BDP|7891714648861552179</stp>
        <tr r="A3695" s="2"/>
      </tp>
      <tp t="s">
        <v>#N/A N/A</v>
        <stp/>
        <stp>BDP|8820582583620299126</stp>
        <tr r="H4928" s="2"/>
      </tp>
      <tp t="s">
        <v>#N/A N/A</v>
        <stp/>
        <stp>BDP|5352327850812040527</stp>
        <tr r="B3206" s="2"/>
      </tp>
      <tp t="s">
        <v>#N/A N/A</v>
        <stp/>
        <stp>BDP|7459109026654038411</stp>
        <tr r="D3998" s="2"/>
      </tp>
      <tp t="s">
        <v>#N/A N/A</v>
        <stp/>
        <stp>BDP|2210550387312397903</stp>
        <tr r="F653" s="2"/>
      </tp>
      <tp t="s">
        <v>#N/A N/A</v>
        <stp/>
        <stp>BDP|5623426742963355260</stp>
        <tr r="B3076" s="2"/>
      </tp>
      <tp t="s">
        <v>#N/A N/A</v>
        <stp/>
        <stp>BDP|2824524258235445358</stp>
        <tr r="F2060" s="2"/>
      </tp>
      <tp t="s">
        <v>#N/A N/A</v>
        <stp/>
        <stp>BDP|6555929790032723036</stp>
        <tr r="C1917" s="2"/>
      </tp>
      <tp t="s">
        <v>#N/A N/A</v>
        <stp/>
        <stp>BDP|2288897042053802927</stp>
        <tr r="I2168" s="2"/>
      </tp>
      <tp t="s">
        <v>#N/A N/A</v>
        <stp/>
        <stp>BDP|2140588014533747196</stp>
        <tr r="H3758" s="2"/>
      </tp>
      <tp t="s">
        <v>#N/A N/A</v>
        <stp/>
        <stp>BDP|9451910345553632358</stp>
        <tr r="B772" s="2"/>
      </tp>
      <tp t="s">
        <v>#N/A N/A</v>
        <stp/>
        <stp>BDP|3268433818603906138</stp>
        <tr r="D4398" s="2"/>
      </tp>
      <tp t="s">
        <v>#N/A N/A</v>
        <stp/>
        <stp>BDP|5629139100841310159</stp>
        <tr r="H2119" s="2"/>
      </tp>
      <tp t="s">
        <v>#N/A N/A</v>
        <stp/>
        <stp>BDP|4710235966900474451</stp>
        <tr r="H2287" s="2"/>
      </tp>
      <tp t="s">
        <v>#N/A N/A</v>
        <stp/>
        <stp>BDP|7387267158302919676</stp>
        <tr r="A1257" s="2"/>
      </tp>
      <tp t="s">
        <v>#N/A N/A</v>
        <stp/>
        <stp>BDP|7356832722098742168</stp>
        <tr r="D1877" s="2"/>
      </tp>
      <tp t="s">
        <v>#N/A N/A</v>
        <stp/>
        <stp>BDP|5675878496282524215</stp>
        <tr r="G210" s="2"/>
      </tp>
      <tp t="s">
        <v>#N/A N/A</v>
        <stp/>
        <stp>BDP|4095923550519758560</stp>
        <tr r="C1162" s="2"/>
      </tp>
      <tp t="s">
        <v>#N/A N/A</v>
        <stp/>
        <stp>BDP|9725842204242118759</stp>
        <tr r="F2894" s="2"/>
      </tp>
      <tp t="s">
        <v>#N/A N/A</v>
        <stp/>
        <stp>BDP|7020172238770921158</stp>
        <tr r="G2475" s="2"/>
      </tp>
      <tp t="s">
        <v>#N/A N/A</v>
        <stp/>
        <stp>BDP|3403725504132790260</stp>
        <tr r="B1307" s="2"/>
      </tp>
      <tp t="s">
        <v>#N/A N/A</v>
        <stp/>
        <stp>BDP|8081830466714237641</stp>
        <tr r="B1549" s="2"/>
      </tp>
      <tp t="s">
        <v>#N/A N/A</v>
        <stp/>
        <stp>BDP|7409933877948663550</stp>
        <tr r="C509" s="2"/>
      </tp>
      <tp t="s">
        <v>#N/A N/A</v>
        <stp/>
        <stp>BDP|7828335116978938971</stp>
        <tr r="H3451" s="2"/>
      </tp>
      <tp t="s">
        <v>#N/A N/A</v>
        <stp/>
        <stp>BDP|4090749232013651739</stp>
        <tr r="C3733" s="2"/>
      </tp>
      <tp t="s">
        <v>#N/A N/A</v>
        <stp/>
        <stp>BDP|7566442739981845535</stp>
        <tr r="B4687" s="2"/>
      </tp>
      <tp t="s">
        <v>#N/A N/A</v>
        <stp/>
        <stp>BDP|3227019618171979711</stp>
        <tr r="B4057" s="2"/>
      </tp>
      <tp t="s">
        <v>#N/A N/A</v>
        <stp/>
        <stp>BDP|2658208421110215661</stp>
        <tr r="G2830" s="2"/>
      </tp>
      <tp t="s">
        <v>#N/A N/A</v>
        <stp/>
        <stp>BDP|3484497448335278247</stp>
        <tr r="B2510" s="2"/>
      </tp>
      <tp t="s">
        <v>#N/A N/A</v>
        <stp/>
        <stp>BDP|5718208538277541793</stp>
        <tr r="C3416" s="2"/>
      </tp>
      <tp t="s">
        <v>#N/A N/A</v>
        <stp/>
        <stp>BDP|5144033062267026038</stp>
        <tr r="B3616" s="2"/>
      </tp>
      <tp t="s">
        <v>#N/A N/A</v>
        <stp/>
        <stp>BDP|9348710237911232841</stp>
        <tr r="D4364" s="2"/>
      </tp>
      <tp t="s">
        <v>#N/A N/A</v>
        <stp/>
        <stp>BDP|5234160692311578808</stp>
        <tr r="C1276" s="2"/>
      </tp>
      <tp t="s">
        <v>#N/A N/A</v>
        <stp/>
        <stp>BDP|2131021232902707755</stp>
        <tr r="D3257" s="2"/>
      </tp>
      <tp t="s">
        <v>#N/A N/A</v>
        <stp/>
        <stp>BDP|1658350528563878709</stp>
        <tr r="G112" s="2"/>
      </tp>
      <tp t="s">
        <v>#N/A N/A</v>
        <stp/>
        <stp>BDP|5886637838913493741</stp>
        <tr r="A2849" s="2"/>
      </tp>
      <tp t="s">
        <v>#N/A N/A</v>
        <stp/>
        <stp>BDP|4990697247073438103</stp>
        <tr r="C2447" s="2"/>
      </tp>
      <tp t="s">
        <v>#N/A N/A</v>
        <stp/>
        <stp>BDP|9381745990650663323</stp>
        <tr r="A2144" s="2"/>
      </tp>
      <tp t="s">
        <v>#N/A N/A</v>
        <stp/>
        <stp>BDP|9209442503800517935</stp>
        <tr r="F1149" s="2"/>
      </tp>
      <tp t="s">
        <v>#N/A N/A</v>
        <stp/>
        <stp>BDP|6435550266455276461</stp>
        <tr r="H4231" s="2"/>
      </tp>
      <tp t="s">
        <v>#N/A N/A</v>
        <stp/>
        <stp>BDP|6805392754125504132</stp>
        <tr r="H4565" s="2"/>
      </tp>
      <tp t="s">
        <v>#N/A N/A</v>
        <stp/>
        <stp>BDP|9077602383403333033</stp>
        <tr r="D4626" s="2"/>
      </tp>
      <tp t="s">
        <v>#N/A N/A</v>
        <stp/>
        <stp>BDP|4813117708223727257</stp>
        <tr r="H2199" s="2"/>
      </tp>
      <tp t="s">
        <v>#N/A N/A</v>
        <stp/>
        <stp>BDP|3685513758880422780</stp>
        <tr r="B4233" s="2"/>
      </tp>
      <tp t="s">
        <v>#N/A N/A</v>
        <stp/>
        <stp>BDP|9741733001788581239</stp>
        <tr r="D4749" s="2"/>
      </tp>
      <tp t="s">
        <v>#N/A N/A</v>
        <stp/>
        <stp>BDP|7576928932909005067</stp>
        <tr r="I4645" s="2"/>
      </tp>
      <tp t="s">
        <v>#N/A N/A</v>
        <stp/>
        <stp>BDP|5215678733905695139</stp>
        <tr r="I2851" s="2"/>
      </tp>
      <tp t="s">
        <v>#N/A N/A</v>
        <stp/>
        <stp>BDP|7059786663283926113</stp>
        <tr r="B656" s="2"/>
      </tp>
      <tp t="s">
        <v>#N/A N/A</v>
        <stp/>
        <stp>BDP|3828361363711724396</stp>
        <tr r="G157" s="2"/>
      </tp>
      <tp t="s">
        <v>#N/A N/A</v>
        <stp/>
        <stp>BDP|4303270363267668324</stp>
        <tr r="B3866" s="2"/>
      </tp>
      <tp t="s">
        <v>#N/A N/A</v>
        <stp/>
        <stp>BDP|9836866640572929342</stp>
        <tr r="A3056" s="2"/>
      </tp>
      <tp t="s">
        <v>#N/A N/A</v>
        <stp/>
        <stp>BDP|5717666234983494727</stp>
        <tr r="D4123" s="2"/>
      </tp>
      <tp t="s">
        <v>#N/A N/A</v>
        <stp/>
        <stp>BDP|7650665566296225570</stp>
        <tr r="G4381" s="2"/>
      </tp>
      <tp t="s">
        <v>#N/A N/A</v>
        <stp/>
        <stp>BDP|8587668894731775230</stp>
        <tr r="F4024" s="2"/>
      </tp>
      <tp t="s">
        <v>#N/A N/A</v>
        <stp/>
        <stp>BDP|1985310945233884162</stp>
        <tr r="D4523" s="2"/>
      </tp>
      <tp t="s">
        <v>#N/A N/A</v>
        <stp/>
        <stp>BDP|5608902444705947981</stp>
        <tr r="G3684" s="2"/>
      </tp>
      <tp t="s">
        <v>#N/A N/A</v>
        <stp/>
        <stp>BDP|2870015648563356111</stp>
        <tr r="A4495" s="2"/>
      </tp>
      <tp t="s">
        <v>#N/A N/A</v>
        <stp/>
        <stp>BDP|9766241171631813993</stp>
        <tr r="A4214" s="2"/>
      </tp>
      <tp t="s">
        <v>#N/A N/A</v>
        <stp/>
        <stp>BDP|5949934384549860950</stp>
        <tr r="H2467" s="2"/>
      </tp>
      <tp t="s">
        <v>#N/A N/A</v>
        <stp/>
        <stp>BDP|9627125701654051866</stp>
        <tr r="B3327" s="2"/>
      </tp>
      <tp t="s">
        <v>#N/A N/A</v>
        <stp/>
        <stp>BDP|3870196486367217961</stp>
        <tr r="F2138" s="2"/>
      </tp>
      <tp t="s">
        <v>#N/A N/A</v>
        <stp/>
        <stp>BDP|1693612434684369439</stp>
        <tr r="F3527" s="2"/>
      </tp>
      <tp t="s">
        <v>#N/A N/A</v>
        <stp/>
        <stp>BDP|2371287048789018904</stp>
        <tr r="D318" s="2"/>
      </tp>
      <tp t="s">
        <v>#N/A N/A</v>
        <stp/>
        <stp>BDP|1624963278702349980</stp>
        <tr r="B2290" s="2"/>
      </tp>
      <tp t="s">
        <v>#N/A N/A</v>
        <stp/>
        <stp>BDP|6899521515435595397</stp>
        <tr r="H589" s="2"/>
      </tp>
      <tp t="s">
        <v>#N/A N/A</v>
        <stp/>
        <stp>BDP|7122319974887657013</stp>
        <tr r="F3424" s="2"/>
      </tp>
      <tp t="s">
        <v>#N/A N/A</v>
        <stp/>
        <stp>BDP|6575808026940816882</stp>
        <tr r="G1037" s="2"/>
      </tp>
      <tp t="s">
        <v>#N/A N/A</v>
        <stp/>
        <stp>BDP|4635405356314066536</stp>
        <tr r="D3375" s="2"/>
      </tp>
      <tp t="s">
        <v>#N/A N/A</v>
        <stp/>
        <stp>BDP|2810245715695330094</stp>
        <tr r="F1750" s="2"/>
      </tp>
      <tp t="s">
        <v>#N/A N/A</v>
        <stp/>
        <stp>BDP|9957783894611550230</stp>
        <tr r="B3631" s="2"/>
      </tp>
      <tp t="s">
        <v>#N/A N/A</v>
        <stp/>
        <stp>BDP|6579122333110763007</stp>
        <tr r="A81" s="2"/>
      </tp>
      <tp t="s">
        <v>#N/A N/A</v>
        <stp/>
        <stp>BDP|9256395879631764865</stp>
        <tr r="F1871" s="2"/>
      </tp>
      <tp t="s">
        <v>#N/A N/A</v>
        <stp/>
        <stp>BDP|2649698001815993548</stp>
        <tr r="D2181" s="2"/>
      </tp>
      <tp t="s">
        <v>#N/A N/A</v>
        <stp/>
        <stp>BDP|2113394247273462285</stp>
        <tr r="B3523" s="2"/>
      </tp>
      <tp t="s">
        <v>#N/A N/A</v>
        <stp/>
        <stp>BDP|7483385152762880756</stp>
        <tr r="D833" s="2"/>
      </tp>
      <tp t="s">
        <v>#N/A N/A</v>
        <stp/>
        <stp>BDP|2621966717489019745</stp>
        <tr r="A906" s="2"/>
      </tp>
      <tp t="s">
        <v>#N/A N/A</v>
        <stp/>
        <stp>BDP|3503332170365573602</stp>
        <tr r="C2294" s="2"/>
      </tp>
      <tp t="s">
        <v>#N/A N/A</v>
        <stp/>
        <stp>BDP|1198871593045344158</stp>
        <tr r="B2324" s="2"/>
      </tp>
      <tp t="s">
        <v>#N/A N/A</v>
        <stp/>
        <stp>BDP|4647132385390120923</stp>
        <tr r="H2307" s="2"/>
      </tp>
      <tp t="s">
        <v>#N/A N/A</v>
        <stp/>
        <stp>BDP|3928540807765898718</stp>
        <tr r="C3991" s="2"/>
      </tp>
      <tp t="s">
        <v>#N/A N/A</v>
        <stp/>
        <stp>BDP|8513100341438189169</stp>
        <tr r="B3271" s="2"/>
      </tp>
      <tp t="s">
        <v>#N/A N/A</v>
        <stp/>
        <stp>BDP|2919717341076208381</stp>
        <tr r="C497" s="2"/>
      </tp>
      <tp t="s">
        <v>#N/A N/A</v>
        <stp/>
        <stp>BDP|3874264746762213392</stp>
        <tr r="G3564" s="2"/>
      </tp>
      <tp t="s">
        <v>#N/A N/A</v>
        <stp/>
        <stp>BDP|4497908275907073928</stp>
        <tr r="G2547" s="2"/>
      </tp>
      <tp t="s">
        <v>#N/A N/A</v>
        <stp/>
        <stp>BDP|4483243317816329576</stp>
        <tr r="C1247" s="2"/>
      </tp>
      <tp t="s">
        <v>#N/A N/A</v>
        <stp/>
        <stp>BDP|4248287628193720366</stp>
        <tr r="B4608" s="2"/>
      </tp>
      <tp t="s">
        <v>#N/A N/A</v>
        <stp/>
        <stp>BDP|5212473272344356672</stp>
        <tr r="B1550" s="2"/>
      </tp>
      <tp t="s">
        <v>#N/A N/A</v>
        <stp/>
        <stp>BDP|9777818963946789518</stp>
        <tr r="H2224" s="2"/>
      </tp>
      <tp t="s">
        <v>#N/A N/A</v>
        <stp/>
        <stp>BDP|3941486671591490578</stp>
        <tr r="A2671" s="2"/>
      </tp>
      <tp t="s">
        <v>#N/A N/A</v>
        <stp/>
        <stp>BDP|6152484715441719682</stp>
        <tr r="B2595" s="2"/>
      </tp>
      <tp t="s">
        <v>#N/A N/A</v>
        <stp/>
        <stp>BDP|3823076138843341741</stp>
        <tr r="F1835" s="2"/>
      </tp>
      <tp t="s">
        <v>#N/A N/A</v>
        <stp/>
        <stp>BDP|3923220378512493077</stp>
        <tr r="A2937" s="2"/>
      </tp>
      <tp t="s">
        <v>#N/A N/A</v>
        <stp/>
        <stp>BDP|7136819757969039779</stp>
        <tr r="A3406" s="2"/>
      </tp>
      <tp t="s">
        <v>#N/A N/A</v>
        <stp/>
        <stp>BDP|1687136483039009567</stp>
        <tr r="H571" s="2"/>
      </tp>
      <tp t="s">
        <v>#N/A N/A</v>
        <stp/>
        <stp>BDP|6118642875995528650</stp>
        <tr r="D3518" s="2"/>
      </tp>
      <tp t="s">
        <v>#N/A N/A</v>
        <stp/>
        <stp>BDP|2291303216081502512</stp>
        <tr r="C3445" s="2"/>
      </tp>
      <tp t="s">
        <v>#N/A N/A</v>
        <stp/>
        <stp>BDP|5790935142225238945</stp>
        <tr r="A850" s="2"/>
      </tp>
      <tp t="s">
        <v>#N/A N/A</v>
        <stp/>
        <stp>BDP|2556147547120206348</stp>
        <tr r="G4320" s="2"/>
      </tp>
      <tp t="s">
        <v>#N/A N/A</v>
        <stp/>
        <stp>BDP|4882546101365405096</stp>
        <tr r="B297" s="2"/>
      </tp>
      <tp t="s">
        <v>#N/A N/A</v>
        <stp/>
        <stp>BDP|2488208992628350558</stp>
        <tr r="I4906" s="2"/>
      </tp>
      <tp t="s">
        <v>#N/A N/A</v>
        <stp/>
        <stp>BDP|6670047163256718268</stp>
        <tr r="B4721" s="2"/>
      </tp>
      <tp t="s">
        <v>#N/A N/A</v>
        <stp/>
        <stp>BDP|6068718328495931203</stp>
        <tr r="I1597" s="2"/>
      </tp>
      <tp t="s">
        <v>#N/A N/A</v>
        <stp/>
        <stp>BDP|2667976266921558826</stp>
        <tr r="F3229" s="2"/>
      </tp>
      <tp t="s">
        <v>#N/A N/A</v>
        <stp/>
        <stp>BDP|1788746420050453071</stp>
        <tr r="I2584" s="2"/>
      </tp>
      <tp t="s">
        <v>#N/A N/A</v>
        <stp/>
        <stp>BDP|6710173337415298555</stp>
        <tr r="C516" s="2"/>
      </tp>
      <tp t="s">
        <v>#N/A N/A</v>
        <stp/>
        <stp>BDP|4477489841131509182</stp>
        <tr r="B3187" s="2"/>
      </tp>
      <tp t="s">
        <v>#N/A N/A</v>
        <stp/>
        <stp>BDP|8269312742283980883</stp>
        <tr r="F1151" s="2"/>
      </tp>
      <tp t="s">
        <v>#N/A N/A</v>
        <stp/>
        <stp>BDP|5770528860582720025</stp>
        <tr r="D4823" s="2"/>
      </tp>
      <tp t="s">
        <v>#N/A N/A</v>
        <stp/>
        <stp>BDP|4997982990537774764</stp>
        <tr r="I2568" s="2"/>
      </tp>
      <tp t="s">
        <v>#N/A N/A</v>
        <stp/>
        <stp>BDP|5430770564273649318</stp>
        <tr r="C2359" s="2"/>
      </tp>
      <tp t="s">
        <v>#N/A N/A</v>
        <stp/>
        <stp>BDP|6189570288059705695</stp>
        <tr r="C4052" s="2"/>
      </tp>
      <tp t="s">
        <v>#N/A N/A</v>
        <stp/>
        <stp>BDP|6294452238713711681</stp>
        <tr r="C4388" s="2"/>
      </tp>
      <tp t="s">
        <v>#N/A N/A</v>
        <stp/>
        <stp>BDP|2091491357772632580</stp>
        <tr r="I70" s="2"/>
      </tp>
      <tp t="s">
        <v>#N/A N/A</v>
        <stp/>
        <stp>BDP|8478598193544620484</stp>
        <tr r="H2072" s="2"/>
      </tp>
      <tp t="s">
        <v>#N/A N/A</v>
        <stp/>
        <stp>BDP|9975205880234190385</stp>
        <tr r="I2652" s="2"/>
      </tp>
      <tp t="s">
        <v>#N/A N/A</v>
        <stp/>
        <stp>BDP|2937027205510660688</stp>
        <tr r="F3584" s="2"/>
      </tp>
      <tp t="s">
        <v>#N/A N/A</v>
        <stp/>
        <stp>BDP|2067273473975374674</stp>
        <tr r="C133" s="2"/>
      </tp>
      <tp t="s">
        <v>#N/A N/A</v>
        <stp/>
        <stp>BDP|1743629400565250672</stp>
        <tr r="C3464" s="2"/>
      </tp>
      <tp t="s">
        <v>#N/A N/A</v>
        <stp/>
        <stp>BDP|8834602996433630089</stp>
        <tr r="G685" s="2"/>
      </tp>
      <tp t="s">
        <v>#N/A N/A</v>
        <stp/>
        <stp>BDP|6817561804676887121</stp>
        <tr r="F3891" s="2"/>
      </tp>
      <tp t="s">
        <v>#N/A N/A</v>
        <stp/>
        <stp>BDP|4540251784249609328</stp>
        <tr r="A3989" s="2"/>
      </tp>
      <tp t="s">
        <v>#N/A N/A</v>
        <stp/>
        <stp>BDP|2446938243069153257</stp>
        <tr r="H3655" s="2"/>
      </tp>
      <tp t="s">
        <v>#N/A N/A</v>
        <stp/>
        <stp>BDP|8287496997559818844</stp>
        <tr r="F2148" s="2"/>
      </tp>
      <tp t="s">
        <v>#N/A N/A</v>
        <stp/>
        <stp>BDP|6543488654522909107</stp>
        <tr r="A3108" s="2"/>
      </tp>
      <tp t="s">
        <v>#N/A N/A</v>
        <stp/>
        <stp>BDP|4136918241799962484</stp>
        <tr r="D2016" s="2"/>
      </tp>
      <tp t="s">
        <v>#N/A N/A</v>
        <stp/>
        <stp>BDP|9438408227468305301</stp>
        <tr r="C1705" s="2"/>
      </tp>
      <tp t="s">
        <v>#N/A N/A</v>
        <stp/>
        <stp>BDP|1089961954248092123</stp>
        <tr r="I2167" s="2"/>
      </tp>
      <tp t="s">
        <v>#N/A N/A</v>
        <stp/>
        <stp>BDP|6649803516909380237</stp>
        <tr r="C1321" s="2"/>
      </tp>
      <tp t="s">
        <v>#N/A N/A</v>
        <stp/>
        <stp>BDP|7425408102793640408</stp>
        <tr r="C3934" s="2"/>
      </tp>
      <tp t="s">
        <v>#N/A N/A</v>
        <stp/>
        <stp>BDP|8572605597784210705</stp>
        <tr r="C4093" s="2"/>
      </tp>
      <tp t="s">
        <v>#N/A N/A</v>
        <stp/>
        <stp>BDP|8266566595964693470</stp>
        <tr r="H4010" s="2"/>
      </tp>
      <tp t="s">
        <v>#N/A N/A</v>
        <stp/>
        <stp>BDP|6210734989775879805</stp>
        <tr r="G1403" s="2"/>
      </tp>
      <tp t="s">
        <v>#N/A N/A</v>
        <stp/>
        <stp>BDP|9155162054020137924</stp>
        <tr r="D524" s="2"/>
      </tp>
      <tp t="s">
        <v>#N/A N/A</v>
        <stp/>
        <stp>BDP|3306799616965408480</stp>
        <tr r="G2580" s="2"/>
      </tp>
      <tp t="s">
        <v>#N/A N/A</v>
        <stp/>
        <stp>BDP|6397378883509445030</stp>
        <tr r="H1610" s="2"/>
      </tp>
      <tp t="s">
        <v>#N/A N/A</v>
        <stp/>
        <stp>BDP|7152117742772453463</stp>
        <tr r="I4943" s="2"/>
      </tp>
      <tp t="s">
        <v>#N/A N/A</v>
        <stp/>
        <stp>BDP|5474926160328025663</stp>
        <tr r="C1354" s="2"/>
      </tp>
      <tp t="s">
        <v>#N/A N/A</v>
        <stp/>
        <stp>BDP|1541387970351441097</stp>
        <tr r="I1681" s="2"/>
      </tp>
      <tp t="s">
        <v>#N/A N/A</v>
        <stp/>
        <stp>BDP|5731810984763073220</stp>
        <tr r="B1579" s="2"/>
      </tp>
      <tp t="s">
        <v>#N/A N/A</v>
        <stp/>
        <stp>BDP|2862734564742628594</stp>
        <tr r="I2502" s="2"/>
      </tp>
      <tp t="s">
        <v>#N/A N/A</v>
        <stp/>
        <stp>BDP|7336024428115058490</stp>
        <tr r="F4218" s="2"/>
      </tp>
      <tp t="s">
        <v>#N/A N/A</v>
        <stp/>
        <stp>BDP|7737451112605373331</stp>
        <tr r="D832" s="2"/>
      </tp>
      <tp t="s">
        <v>#N/A N/A</v>
        <stp/>
        <stp>BDP|3701622952702128665</stp>
        <tr r="C4930" s="2"/>
      </tp>
      <tp t="s">
        <v>#N/A N/A</v>
        <stp/>
        <stp>BDP|6324217475645544225</stp>
        <tr r="H4974" s="2"/>
      </tp>
      <tp t="s">
        <v>#N/A N/A</v>
        <stp/>
        <stp>BDP|5025425432074327237</stp>
        <tr r="H2554" s="2"/>
      </tp>
      <tp t="s">
        <v>#N/A N/A</v>
        <stp/>
        <stp>BDP|8538651899130140385</stp>
        <tr r="F3058" s="2"/>
      </tp>
      <tp t="s">
        <v>#N/A N/A</v>
        <stp/>
        <stp>BDP|7928222756444441092</stp>
        <tr r="F1192" s="2"/>
      </tp>
      <tp t="s">
        <v>#N/A N/A</v>
        <stp/>
        <stp>BDP|5750444663577707471</stp>
        <tr r="D917" s="2"/>
      </tp>
      <tp t="s">
        <v>#N/A N/A</v>
        <stp/>
        <stp>BDP|5908086943955384012</stp>
        <tr r="B179" s="2"/>
      </tp>
      <tp t="s">
        <v>#N/A N/A</v>
        <stp/>
        <stp>BDP|6142442254011501243</stp>
        <tr r="D47" s="2"/>
      </tp>
      <tp t="s">
        <v>#N/A N/A</v>
        <stp/>
        <stp>BDP|3631719656847622275</stp>
        <tr r="D4439" s="2"/>
      </tp>
      <tp t="s">
        <v>#N/A N/A</v>
        <stp/>
        <stp>BDP|3162710141211536543</stp>
        <tr r="C3532" s="2"/>
      </tp>
      <tp t="s">
        <v>#N/A N/A</v>
        <stp/>
        <stp>BDP|7087200779767029199</stp>
        <tr r="G2488" s="2"/>
      </tp>
      <tp t="s">
        <v>#N/A N/A</v>
        <stp/>
        <stp>BDP|6584776729926319182</stp>
        <tr r="B184" s="2"/>
      </tp>
      <tp t="s">
        <v>#N/A N/A</v>
        <stp/>
        <stp>BDP|8264876796935499874</stp>
        <tr r="H4257" s="2"/>
      </tp>
      <tp t="s">
        <v>#N/A N/A</v>
        <stp/>
        <stp>BDP|4782679959090839316</stp>
        <tr r="G2688" s="2"/>
      </tp>
      <tp t="s">
        <v>#N/A N/A</v>
        <stp/>
        <stp>BDP|6861051529370105053</stp>
        <tr r="B998" s="2"/>
      </tp>
      <tp t="s">
        <v>#N/A N/A</v>
        <stp/>
        <stp>BDP|8693575385908236961</stp>
        <tr r="F2712" s="2"/>
      </tp>
      <tp t="s">
        <v>#N/A N/A</v>
        <stp/>
        <stp>BDP|2647111225371773456</stp>
        <tr r="I2547" s="2"/>
      </tp>
      <tp t="s">
        <v>#N/A N/A</v>
        <stp/>
        <stp>BDP|9682928085654925883</stp>
        <tr r="I2102" s="2"/>
      </tp>
      <tp t="s">
        <v>#N/A N/A</v>
        <stp/>
        <stp>BDP|1028330103865252328</stp>
        <tr r="D4914" s="2"/>
      </tp>
      <tp t="s">
        <v>#N/A N/A</v>
        <stp/>
        <stp>BDP|2276150364091404070</stp>
        <tr r="D1993" s="2"/>
      </tp>
      <tp t="s">
        <v>#N/A N/A</v>
        <stp/>
        <stp>BDP|7138439512413507559</stp>
        <tr r="B4183" s="2"/>
      </tp>
      <tp t="s">
        <v>#N/A N/A</v>
        <stp/>
        <stp>BDP|3902193604076476002</stp>
        <tr r="D2883" s="2"/>
      </tp>
      <tp t="s">
        <v>#N/A N/A</v>
        <stp/>
        <stp>BDP|7289919422590075815</stp>
        <tr r="H315" s="2"/>
      </tp>
      <tp t="s">
        <v>#N/A N/A</v>
        <stp/>
        <stp>BDP|1368703840077715142</stp>
        <tr r="H2210" s="2"/>
      </tp>
      <tp t="s">
        <v>#N/A N/A</v>
        <stp/>
        <stp>BDP|5459243790299215323</stp>
        <tr r="D3467" s="2"/>
      </tp>
      <tp t="s">
        <v>#N/A N/A</v>
        <stp/>
        <stp>BDP|8139691586564762697</stp>
        <tr r="F3413" s="2"/>
      </tp>
      <tp t="s">
        <v>#N/A N/A</v>
        <stp/>
        <stp>BDP|7862613851406803607</stp>
        <tr r="H3993" s="2"/>
      </tp>
      <tp t="s">
        <v>#N/A N/A</v>
        <stp/>
        <stp>BDP|4522708544757288433</stp>
        <tr r="B3323" s="2"/>
      </tp>
      <tp t="s">
        <v>#N/A N/A</v>
        <stp/>
        <stp>BDP|8486862259488309997</stp>
        <tr r="F1113" s="2"/>
      </tp>
      <tp t="s">
        <v>#N/A N/A</v>
        <stp/>
        <stp>BDP|8565191798635594101</stp>
        <tr r="B4782" s="2"/>
      </tp>
      <tp t="s">
        <v>#N/A N/A</v>
        <stp/>
        <stp>BDP|5611523285674353838</stp>
        <tr r="A2435" s="2"/>
      </tp>
      <tp t="s">
        <v>#N/A N/A</v>
        <stp/>
        <stp>BDP|4271523167247688407</stp>
        <tr r="D4446" s="2"/>
      </tp>
      <tp t="s">
        <v>#N/A N/A</v>
        <stp/>
        <stp>BDP|6836374902264555599</stp>
        <tr r="D3760" s="2"/>
      </tp>
      <tp t="s">
        <v>#N/A N/A</v>
        <stp/>
        <stp>BDP|3319899086922484590</stp>
        <tr r="C2811" s="2"/>
      </tp>
      <tp t="s">
        <v>#N/A N/A</v>
        <stp/>
        <stp>BDP|3283654347002479752</stp>
        <tr r="I2909" s="2"/>
      </tp>
      <tp t="s">
        <v>#N/A N/A</v>
        <stp/>
        <stp>BDP|8269400887977253762</stp>
        <tr r="C1420" s="2"/>
      </tp>
      <tp t="s">
        <v>#N/A N/A</v>
        <stp/>
        <stp>BDP|1190335555306272540</stp>
        <tr r="I1129" s="2"/>
      </tp>
      <tp t="s">
        <v>#N/A N/A</v>
        <stp/>
        <stp>BDP|9938379829918486423</stp>
        <tr r="A1797" s="2"/>
      </tp>
      <tp t="s">
        <v>#N/A N/A</v>
        <stp/>
        <stp>BDP|1787060656649327954</stp>
        <tr r="C1250" s="2"/>
      </tp>
      <tp t="s">
        <v>#N/A N/A</v>
        <stp/>
        <stp>BDP|2819195533255683156</stp>
        <tr r="I328" s="2"/>
      </tp>
      <tp t="s">
        <v>#N/A N/A</v>
        <stp/>
        <stp>BDP|1723691010742882077</stp>
        <tr r="D3107" s="2"/>
      </tp>
      <tp t="s">
        <v>#N/A N/A</v>
        <stp/>
        <stp>BDP|4325128910404849481</stp>
        <tr r="H699" s="2"/>
      </tp>
      <tp t="s">
        <v>#N/A N/A</v>
        <stp/>
        <stp>BDP|6952439812531947606</stp>
        <tr r="C4931" s="2"/>
      </tp>
      <tp t="s">
        <v>#N/A N/A</v>
        <stp/>
        <stp>BDP|2541526683998087358</stp>
        <tr r="I1749" s="2"/>
      </tp>
      <tp t="s">
        <v>#N/A N/A</v>
        <stp/>
        <stp>BDP|6427608274764623775</stp>
        <tr r="B4633" s="2"/>
      </tp>
      <tp t="s">
        <v>#N/A N/A</v>
        <stp/>
        <stp>BDP|4501453511930405540</stp>
        <tr r="F3979" s="2"/>
      </tp>
      <tp t="s">
        <v>#N/A N/A</v>
        <stp/>
        <stp>BDP|5129802010999862185</stp>
        <tr r="H368" s="2"/>
      </tp>
      <tp t="s">
        <v>#N/A N/A</v>
        <stp/>
        <stp>BDP|2993953949519228267</stp>
        <tr r="G1826" s="2"/>
      </tp>
      <tp t="s">
        <v>#N/A N/A</v>
        <stp/>
        <stp>BDP|4858712076856726697</stp>
        <tr r="H1265" s="2"/>
      </tp>
      <tp t="s">
        <v>#N/A N/A</v>
        <stp/>
        <stp>BDP|1138709694892395976</stp>
        <tr r="C722" s="2"/>
      </tp>
      <tp t="s">
        <v>#N/A N/A</v>
        <stp/>
        <stp>BDP|2611551705863332046</stp>
        <tr r="B673" s="2"/>
      </tp>
      <tp t="s">
        <v>#N/A N/A</v>
        <stp/>
        <stp>BDP|4595741754574296669</stp>
        <tr r="G3853" s="2"/>
      </tp>
      <tp t="s">
        <v>#N/A N/A</v>
        <stp/>
        <stp>BDP|7856889049189950615</stp>
        <tr r="D3811" s="2"/>
      </tp>
      <tp t="s">
        <v>#N/A N/A</v>
        <stp/>
        <stp>BDP|3229029979785988518</stp>
        <tr r="A3859" s="2"/>
      </tp>
      <tp t="s">
        <v>#N/A N/A</v>
        <stp/>
        <stp>BDP|3741119883056350874</stp>
        <tr r="F3078" s="2"/>
      </tp>
      <tp t="s">
        <v>#N/A N/A</v>
        <stp/>
        <stp>BDP|8362488808541053922</stp>
        <tr r="B4106" s="2"/>
      </tp>
      <tp t="s">
        <v>#N/A N/A</v>
        <stp/>
        <stp>BDP|5048170696810025902</stp>
        <tr r="B4661" s="2"/>
      </tp>
      <tp t="s">
        <v>#N/A N/A</v>
        <stp/>
        <stp>BDP|4722158423604441747</stp>
        <tr r="G4714" s="2"/>
      </tp>
      <tp t="s">
        <v>#N/A N/A</v>
        <stp/>
        <stp>BDP|2994687407895214558</stp>
        <tr r="F1925" s="2"/>
      </tp>
      <tp t="s">
        <v>#N/A N/A</v>
        <stp/>
        <stp>BDP|2644654750902557772</stp>
        <tr r="I2862" s="2"/>
      </tp>
      <tp t="s">
        <v>#N/A N/A</v>
        <stp/>
        <stp>BDP|1242185442878954802</stp>
        <tr r="H3797" s="2"/>
      </tp>
      <tp t="s">
        <v>#N/A N/A</v>
        <stp/>
        <stp>BDP|1249245767371789074</stp>
        <tr r="B982" s="2"/>
      </tp>
      <tp t="s">
        <v>#N/A N/A</v>
        <stp/>
        <stp>BDP|5796749690676387910</stp>
        <tr r="F659" s="2"/>
      </tp>
      <tp t="s">
        <v>#N/A N/A</v>
        <stp/>
        <stp>BDP|6747605657588628978</stp>
        <tr r="B3120" s="2"/>
      </tp>
      <tp t="s">
        <v>#N/A N/A</v>
        <stp/>
        <stp>BDP|6425457025823125741</stp>
        <tr r="F4305" s="2"/>
      </tp>
      <tp t="s">
        <v>#N/A N/A</v>
        <stp/>
        <stp>BDP|7446356302672630249</stp>
        <tr r="C2726" s="2"/>
      </tp>
      <tp t="s">
        <v>#N/A N/A</v>
        <stp/>
        <stp>BDP|3264248847066139713</stp>
        <tr r="H3263" s="2"/>
      </tp>
      <tp t="s">
        <v>#N/A N/A</v>
        <stp/>
        <stp>BDP|3473348035685022245</stp>
        <tr r="I4633" s="2"/>
      </tp>
      <tp t="s">
        <v>#N/A N/A</v>
        <stp/>
        <stp>BDP|5616584464214219698</stp>
        <tr r="F1488" s="2"/>
      </tp>
      <tp t="s">
        <v>#N/A N/A</v>
        <stp/>
        <stp>BDP|5629470830184343239</stp>
        <tr r="I1314" s="2"/>
      </tp>
      <tp t="s">
        <v>#N/A N/A</v>
        <stp/>
        <stp>BDP|4264120782631264817</stp>
        <tr r="D3304" s="2"/>
      </tp>
      <tp t="s">
        <v>#N/A N/A</v>
        <stp/>
        <stp>BDP|2843461121719715992</stp>
        <tr r="B1764" s="2"/>
      </tp>
      <tp t="s">
        <v>#N/A N/A</v>
        <stp/>
        <stp>BDP|7263689728943407477</stp>
        <tr r="G3789" s="2"/>
      </tp>
      <tp t="s">
        <v>#N/A N/A</v>
        <stp/>
        <stp>BDP|8744615067289363534</stp>
        <tr r="I223" s="2"/>
      </tp>
      <tp t="s">
        <v>#N/A N/A</v>
        <stp/>
        <stp>BDP|4513207831713453215</stp>
        <tr r="A1460" s="2"/>
      </tp>
      <tp t="s">
        <v>#N/A N/A</v>
        <stp/>
        <stp>BDP|6588279203063935393</stp>
        <tr r="C2334" s="2"/>
      </tp>
      <tp t="s">
        <v>#N/A N/A</v>
        <stp/>
        <stp>BDP|2276668109180899047</stp>
        <tr r="D4373" s="2"/>
      </tp>
      <tp t="s">
        <v>#N/A N/A</v>
        <stp/>
        <stp>BDP|1540649233578596861</stp>
        <tr r="I3571" s="2"/>
      </tp>
      <tp t="s">
        <v>#N/A N/A</v>
        <stp/>
        <stp>BDP|9556832374714777647</stp>
        <tr r="A1181" s="2"/>
      </tp>
      <tp t="s">
        <v>#N/A N/A</v>
        <stp/>
        <stp>BDP|3809391725183568506</stp>
        <tr r="C2525" s="2"/>
      </tp>
      <tp t="s">
        <v>#N/A N/A</v>
        <stp/>
        <stp>BDP|3080503812077297412</stp>
        <tr r="B1139" s="2"/>
      </tp>
      <tp t="s">
        <v>#N/A N/A</v>
        <stp/>
        <stp>BDP|1794155276091246278</stp>
        <tr r="H4595" s="2"/>
      </tp>
      <tp t="s">
        <v>#N/A N/A</v>
        <stp/>
        <stp>BDP|8627720492716718404</stp>
        <tr r="G4352" s="2"/>
      </tp>
      <tp t="s">
        <v>#N/A N/A</v>
        <stp/>
        <stp>BDP|6704522857183652155</stp>
        <tr r="C4034" s="2"/>
      </tp>
      <tp t="s">
        <v>#N/A N/A</v>
        <stp/>
        <stp>BDP|3097219367776404534</stp>
        <tr r="I954" s="2"/>
      </tp>
      <tp t="s">
        <v>#N/A N/A</v>
        <stp/>
        <stp>BDP|6210447814192446570</stp>
        <tr r="I1398" s="2"/>
      </tp>
      <tp t="s">
        <v>#N/A N/A</v>
        <stp/>
        <stp>BDP|3362774313498218944</stp>
        <tr r="F2942" s="2"/>
      </tp>
      <tp t="s">
        <v>#N/A N/A</v>
        <stp/>
        <stp>BDP|4358623861176649670</stp>
        <tr r="B1584" s="2"/>
      </tp>
      <tp t="s">
        <v>#N/A N/A</v>
        <stp/>
        <stp>BDP|2157453239456464786</stp>
        <tr r="F3821" s="2"/>
      </tp>
      <tp t="s">
        <v>#N/A N/A</v>
        <stp/>
        <stp>BDP|7609083427153115291</stp>
        <tr r="H4683" s="2"/>
      </tp>
      <tp t="s">
        <v>#N/A N/A</v>
        <stp/>
        <stp>BDP|3014171963617213775</stp>
        <tr r="A35" s="2"/>
      </tp>
      <tp t="s">
        <v>#N/A N/A</v>
        <stp/>
        <stp>BDP|8399907616822222666</stp>
        <tr r="G3961" s="2"/>
      </tp>
      <tp t="s">
        <v>#N/A N/A</v>
        <stp/>
        <stp>BDP|4308499133844006383</stp>
        <tr r="C2116" s="2"/>
      </tp>
      <tp t="s">
        <v>#N/A N/A</v>
        <stp/>
        <stp>BDP|7281263633841255343</stp>
        <tr r="B4294" s="2"/>
      </tp>
      <tp t="s">
        <v>#N/A N/A</v>
        <stp/>
        <stp>BDP|2502565771425029136</stp>
        <tr r="H3256" s="2"/>
      </tp>
      <tp t="s">
        <v>#N/A N/A</v>
        <stp/>
        <stp>BDP|8207552347634869997</stp>
        <tr r="D590" s="2"/>
      </tp>
      <tp t="s">
        <v>#N/A N/A</v>
        <stp/>
        <stp>BDP|7671433468240934151</stp>
        <tr r="A2705" s="2"/>
      </tp>
      <tp t="s">
        <v>#N/A N/A</v>
        <stp/>
        <stp>BDP|7034979135418624158</stp>
        <tr r="H3484" s="2"/>
      </tp>
      <tp t="s">
        <v>#N/A N/A</v>
        <stp/>
        <stp>BDP|3046228275466093465</stp>
        <tr r="I3195" s="2"/>
      </tp>
      <tp t="s">
        <v>#N/A N/A</v>
        <stp/>
        <stp>BDP|5549021685379704042</stp>
        <tr r="F860" s="2"/>
      </tp>
      <tp t="s">
        <v>#N/A N/A</v>
        <stp/>
        <stp>BDP|9379207267250371961</stp>
        <tr r="D31" s="2"/>
      </tp>
      <tp t="s">
        <v>#N/A N/A</v>
        <stp/>
        <stp>BDP|5282932851044395927</stp>
        <tr r="F4277" s="2"/>
      </tp>
      <tp t="s">
        <v>#N/A N/A</v>
        <stp/>
        <stp>BDP|8499709284352259131</stp>
        <tr r="G185" s="2"/>
      </tp>
      <tp t="s">
        <v>#N/A N/A</v>
        <stp/>
        <stp>BDP|3658241027530157753</stp>
        <tr r="C1689" s="2"/>
      </tp>
      <tp t="s">
        <v>#N/A N/A</v>
        <stp/>
        <stp>BDP|3798557595593749818</stp>
        <tr r="F1053" s="2"/>
      </tp>
      <tp t="s">
        <v>#N/A N/A</v>
        <stp/>
        <stp>BDP|7061503132777508265</stp>
        <tr r="G3250" s="2"/>
      </tp>
      <tp t="s">
        <v>#N/A N/A</v>
        <stp/>
        <stp>BDP|3634944167960294861</stp>
        <tr r="F2051" s="2"/>
      </tp>
      <tp t="s">
        <v>#N/A N/A</v>
        <stp/>
        <stp>BDP|4371506254107370751</stp>
        <tr r="C4837" s="2"/>
      </tp>
      <tp t="s">
        <v>#N/A N/A</v>
        <stp/>
        <stp>BDP|1332354817222436540</stp>
        <tr r="H3381" s="2"/>
      </tp>
      <tp t="s">
        <v>#N/A N/A</v>
        <stp/>
        <stp>BDP|4878771004224832321</stp>
        <tr r="H4502" s="2"/>
      </tp>
      <tp t="s">
        <v>#N/A N/A</v>
        <stp/>
        <stp>BDP|9662176983356316204</stp>
        <tr r="F1279" s="2"/>
      </tp>
      <tp t="s">
        <v>#N/A N/A</v>
        <stp/>
        <stp>BDP|7324291403404969517</stp>
        <tr r="C1807" s="2"/>
      </tp>
      <tp t="s">
        <v>#N/A N/A</v>
        <stp/>
        <stp>BDP|5369227863133409676</stp>
        <tr r="I1948" s="2"/>
      </tp>
      <tp t="s">
        <v>#N/A N/A</v>
        <stp/>
        <stp>BDP|3682158364566681674</stp>
        <tr r="H871" s="2"/>
      </tp>
      <tp t="s">
        <v>#N/A N/A</v>
        <stp/>
        <stp>BDP|2030072575457587614</stp>
        <tr r="F177" s="2"/>
      </tp>
      <tp t="s">
        <v>#N/A N/A</v>
        <stp/>
        <stp>BDP|7467318291261664843</stp>
        <tr r="H1448" s="2"/>
      </tp>
      <tp t="s">
        <v>#N/A N/A</v>
        <stp/>
        <stp>BDP|8283397399713146555</stp>
        <tr r="F4487" s="2"/>
      </tp>
      <tp t="s">
        <v>#N/A N/A</v>
        <stp/>
        <stp>BDP|3380370003745336125</stp>
        <tr r="G3334" s="2"/>
      </tp>
      <tp t="s">
        <v>#N/A N/A</v>
        <stp/>
        <stp>BDP|8184240472038680179</stp>
        <tr r="D4172" s="2"/>
      </tp>
      <tp t="s">
        <v>#N/A N/A</v>
        <stp/>
        <stp>BDP|7051838956387429975</stp>
        <tr r="A3811" s="2"/>
      </tp>
      <tp t="s">
        <v>#N/A N/A</v>
        <stp/>
        <stp>BDP|2925456362041854509</stp>
        <tr r="D2531" s="2"/>
      </tp>
      <tp t="s">
        <v>#N/A N/A</v>
        <stp/>
        <stp>BDP|6792171627636077711</stp>
        <tr r="C401" s="2"/>
      </tp>
      <tp t="s">
        <v>#N/A N/A</v>
        <stp/>
        <stp>BDP|1572201796677380960</stp>
        <tr r="H1204" s="2"/>
      </tp>
      <tp t="s">
        <v>#N/A N/A</v>
        <stp/>
        <stp>BDP|9142859112156814285</stp>
        <tr r="B967" s="2"/>
      </tp>
      <tp t="s">
        <v>#N/A N/A</v>
        <stp/>
        <stp>BDP|6915307239067157578</stp>
        <tr r="C1707" s="2"/>
      </tp>
      <tp t="s">
        <v>#N/A N/A</v>
        <stp/>
        <stp>BDP|3461009677769456916</stp>
        <tr r="D805" s="2"/>
      </tp>
      <tp t="s">
        <v>#N/A N/A</v>
        <stp/>
        <stp>BDP|6710992691917946505</stp>
        <tr r="F3425" s="2"/>
      </tp>
      <tp t="s">
        <v>#N/A N/A</v>
        <stp/>
        <stp>BDP|4686123162917805089</stp>
        <tr r="D1998" s="2"/>
      </tp>
      <tp t="s">
        <v>#N/A N/A</v>
        <stp/>
        <stp>BDP|6089182593242975844</stp>
        <tr r="F1932" s="2"/>
      </tp>
      <tp t="s">
        <v>#N/A N/A</v>
        <stp/>
        <stp>BDP|7398019324174321538</stp>
        <tr r="H3049" s="2"/>
      </tp>
      <tp t="s">
        <v>#N/A N/A</v>
        <stp/>
        <stp>BDP|3695791538722436156</stp>
        <tr r="I1752" s="2"/>
      </tp>
      <tp t="s">
        <v>#N/A N/A</v>
        <stp/>
        <stp>BDP|1315257818063889504</stp>
        <tr r="D3658" s="2"/>
      </tp>
      <tp t="s">
        <v>#N/A N/A</v>
        <stp/>
        <stp>BDP|7562374045766186207</stp>
        <tr r="I2456" s="2"/>
      </tp>
      <tp t="s">
        <v>#N/A N/A</v>
        <stp/>
        <stp>BDP|3741671140916428324</stp>
        <tr r="A2777" s="2"/>
      </tp>
      <tp t="s">
        <v>#N/A N/A</v>
        <stp/>
        <stp>BDP|6491524322734615146</stp>
        <tr r="D2592" s="2"/>
      </tp>
      <tp t="s">
        <v>#N/A N/A</v>
        <stp/>
        <stp>BDP|3289141205562198448</stp>
        <tr r="G4178" s="2"/>
      </tp>
      <tp t="s">
        <v>#N/A N/A</v>
        <stp/>
        <stp>BDP|3506178724452332632</stp>
        <tr r="C504" s="2"/>
      </tp>
      <tp t="s">
        <v>#N/A N/A</v>
        <stp/>
        <stp>BDP|9367608232361664916</stp>
        <tr r="G4608" s="2"/>
      </tp>
      <tp t="s">
        <v>#N/A N/A</v>
        <stp/>
        <stp>BDP|2691705020314011703</stp>
        <tr r="I4821" s="2"/>
      </tp>
      <tp t="s">
        <v>#N/A N/A</v>
        <stp/>
        <stp>BDP|1827593974975000235</stp>
        <tr r="A2712" s="2"/>
      </tp>
      <tp t="s">
        <v>#N/A N/A</v>
        <stp/>
        <stp>BDP|3059024246374269708</stp>
        <tr r="B741" s="2"/>
      </tp>
      <tp t="s">
        <v>#N/A N/A</v>
        <stp/>
        <stp>BDP|2141969313268722651</stp>
        <tr r="B2430" s="2"/>
      </tp>
      <tp t="s">
        <v>#N/A N/A</v>
        <stp/>
        <stp>BDP|3047133387328290601</stp>
        <tr r="F3384" s="2"/>
      </tp>
      <tp t="s">
        <v>#N/A N/A</v>
        <stp/>
        <stp>BDP|5994362333748315991</stp>
        <tr r="F2576" s="2"/>
      </tp>
      <tp t="s">
        <v>#N/A N/A</v>
        <stp/>
        <stp>BDP|9683242783373744401</stp>
        <tr r="I4724" s="2"/>
      </tp>
      <tp t="s">
        <v>#N/A N/A</v>
        <stp/>
        <stp>BDP|3436118334146101366</stp>
        <tr r="H2938" s="2"/>
      </tp>
      <tp t="s">
        <v>#N/A N/A</v>
        <stp/>
        <stp>BDP|8010463560276150819</stp>
        <tr r="F1969" s="2"/>
      </tp>
      <tp t="s">
        <v>#N/A N/A</v>
        <stp/>
        <stp>BDP|7489607248863985233</stp>
        <tr r="D2732" s="2"/>
      </tp>
      <tp t="s">
        <v>#N/A N/A</v>
        <stp/>
        <stp>BDP|5640411617761399557</stp>
        <tr r="G3551" s="2"/>
      </tp>
      <tp t="s">
        <v>#N/A N/A</v>
        <stp/>
        <stp>BDP|3087614738634659693</stp>
        <tr r="D3935" s="2"/>
      </tp>
      <tp t="s">
        <v>#N/A N/A</v>
        <stp/>
        <stp>BDP|7780530354505657607</stp>
        <tr r="A357" s="2"/>
      </tp>
      <tp t="s">
        <v>#N/A N/A</v>
        <stp/>
        <stp>BDP|8146661173915755856</stp>
        <tr r="B869" s="2"/>
      </tp>
      <tp t="s">
        <v>#N/A N/A</v>
        <stp/>
        <stp>BDP|7554563618165419299</stp>
        <tr r="G3667" s="2"/>
      </tp>
      <tp t="s">
        <v>#N/A N/A</v>
        <stp/>
        <stp>BDP|2601884592691255688</stp>
        <tr r="A4009" s="2"/>
      </tp>
      <tp t="s">
        <v>#N/A N/A</v>
        <stp/>
        <stp>BDP|3007042212992255421</stp>
        <tr r="G1163" s="2"/>
      </tp>
      <tp t="s">
        <v>#N/A N/A</v>
        <stp/>
        <stp>BDP|3112846391312184432</stp>
        <tr r="B2431" s="2"/>
      </tp>
      <tp t="s">
        <v>#N/A N/A</v>
        <stp/>
        <stp>BDP|9723049524529041614</stp>
        <tr r="H1410" s="2"/>
      </tp>
      <tp t="s">
        <v>#N/A N/A</v>
        <stp/>
        <stp>BDP|1638749694832450949</stp>
        <tr r="F4831" s="2"/>
      </tp>
      <tp t="s">
        <v>#N/A N/A</v>
        <stp/>
        <stp>BDP|7252340729190931209</stp>
        <tr r="F916" s="2"/>
      </tp>
      <tp t="s">
        <v>#N/A N/A</v>
        <stp/>
        <stp>BDP|1492759851605384250</stp>
        <tr r="F3395" s="2"/>
      </tp>
      <tp t="s">
        <v>#N/A N/A</v>
        <stp/>
        <stp>BDP|9421630749017849808</stp>
        <tr r="F3655" s="2"/>
      </tp>
      <tp t="s">
        <v>#N/A N/A</v>
        <stp/>
        <stp>BDP|3029187267725086594</stp>
        <tr r="G4537" s="2"/>
      </tp>
      <tp t="s">
        <v>#N/A N/A</v>
        <stp/>
        <stp>BDP|8381097210184813941</stp>
        <tr r="F1446" s="2"/>
      </tp>
      <tp t="s">
        <v>#N/A N/A</v>
        <stp/>
        <stp>BDP|5933946995686849769</stp>
        <tr r="C366" s="2"/>
      </tp>
      <tp t="s">
        <v>#N/A N/A</v>
        <stp/>
        <stp>BDP|6939559270645244586</stp>
        <tr r="B769" s="2"/>
      </tp>
      <tp t="s">
        <v>#N/A N/A</v>
        <stp/>
        <stp>BDP|7023409726394336135</stp>
        <tr r="I13" s="2"/>
      </tp>
      <tp t="s">
        <v>#N/A N/A</v>
        <stp/>
        <stp>BDP|8774415941709569542</stp>
        <tr r="H3708" s="2"/>
      </tp>
      <tp t="s">
        <v>#N/A N/A</v>
        <stp/>
        <stp>BDP|6287263773972372524</stp>
        <tr r="B1095" s="2"/>
      </tp>
      <tp t="s">
        <v>#N/A N/A</v>
        <stp/>
        <stp>BDP|6903076505247865553</stp>
        <tr r="A1536" s="2"/>
      </tp>
      <tp t="s">
        <v>#N/A N/A</v>
        <stp/>
        <stp>BDP|7326476473630526041</stp>
        <tr r="H2370" s="2"/>
      </tp>
      <tp t="s">
        <v>#N/A N/A</v>
        <stp/>
        <stp>BDP|4489450592389434419</stp>
        <tr r="B3260" s="2"/>
      </tp>
      <tp t="s">
        <v>#N/A N/A</v>
        <stp/>
        <stp>BDP|4838495980909471539</stp>
        <tr r="G596" s="2"/>
      </tp>
      <tp t="s">
        <v>#N/A N/A</v>
        <stp/>
        <stp>BDP|7623066430838046869</stp>
        <tr r="G3848" s="2"/>
      </tp>
      <tp t="s">
        <v>#N/A N/A</v>
        <stp/>
        <stp>BDP|1136083348500309144</stp>
        <tr r="F4566" s="2"/>
      </tp>
      <tp t="s">
        <v>#N/A N/A</v>
        <stp/>
        <stp>BDP|2149402847575822381</stp>
        <tr r="H2329" s="2"/>
      </tp>
      <tp t="s">
        <v>#N/A N/A</v>
        <stp/>
        <stp>BDP|5063003468024934376</stp>
        <tr r="D2443" s="2"/>
      </tp>
      <tp t="s">
        <v>#N/A N/A</v>
        <stp/>
        <stp>BDP|9922866353143864323</stp>
        <tr r="C4549" s="2"/>
      </tp>
      <tp t="s">
        <v>#N/A N/A</v>
        <stp/>
        <stp>BDP|1113397901003919567</stp>
        <tr r="H3468" s="2"/>
      </tp>
      <tp t="s">
        <v>#N/A N/A</v>
        <stp/>
        <stp>BDP|6930797215466138223</stp>
        <tr r="F2084" s="2"/>
      </tp>
      <tp t="s">
        <v>#N/A N/A</v>
        <stp/>
        <stp>BDP|5396022940077135268</stp>
        <tr r="D1476" s="2"/>
      </tp>
      <tp t="s">
        <v>#N/A N/A</v>
        <stp/>
        <stp>BDP|1503103748162258297</stp>
        <tr r="H3475" s="2"/>
      </tp>
      <tp t="s">
        <v>#N/A N/A</v>
        <stp/>
        <stp>BDP|4773253327330528065</stp>
        <tr r="F2116" s="2"/>
      </tp>
      <tp t="s">
        <v>#N/A N/A</v>
        <stp/>
        <stp>BDP|4334432551121357046</stp>
        <tr r="H1883" s="2"/>
      </tp>
      <tp t="s">
        <v>#N/A N/A</v>
        <stp/>
        <stp>BDP|7213282669955696230</stp>
        <tr r="C4482" s="2"/>
      </tp>
      <tp t="s">
        <v>#N/A N/A</v>
        <stp/>
        <stp>BDP|9936282259332601881</stp>
        <tr r="I942" s="2"/>
      </tp>
      <tp t="s">
        <v>#N/A N/A</v>
        <stp/>
        <stp>BDP|5423225631436791669</stp>
        <tr r="A729" s="2"/>
      </tp>
      <tp t="s">
        <v>#N/A N/A</v>
        <stp/>
        <stp>BDP|3667222432771325732</stp>
        <tr r="C2896" s="2"/>
      </tp>
      <tp t="s">
        <v>#N/A N/A</v>
        <stp/>
        <stp>BDP|6665217493360635942</stp>
        <tr r="B3787" s="2"/>
      </tp>
      <tp t="s">
        <v>#N/A N/A</v>
        <stp/>
        <stp>BDP|5326659921210990583</stp>
        <tr r="I2534" s="2"/>
      </tp>
      <tp t="s">
        <v>#N/A N/A</v>
        <stp/>
        <stp>BDP|4043665502385561377</stp>
        <tr r="I3641" s="2"/>
      </tp>
      <tp t="s">
        <v>#N/A N/A</v>
        <stp/>
        <stp>BDP|1129110248711812167</stp>
        <tr r="I3668" s="2"/>
      </tp>
      <tp t="s">
        <v>#N/A N/A</v>
        <stp/>
        <stp>BDP|1232480776045218381</stp>
        <tr r="D4530" s="2"/>
      </tp>
      <tp t="s">
        <v>#N/A N/A</v>
        <stp/>
        <stp>BDP|9138209337974947894</stp>
        <tr r="C4337" s="2"/>
      </tp>
      <tp t="s">
        <v>#N/A N/A</v>
        <stp/>
        <stp>BDP|5157311088713862967</stp>
        <tr r="B3771" s="2"/>
      </tp>
      <tp t="s">
        <v>#N/A N/A</v>
        <stp/>
        <stp>BDP|1682875785663583671</stp>
        <tr r="I2057" s="2"/>
      </tp>
      <tp t="s">
        <v>#N/A N/A</v>
        <stp/>
        <stp>BDP|1912084748179702886</stp>
        <tr r="B1066" s="2"/>
      </tp>
      <tp t="s">
        <v>#N/A N/A</v>
        <stp/>
        <stp>BDP|5384792545890969206</stp>
        <tr r="F2935" s="2"/>
      </tp>
      <tp t="s">
        <v>#N/A N/A</v>
        <stp/>
        <stp>BDP|9922938340324922459</stp>
        <tr r="D2354" s="2"/>
      </tp>
      <tp t="s">
        <v>#N/A N/A</v>
        <stp/>
        <stp>BDP|6214311998269529182</stp>
        <tr r="B477" s="2"/>
      </tp>
      <tp t="s">
        <v>#N/A N/A</v>
        <stp/>
        <stp>BDP|6129798047529158888</stp>
        <tr r="B1897" s="2"/>
      </tp>
      <tp t="s">
        <v>#N/A N/A</v>
        <stp/>
        <stp>BDP|9128012252011012943</stp>
        <tr r="F3619" s="2"/>
      </tp>
      <tp t="s">
        <v>#N/A N/A</v>
        <stp/>
        <stp>BDP|7199658735311524722</stp>
        <tr r="H1764" s="2"/>
      </tp>
      <tp t="s">
        <v>#N/A N/A</v>
        <stp/>
        <stp>BDP|7939136805814805618</stp>
        <tr r="B3485" s="2"/>
      </tp>
      <tp t="s">
        <v>#N/A N/A</v>
        <stp/>
        <stp>BDP|8535038181243595745</stp>
        <tr r="D167" s="2"/>
      </tp>
      <tp t="s">
        <v>#N/A N/A</v>
        <stp/>
        <stp>BDP|7050205653573431713</stp>
        <tr r="D3506" s="2"/>
      </tp>
      <tp t="s">
        <v>#N/A N/A</v>
        <stp/>
        <stp>BDP|1263903086461226506</stp>
        <tr r="B2906" s="2"/>
      </tp>
      <tp t="s">
        <v>#N/A N/A</v>
        <stp/>
        <stp>BDP|4368968289207289681</stp>
        <tr r="B910" s="2"/>
      </tp>
      <tp t="s">
        <v>#N/A N/A</v>
        <stp/>
        <stp>BDP|7218576176558550902</stp>
        <tr r="A3666" s="2"/>
      </tp>
      <tp t="s">
        <v>#N/A N/A</v>
        <stp/>
        <stp>BDP|9340843854575340563</stp>
        <tr r="A4751" s="2"/>
      </tp>
      <tp t="s">
        <v>#N/A N/A</v>
        <stp/>
        <stp>BDP|8437841110173534634</stp>
        <tr r="A398" s="2"/>
      </tp>
      <tp t="s">
        <v>#N/A N/A</v>
        <stp/>
        <stp>BDP|5222283898049359370</stp>
        <tr r="G4898" s="2"/>
      </tp>
      <tp t="s">
        <v>#N/A N/A</v>
        <stp/>
        <stp>BDP|6028585166197117693</stp>
        <tr r="D3081" s="2"/>
      </tp>
      <tp t="s">
        <v>#N/A N/A</v>
        <stp/>
        <stp>BDP|2865286015914094134</stp>
        <tr r="I2622" s="2"/>
      </tp>
      <tp t="s">
        <v>#N/A N/A</v>
        <stp/>
        <stp>BDP|6173377055277426314</stp>
        <tr r="B4909" s="2"/>
      </tp>
      <tp t="s">
        <v>#N/A N/A</v>
        <stp/>
        <stp>BDP|9307255895415463313</stp>
        <tr r="G680" s="2"/>
      </tp>
      <tp t="s">
        <v>#N/A N/A</v>
        <stp/>
        <stp>BDP|3640833264879502028</stp>
        <tr r="D2311" s="2"/>
      </tp>
      <tp t="s">
        <v>#N/A N/A</v>
        <stp/>
        <stp>BDP|7400880802788060386</stp>
        <tr r="B4924" s="2"/>
      </tp>
      <tp t="s">
        <v>#N/A N/A</v>
        <stp/>
        <stp>BDP|1028170227710567634</stp>
        <tr r="A1206" s="2"/>
      </tp>
      <tp t="s">
        <v>#N/A N/A</v>
        <stp/>
        <stp>BDP|2317863873208001107</stp>
        <tr r="I55" s="2"/>
      </tp>
      <tp t="s">
        <v>#N/A N/A</v>
        <stp/>
        <stp>BDP|3318524622138022851</stp>
        <tr r="A3439" s="2"/>
      </tp>
      <tp t="s">
        <v>#N/A N/A</v>
        <stp/>
        <stp>BDP|3203905920664104854</stp>
        <tr r="I4949" s="2"/>
      </tp>
      <tp t="s">
        <v>#N/A N/A</v>
        <stp/>
        <stp>BDP|1836147522202999418</stp>
        <tr r="F2793" s="2"/>
      </tp>
      <tp t="s">
        <v>#N/A N/A</v>
        <stp/>
        <stp>BDP|4908068836353891074</stp>
        <tr r="C4298" s="2"/>
      </tp>
      <tp t="s">
        <v>#N/A N/A</v>
        <stp/>
        <stp>BDP|9317961502341440551</stp>
        <tr r="D3748" s="2"/>
      </tp>
      <tp t="s">
        <v>#N/A N/A</v>
        <stp/>
        <stp>BDP|8765870577213821090</stp>
        <tr r="C2168" s="2"/>
      </tp>
      <tp t="s">
        <v>#N/A N/A</v>
        <stp/>
        <stp>BDP|5812135705209954915</stp>
        <tr r="H1816" s="2"/>
      </tp>
      <tp t="s">
        <v>#N/A N/A</v>
        <stp/>
        <stp>BDP|9529521921229841383</stp>
        <tr r="A1006" s="2"/>
      </tp>
      <tp t="s">
        <v>#N/A N/A</v>
        <stp/>
        <stp>BDP|8701275190954138379</stp>
        <tr r="B2760" s="2"/>
      </tp>
      <tp t="s">
        <v>#N/A N/A</v>
        <stp/>
        <stp>BDP|6164148542866318121</stp>
        <tr r="D235" s="2"/>
      </tp>
      <tp t="s">
        <v>#N/A N/A</v>
        <stp/>
        <stp>BDP|1137977920218236623</stp>
        <tr r="F2193" s="2"/>
      </tp>
      <tp t="s">
        <v>#N/A N/A</v>
        <stp/>
        <stp>BDP|9388570102361045909</stp>
        <tr r="G4786" s="2"/>
      </tp>
      <tp t="s">
        <v>#N/A N/A</v>
        <stp/>
        <stp>BDP|9982015413055523996</stp>
        <tr r="F3697" s="2"/>
      </tp>
      <tp t="s">
        <v>#N/A N/A</v>
        <stp/>
        <stp>BDP|1290206976758170826</stp>
        <tr r="F4512" s="2"/>
      </tp>
      <tp t="s">
        <v>#N/A N/A</v>
        <stp/>
        <stp>BDP|2471420011847769470</stp>
        <tr r="D1302" s="2"/>
      </tp>
      <tp t="s">
        <v>#N/A N/A</v>
        <stp/>
        <stp>BDP|6187779374925209771</stp>
        <tr r="C837" s="2"/>
      </tp>
      <tp t="s">
        <v>#N/A N/A</v>
        <stp/>
        <stp>BDP|3747171761605499523</stp>
        <tr r="B3124" s="2"/>
      </tp>
      <tp t="s">
        <v>#N/A N/A</v>
        <stp/>
        <stp>BDP|7879306312103400299</stp>
        <tr r="H2134" s="2"/>
      </tp>
      <tp t="s">
        <v>#N/A N/A</v>
        <stp/>
        <stp>BDP|5471908892186447752</stp>
        <tr r="F4051" s="2"/>
      </tp>
      <tp t="s">
        <v>#N/A N/A</v>
        <stp/>
        <stp>BDP|7354620777186598445</stp>
        <tr r="H980" s="2"/>
      </tp>
      <tp t="s">
        <v>#N/A N/A</v>
        <stp/>
        <stp>BDP|9604858814455715175</stp>
        <tr r="A3298" s="2"/>
      </tp>
      <tp t="s">
        <v>#N/A N/A</v>
        <stp/>
        <stp>BDP|5694775863049125946</stp>
        <tr r="H2382" s="2"/>
      </tp>
      <tp t="s">
        <v>#N/A N/A</v>
        <stp/>
        <stp>BDP|8830928596895333988</stp>
        <tr r="C3581" s="2"/>
      </tp>
      <tp t="s">
        <v>#N/A N/A</v>
        <stp/>
        <stp>BDP|2415439711693752063</stp>
        <tr r="C1385" s="2"/>
      </tp>
      <tp t="s">
        <v>#N/A N/A</v>
        <stp/>
        <stp>BDP|4159016500239206959</stp>
        <tr r="B4438" s="2"/>
      </tp>
      <tp t="s">
        <v>#N/A N/A</v>
        <stp/>
        <stp>BDP|4602333272644169018</stp>
        <tr r="C4494" s="2"/>
      </tp>
      <tp t="s">
        <v>#N/A N/A</v>
        <stp/>
        <stp>BDP|5258189767720273687</stp>
        <tr r="H2700" s="2"/>
      </tp>
      <tp t="s">
        <v>#N/A N/A</v>
        <stp/>
        <stp>BDP|9727767750098796717</stp>
        <tr r="A3898" s="2"/>
      </tp>
      <tp t="s">
        <v>#N/A N/A</v>
        <stp/>
        <stp>BDP|9804442481267839628</stp>
        <tr r="D637" s="2"/>
      </tp>
      <tp t="s">
        <v>#N/A N/A</v>
        <stp/>
        <stp>BDP|7806414828506198372</stp>
        <tr r="D1912" s="2"/>
      </tp>
      <tp t="s">
        <v>#N/A N/A</v>
        <stp/>
        <stp>BDP|6355512162706723708</stp>
        <tr r="D4819" s="2"/>
      </tp>
      <tp t="s">
        <v>#N/A N/A</v>
        <stp/>
        <stp>BDP|6877274899200038918</stp>
        <tr r="D4284" s="2"/>
      </tp>
      <tp t="s">
        <v>#N/A N/A</v>
        <stp/>
        <stp>BDP|6814038958256538112</stp>
        <tr r="F2731" s="2"/>
      </tp>
      <tp t="s">
        <v>#N/A N/A</v>
        <stp/>
        <stp>BDP|3122187885578287692</stp>
        <tr r="C672" s="2"/>
      </tp>
      <tp t="s">
        <v>#N/A N/A</v>
        <stp/>
        <stp>BDP|4835920598213247378</stp>
        <tr r="A293" s="2"/>
      </tp>
      <tp t="s">
        <v>#N/A N/A</v>
        <stp/>
        <stp>BDP|6591190605863647088</stp>
        <tr r="A1343" s="2"/>
      </tp>
      <tp t="s">
        <v>#N/A N/A</v>
        <stp/>
        <stp>BDP|1594494705050951175</stp>
        <tr r="B4958" s="2"/>
      </tp>
      <tp t="s">
        <v>#N/A N/A</v>
        <stp/>
        <stp>BDP|2486949347708782373</stp>
        <tr r="I2356" s="2"/>
      </tp>
      <tp t="s">
        <v>#N/A N/A</v>
        <stp/>
        <stp>BDP|9337566185639464938</stp>
        <tr r="I4589" s="2"/>
      </tp>
      <tp t="s">
        <v>#N/A N/A</v>
        <stp/>
        <stp>BDP|5823089310603314340</stp>
        <tr r="I2865" s="2"/>
      </tp>
      <tp t="s">
        <v>#N/A N/A</v>
        <stp/>
        <stp>BDP|7476139288018145296</stp>
        <tr r="C3040" s="2"/>
      </tp>
      <tp t="s">
        <v>#N/A N/A</v>
        <stp/>
        <stp>BDP|8384849398045983815</stp>
        <tr r="A3567" s="2"/>
      </tp>
      <tp t="s">
        <v>#N/A N/A</v>
        <stp/>
        <stp>BDP|3175849625119243457</stp>
        <tr r="A4901" s="2"/>
      </tp>
      <tp t="s">
        <v>#N/A N/A</v>
        <stp/>
        <stp>BDP|2464554301640581320</stp>
        <tr r="G1590" s="2"/>
      </tp>
      <tp t="s">
        <v>#N/A N/A</v>
        <stp/>
        <stp>BDP|6425354286981053806</stp>
        <tr r="H4312" s="2"/>
      </tp>
      <tp t="s">
        <v>#N/A N/A</v>
        <stp/>
        <stp>BDP|6936728130611808741</stp>
        <tr r="F1953" s="2"/>
      </tp>
      <tp t="s">
        <v>#N/A N/A</v>
        <stp/>
        <stp>BDP|1504328161181252130</stp>
        <tr r="C3591" s="2"/>
      </tp>
      <tp t="s">
        <v>#N/A N/A</v>
        <stp/>
        <stp>BDP|9386605494893784171</stp>
        <tr r="G3844" s="2"/>
      </tp>
      <tp t="s">
        <v>#N/A N/A</v>
        <stp/>
        <stp>BDP|4263618307020546665</stp>
        <tr r="G1176" s="2"/>
      </tp>
      <tp t="s">
        <v>#N/A N/A</v>
        <stp/>
        <stp>BDP|4575076953882433725</stp>
        <tr r="C2383" s="2"/>
      </tp>
      <tp t="s">
        <v>#N/A N/A</v>
        <stp/>
        <stp>BDP|5221433812881366570</stp>
        <tr r="F400" s="2"/>
      </tp>
      <tp t="s">
        <v>#N/A N/A</v>
        <stp/>
        <stp>BDP|2065463459241015689</stp>
        <tr r="H682" s="2"/>
      </tp>
      <tp t="s">
        <v>#N/A N/A</v>
        <stp/>
        <stp>BDP|1807299514033360510</stp>
        <tr r="H1353" s="2"/>
      </tp>
      <tp t="s">
        <v>#N/A N/A</v>
        <stp/>
        <stp>BDP|2515654717762385335</stp>
        <tr r="B352" s="2"/>
      </tp>
      <tp t="s">
        <v>#N/A N/A</v>
        <stp/>
        <stp>BDP|4939964709058619179</stp>
        <tr r="F1414" s="2"/>
      </tp>
      <tp t="s">
        <v>#N/A N/A</v>
        <stp/>
        <stp>BDP|1106008691598157467</stp>
        <tr r="B4866" s="2"/>
      </tp>
      <tp t="s">
        <v>#N/A N/A</v>
        <stp/>
        <stp>BDP|2655732409683390287</stp>
        <tr r="C1351" s="2"/>
      </tp>
      <tp t="s">
        <v>#N/A N/A</v>
        <stp/>
        <stp>BDP|5476275412830418224</stp>
        <tr r="C1212" s="2"/>
      </tp>
      <tp t="s">
        <v>#N/A N/A</v>
        <stp/>
        <stp>BDP|5666277788952622984</stp>
        <tr r="C4866" s="2"/>
      </tp>
      <tp t="s">
        <v>#N/A N/A</v>
        <stp/>
        <stp>BDP|1672422430952364004</stp>
        <tr r="I3087" s="2"/>
      </tp>
      <tp t="s">
        <v>#N/A N/A</v>
        <stp/>
        <stp>BDP|1572664735837376722</stp>
        <tr r="C3022" s="2"/>
      </tp>
      <tp t="s">
        <v>#N/A N/A</v>
        <stp/>
        <stp>BDP|4241863393176019709</stp>
        <tr r="A2127" s="2"/>
      </tp>
      <tp t="s">
        <v>#N/A N/A</v>
        <stp/>
        <stp>BDP|3780599110642088191</stp>
        <tr r="H3902" s="2"/>
      </tp>
      <tp t="s">
        <v>#N/A N/A</v>
        <stp/>
        <stp>BDP|5526303203840704268</stp>
        <tr r="I64" s="2"/>
      </tp>
      <tp t="s">
        <v>#N/A N/A</v>
        <stp/>
        <stp>BDP|4450266627056315613</stp>
        <tr r="C3782" s="2"/>
      </tp>
      <tp t="s">
        <v>#N/A N/A</v>
        <stp/>
        <stp>BDP|5951566279271548244</stp>
        <tr r="I4837" s="2"/>
      </tp>
      <tp t="s">
        <v>#N/A N/A</v>
        <stp/>
        <stp>BDP|5341644947020273356</stp>
        <tr r="B2207" s="2"/>
      </tp>
      <tp t="s">
        <v>#N/A N/A</v>
        <stp/>
        <stp>BDP|1208111556803797251</stp>
        <tr r="D2000" s="2"/>
      </tp>
      <tp t="s">
        <v>#N/A N/A</v>
        <stp/>
        <stp>BDP|8973657589586435467</stp>
        <tr r="G427" s="2"/>
      </tp>
      <tp t="s">
        <v>#N/A N/A</v>
        <stp/>
        <stp>BDP|1376027126522621567</stp>
        <tr r="H4427" s="2"/>
      </tp>
      <tp t="s">
        <v>#N/A N/A</v>
        <stp/>
        <stp>BDP|7047527471847027649</stp>
        <tr r="C2696" s="2"/>
      </tp>
      <tp t="s">
        <v>#N/A N/A</v>
        <stp/>
        <stp>BDP|4083511635626686057</stp>
        <tr r="F3505" s="2"/>
      </tp>
      <tp t="s">
        <v>#N/A N/A</v>
        <stp/>
        <stp>BDP|6348225600092556234</stp>
        <tr r="I3330" s="2"/>
      </tp>
      <tp t="s">
        <v>#N/A N/A</v>
        <stp/>
        <stp>BDP|8828887466243154102</stp>
        <tr r="D3023" s="2"/>
      </tp>
      <tp t="s">
        <v>#N/A N/A</v>
        <stp/>
        <stp>BDP|2605103405786357171</stp>
        <tr r="I1324" s="2"/>
      </tp>
      <tp t="s">
        <v>#N/A N/A</v>
        <stp/>
        <stp>BDP|8188684695660290393</stp>
        <tr r="C3099" s="2"/>
      </tp>
      <tp t="s">
        <v>#N/A N/A</v>
        <stp/>
        <stp>BDP|5328166230112432166</stp>
        <tr r="G2325" s="2"/>
      </tp>
      <tp t="s">
        <v>#N/A N/A</v>
        <stp/>
        <stp>BDP|7097039434532419244</stp>
        <tr r="H3536" s="2"/>
      </tp>
      <tp t="s">
        <v>#N/A N/A</v>
        <stp/>
        <stp>BDP|9351803400766598318</stp>
        <tr r="F1104" s="2"/>
      </tp>
      <tp t="s">
        <v>#N/A N/A</v>
        <stp/>
        <stp>BDP|4620458884489152518</stp>
        <tr r="F414" s="2"/>
      </tp>
      <tp t="s">
        <v>#N/A N/A</v>
        <stp/>
        <stp>BDP|2511421221067956786</stp>
        <tr r="G4456" s="2"/>
      </tp>
      <tp t="s">
        <v>#N/A N/A</v>
        <stp/>
        <stp>BDP|8987728146078312792</stp>
        <tr r="D3705" s="2"/>
      </tp>
      <tp t="s">
        <v>#N/A N/A</v>
        <stp/>
        <stp>BDP|5421840310088616010</stp>
        <tr r="F2368" s="2"/>
      </tp>
      <tp t="s">
        <v>#N/A N/A</v>
        <stp/>
        <stp>BDP|6599761244049290822</stp>
        <tr r="C1008" s="2"/>
      </tp>
      <tp t="s">
        <v>#N/A N/A</v>
        <stp/>
        <stp>BDP|5805909349054735818</stp>
        <tr r="G2518" s="2"/>
      </tp>
      <tp t="s">
        <v>#N/A N/A</v>
        <stp/>
        <stp>BDP|2765390448547595648</stp>
        <tr r="C4250" s="2"/>
      </tp>
      <tp t="s">
        <v>#N/A N/A</v>
        <stp/>
        <stp>BDP|6836511479024460436</stp>
        <tr r="A1317" s="2"/>
      </tp>
      <tp t="s">
        <v>#N/A N/A</v>
        <stp/>
        <stp>BDP|7794065128640910179</stp>
        <tr r="H4667" s="2"/>
      </tp>
      <tp t="s">
        <v>#N/A N/A</v>
        <stp/>
        <stp>BDP|4834040075087844065</stp>
        <tr r="H11" s="2"/>
      </tp>
      <tp t="s">
        <v>#N/A N/A</v>
        <stp/>
        <stp>BDP|6521001931071664057</stp>
        <tr r="D3580" s="2"/>
      </tp>
      <tp t="s">
        <v>#N/A N/A</v>
        <stp/>
        <stp>BDP|2181967370428665068</stp>
        <tr r="H270" s="2"/>
      </tp>
      <tp t="s">
        <v>#N/A N/A</v>
        <stp/>
        <stp>BDP|3786522246847152152</stp>
        <tr r="B1570" s="2"/>
      </tp>
      <tp t="s">
        <v>#N/A N/A</v>
        <stp/>
        <stp>BDP|2688648776016743141</stp>
        <tr r="G941" s="2"/>
      </tp>
      <tp t="s">
        <v>#N/A N/A</v>
        <stp/>
        <stp>BDP|4053270892043002820</stp>
        <tr r="H1574" s="2"/>
      </tp>
      <tp t="s">
        <v>#N/A N/A</v>
        <stp/>
        <stp>BDP|7562569937847311203</stp>
        <tr r="B1372" s="2"/>
      </tp>
      <tp t="s">
        <v>#N/A N/A</v>
        <stp/>
        <stp>BDP|5979911311949691083</stp>
        <tr r="I4658" s="2"/>
      </tp>
      <tp t="s">
        <v>#N/A N/A</v>
        <stp/>
        <stp>BDP|9509674584546100504</stp>
        <tr r="G3552" s="2"/>
      </tp>
      <tp t="s">
        <v>#N/A N/A</v>
        <stp/>
        <stp>BDP|9234312138088808545</stp>
        <tr r="A414" s="2"/>
      </tp>
      <tp t="s">
        <v>#N/A N/A</v>
        <stp/>
        <stp>BDP|5337083777731825731</stp>
        <tr r="C2731" s="2"/>
      </tp>
      <tp t="s">
        <v>#N/A N/A</v>
        <stp/>
        <stp>BDP|5852705546820853219</stp>
        <tr r="H4331" s="2"/>
      </tp>
      <tp t="s">
        <v>#N/A N/A</v>
        <stp/>
        <stp>BDP|5924587476613627065</stp>
        <tr r="B495" s="2"/>
      </tp>
      <tp t="s">
        <v>#N/A N/A</v>
        <stp/>
        <stp>BDP|2810434799889318268</stp>
        <tr r="H1633" s="2"/>
      </tp>
      <tp t="s">
        <v>#N/A N/A</v>
        <stp/>
        <stp>BDP|5741973282335473517</stp>
        <tr r="I2850" s="2"/>
      </tp>
      <tp t="s">
        <v>#N/A N/A</v>
        <stp/>
        <stp>BDP|9456197694484631181</stp>
        <tr r="D3555" s="2"/>
      </tp>
      <tp t="s">
        <v>#N/A N/A</v>
        <stp/>
        <stp>BDP|1091721636958368903</stp>
        <tr r="D438" s="2"/>
      </tp>
      <tp t="s">
        <v>#N/A N/A</v>
        <stp/>
        <stp>BDP|5474836513059270111</stp>
        <tr r="B3612" s="2"/>
      </tp>
      <tp t="s">
        <v>#N/A N/A</v>
        <stp/>
        <stp>BDP|2167478693999098229</stp>
        <tr r="F4378" s="2"/>
      </tp>
      <tp t="s">
        <v>#N/A N/A</v>
        <stp/>
        <stp>BDP|4327963164359212644</stp>
        <tr r="H2664" s="2"/>
      </tp>
      <tp t="s">
        <v>#N/A N/A</v>
        <stp/>
        <stp>BDP|5123790819110379753</stp>
        <tr r="G2937" s="2"/>
      </tp>
      <tp t="s">
        <v>#N/A N/A</v>
        <stp/>
        <stp>BDP|7317475178792963222</stp>
        <tr r="H4789" s="2"/>
      </tp>
      <tp t="s">
        <v>#N/A N/A</v>
        <stp/>
        <stp>BDP|1981655078881077535</stp>
        <tr r="C3498" s="2"/>
      </tp>
      <tp t="s">
        <v>#N/A N/A</v>
        <stp/>
        <stp>BDP|5749559949487961758</stp>
        <tr r="C3527" s="2"/>
      </tp>
      <tp t="s">
        <v>#N/A N/A</v>
        <stp/>
        <stp>BDP|4677060025121291309</stp>
        <tr r="H4316" s="2"/>
      </tp>
      <tp t="s">
        <v>#N/A N/A</v>
        <stp/>
        <stp>BDP|1318480530200508295</stp>
        <tr r="F1061" s="2"/>
      </tp>
      <tp t="s">
        <v>#N/A N/A</v>
        <stp/>
        <stp>BDP|2464493075074646197</stp>
        <tr r="H2824" s="2"/>
      </tp>
      <tp t="s">
        <v>#N/A N/A</v>
        <stp/>
        <stp>BDP|5435605590099749744</stp>
        <tr r="C1975" s="2"/>
      </tp>
      <tp t="s">
        <v>#N/A N/A</v>
        <stp/>
        <stp>BDP|3147320380525315976</stp>
        <tr r="F787" s="2"/>
      </tp>
      <tp t="s">
        <v>#N/A N/A</v>
        <stp/>
        <stp>BDP|7409770483719087579</stp>
        <tr r="H867" s="2"/>
      </tp>
      <tp t="s">
        <v>#N/A N/A</v>
        <stp/>
        <stp>BDP|8588190058659586160</stp>
        <tr r="G4401" s="2"/>
      </tp>
      <tp t="s">
        <v>#N/A N/A</v>
        <stp/>
        <stp>BDP|3821553168215194103</stp>
        <tr r="F4413" s="2"/>
      </tp>
      <tp t="s">
        <v>#N/A N/A</v>
        <stp/>
        <stp>BDP|2479876353553089845</stp>
        <tr r="A4746" s="2"/>
      </tp>
      <tp t="s">
        <v>#N/A N/A</v>
        <stp/>
        <stp>BDP|8830453563237226989</stp>
        <tr r="D2454" s="2"/>
      </tp>
      <tp t="s">
        <v>#N/A N/A</v>
        <stp/>
        <stp>BDP|2715121786997098879</stp>
        <tr r="A4365" s="2"/>
      </tp>
      <tp t="s">
        <v>#N/A N/A</v>
        <stp/>
        <stp>BDP|9938250080115831208</stp>
        <tr r="D1520" s="2"/>
      </tp>
      <tp t="s">
        <v>#N/A N/A</v>
        <stp/>
        <stp>BDP|1057072701231485465</stp>
        <tr r="G4273" s="2"/>
      </tp>
      <tp t="s">
        <v>#N/A N/A</v>
        <stp/>
        <stp>BDP|4082861390219330810</stp>
        <tr r="F4060" s="2"/>
      </tp>
      <tp t="s">
        <v>#N/A N/A</v>
        <stp/>
        <stp>BDP|4478223530346778758</stp>
        <tr r="G1336" s="2"/>
      </tp>
      <tp t="s">
        <v>#N/A N/A</v>
        <stp/>
        <stp>BDP|5676425948815803402</stp>
        <tr r="G4341" s="2"/>
      </tp>
      <tp t="s">
        <v>#N/A N/A</v>
        <stp/>
        <stp>BDP|5535577278611702299</stp>
        <tr r="B1891" s="2"/>
      </tp>
      <tp t="s">
        <v>#N/A N/A</v>
        <stp/>
        <stp>BDP|3618756960745083373</stp>
        <tr r="C4548" s="2"/>
      </tp>
      <tp t="s">
        <v>#N/A N/A</v>
        <stp/>
        <stp>BDP|2631708530836110439</stp>
        <tr r="G1846" s="2"/>
      </tp>
      <tp t="s">
        <v>#N/A N/A</v>
        <stp/>
        <stp>BDP|3868564186182513899</stp>
        <tr r="H1429" s="2"/>
      </tp>
      <tp t="s">
        <v>#N/A N/A</v>
        <stp/>
        <stp>BDP|4148640617084475328</stp>
        <tr r="A486" s="2"/>
      </tp>
      <tp t="s">
        <v>#N/A N/A</v>
        <stp/>
        <stp>BDP|5981426053295535594</stp>
        <tr r="F3416" s="2"/>
      </tp>
      <tp t="s">
        <v>#N/A N/A</v>
        <stp/>
        <stp>BDP|2009827428079653589</stp>
        <tr r="C2824" s="2"/>
      </tp>
      <tp t="s">
        <v>#N/A N/A</v>
        <stp/>
        <stp>BDP|4700930618848858006</stp>
        <tr r="I3029" s="2"/>
      </tp>
      <tp t="s">
        <v>#N/A N/A</v>
        <stp/>
        <stp>BDP|1712432217761090177</stp>
        <tr r="A118" s="2"/>
      </tp>
      <tp t="s">
        <v>#N/A N/A</v>
        <stp/>
        <stp>BDP|2532984665738595193</stp>
        <tr r="A1111" s="2"/>
      </tp>
      <tp t="s">
        <v>#N/A N/A</v>
        <stp/>
        <stp>BDP|9774139882902657648</stp>
        <tr r="B968" s="2"/>
      </tp>
      <tp t="s">
        <v>#N/A N/A</v>
        <stp/>
        <stp>BDP|2210124035572542649</stp>
        <tr r="C839" s="2"/>
      </tp>
      <tp t="s">
        <v>#N/A N/A</v>
        <stp/>
        <stp>BDP|7360179583718601255</stp>
        <tr r="B3638" s="2"/>
      </tp>
      <tp t="s">
        <v>#N/A N/A</v>
        <stp/>
        <stp>BDP|1590524474742507527</stp>
        <tr r="C1985" s="2"/>
      </tp>
      <tp t="s">
        <v>#N/A N/A</v>
        <stp/>
        <stp>BDP|6879881510059229269</stp>
        <tr r="B2451" s="2"/>
      </tp>
      <tp t="s">
        <v>#N/A N/A</v>
        <stp/>
        <stp>BDP|4370691557790991305</stp>
        <tr r="C1283" s="2"/>
      </tp>
      <tp t="s">
        <v>#N/A N/A</v>
        <stp/>
        <stp>BDP|4979686461244561418</stp>
        <tr r="I1935" s="2"/>
      </tp>
      <tp t="s">
        <v>#N/A N/A</v>
        <stp/>
        <stp>BDP|8780944684688578561</stp>
        <tr r="D2789" s="2"/>
      </tp>
      <tp t="s">
        <v>#N/A N/A</v>
        <stp/>
        <stp>BDP|9021204312216512839</stp>
        <tr r="D264" s="2"/>
      </tp>
      <tp t="s">
        <v>#N/A N/A</v>
        <stp/>
        <stp>BDP|1474784613854214796</stp>
        <tr r="F499" s="2"/>
      </tp>
      <tp t="s">
        <v>#N/A N/A</v>
        <stp/>
        <stp>BDP|8194823822177666131</stp>
        <tr r="A1418" s="2"/>
      </tp>
      <tp t="s">
        <v>#N/A N/A</v>
        <stp/>
        <stp>BDP|4749470834075318239</stp>
        <tr r="F1632" s="2"/>
      </tp>
      <tp t="s">
        <v>#N/A N/A</v>
        <stp/>
        <stp>BDP|9750002308854968925</stp>
        <tr r="A704" s="2"/>
      </tp>
      <tp t="s">
        <v>#N/A N/A</v>
        <stp/>
        <stp>BDP|8724795433989131181</stp>
        <tr r="B4327" s="2"/>
      </tp>
      <tp t="s">
        <v>#N/A N/A</v>
        <stp/>
        <stp>BDP|7829874763505889804</stp>
        <tr r="F1621" s="2"/>
      </tp>
      <tp t="s">
        <v>#N/A N/A</v>
        <stp/>
        <stp>BDP|5074915923319580336</stp>
        <tr r="F580" s="2"/>
      </tp>
      <tp t="s">
        <v>#N/A N/A</v>
        <stp/>
        <stp>BDP|6585660667881595356</stp>
        <tr r="G2423" s="2"/>
      </tp>
      <tp t="s">
        <v>#N/A N/A</v>
        <stp/>
        <stp>BDP|6312660580934050813</stp>
        <tr r="D2396" s="2"/>
      </tp>
      <tp t="s">
        <v>#N/A N/A</v>
        <stp/>
        <stp>BDP|3880281169705531683</stp>
        <tr r="H1434" s="2"/>
      </tp>
      <tp t="s">
        <v>#N/A N/A</v>
        <stp/>
        <stp>BDP|1552428003937823688</stp>
        <tr r="G3208" s="2"/>
      </tp>
      <tp t="s">
        <v>#N/A N/A</v>
        <stp/>
        <stp>BDP|4138232631062684317</stp>
        <tr r="D3136" s="2"/>
      </tp>
      <tp t="s">
        <v>#N/A N/A</v>
        <stp/>
        <stp>BDP|9202047703649198406</stp>
        <tr r="G1450" s="2"/>
      </tp>
      <tp t="s">
        <v>#N/A N/A</v>
        <stp/>
        <stp>BDP|2235481913580830355</stp>
        <tr r="C4056" s="2"/>
      </tp>
      <tp t="s">
        <v>#N/A N/A</v>
        <stp/>
        <stp>BDP|7908411004196985119</stp>
        <tr r="A163" s="2"/>
      </tp>
      <tp t="s">
        <v>#N/A N/A</v>
        <stp/>
        <stp>BDP|8632782342956801909</stp>
        <tr r="G2005" s="2"/>
      </tp>
      <tp t="s">
        <v>#N/A N/A</v>
        <stp/>
        <stp>BDP|9041242300308322736</stp>
        <tr r="H1557" s="2"/>
      </tp>
      <tp t="s">
        <v>#N/A N/A</v>
        <stp/>
        <stp>BDP|1638666133124359440</stp>
        <tr r="F4013" s="2"/>
      </tp>
      <tp t="s">
        <v>#N/A N/A</v>
        <stp/>
        <stp>BDP|9612176235656387938</stp>
        <tr r="G4204" s="2"/>
      </tp>
      <tp t="s">
        <v>#N/A N/A</v>
        <stp/>
        <stp>BDP|9725843043563511214</stp>
        <tr r="A332" s="2"/>
      </tp>
      <tp t="s">
        <v>#N/A N/A</v>
        <stp/>
        <stp>BDP|7003056202324369702</stp>
        <tr r="H4889" s="2"/>
      </tp>
      <tp t="s">
        <v>#N/A N/A</v>
        <stp/>
        <stp>BDP|7082942393854252717</stp>
        <tr r="G2519" s="2"/>
      </tp>
      <tp t="s">
        <v>#N/A N/A</v>
        <stp/>
        <stp>BDP|7160777303332061614</stp>
        <tr r="I2643" s="2"/>
      </tp>
      <tp t="s">
        <v>#N/A N/A</v>
        <stp/>
        <stp>BDP|5875398664530432459</stp>
        <tr r="H426" s="2"/>
      </tp>
      <tp t="s">
        <v>#N/A N/A</v>
        <stp/>
        <stp>BDP|7943110463373939764</stp>
        <tr r="D1098" s="2"/>
      </tp>
      <tp t="s">
        <v>#N/A N/A</v>
        <stp/>
        <stp>BDP|2501313706322734710</stp>
        <tr r="H2278" s="2"/>
      </tp>
      <tp t="s">
        <v>#N/A N/A</v>
        <stp/>
        <stp>BDP|6337127577672765657</stp>
        <tr r="G2119" s="2"/>
      </tp>
      <tp t="s">
        <v>#N/A N/A</v>
        <stp/>
        <stp>BDP|5917780598178819752</stp>
        <tr r="G1994" s="2"/>
      </tp>
      <tp t="s">
        <v>#N/A N/A</v>
        <stp/>
        <stp>BDP|4882449593324811931</stp>
        <tr r="I1090" s="2"/>
      </tp>
      <tp t="s">
        <v>#N/A N/A</v>
        <stp/>
        <stp>BDP|3552371300796638202</stp>
        <tr r="D3462" s="2"/>
      </tp>
      <tp t="s">
        <v>#N/A N/A</v>
        <stp/>
        <stp>BDP|7965241738480649275</stp>
        <tr r="H4094" s="2"/>
      </tp>
      <tp t="s">
        <v>#N/A N/A</v>
        <stp/>
        <stp>BDP|4668910459849995535</stp>
        <tr r="H3450" s="2"/>
      </tp>
      <tp t="s">
        <v>#N/A N/A</v>
        <stp/>
        <stp>BDP|7627924134330658922</stp>
        <tr r="A3145" s="2"/>
      </tp>
      <tp t="s">
        <v>#N/A N/A</v>
        <stp/>
        <stp>BDP|5082467334392666408</stp>
        <tr r="A4829" s="2"/>
      </tp>
      <tp t="s">
        <v>#N/A N/A</v>
        <stp/>
        <stp>BDP|3979452289789199209</stp>
        <tr r="B526" s="2"/>
      </tp>
      <tp t="s">
        <v>#N/A N/A</v>
        <stp/>
        <stp>BDP|9081207984744797373</stp>
        <tr r="G821" s="2"/>
      </tp>
      <tp t="s">
        <v>#N/A N/A</v>
        <stp/>
        <stp>BDP|1494267216364604268</stp>
        <tr r="A1659" s="2"/>
      </tp>
      <tp t="s">
        <v>#N/A N/A</v>
        <stp/>
        <stp>BDP|3460452634264025411</stp>
        <tr r="C61" s="2"/>
      </tp>
      <tp t="s">
        <v>#N/A N/A</v>
        <stp/>
        <stp>BDP|2131829530425720809</stp>
        <tr r="D279" s="2"/>
      </tp>
      <tp t="s">
        <v>#N/A N/A</v>
        <stp/>
        <stp>BDP|2545194230707031381</stp>
        <tr r="I121" s="2"/>
      </tp>
      <tp t="s">
        <v>#N/A N/A</v>
        <stp/>
        <stp>BDP|1963307743361600387</stp>
        <tr r="C849" s="2"/>
      </tp>
      <tp t="s">
        <v>#N/A N/A</v>
        <stp/>
        <stp>BDP|7164691619585576100</stp>
        <tr r="I4347" s="2"/>
      </tp>
      <tp t="s">
        <v>#N/A N/A</v>
        <stp/>
        <stp>BDP|6398610155456111729</stp>
        <tr r="H348" s="2"/>
      </tp>
      <tp t="s">
        <v>#N/A N/A</v>
        <stp/>
        <stp>BDP|6427130057237679122</stp>
        <tr r="G4300" s="2"/>
      </tp>
      <tp t="s">
        <v>#N/A N/A</v>
        <stp/>
        <stp>BDP|7882359209733754377</stp>
        <tr r="G2777" s="2"/>
      </tp>
      <tp t="s">
        <v>#N/A N/A</v>
        <stp/>
        <stp>BDP|4650270574411404455</stp>
        <tr r="I4001" s="2"/>
      </tp>
      <tp t="s">
        <v>#N/A N/A</v>
        <stp/>
        <stp>BDP|9255594181006935676</stp>
        <tr r="G4711" s="2"/>
      </tp>
      <tp t="s">
        <v>#N/A N/A</v>
        <stp/>
        <stp>BDP|9848628272854442884</stp>
        <tr r="I1728" s="2"/>
      </tp>
      <tp t="s">
        <v>#N/A N/A</v>
        <stp/>
        <stp>BDP|7606116834239306840</stp>
        <tr r="G3656" s="2"/>
      </tp>
      <tp t="s">
        <v>#N/A N/A</v>
        <stp/>
        <stp>BDP|7647250635692463060</stp>
        <tr r="H794" s="2"/>
      </tp>
      <tp t="s">
        <v>#N/A N/A</v>
        <stp/>
        <stp>BDP|8808822422473920550</stp>
        <tr r="H2582" s="2"/>
      </tp>
      <tp t="s">
        <v>#N/A N/A</v>
        <stp/>
        <stp>BDP|9631652692126426415</stp>
        <tr r="B2069" s="2"/>
      </tp>
      <tp t="s">
        <v>#N/A N/A</v>
        <stp/>
        <stp>BDP|2191546632135708549</stp>
        <tr r="B494" s="2"/>
      </tp>
      <tp t="s">
        <v>#N/A N/A</v>
        <stp/>
        <stp>BDP|4865428646576148698</stp>
        <tr r="G2883" s="2"/>
      </tp>
      <tp t="s">
        <v>#N/A N/A</v>
        <stp/>
        <stp>BDP|1291233966556297711</stp>
        <tr r="H3501" s="2"/>
      </tp>
      <tp t="s">
        <v>#N/A N/A</v>
        <stp/>
        <stp>BDP|4140937720448417320</stp>
        <tr r="H4596" s="2"/>
      </tp>
      <tp t="s">
        <v>#N/A N/A</v>
        <stp/>
        <stp>BDP|5074948947905588928</stp>
        <tr r="G4116" s="2"/>
      </tp>
      <tp t="s">
        <v>#N/A N/A</v>
        <stp/>
        <stp>BDP|6717808952967539845</stp>
        <tr r="D889" s="2"/>
      </tp>
      <tp t="s">
        <v>#N/A N/A</v>
        <stp/>
        <stp>BDP|6687202051403594661</stp>
        <tr r="D815" s="2"/>
      </tp>
      <tp t="s">
        <v>#N/A N/A</v>
        <stp/>
        <stp>BDP|7493643274314568659</stp>
        <tr r="C2207" s="2"/>
      </tp>
      <tp t="s">
        <v>#N/A N/A</v>
        <stp/>
        <stp>BDP|2513710591250209835</stp>
        <tr r="A3747" s="2"/>
      </tp>
      <tp t="s">
        <v>#N/A N/A</v>
        <stp/>
        <stp>BDP|4182922051655433936</stp>
        <tr r="D4280" s="2"/>
      </tp>
      <tp t="s">
        <v>#N/A N/A</v>
        <stp/>
        <stp>BDP|3747730348902141680</stp>
        <tr r="H4581" s="2"/>
      </tp>
      <tp t="s">
        <v>#N/A N/A</v>
        <stp/>
        <stp>BDP|3331014126881828494</stp>
        <tr r="I2379" s="2"/>
      </tp>
      <tp t="s">
        <v>#N/A N/A</v>
        <stp/>
        <stp>BDP|9511345393012242559</stp>
        <tr r="C187" s="2"/>
      </tp>
      <tp t="s">
        <v>#N/A N/A</v>
        <stp/>
        <stp>BDP|1405559628456435487</stp>
        <tr r="C2985" s="2"/>
      </tp>
      <tp t="s">
        <v>#N/A N/A</v>
        <stp/>
        <stp>BDP|1876998641859679139</stp>
        <tr r="A2665" s="2"/>
      </tp>
      <tp t="s">
        <v>#N/A N/A</v>
        <stp/>
        <stp>BDP|7796653239380792699</stp>
        <tr r="C2818" s="2"/>
      </tp>
      <tp t="s">
        <v>#N/A N/A</v>
        <stp/>
        <stp>BDP|7641770245628028819</stp>
        <tr r="F791" s="2"/>
      </tp>
      <tp t="s">
        <v>#N/A N/A</v>
        <stp/>
        <stp>BDP|6207564767521519039</stp>
        <tr r="B4012" s="2"/>
      </tp>
      <tp t="s">
        <v>#N/A N/A</v>
        <stp/>
        <stp>BDP|4593834187731165154</stp>
        <tr r="F2791" s="2"/>
      </tp>
      <tp t="s">
        <v>#N/A N/A</v>
        <stp/>
        <stp>BDP|6082153550564814287</stp>
        <tr r="D3994" s="2"/>
      </tp>
      <tp t="s">
        <v>#N/A N/A</v>
        <stp/>
        <stp>BDP|1141935367133496941</stp>
        <tr r="C831" s="2"/>
      </tp>
      <tp t="s">
        <v>#N/A N/A</v>
        <stp/>
        <stp>BDP|5478658248573927050</stp>
        <tr r="C3533" s="2"/>
      </tp>
      <tp t="s">
        <v>#N/A N/A</v>
        <stp/>
        <stp>BDP|8510931459889927932</stp>
        <tr r="F291" s="2"/>
      </tp>
      <tp t="s">
        <v>#N/A N/A</v>
        <stp/>
        <stp>BDP|9821396873691404839</stp>
        <tr r="D2214" s="2"/>
      </tp>
      <tp t="s">
        <v>#N/A N/A</v>
        <stp/>
        <stp>BDP|7427408017147284148</stp>
        <tr r="C2709" s="2"/>
      </tp>
      <tp t="s">
        <v>#N/A N/A</v>
        <stp/>
        <stp>BDP|9342829366614337713</stp>
        <tr r="H4373" s="2"/>
      </tp>
      <tp t="s">
        <v>#N/A N/A</v>
        <stp/>
        <stp>BDP|3844841689946167111</stp>
        <tr r="I4733" s="2"/>
      </tp>
      <tp t="s">
        <v>#N/A N/A</v>
        <stp/>
        <stp>BDP|4596581497034910862</stp>
        <tr r="H2427" s="2"/>
      </tp>
      <tp t="s">
        <v>#N/A N/A</v>
        <stp/>
        <stp>BDP|1811017153880674092</stp>
        <tr r="H3606" s="2"/>
      </tp>
      <tp t="s">
        <v>#N/A N/A</v>
        <stp/>
        <stp>BDP|1809308272250911160</stp>
        <tr r="A1558" s="2"/>
      </tp>
      <tp t="s">
        <v>#N/A N/A</v>
        <stp/>
        <stp>BDP|8283513587401126007</stp>
        <tr r="H3952" s="2"/>
      </tp>
      <tp t="s">
        <v>#N/A N/A</v>
        <stp/>
        <stp>BDP|5904958884977437798</stp>
        <tr r="H1176" s="2"/>
      </tp>
      <tp t="s">
        <v>#N/A N/A</v>
        <stp/>
        <stp>BDP|1546574727450599257</stp>
        <tr r="H1630" s="2"/>
      </tp>
      <tp t="s">
        <v>#N/A N/A</v>
        <stp/>
        <stp>BDP|2498794615358803854</stp>
        <tr r="H4925" s="2"/>
      </tp>
      <tp t="s">
        <v>#N/A N/A</v>
        <stp/>
        <stp>BDP|4354957350075484977</stp>
        <tr r="I705" s="2"/>
      </tp>
      <tp t="s">
        <v>#N/A N/A</v>
        <stp/>
        <stp>BDP|5500226153504594247</stp>
        <tr r="H3417" s="2"/>
      </tp>
      <tp t="s">
        <v>#N/A N/A</v>
        <stp/>
        <stp>BDP|5294410259098722886</stp>
        <tr r="A1326" s="2"/>
      </tp>
      <tp t="s">
        <v>#N/A N/A</v>
        <stp/>
        <stp>BDP|6342249176185371276</stp>
        <tr r="F208" s="2"/>
      </tp>
      <tp t="s">
        <v>#N/A N/A</v>
        <stp/>
        <stp>BDP|6264587126500002598</stp>
        <tr r="F3283" s="2"/>
      </tp>
      <tp t="s">
        <v>#N/A N/A</v>
        <stp/>
        <stp>BDP|3192907603559520725</stp>
        <tr r="C3481" s="2"/>
      </tp>
      <tp t="s">
        <v>#N/A N/A</v>
        <stp/>
        <stp>BDP|1190954309325062984</stp>
        <tr r="D2668" s="2"/>
      </tp>
      <tp t="s">
        <v>#N/A N/A</v>
        <stp/>
        <stp>BDP|2625078855426322520</stp>
        <tr r="F269" s="2"/>
      </tp>
      <tp t="s">
        <v>#N/A N/A</v>
        <stp/>
        <stp>BDP|4256489999569707415</stp>
        <tr r="G378" s="2"/>
      </tp>
      <tp t="s">
        <v>#N/A N/A</v>
        <stp/>
        <stp>BDP|6935787340905618420</stp>
        <tr r="I82" s="2"/>
      </tp>
      <tp t="s">
        <v>#N/A N/A</v>
        <stp/>
        <stp>BDP|2215889547782873804</stp>
        <tr r="C2090" s="2"/>
      </tp>
      <tp t="s">
        <v>#N/A N/A</v>
        <stp/>
        <stp>BDP|6042951995956505400</stp>
        <tr r="G10" s="2"/>
      </tp>
      <tp t="s">
        <v>#N/A N/A</v>
        <stp/>
        <stp>BDP|4520640674845777472</stp>
        <tr r="G2833" s="2"/>
      </tp>
      <tp t="s">
        <v>#N/A N/A</v>
        <stp/>
        <stp>BDP|6218624762091723308</stp>
        <tr r="D3767" s="2"/>
      </tp>
      <tp t="s">
        <v>#N/A N/A</v>
        <stp/>
        <stp>BDP|6512868483763677136</stp>
        <tr r="C768" s="2"/>
      </tp>
      <tp t="s">
        <v>#N/A N/A</v>
        <stp/>
        <stp>BDP|7965088350504537217</stp>
        <tr r="B2907" s="2"/>
      </tp>
      <tp t="s">
        <v>#N/A N/A</v>
        <stp/>
        <stp>BDP|3299115357100076315</stp>
        <tr r="B193" s="2"/>
      </tp>
      <tp t="s">
        <v>#N/A N/A</v>
        <stp/>
        <stp>BDP|2528808907688470634</stp>
        <tr r="C3742" s="2"/>
      </tp>
      <tp t="s">
        <v>#N/A N/A</v>
        <stp/>
        <stp>BDP|6087960536708318061</stp>
        <tr r="I1717" s="2"/>
      </tp>
      <tp t="s">
        <v>#N/A N/A</v>
        <stp/>
        <stp>BDP|5968628266950194191</stp>
        <tr r="G1328" s="2"/>
      </tp>
      <tp t="s">
        <v>#N/A N/A</v>
        <stp/>
        <stp>BDP|5123271737881619124</stp>
        <tr r="F1111" s="2"/>
      </tp>
      <tp t="s">
        <v>#N/A N/A</v>
        <stp/>
        <stp>BDP|3395630011814092446</stp>
        <tr r="C3268" s="2"/>
      </tp>
      <tp t="s">
        <v>#N/A N/A</v>
        <stp/>
        <stp>BDP|9289301935125005826</stp>
        <tr r="I3316" s="2"/>
      </tp>
      <tp t="s">
        <v>#N/A N/A</v>
        <stp/>
        <stp>BDP|7579282610744148498</stp>
        <tr r="B4517" s="2"/>
      </tp>
      <tp t="s">
        <v>#N/A N/A</v>
        <stp/>
        <stp>BDP|8047924526390256738</stp>
        <tr r="I3898" s="2"/>
      </tp>
      <tp t="s">
        <v>#N/A N/A</v>
        <stp/>
        <stp>BDP|8660720853286139839</stp>
        <tr r="B4725" s="2"/>
      </tp>
      <tp t="s">
        <v>#N/A N/A</v>
        <stp/>
        <stp>BDP|6486481424866811251</stp>
        <tr r="B3541" s="2"/>
      </tp>
      <tp t="s">
        <v>#N/A N/A</v>
        <stp/>
        <stp>BDP|1115505864342229424</stp>
        <tr r="F3030" s="2"/>
      </tp>
      <tp t="s">
        <v>#N/A N/A</v>
        <stp/>
        <stp>BDP|9378184198151367455</stp>
        <tr r="B2985" s="2"/>
      </tp>
      <tp t="s">
        <v>#N/A N/A</v>
        <stp/>
        <stp>BDP|2951501962050868562</stp>
        <tr r="H3618" s="2"/>
      </tp>
      <tp t="s">
        <v>#N/A N/A</v>
        <stp/>
        <stp>BDP|9147577314539650013</stp>
        <tr r="B3363" s="2"/>
      </tp>
      <tp t="s">
        <v>#N/A N/A</v>
        <stp/>
        <stp>BDP|6110525032626243266</stp>
        <tr r="A3526" s="2"/>
      </tp>
      <tp t="s">
        <v>#N/A N/A</v>
        <stp/>
        <stp>BDP|5731679864226318729</stp>
        <tr r="C1662" s="2"/>
      </tp>
      <tp t="s">
        <v>#N/A N/A</v>
        <stp/>
        <stp>BDP|4392179953645732155</stp>
        <tr r="I4928" s="2"/>
      </tp>
      <tp t="s">
        <v>#N/A N/A</v>
        <stp/>
        <stp>BDP|7418677694644354815</stp>
        <tr r="A1090" s="2"/>
      </tp>
      <tp t="s">
        <v>#N/A N/A</v>
        <stp/>
        <stp>BDP|5613672726430756551</stp>
        <tr r="D2370" s="2"/>
      </tp>
      <tp t="s">
        <v>#N/A N/A</v>
        <stp/>
        <stp>BDP|1970578783928077082</stp>
        <tr r="D616" s="2"/>
      </tp>
      <tp t="s">
        <v>#N/A N/A</v>
        <stp/>
        <stp>BDP|5581069833200416211</stp>
        <tr r="C4720" s="2"/>
      </tp>
      <tp t="s">
        <v>#N/A N/A</v>
        <stp/>
        <stp>BDP|2699012050195099620</stp>
        <tr r="I3390" s="2"/>
      </tp>
      <tp t="s">
        <v>#N/A N/A</v>
        <stp/>
        <stp>BDP|3855913160421942954</stp>
        <tr r="B1438" s="2"/>
      </tp>
      <tp t="s">
        <v>#N/A N/A</v>
        <stp/>
        <stp>BDP|5064930054664660944</stp>
        <tr r="H1477" s="2"/>
      </tp>
      <tp t="s">
        <v>#N/A N/A</v>
        <stp/>
        <stp>BDP|5344527277535519665</stp>
        <tr r="D4358" s="2"/>
      </tp>
      <tp t="s">
        <v>#N/A N/A</v>
        <stp/>
        <stp>BDP|9094835741916339744</stp>
        <tr r="F3165" s="2"/>
      </tp>
      <tp t="s">
        <v>#N/A N/A</v>
        <stp/>
        <stp>BDP|5634482481468241584</stp>
        <tr r="F2885" s="2"/>
      </tp>
      <tp t="s">
        <v>#N/A N/A</v>
        <stp/>
        <stp>BDP|6394048463662956687</stp>
        <tr r="I889" s="2"/>
      </tp>
      <tp t="s">
        <v>#N/A N/A</v>
        <stp/>
        <stp>BDP|3905125018317077064</stp>
        <tr r="F316" s="2"/>
      </tp>
      <tp t="s">
        <v>#N/A N/A</v>
        <stp/>
        <stp>BDP|7229278941513822698</stp>
        <tr r="H3929" s="2"/>
      </tp>
      <tp t="s">
        <v>#N/A N/A</v>
        <stp/>
        <stp>BDP|1614850244089753051</stp>
        <tr r="H971" s="2"/>
      </tp>
      <tp t="s">
        <v>#N/A N/A</v>
        <stp/>
        <stp>BDP|5325147525495741700</stp>
        <tr r="F522" s="2"/>
      </tp>
      <tp t="s">
        <v>#N/A N/A</v>
        <stp/>
        <stp>BDP|6594945616983672947</stp>
        <tr r="I4641" s="2"/>
      </tp>
      <tp t="s">
        <v>#N/A N/A</v>
        <stp/>
        <stp>BDP|5850294055355551343</stp>
        <tr r="C2835" s="2"/>
      </tp>
      <tp t="s">
        <v>#N/A N/A</v>
        <stp/>
        <stp>BDP|9996130385496318298</stp>
        <tr r="C3721" s="2"/>
      </tp>
      <tp t="s">
        <v>#N/A N/A</v>
        <stp/>
        <stp>BDP|4401362652664461216</stp>
        <tr r="B3831" s="2"/>
      </tp>
      <tp t="s">
        <v>#N/A N/A</v>
        <stp/>
        <stp>BDP|8346001781541234557</stp>
        <tr r="C4212" s="2"/>
      </tp>
      <tp t="s">
        <v>#N/A N/A</v>
        <stp/>
        <stp>BDP|9218944034134257355</stp>
        <tr r="A174" s="2"/>
      </tp>
      <tp t="s">
        <v>#N/A N/A</v>
        <stp/>
        <stp>BDP|1111934919045792898</stp>
        <tr r="B3014" s="2"/>
      </tp>
      <tp t="s">
        <v>#N/A N/A</v>
        <stp/>
        <stp>BDP|9445393578629326034</stp>
        <tr r="I4160" s="2"/>
      </tp>
      <tp t="s">
        <v>#N/A N/A</v>
        <stp/>
        <stp>BDP|7482250145760310529</stp>
        <tr r="D4649" s="2"/>
      </tp>
      <tp t="s">
        <v>#N/A N/A</v>
        <stp/>
        <stp>BDP|2570028317405454219</stp>
        <tr r="F1571" s="2"/>
      </tp>
      <tp t="s">
        <v>#N/A N/A</v>
        <stp/>
        <stp>BDP|6600040865461029521</stp>
        <tr r="H1461" s="2"/>
      </tp>
      <tp t="s">
        <v>#N/A N/A</v>
        <stp/>
        <stp>BDP|2212260090434743966</stp>
        <tr r="F3867" s="2"/>
      </tp>
      <tp t="s">
        <v>#N/A N/A</v>
        <stp/>
        <stp>BDP|3253307545409354914</stp>
        <tr r="G1766" s="2"/>
      </tp>
      <tp t="s">
        <v>#N/A N/A</v>
        <stp/>
        <stp>BDP|8466381582292219593</stp>
        <tr r="D3038" s="2"/>
      </tp>
      <tp t="s">
        <v>#N/A N/A</v>
        <stp/>
        <stp>BDP|2816265407224966056</stp>
        <tr r="I2412" s="2"/>
      </tp>
      <tp t="s">
        <v>#N/A N/A</v>
        <stp/>
        <stp>BDP|3202502841716529031</stp>
        <tr r="G314" s="2"/>
      </tp>
      <tp t="s">
        <v>#N/A N/A</v>
        <stp/>
        <stp>BDP|2071511791618024254</stp>
        <tr r="F3068" s="2"/>
      </tp>
      <tp t="s">
        <v>#N/A N/A</v>
        <stp/>
        <stp>BDP|5252347835557492628</stp>
        <tr r="H3780" s="2"/>
      </tp>
      <tp t="s">
        <v>#N/A N/A</v>
        <stp/>
        <stp>BDP|6974142544220390607</stp>
        <tr r="A602" s="2"/>
      </tp>
      <tp t="s">
        <v>#N/A N/A</v>
        <stp/>
        <stp>BDP|3683360827117450095</stp>
        <tr r="B3891" s="2"/>
      </tp>
      <tp t="s">
        <v>#N/A N/A</v>
        <stp/>
        <stp>BDP|7386407122652221693</stp>
        <tr r="A605" s="2"/>
      </tp>
      <tp t="s">
        <v>#N/A N/A</v>
        <stp/>
        <stp>BDP|7684887035261662870</stp>
        <tr r="F4867" s="2"/>
      </tp>
      <tp t="s">
        <v>#N/A N/A</v>
        <stp/>
        <stp>BDP|3151325703434977138</stp>
        <tr r="F1867" s="2"/>
      </tp>
      <tp t="s">
        <v>#N/A N/A</v>
        <stp/>
        <stp>BDP|1607679805644707694</stp>
        <tr r="F4414" s="2"/>
      </tp>
      <tp t="s">
        <v>#N/A N/A</v>
        <stp/>
        <stp>BDP|4756283949030989754</stp>
        <tr r="H3163" s="2"/>
      </tp>
      <tp t="s">
        <v>#N/A N/A</v>
        <stp/>
        <stp>BDP|5135134152327290387</stp>
        <tr r="A2489" s="2"/>
      </tp>
      <tp t="s">
        <v>#N/A N/A</v>
        <stp/>
        <stp>BDP|9394039630957353891</stp>
        <tr r="G586" s="2"/>
      </tp>
      <tp t="s">
        <v>#N/A N/A</v>
        <stp/>
        <stp>BDP|9502695257818056715</stp>
        <tr r="F4689" s="2"/>
      </tp>
      <tp t="s">
        <v>#N/A N/A</v>
        <stp/>
        <stp>BDP|5216687317676440139</stp>
        <tr r="D800" s="2"/>
      </tp>
      <tp t="s">
        <v>#N/A N/A</v>
        <stp/>
        <stp>BDP|7576103205191215289</stp>
        <tr r="I295" s="2"/>
      </tp>
      <tp t="s">
        <v>#N/A N/A</v>
        <stp/>
        <stp>BDP|2050293916450398467</stp>
        <tr r="I2519" s="2"/>
      </tp>
      <tp t="s">
        <v>#N/A N/A</v>
        <stp/>
        <stp>BDP|4627288204784299728</stp>
        <tr r="B872" s="2"/>
      </tp>
      <tp t="s">
        <v>#N/A N/A</v>
        <stp/>
        <stp>BDP|6580322957264339197</stp>
        <tr r="G256" s="2"/>
      </tp>
      <tp t="s">
        <v>#N/A N/A</v>
        <stp/>
        <stp>BDP|8077174888096481217</stp>
        <tr r="C2910" s="2"/>
      </tp>
      <tp t="s">
        <v>#N/A N/A</v>
        <stp/>
        <stp>BDP|3422561048300242728</stp>
        <tr r="I4960" s="2"/>
      </tp>
      <tp t="s">
        <v>#N/A N/A</v>
        <stp/>
        <stp>BDP|5232202810105957619</stp>
        <tr r="G2238" s="2"/>
      </tp>
      <tp t="s">
        <v>#N/A N/A</v>
        <stp/>
        <stp>BDP|3512495001726145468</stp>
        <tr r="C2146" s="2"/>
      </tp>
      <tp t="s">
        <v>#N/A N/A</v>
        <stp/>
        <stp>BDP|3982848539409980473</stp>
        <tr r="G2353" s="2"/>
      </tp>
      <tp t="s">
        <v>#N/A N/A</v>
        <stp/>
        <stp>BDP|7712124359010521638</stp>
        <tr r="A2486" s="2"/>
      </tp>
      <tp t="s">
        <v>#N/A N/A</v>
        <stp/>
        <stp>BDP|2380584241682036406</stp>
        <tr r="A4907" s="2"/>
      </tp>
      <tp t="s">
        <v>#N/A N/A</v>
        <stp/>
        <stp>BDP|8070853110685645199</stp>
        <tr r="B689" s="2"/>
      </tp>
      <tp t="s">
        <v>#N/A N/A</v>
        <stp/>
        <stp>BDP|1923530105580002158</stp>
        <tr r="D1388" s="2"/>
      </tp>
      <tp t="s">
        <v>#N/A N/A</v>
        <stp/>
        <stp>BDP|7788302464742920500</stp>
        <tr r="G3486" s="2"/>
      </tp>
      <tp t="s">
        <v>#N/A N/A</v>
        <stp/>
        <stp>BDP|1237433449290140439</stp>
        <tr r="I74" s="2"/>
      </tp>
      <tp t="s">
        <v>#N/A N/A</v>
        <stp/>
        <stp>BDP|9357364826879113487</stp>
        <tr r="I2325" s="2"/>
      </tp>
      <tp t="s">
        <v>#N/A N/A</v>
        <stp/>
        <stp>BDP|9974326754758512209</stp>
        <tr r="C3696" s="2"/>
      </tp>
      <tp t="s">
        <v>#N/A N/A</v>
        <stp/>
        <stp>BDP|6257408463356961726</stp>
        <tr r="H1659" s="2"/>
      </tp>
      <tp t="s">
        <v>#N/A N/A</v>
        <stp/>
        <stp>BDP|6555994195585790643</stp>
        <tr r="B546" s="2"/>
      </tp>
      <tp t="s">
        <v>#N/A N/A</v>
        <stp/>
        <stp>BDP|2214791742562428679</stp>
        <tr r="C4019" s="2"/>
      </tp>
      <tp t="s">
        <v>#N/A N/A</v>
        <stp/>
        <stp>BDP|3609384364166336538</stp>
        <tr r="D2566" s="2"/>
      </tp>
      <tp t="s">
        <v>#N/A N/A</v>
        <stp/>
        <stp>BDP|7710057368557941396</stp>
        <tr r="D3535" s="2"/>
      </tp>
      <tp t="s">
        <v>#N/A N/A</v>
        <stp/>
        <stp>BDP|5740802658569460414</stp>
        <tr r="C4279" s="2"/>
      </tp>
      <tp t="s">
        <v>#N/A N/A</v>
        <stp/>
        <stp>BDP|2834057704107548060</stp>
        <tr r="F2499" s="2"/>
      </tp>
      <tp t="s">
        <v>#N/A N/A</v>
        <stp/>
        <stp>BDP|9942527681962837389</stp>
        <tr r="H829" s="2"/>
      </tp>
      <tp t="s">
        <v>#N/A N/A</v>
        <stp/>
        <stp>BDP|2861011776004710426</stp>
        <tr r="D3520" s="2"/>
      </tp>
      <tp t="s">
        <v>#N/A N/A</v>
        <stp/>
        <stp>BDP|1100996546501505813</stp>
        <tr r="D1814" s="2"/>
      </tp>
      <tp t="s">
        <v>#N/A N/A</v>
        <stp/>
        <stp>BDP|1697619230235937441</stp>
        <tr r="I1993" s="2"/>
      </tp>
      <tp t="s">
        <v>#N/A N/A</v>
        <stp/>
        <stp>BDP|2664587241834309269</stp>
        <tr r="I2524" s="2"/>
      </tp>
      <tp t="s">
        <v>#N/A N/A</v>
        <stp/>
        <stp>BDP|2092147973810425194</stp>
        <tr r="F517" s="2"/>
      </tp>
      <tp t="s">
        <v>#N/A N/A</v>
        <stp/>
        <stp>BDP|7900391223494972702</stp>
        <tr r="A4632" s="2"/>
      </tp>
      <tp t="s">
        <v>#N/A N/A</v>
        <stp/>
        <stp>BDP|1347057463680749282</stp>
        <tr r="D246" s="2"/>
      </tp>
      <tp t="s">
        <v>#N/A N/A</v>
        <stp/>
        <stp>BDP|1585406389401315958</stp>
        <tr r="D1955" s="2"/>
      </tp>
      <tp t="s">
        <v>#N/A N/A</v>
        <stp/>
        <stp>BDP|5559410758568651906</stp>
        <tr r="B4987" s="2"/>
      </tp>
      <tp t="s">
        <v>#N/A N/A</v>
        <stp/>
        <stp>BDP|8863151779018801365</stp>
        <tr r="B3111" s="2"/>
      </tp>
      <tp t="s">
        <v>#N/A N/A</v>
        <stp/>
        <stp>BDP|1980701534604644419</stp>
        <tr r="B3399" s="2"/>
      </tp>
      <tp t="s">
        <v>#N/A N/A</v>
        <stp/>
        <stp>BDP|8860967611410506507</stp>
        <tr r="D2548" s="2"/>
      </tp>
      <tp t="s">
        <v>#N/A N/A</v>
        <stp/>
        <stp>BDP|1343337226372404782</stp>
        <tr r="I1395" s="2"/>
      </tp>
      <tp t="s">
        <v>#N/A N/A</v>
        <stp/>
        <stp>BDP|7826871654607532844</stp>
        <tr r="I1172" s="2"/>
      </tp>
      <tp t="s">
        <v>#N/A N/A</v>
        <stp/>
        <stp>BDP|5583199950775306154</stp>
        <tr r="B4836" s="2"/>
      </tp>
      <tp t="s">
        <v>#N/A N/A</v>
        <stp/>
        <stp>BDP|7940617338663362496</stp>
        <tr r="I77" s="2"/>
      </tp>
      <tp t="s">
        <v>#N/A N/A</v>
        <stp/>
        <stp>BDP|5220847482267932771</stp>
        <tr r="D1838" s="2"/>
      </tp>
      <tp t="s">
        <v>#N/A N/A</v>
        <stp/>
        <stp>BDP|8058362930965535898</stp>
        <tr r="B2072" s="2"/>
      </tp>
      <tp t="s">
        <v>#N/A N/A</v>
        <stp/>
        <stp>BDP|2920005174432411237</stp>
        <tr r="A3615" s="2"/>
      </tp>
      <tp t="s">
        <v>#N/A N/A</v>
        <stp/>
        <stp>BDP|9790160920616296993</stp>
        <tr r="I1325" s="2"/>
      </tp>
      <tp t="s">
        <v>#N/A N/A</v>
        <stp/>
        <stp>BDP|7429520276823392396</stp>
        <tr r="I4373" s="2"/>
      </tp>
      <tp t="s">
        <v>#N/A N/A</v>
        <stp/>
        <stp>BDP|5270274446756085098</stp>
        <tr r="A18" s="2"/>
      </tp>
      <tp t="s">
        <v>#N/A N/A</v>
        <stp/>
        <stp>BDP|7160145625479271884</stp>
        <tr r="A3512" s="2"/>
      </tp>
      <tp t="s">
        <v>#N/A N/A</v>
        <stp/>
        <stp>BDP|1632428540004974078</stp>
        <tr r="I1003" s="2"/>
      </tp>
      <tp t="s">
        <v>#N/A N/A</v>
        <stp/>
        <stp>BDP|3903710146746715332</stp>
        <tr r="B1502" s="2"/>
      </tp>
      <tp t="s">
        <v>#N/A N/A</v>
        <stp/>
        <stp>BDP|1635287259787553482</stp>
        <tr r="F1817" s="2"/>
      </tp>
      <tp t="s">
        <v>#N/A N/A</v>
        <stp/>
        <stp>BDP|2042234209993247629</stp>
        <tr r="A3492" s="2"/>
      </tp>
      <tp t="s">
        <v>#N/A N/A</v>
        <stp/>
        <stp>BDP|6025012576783466795</stp>
        <tr r="H525" s="2"/>
      </tp>
      <tp t="s">
        <v>#N/A N/A</v>
        <stp/>
        <stp>BDP|4156587059691347094</stp>
        <tr r="C4784" s="2"/>
      </tp>
      <tp t="s">
        <v>#N/A N/A</v>
        <stp/>
        <stp>BDP|1883179840473676236</stp>
        <tr r="F4255" s="2"/>
      </tp>
      <tp t="s">
        <v>#N/A N/A</v>
        <stp/>
        <stp>BDP|2975307392558468557</stp>
        <tr r="H4971" s="2"/>
      </tp>
      <tp t="s">
        <v>#N/A N/A</v>
        <stp/>
        <stp>BDP|6671788556685269408</stp>
        <tr r="C1986" s="2"/>
      </tp>
      <tp t="s">
        <v>#N/A N/A</v>
        <stp/>
        <stp>BDP|7164195691709730340</stp>
        <tr r="F3537" s="2"/>
      </tp>
      <tp t="s">
        <v>#N/A N/A</v>
        <stp/>
        <stp>BDP|8400558938998002336</stp>
        <tr r="H1937" s="2"/>
      </tp>
      <tp t="s">
        <v>#N/A N/A</v>
        <stp/>
        <stp>BDP|2802774373091055666</stp>
        <tr r="B1181" s="2"/>
      </tp>
      <tp t="s">
        <v>#N/A N/A</v>
        <stp/>
        <stp>BDP|5125770978547457705</stp>
        <tr r="H2495" s="2"/>
      </tp>
      <tp t="s">
        <v>#N/A N/A</v>
        <stp/>
        <stp>BDP|1481579526141804276</stp>
        <tr r="C764" s="2"/>
      </tp>
      <tp t="s">
        <v>#N/A N/A</v>
        <stp/>
        <stp>BDP|4003205705045847677</stp>
        <tr r="A2087" s="2"/>
      </tp>
      <tp t="s">
        <v>#N/A N/A</v>
        <stp/>
        <stp>BDP|5960650864183587379</stp>
        <tr r="I104" s="2"/>
      </tp>
      <tp t="s">
        <v>#N/A N/A</v>
        <stp/>
        <stp>BDP|1004060600932473688</stp>
        <tr r="B4966" s="2"/>
      </tp>
      <tp t="s">
        <v>#N/A N/A</v>
        <stp/>
        <stp>BDP|7423438041650484282</stp>
        <tr r="G3733" s="2"/>
      </tp>
      <tp t="s">
        <v>#N/A N/A</v>
        <stp/>
        <stp>BDP|6213401378671563149</stp>
        <tr r="C220" s="2"/>
      </tp>
      <tp t="s">
        <v>#N/A N/A</v>
        <stp/>
        <stp>BDP|8657802840726888751</stp>
        <tr r="H4844" s="2"/>
      </tp>
      <tp t="s">
        <v>#N/A N/A</v>
        <stp/>
        <stp>BDP|1986492118239744845</stp>
        <tr r="C3013" s="2"/>
      </tp>
      <tp t="s">
        <v>#N/A N/A</v>
        <stp/>
        <stp>BDP|9206248719977114859</stp>
        <tr r="D4635" s="2"/>
      </tp>
      <tp t="s">
        <v>#N/A N/A</v>
        <stp/>
        <stp>BDP|7286646990225570882</stp>
        <tr r="F4432" s="2"/>
      </tp>
      <tp t="s">
        <v>#N/A N/A</v>
        <stp/>
        <stp>BDP|9915551556575754968</stp>
        <tr r="H527" s="2"/>
      </tp>
      <tp t="s">
        <v>#N/A N/A</v>
        <stp/>
        <stp>BDP|8935934264091780327</stp>
        <tr r="G2361" s="2"/>
      </tp>
      <tp t="s">
        <v>#N/A N/A</v>
        <stp/>
        <stp>BDP|1983335221126516356</stp>
        <tr r="I3511" s="2"/>
      </tp>
      <tp t="s">
        <v>#N/A N/A</v>
        <stp/>
        <stp>BDP|3722062259273690050</stp>
        <tr r="G3975" s="2"/>
      </tp>
      <tp t="s">
        <v>#N/A N/A</v>
        <stp/>
        <stp>BDP|5140485173801231231</stp>
        <tr r="G4328" s="2"/>
      </tp>
      <tp t="s">
        <v>#N/A N/A</v>
        <stp/>
        <stp>BDP|2971859554283430974</stp>
        <tr r="A2092" s="2"/>
      </tp>
      <tp t="s">
        <v>#N/A N/A</v>
        <stp/>
        <stp>BDP|2486579179686980384</stp>
        <tr r="I3566" s="2"/>
      </tp>
      <tp t="s">
        <v>#N/A N/A</v>
        <stp/>
        <stp>BDP|7484635697399364483</stp>
        <tr r="H4001" s="2"/>
      </tp>
      <tp t="s">
        <v>#N/A N/A</v>
        <stp/>
        <stp>BDP|9592777144659407692</stp>
        <tr r="G4809" s="2"/>
      </tp>
      <tp t="s">
        <v>#N/A N/A</v>
        <stp/>
        <stp>BDP|5172369461282463790</stp>
        <tr r="F1926" s="2"/>
      </tp>
      <tp t="s">
        <v>#N/A N/A</v>
        <stp/>
        <stp>BDP|2492402890539820376</stp>
        <tr r="D1886" s="2"/>
      </tp>
      <tp t="s">
        <v>#N/A N/A</v>
        <stp/>
        <stp>BDP|8451895684285405868</stp>
        <tr r="F1377" s="2"/>
      </tp>
      <tp t="s">
        <v>#N/A N/A</v>
        <stp/>
        <stp>BDP|4040948317400828900</stp>
        <tr r="B3348" s="2"/>
      </tp>
      <tp t="s">
        <v>#N/A N/A</v>
        <stp/>
        <stp>BDP|6667835856988024685</stp>
        <tr r="I2314" s="2"/>
      </tp>
      <tp t="s">
        <v>#N/A N/A</v>
        <stp/>
        <stp>BDP|4465884936029473358</stp>
        <tr r="H2214" s="2"/>
      </tp>
      <tp t="s">
        <v>#N/A N/A</v>
        <stp/>
        <stp>BDP|6116533965699812949</stp>
        <tr r="C1735" s="2"/>
      </tp>
      <tp t="s">
        <v>#N/A N/A</v>
        <stp/>
        <stp>BDP|8397836769462340113</stp>
        <tr r="F1475" s="2"/>
      </tp>
      <tp t="s">
        <v>#N/A N/A</v>
        <stp/>
        <stp>BDP|2674009634716053290</stp>
        <tr r="H2916" s="2"/>
      </tp>
      <tp t="s">
        <v>#N/A N/A</v>
        <stp/>
        <stp>BDP|5199065948366016242</stp>
        <tr r="I814" s="2"/>
      </tp>
      <tp t="s">
        <v>#N/A N/A</v>
        <stp/>
        <stp>BDP|5803116026881726230</stp>
        <tr r="F4283" s="2"/>
      </tp>
      <tp t="s">
        <v>#N/A N/A</v>
        <stp/>
        <stp>BDP|8679003789956286369</stp>
        <tr r="F1012" s="2"/>
      </tp>
      <tp t="s">
        <v>#N/A N/A</v>
        <stp/>
        <stp>BDP|8164862926734981337</stp>
        <tr r="D42" s="2"/>
      </tp>
      <tp t="s">
        <v>#N/A N/A</v>
        <stp/>
        <stp>BDP|3612804928948266476</stp>
        <tr r="H3252" s="2"/>
      </tp>
      <tp t="s">
        <v>#N/A N/A</v>
        <stp/>
        <stp>BDP|3511509059255045371</stp>
        <tr r="B848" s="2"/>
      </tp>
      <tp t="s">
        <v>#N/A N/A</v>
        <stp/>
        <stp>BDP|5354501535895924341</stp>
        <tr r="G3956" s="2"/>
      </tp>
      <tp t="s">
        <v>#N/A N/A</v>
        <stp/>
        <stp>BDP|4536907705309804139</stp>
        <tr r="C1211" s="2"/>
      </tp>
      <tp t="s">
        <v>#N/A N/A</v>
        <stp/>
        <stp>BDP|7562990591314023669</stp>
        <tr r="C2069" s="2"/>
      </tp>
      <tp t="s">
        <v>#N/A N/A</v>
        <stp/>
        <stp>BDP|8888050623189027655</stp>
        <tr r="H2034" s="2"/>
      </tp>
      <tp t="s">
        <v>#N/A N/A</v>
        <stp/>
        <stp>BDP|5101494435403577439</stp>
        <tr r="G3089" s="2"/>
      </tp>
      <tp t="s">
        <v>#N/A N/A</v>
        <stp/>
        <stp>BDP|9159537197959903975</stp>
        <tr r="B3161" s="2"/>
      </tp>
      <tp t="s">
        <v>#N/A N/A</v>
        <stp/>
        <stp>BDP|6534070748316364127</stp>
        <tr r="F4212" s="2"/>
      </tp>
      <tp t="s">
        <v>#N/A N/A</v>
        <stp/>
        <stp>BDP|6818860587493242000</stp>
        <tr r="C2185" s="2"/>
      </tp>
      <tp t="s">
        <v>#N/A N/A</v>
        <stp/>
        <stp>BDP|1408928699082407609</stp>
        <tr r="D1004" s="2"/>
      </tp>
      <tp t="s">
        <v>#N/A N/A</v>
        <stp/>
        <stp>BDP|9945961800945581015</stp>
        <tr r="D1696" s="2"/>
      </tp>
      <tp t="s">
        <v>#N/A N/A</v>
        <stp/>
        <stp>BDP|5055011525063642190</stp>
        <tr r="H2296" s="2"/>
      </tp>
      <tp t="s">
        <v>#N/A N/A</v>
        <stp/>
        <stp>BDP|6333673108731204457</stp>
        <tr r="B811" s="2"/>
      </tp>
      <tp t="s">
        <v>#N/A N/A</v>
        <stp/>
        <stp>BDP|4246182437272505134</stp>
        <tr r="H37" s="2"/>
      </tp>
      <tp t="s">
        <v>#N/A N/A</v>
        <stp/>
        <stp>BDP|4834650825982335709</stp>
        <tr r="G2648" s="2"/>
      </tp>
      <tp t="s">
        <v>#N/A N/A</v>
        <stp/>
        <stp>BDP|7877738627810348743</stp>
        <tr r="H1531" s="2"/>
      </tp>
      <tp t="s">
        <v>#N/A N/A</v>
        <stp/>
        <stp>BDP|5124382037086645634</stp>
        <tr r="H170" s="2"/>
      </tp>
      <tp t="s">
        <v>#N/A N/A</v>
        <stp/>
        <stp>BDP|1109270489517318977</stp>
        <tr r="G3969" s="2"/>
      </tp>
      <tp t="s">
        <v>#N/A N/A</v>
        <stp/>
        <stp>BDP|4413285672555044156</stp>
        <tr r="C3634" s="2"/>
      </tp>
      <tp t="s">
        <v>#N/A N/A</v>
        <stp/>
        <stp>BDP|7056186280208540366</stp>
        <tr r="I2094" s="2"/>
      </tp>
      <tp t="s">
        <v>#N/A N/A</v>
        <stp/>
        <stp>BDP|5370001058644212122</stp>
        <tr r="H3625" s="2"/>
      </tp>
      <tp t="s">
        <v>#N/A N/A</v>
        <stp/>
        <stp>BDP|6832625736797061174</stp>
        <tr r="B2814" s="2"/>
      </tp>
      <tp t="s">
        <v>#N/A N/A</v>
        <stp/>
        <stp>BDP|4991837546885533826</stp>
        <tr r="F4489" s="2"/>
      </tp>
      <tp t="s">
        <v>#N/A N/A</v>
        <stp/>
        <stp>BDP|7195769750432929255</stp>
        <tr r="H66" s="2"/>
      </tp>
      <tp t="s">
        <v>#N/A N/A</v>
        <stp/>
        <stp>BDP|6863529608395876318</stp>
        <tr r="G1415" s="2"/>
      </tp>
      <tp t="s">
        <v>#N/A N/A</v>
        <stp/>
        <stp>BDP|7827213333610951380</stp>
        <tr r="D2838" s="2"/>
      </tp>
      <tp t="s">
        <v>#N/A N/A</v>
        <stp/>
        <stp>BDP|1025174971913594184</stp>
        <tr r="C4700" s="2"/>
      </tp>
      <tp t="s">
        <v>#N/A N/A</v>
        <stp/>
        <stp>BDP|3324722237684924641</stp>
        <tr r="H3847" s="2"/>
      </tp>
      <tp t="s">
        <v>#N/A N/A</v>
        <stp/>
        <stp>BDP|1048310146010875347</stp>
        <tr r="H296" s="2"/>
      </tp>
      <tp t="s">
        <v>#N/A N/A</v>
        <stp/>
        <stp>BDP|9884852417994674170</stp>
        <tr r="C3859" s="2"/>
      </tp>
      <tp t="s">
        <v>#N/A N/A</v>
        <stp/>
        <stp>BDP|1415633239098245972</stp>
        <tr r="F4370" s="2"/>
      </tp>
      <tp t="s">
        <v>#N/A N/A</v>
        <stp/>
        <stp>BDP|7111000938680517171</stp>
        <tr r="B4959" s="2"/>
      </tp>
      <tp t="s">
        <v>#N/A N/A</v>
        <stp/>
        <stp>BDP|5677621995358978735</stp>
        <tr r="I1013" s="2"/>
      </tp>
      <tp t="s">
        <v>#N/A N/A</v>
        <stp/>
        <stp>BDP|5762154957170874463</stp>
        <tr r="C1151" s="2"/>
      </tp>
      <tp t="s">
        <v>#N/A N/A</v>
        <stp/>
        <stp>BDP|4037951824309906336</stp>
        <tr r="B3315" s="2"/>
      </tp>
      <tp t="s">
        <v>#N/A N/A</v>
        <stp/>
        <stp>BDP|7283588537681267547</stp>
        <tr r="F1539" s="2"/>
      </tp>
      <tp t="s">
        <v>#N/A N/A</v>
        <stp/>
        <stp>BDP|5668807285581809103</stp>
        <tr r="B4497" s="2"/>
      </tp>
      <tp t="s">
        <v>#N/A N/A</v>
        <stp/>
        <stp>BDP|5714181115113744363</stp>
        <tr r="A2691" s="2"/>
      </tp>
      <tp t="s">
        <v>#N/A N/A</v>
        <stp/>
        <stp>BDP|7436940637948846048</stp>
        <tr r="G4117" s="2"/>
      </tp>
      <tp t="s">
        <v>#N/A N/A</v>
        <stp/>
        <stp>BDP|2350977634704309983</stp>
        <tr r="C1137" s="2"/>
      </tp>
      <tp t="s">
        <v>#N/A N/A</v>
        <stp/>
        <stp>BDP|3616588547707241033</stp>
        <tr r="I214" s="2"/>
      </tp>
      <tp t="s">
        <v>#N/A N/A</v>
        <stp/>
        <stp>BDP|6687397510083747202</stp>
        <tr r="B3114" s="2"/>
      </tp>
      <tp t="s">
        <v>#N/A N/A</v>
        <stp/>
        <stp>BDP|6293111849244278205</stp>
        <tr r="H493" s="2"/>
      </tp>
      <tp t="s">
        <v>#N/A N/A</v>
        <stp/>
        <stp>BDP|5113480340305431559</stp>
        <tr r="C4670" s="2"/>
      </tp>
      <tp t="s">
        <v>#N/A N/A</v>
        <stp/>
        <stp>BDP|4672546861736395487</stp>
        <tr r="A4391" s="2"/>
      </tp>
      <tp t="s">
        <v>#N/A N/A</v>
        <stp/>
        <stp>BDP|8600964413770928529</stp>
        <tr r="H2271" s="2"/>
      </tp>
      <tp t="s">
        <v>#N/A N/A</v>
        <stp/>
        <stp>BDP|6981988595517993457</stp>
        <tr r="C733" s="2"/>
      </tp>
      <tp t="s">
        <v>#N/A N/A</v>
        <stp/>
        <stp>BDP|7921326583801076800</stp>
        <tr r="I2806" s="2"/>
      </tp>
      <tp t="s">
        <v>#N/A N/A</v>
        <stp/>
        <stp>BDP|8916105730839800697</stp>
        <tr r="C4868" s="2"/>
      </tp>
      <tp t="s">
        <v>#N/A N/A</v>
        <stp/>
        <stp>BDP|2386783031076442564</stp>
        <tr r="F3939" s="2"/>
      </tp>
      <tp t="s">
        <v>#N/A N/A</v>
        <stp/>
        <stp>BDP|2484813599042038443</stp>
        <tr r="D836" s="2"/>
      </tp>
      <tp t="s">
        <v>#N/A N/A</v>
        <stp/>
        <stp>BDP|6701375899371350828</stp>
        <tr r="D4275" s="2"/>
      </tp>
      <tp t="s">
        <v>#N/A N/A</v>
        <stp/>
        <stp>BDP|5172896599088125988</stp>
        <tr r="B1119" s="2"/>
      </tp>
      <tp t="s">
        <v>#N/A N/A</v>
        <stp/>
        <stp>BDP|4382846897793116392</stp>
        <tr r="F832" s="2"/>
      </tp>
      <tp t="s">
        <v>#N/A N/A</v>
        <stp/>
        <stp>BDP|9703153574213832968</stp>
        <tr r="C1046" s="2"/>
      </tp>
      <tp t="s">
        <v>#N/A N/A</v>
        <stp/>
        <stp>BDP|9378265811046902958</stp>
        <tr r="C1379" s="2"/>
      </tp>
      <tp t="s">
        <v>#N/A N/A</v>
        <stp/>
        <stp>BDP|3652039651395912654</stp>
        <tr r="C4736" s="2"/>
      </tp>
      <tp t="s">
        <v>#N/A N/A</v>
        <stp/>
        <stp>BDP|3433372426093586483</stp>
        <tr r="A653" s="2"/>
      </tp>
      <tp t="s">
        <v>#N/A N/A</v>
        <stp/>
        <stp>BDP|6861128051606229110</stp>
        <tr r="D2680" s="2"/>
      </tp>
      <tp t="s">
        <v>#N/A N/A</v>
        <stp/>
        <stp>BDP|8877879144572647352</stp>
        <tr r="H2101" s="2"/>
      </tp>
      <tp t="s">
        <v>#N/A N/A</v>
        <stp/>
        <stp>BDP|8311026993981967535</stp>
        <tr r="G3398" s="2"/>
      </tp>
      <tp t="s">
        <v>#N/A N/A</v>
        <stp/>
        <stp>BDP|7499631059699303853</stp>
        <tr r="F4910" s="2"/>
      </tp>
      <tp t="s">
        <v>#N/A N/A</v>
        <stp/>
        <stp>BDP|3854096440056979409</stp>
        <tr r="A3728" s="2"/>
      </tp>
      <tp t="s">
        <v>#N/A N/A</v>
        <stp/>
        <stp>BDP|8996890802574870126</stp>
        <tr r="B2125" s="2"/>
      </tp>
      <tp t="s">
        <v>#N/A N/A</v>
        <stp/>
        <stp>BDP|1840747439190486097</stp>
        <tr r="I2080" s="2"/>
      </tp>
      <tp t="s">
        <v>#N/A N/A</v>
        <stp/>
        <stp>BDP|4399620400115948200</stp>
        <tr r="I1779" s="2"/>
      </tp>
      <tp t="s">
        <v>#N/A N/A</v>
        <stp/>
        <stp>BDP|2789012268190777110</stp>
        <tr r="A1991" s="2"/>
      </tp>
      <tp t="s">
        <v>#N/A N/A</v>
        <stp/>
        <stp>BDP|1186746448453667430</stp>
        <tr r="B2581" s="2"/>
      </tp>
      <tp t="s">
        <v>#N/A N/A</v>
        <stp/>
        <stp>BDP|4073401229253004418</stp>
        <tr r="I2296" s="2"/>
      </tp>
      <tp t="s">
        <v>#N/A N/A</v>
        <stp/>
        <stp>BDP|7135768372782542087</stp>
        <tr r="A4562" s="2"/>
      </tp>
      <tp t="s">
        <v>#N/A N/A</v>
        <stp/>
        <stp>BDP|3178961569618082167</stp>
        <tr r="F3929" s="2"/>
      </tp>
      <tp t="s">
        <v>#N/A N/A</v>
        <stp/>
        <stp>BDP|9771187290652299650</stp>
        <tr r="F383" s="2"/>
      </tp>
      <tp t="s">
        <v>#N/A N/A</v>
        <stp/>
        <stp>BDP|4340993013009188000</stp>
        <tr r="C1625" s="2"/>
      </tp>
      <tp t="s">
        <v>#N/A N/A</v>
        <stp/>
        <stp>BDP|7068588563777002636</stp>
        <tr r="B142" s="2"/>
      </tp>
      <tp t="s">
        <v>#N/A N/A</v>
        <stp/>
        <stp>BDP|8654059489207668247</stp>
        <tr r="C2398" s="2"/>
      </tp>
      <tp t="s">
        <v>#N/A N/A</v>
        <stp/>
        <stp>BDP|7548782351396428608</stp>
        <tr r="B4435" s="2"/>
      </tp>
      <tp t="s">
        <v>#N/A N/A</v>
        <stp/>
        <stp>BDP|8837558010508332163</stp>
        <tr r="H3482" s="2"/>
      </tp>
      <tp t="s">
        <v>#N/A N/A</v>
        <stp/>
        <stp>BDP|4621031119743132359</stp>
        <tr r="H2076" s="2"/>
      </tp>
      <tp t="s">
        <v>#N/A N/A</v>
        <stp/>
        <stp>BDP|7700183183102180954</stp>
        <tr r="F3693" s="2"/>
      </tp>
      <tp t="s">
        <v>#N/A N/A</v>
        <stp/>
        <stp>BDP|4014125401972329281</stp>
        <tr r="A4572" s="2"/>
      </tp>
      <tp t="s">
        <v>#N/A N/A</v>
        <stp/>
        <stp>BDP|8051413355884482888</stp>
        <tr r="G761" s="2"/>
      </tp>
      <tp t="s">
        <v>#N/A N/A</v>
        <stp/>
        <stp>BDP|5299934399090439040</stp>
        <tr r="H4721" s="2"/>
      </tp>
      <tp t="s">
        <v>#N/A N/A</v>
        <stp/>
        <stp>BDP|5112338701871986228</stp>
        <tr r="A1283" s="2"/>
      </tp>
      <tp t="s">
        <v>#N/A N/A</v>
        <stp/>
        <stp>BDP|7424403002303975574</stp>
        <tr r="I1947" s="2"/>
      </tp>
      <tp t="s">
        <v>#N/A N/A</v>
        <stp/>
        <stp>BDP|9725563087170923173</stp>
        <tr r="C438" s="2"/>
      </tp>
      <tp t="s">
        <v>#N/A N/A</v>
        <stp/>
        <stp>BDP|5904164653523473707</stp>
        <tr r="D687" s="2"/>
      </tp>
      <tp t="s">
        <v>#N/A N/A</v>
        <stp/>
        <stp>BDP|5102236015547749486</stp>
        <tr r="I4909" s="2"/>
      </tp>
      <tp t="s">
        <v>#N/A N/A</v>
        <stp/>
        <stp>BDP|2727328239963625421</stp>
        <tr r="B2586" s="2"/>
      </tp>
      <tp t="s">
        <v>#N/A N/A</v>
        <stp/>
        <stp>BDP|2283999053413455840</stp>
        <tr r="H1327" s="2"/>
      </tp>
      <tp t="s">
        <v>#N/A N/A</v>
        <stp/>
        <stp>BDP|3152907768900322929</stp>
        <tr r="C1911" s="2"/>
      </tp>
      <tp t="s">
        <v>#N/A N/A</v>
        <stp/>
        <stp>BDP|9398032537898733780</stp>
        <tr r="A4507" s="2"/>
      </tp>
      <tp t="s">
        <v>#N/A N/A</v>
        <stp/>
        <stp>BDP|2633516124940286094</stp>
        <tr r="C1293" s="2"/>
      </tp>
      <tp t="s">
        <v>#N/A N/A</v>
        <stp/>
        <stp>BDP|4323938784044920458</stp>
        <tr r="G2704" s="2"/>
      </tp>
      <tp t="s">
        <v>#N/A N/A</v>
        <stp/>
        <stp>BDP|5370580946176563700</stp>
        <tr r="C1102" s="2"/>
      </tp>
      <tp t="s">
        <v>#N/A N/A</v>
        <stp/>
        <stp>BDP|2800700557692154763</stp>
        <tr r="A4661" s="2"/>
      </tp>
      <tp t="s">
        <v>#N/A N/A</v>
        <stp/>
        <stp>BDP|5800220867165472115</stp>
        <tr r="H3245" s="2"/>
      </tp>
      <tp t="s">
        <v>#N/A N/A</v>
        <stp/>
        <stp>BDP|8450534903238984058</stp>
        <tr r="D4283" s="2"/>
      </tp>
      <tp t="s">
        <v>#N/A N/A</v>
        <stp/>
        <stp>BDP|1104269816930926701</stp>
        <tr r="D3570" s="2"/>
      </tp>
      <tp t="s">
        <v>#N/A N/A</v>
        <stp/>
        <stp>BDP|7814100555853191542</stp>
        <tr r="F794" s="2"/>
      </tp>
      <tp t="s">
        <v>#N/A N/A</v>
        <stp/>
        <stp>BDP|2843015352455145723</stp>
        <tr r="F4074" s="2"/>
      </tp>
      <tp t="s">
        <v>#N/A N/A</v>
        <stp/>
        <stp>BDP|7985100213303797150</stp>
        <tr r="F391" s="2"/>
      </tp>
      <tp t="s">
        <v>#N/A N/A</v>
        <stp/>
        <stp>BDP|9840195908885583843</stp>
        <tr r="B805" s="2"/>
      </tp>
      <tp t="s">
        <v>#N/A N/A</v>
        <stp/>
        <stp>BDP|3650689717011589046</stp>
        <tr r="A3264" s="2"/>
      </tp>
      <tp t="s">
        <v>#N/A N/A</v>
        <stp/>
        <stp>BDP|6393609442539160886</stp>
        <tr r="D4338" s="2"/>
      </tp>
      <tp t="s">
        <v>#N/A N/A</v>
        <stp/>
        <stp>BDP|4423429398768493420</stp>
        <tr r="F4205" s="2"/>
      </tp>
      <tp t="s">
        <v>#N/A N/A</v>
        <stp/>
        <stp>BDP|1970607611402397138</stp>
        <tr r="A510" s="2"/>
      </tp>
      <tp t="s">
        <v>#N/A N/A</v>
        <stp/>
        <stp>BDP|2932564183169119352</stp>
        <tr r="D4347" s="2"/>
      </tp>
      <tp t="s">
        <v>#N/A N/A</v>
        <stp/>
        <stp>BDP|6342707339391707655</stp>
        <tr r="D2378" s="2"/>
      </tp>
      <tp t="s">
        <v>#N/A N/A</v>
        <stp/>
        <stp>BDP|6093639963464029782</stp>
        <tr r="C751" s="2"/>
      </tp>
      <tp t="s">
        <v>#N/A N/A</v>
        <stp/>
        <stp>BDP|3400610140973556788</stp>
        <tr r="C2944" s="2"/>
      </tp>
      <tp t="s">
        <v>#N/A N/A</v>
        <stp/>
        <stp>BDP|1122895490714136117</stp>
        <tr r="G3714" s="2"/>
      </tp>
      <tp t="s">
        <v>#N/A N/A</v>
        <stp/>
        <stp>BDP|2605394795358746557</stp>
        <tr r="C1973" s="2"/>
      </tp>
      <tp t="s">
        <v>#N/A N/A</v>
        <stp/>
        <stp>BDP|3492784302389298843</stp>
        <tr r="H2414" s="2"/>
      </tp>
      <tp t="s">
        <v>#N/A N/A</v>
        <stp/>
        <stp>BDP|1873048952815742417</stp>
        <tr r="B2829" s="2"/>
      </tp>
      <tp t="s">
        <v>#N/A N/A</v>
        <stp/>
        <stp>BDP|9191495700698885086</stp>
        <tr r="C2694" s="2"/>
      </tp>
      <tp t="s">
        <v>#N/A N/A</v>
        <stp/>
        <stp>BDP|9853857847175237504</stp>
        <tr r="F1385" s="2"/>
      </tp>
      <tp t="s">
        <v>#N/A N/A</v>
        <stp/>
        <stp>BDP|1963530016842402209</stp>
        <tr r="D82" s="2"/>
      </tp>
      <tp t="s">
        <v>#N/A N/A</v>
        <stp/>
        <stp>BDP|8931951681604779825</stp>
        <tr r="B4456" s="2"/>
      </tp>
      <tp t="s">
        <v>#N/A N/A</v>
        <stp/>
        <stp>BDP|7038671540308636894</stp>
        <tr r="B2846" s="2"/>
      </tp>
      <tp t="s">
        <v>#N/A N/A</v>
        <stp/>
        <stp>BDP|6294692775147242557</stp>
        <tr r="B3875" s="2"/>
      </tp>
      <tp t="s">
        <v>#N/A N/A</v>
        <stp/>
        <stp>BDP|8821085904908874550</stp>
        <tr r="C4366" s="2"/>
      </tp>
      <tp t="s">
        <v>#N/A N/A</v>
        <stp/>
        <stp>BDP|2659282536791388721</stp>
        <tr r="H4071" s="2"/>
      </tp>
      <tp t="s">
        <v>#N/A N/A</v>
        <stp/>
        <stp>BDP|5745673528046989286</stp>
        <tr r="B3908" s="2"/>
      </tp>
      <tp t="s">
        <v>#N/A N/A</v>
        <stp/>
        <stp>BDP|3086914998190838687</stp>
        <tr r="F1054" s="2"/>
      </tp>
      <tp t="s">
        <v>#N/A N/A</v>
        <stp/>
        <stp>BDP|3081326491658809421</stp>
        <tr r="F915" s="2"/>
      </tp>
      <tp t="s">
        <v>#N/A N/A</v>
        <stp/>
        <stp>BDP|2431153668912440245</stp>
        <tr r="D2058" s="2"/>
      </tp>
      <tp t="s">
        <v>#N/A N/A</v>
        <stp/>
        <stp>BDP|3256036430970112593</stp>
        <tr r="B1444" s="2"/>
      </tp>
      <tp t="s">
        <v>#N/A N/A</v>
        <stp/>
        <stp>BDP|4274041375876260080</stp>
        <tr r="A3940" s="2"/>
      </tp>
      <tp t="s">
        <v>#N/A N/A</v>
        <stp/>
        <stp>BDP|5252694927411595504</stp>
        <tr r="I2061" s="2"/>
      </tp>
      <tp t="s">
        <v>#N/A N/A</v>
        <stp/>
        <stp>BDP|1475428499560376956</stp>
        <tr r="I3280" s="2"/>
      </tp>
      <tp t="s">
        <v>#N/A N/A</v>
        <stp/>
        <stp>BDP|3336670609657597717</stp>
        <tr r="B4180" s="2"/>
      </tp>
      <tp t="s">
        <v>#N/A N/A</v>
        <stp/>
        <stp>BDP|8416909428102720420</stp>
        <tr r="D3510" s="2"/>
      </tp>
      <tp t="s">
        <v>#N/A N/A</v>
        <stp/>
        <stp>BDP|2212790285838620010</stp>
        <tr r="I3263" s="2"/>
      </tp>
      <tp t="s">
        <v>#N/A N/A</v>
        <stp/>
        <stp>BDP|1702016721872909475</stp>
        <tr r="G2316" s="2"/>
      </tp>
      <tp t="s">
        <v>#N/A N/A</v>
        <stp/>
        <stp>BDP|1405410483831616993</stp>
        <tr r="G2252" s="2"/>
      </tp>
      <tp t="s">
        <v>#N/A N/A</v>
        <stp/>
        <stp>BDP|4936270588359681292</stp>
        <tr r="G2275" s="2"/>
      </tp>
      <tp t="s">
        <v>#N/A N/A</v>
        <stp/>
        <stp>BDP|1811943773912227843</stp>
        <tr r="A2193" s="2"/>
      </tp>
      <tp t="s">
        <v>#N/A N/A</v>
        <stp/>
        <stp>BDP|5674188714069605955</stp>
        <tr r="I3524" s="2"/>
      </tp>
      <tp t="s">
        <v>#N/A N/A</v>
        <stp/>
        <stp>BDP|2847119976609197878</stp>
        <tr r="H4475" s="2"/>
      </tp>
      <tp t="s">
        <v>#N/A N/A</v>
        <stp/>
        <stp>BDP|7951637113811614466</stp>
        <tr r="D2836" s="2"/>
      </tp>
      <tp t="s">
        <v>#N/A N/A</v>
        <stp/>
        <stp>BDP|7823226165955730313</stp>
        <tr r="A3242" s="2"/>
      </tp>
      <tp t="s">
        <v>#N/A N/A</v>
        <stp/>
        <stp>BDP|3090183517174758213</stp>
        <tr r="I3019" s="2"/>
      </tp>
      <tp t="s">
        <v>#N/A N/A</v>
        <stp/>
        <stp>BDP|6610207971402695487</stp>
        <tr r="F2844" s="2"/>
      </tp>
      <tp t="s">
        <v>#N/A N/A</v>
        <stp/>
        <stp>BDP|7727081389292843879</stp>
        <tr r="A2156" s="2"/>
      </tp>
      <tp t="s">
        <v>#N/A N/A</v>
        <stp/>
        <stp>BDP|2805849291173358571</stp>
        <tr r="D226" s="2"/>
      </tp>
      <tp t="s">
        <v>#N/A N/A</v>
        <stp/>
        <stp>BDP|6076099962644672143</stp>
        <tr r="C1094" s="2"/>
      </tp>
      <tp t="s">
        <v>#N/A N/A</v>
        <stp/>
        <stp>BDP|2150896398057191185</stp>
        <tr r="B2604" s="2"/>
      </tp>
      <tp t="s">
        <v>#N/A N/A</v>
        <stp/>
        <stp>BDP|6605804718963013973</stp>
        <tr r="D3042" s="2"/>
      </tp>
      <tp t="s">
        <v>#N/A N/A</v>
        <stp/>
        <stp>BDP|2637532138415437409</stp>
        <tr r="A1967" s="2"/>
      </tp>
      <tp t="s">
        <v>#N/A N/A</v>
        <stp/>
        <stp>BDP|7024041759830611725</stp>
        <tr r="F483" s="2"/>
      </tp>
      <tp t="s">
        <v>#N/A N/A</v>
        <stp/>
        <stp>BDP|6535073305720805369</stp>
        <tr r="D349" s="2"/>
      </tp>
      <tp t="s">
        <v>#N/A N/A</v>
        <stp/>
        <stp>BDP|3477115311503808559</stp>
        <tr r="C3473" s="2"/>
      </tp>
      <tp t="s">
        <v>#N/A N/A</v>
        <stp/>
        <stp>BDP|3968080520803082788</stp>
        <tr r="C798" s="2"/>
      </tp>
      <tp t="s">
        <v>#N/A N/A</v>
        <stp/>
        <stp>BDP|1338370879112006243</stp>
        <tr r="D2704" s="2"/>
      </tp>
      <tp t="s">
        <v>#N/A N/A</v>
        <stp/>
        <stp>BDP|2423474594032852862</stp>
        <tr r="B3558" s="2"/>
      </tp>
      <tp t="s">
        <v>#N/A N/A</v>
        <stp/>
        <stp>BDP|4842875767257422850</stp>
        <tr r="H3796" s="2"/>
      </tp>
      <tp t="s">
        <v>#N/A N/A</v>
        <stp/>
        <stp>BDP|5888615894427508818</stp>
        <tr r="D3299" s="2"/>
      </tp>
      <tp t="s">
        <v>#N/A N/A</v>
        <stp/>
        <stp>BDP|6926857134650828890</stp>
        <tr r="I4068" s="2"/>
      </tp>
      <tp t="s">
        <v>#N/A N/A</v>
        <stp/>
        <stp>BDP|5785092552775043059</stp>
        <tr r="C1884" s="2"/>
      </tp>
      <tp t="s">
        <v>#N/A N/A</v>
        <stp/>
        <stp>BDP|1564572508031310005</stp>
        <tr r="A1703" s="2"/>
      </tp>
      <tp t="s">
        <v>#N/A N/A</v>
        <stp/>
        <stp>BDP|7842732863005419657</stp>
        <tr r="G1918" s="2"/>
      </tp>
      <tp t="s">
        <v>#N/A N/A</v>
        <stp/>
        <stp>BDP|8625039683802730780</stp>
        <tr r="H2808" s="2"/>
      </tp>
      <tp t="s">
        <v>#N/A N/A</v>
        <stp/>
        <stp>BDP|8165210498392422457</stp>
        <tr r="B887" s="2"/>
      </tp>
      <tp t="s">
        <v>#N/A N/A</v>
        <stp/>
        <stp>BDP|7537408511372926549</stp>
        <tr r="C1611" s="2"/>
      </tp>
      <tp t="s">
        <v>#N/A N/A</v>
        <stp/>
        <stp>BDP|9574421180010908075</stp>
        <tr r="I4791" s="2"/>
      </tp>
      <tp t="s">
        <v>#N/A N/A</v>
        <stp/>
        <stp>BDP|2763014418311378745</stp>
        <tr r="A550" s="2"/>
      </tp>
      <tp t="s">
        <v>#N/A N/A</v>
        <stp/>
        <stp>BDP|8609235178421104952</stp>
        <tr r="H3511" s="2"/>
      </tp>
      <tp t="s">
        <v>#N/A N/A</v>
        <stp/>
        <stp>BDP|4976132787701208961</stp>
        <tr r="A4478" s="2"/>
      </tp>
      <tp t="s">
        <v>#N/A N/A</v>
        <stp/>
        <stp>BDP|3058843898016418115</stp>
        <tr r="D3572" s="2"/>
      </tp>
      <tp t="s">
        <v>#N/A N/A</v>
        <stp/>
        <stp>BDP|1331563174495853303</stp>
        <tr r="D3892" s="2"/>
      </tp>
      <tp t="s">
        <v>#N/A N/A</v>
        <stp/>
        <stp>BDP|3265520039207345735</stp>
        <tr r="D2325" s="2"/>
      </tp>
      <tp t="s">
        <v>#N/A N/A</v>
        <stp/>
        <stp>BDP|3824247755517900695</stp>
        <tr r="C3621" s="2"/>
      </tp>
      <tp t="s">
        <v>#N/A N/A</v>
        <stp/>
        <stp>BDP|6728120476267816224</stp>
        <tr r="F2628" s="2"/>
      </tp>
      <tp t="s">
        <v>#N/A N/A</v>
        <stp/>
        <stp>BDP|9821525825028562334</stp>
        <tr r="I906" s="2"/>
      </tp>
      <tp t="s">
        <v>#N/A N/A</v>
        <stp/>
        <stp>BDP|1434706750056832052</stp>
        <tr r="G3239" s="2"/>
      </tp>
      <tp t="s">
        <v>#N/A N/A</v>
        <stp/>
        <stp>BDP|6109833995420966275</stp>
        <tr r="G3917" s="2"/>
      </tp>
      <tp t="s">
        <v>#N/A N/A</v>
        <stp/>
        <stp>BDP|3929777066354409352</stp>
        <tr r="G1797" s="2"/>
      </tp>
      <tp t="s">
        <v>#N/A N/A</v>
        <stp/>
        <stp>BDP|6063606548931280035</stp>
        <tr r="F4057" s="2"/>
      </tp>
      <tp t="s">
        <v>#N/A N/A</v>
        <stp/>
        <stp>BDP|3253798775864783209</stp>
        <tr r="C49" s="2"/>
      </tp>
      <tp t="s">
        <v>#N/A N/A</v>
        <stp/>
        <stp>BDP|7821412162084017425</stp>
        <tr r="C4830" s="2"/>
      </tp>
      <tp t="s">
        <v>#N/A N/A</v>
        <stp/>
        <stp>BDP|9506685157497464873</stp>
        <tr r="A4933" s="2"/>
      </tp>
      <tp t="s">
        <v>#N/A N/A</v>
        <stp/>
        <stp>BDP|4893627486948014751</stp>
        <tr r="H2503" s="2"/>
      </tp>
      <tp t="s">
        <v>#N/A N/A</v>
        <stp/>
        <stp>BDP|4860997098504810582</stp>
        <tr r="C3113" s="2"/>
      </tp>
      <tp t="s">
        <v>#N/A N/A</v>
        <stp/>
        <stp>BDP|5232785627095554014</stp>
        <tr r="H3907" s="2"/>
      </tp>
      <tp t="s">
        <v>#N/A N/A</v>
        <stp/>
        <stp>BDP|7399354635585363798</stp>
        <tr r="D2377" s="2"/>
      </tp>
      <tp t="s">
        <v>#N/A N/A</v>
        <stp/>
        <stp>BDP|7962795343456352794</stp>
        <tr r="G3176" s="2"/>
      </tp>
      <tp t="s">
        <v>#N/A N/A</v>
        <stp/>
        <stp>BDP|8197985045622587204</stp>
        <tr r="G2621" s="2"/>
      </tp>
      <tp t="s">
        <v>#N/A N/A</v>
        <stp/>
        <stp>BDP|8673992646165121510</stp>
        <tr r="H1767" s="2"/>
      </tp>
      <tp t="s">
        <v>#N/A N/A</v>
        <stp/>
        <stp>BDP|7152486649895868764</stp>
        <tr r="G2461" s="2"/>
      </tp>
      <tp t="s">
        <v>#N/A N/A</v>
        <stp/>
        <stp>BDP|3088348836311537799</stp>
        <tr r="D198" s="2"/>
      </tp>
      <tp t="s">
        <v>#N/A N/A</v>
        <stp/>
        <stp>BDP|8167867504907963247</stp>
        <tr r="B1430" s="2"/>
      </tp>
      <tp t="s">
        <v>#N/A N/A</v>
        <stp/>
        <stp>BDP|7626303151790180487</stp>
        <tr r="A1925" s="2"/>
      </tp>
      <tp t="s">
        <v>#N/A N/A</v>
        <stp/>
        <stp>BDP|1090441517483445291</stp>
        <tr r="G407" s="2"/>
      </tp>
      <tp t="s">
        <v>#N/A N/A</v>
        <stp/>
        <stp>BDP|4144599611316219356</stp>
        <tr r="D1226" s="2"/>
      </tp>
      <tp t="s">
        <v>#N/A N/A</v>
        <stp/>
        <stp>BDP|7467696627904166257</stp>
        <tr r="H2549" s="2"/>
      </tp>
      <tp t="s">
        <v>#N/A N/A</v>
        <stp/>
        <stp>BDP|2714039117736504087</stp>
        <tr r="A1976" s="2"/>
      </tp>
      <tp t="s">
        <v>#N/A N/A</v>
        <stp/>
        <stp>BDP|3777860157818025385</stp>
        <tr r="A309" s="2"/>
      </tp>
      <tp t="s">
        <v>#N/A N/A</v>
        <stp/>
        <stp>BDP|9795474249084421837</stp>
        <tr r="G1664" s="2"/>
      </tp>
      <tp t="s">
        <v>#N/A N/A</v>
        <stp/>
        <stp>BDP|6574378213641919060</stp>
        <tr r="A3540" s="2"/>
      </tp>
      <tp t="s">
        <v>#N/A N/A</v>
        <stp/>
        <stp>BDP|2446196680917616951</stp>
        <tr r="F3812" s="2"/>
      </tp>
      <tp t="s">
        <v>#N/A N/A</v>
        <stp/>
        <stp>BDP|3939395759056056678</stp>
        <tr r="C4631" s="2"/>
      </tp>
      <tp t="s">
        <v>#N/A N/A</v>
        <stp/>
        <stp>BDP|2698361787068877414</stp>
        <tr r="B4697" s="2"/>
      </tp>
      <tp t="s">
        <v>#N/A N/A</v>
        <stp/>
        <stp>BDP|2773539993198915304</stp>
        <tr r="A4942" s="2"/>
      </tp>
      <tp t="s">
        <v>#N/A N/A</v>
        <stp/>
        <stp>BDP|3339386570440336268</stp>
        <tr r="I4275" s="2"/>
      </tp>
      <tp t="s">
        <v>#N/A N/A</v>
        <stp/>
        <stp>BDP|3591326665113409084</stp>
        <tr r="A1012" s="2"/>
      </tp>
      <tp t="s">
        <v>#N/A N/A</v>
        <stp/>
        <stp>BDP|3234121388976618900</stp>
        <tr r="D3924" s="2"/>
      </tp>
      <tp t="s">
        <v>#N/A N/A</v>
        <stp/>
        <stp>BDP|4097865709419528040</stp>
        <tr r="H4887" s="2"/>
      </tp>
      <tp t="s">
        <v>#N/A N/A</v>
        <stp/>
        <stp>BDP|4182778578144285524</stp>
        <tr r="D1254" s="2"/>
      </tp>
      <tp t="s">
        <v>#N/A N/A</v>
        <stp/>
        <stp>BDP|1519102248268452979</stp>
        <tr r="A4726" s="2"/>
      </tp>
      <tp t="s">
        <v>#N/A N/A</v>
        <stp/>
        <stp>BDP|9904716509629859278</stp>
        <tr r="D2906" s="2"/>
      </tp>
      <tp t="s">
        <v>#N/A N/A</v>
        <stp/>
        <stp>BDP|2300375310960278587</stp>
        <tr r="H1083" s="2"/>
      </tp>
      <tp t="s">
        <v>#N/A N/A</v>
        <stp/>
        <stp>BDP|5086547049326069736</stp>
        <tr r="F2893" s="2"/>
      </tp>
      <tp t="s">
        <v>#N/A N/A</v>
        <stp/>
        <stp>BDP|7559585460504513568</stp>
        <tr r="H4836" s="2"/>
      </tp>
      <tp t="s">
        <v>#N/A N/A</v>
        <stp/>
        <stp>BDP|4842738625650958493</stp>
        <tr r="C3240" s="2"/>
      </tp>
      <tp t="s">
        <v>#N/A N/A</v>
        <stp/>
        <stp>BDP|3181987639295724993</stp>
        <tr r="F2077" s="2"/>
      </tp>
      <tp t="s">
        <v>#N/A N/A</v>
        <stp/>
        <stp>BDP|7112705608523610611</stp>
        <tr r="F1544" s="2"/>
      </tp>
      <tp t="s">
        <v>#N/A N/A</v>
        <stp/>
        <stp>BDP|7889444217045299274</stp>
        <tr r="G849" s="2"/>
      </tp>
      <tp t="s">
        <v>#N/A N/A</v>
        <stp/>
        <stp>BDP|4237546429160245631</stp>
        <tr r="F3984" s="2"/>
      </tp>
      <tp t="s">
        <v>#N/A N/A</v>
        <stp/>
        <stp>BDP|6952195114705900636</stp>
        <tr r="B4153" s="2"/>
      </tp>
      <tp t="s">
        <v>#N/A N/A</v>
        <stp/>
        <stp>BDP|2118477478975294127</stp>
        <tr r="F3006" s="2"/>
      </tp>
      <tp t="s">
        <v>#N/A N/A</v>
        <stp/>
        <stp>BDP|4672415109334949194</stp>
        <tr r="D3353" s="2"/>
      </tp>
      <tp t="s">
        <v>#N/A N/A</v>
        <stp/>
        <stp>BDP|8332176018534555975</stp>
        <tr r="F2517" s="2"/>
      </tp>
      <tp t="s">
        <v>#N/A N/A</v>
        <stp/>
        <stp>BDP|7936506357577455545</stp>
        <tr r="G2508" s="2"/>
      </tp>
      <tp t="s">
        <v>#N/A N/A</v>
        <stp/>
        <stp>BDP|4904126308407529780</stp>
        <tr r="A1020" s="2"/>
      </tp>
      <tp t="s">
        <v>#N/A N/A</v>
        <stp/>
        <stp>BDP|5614985991300077010</stp>
        <tr r="G2451" s="2"/>
      </tp>
      <tp t="s">
        <v>#N/A N/A</v>
        <stp/>
        <stp>BDP|3983458241552460470</stp>
        <tr r="A1209" s="2"/>
      </tp>
      <tp t="s">
        <v>#N/A N/A</v>
        <stp/>
        <stp>BDP|9453418428148177228</stp>
        <tr r="H3766" s="2"/>
      </tp>
      <tp t="s">
        <v>#N/A N/A</v>
        <stp/>
        <stp>BDP|6512782161324504673</stp>
        <tr r="D205" s="2"/>
      </tp>
      <tp t="s">
        <v>#N/A N/A</v>
        <stp/>
        <stp>BDP|6333210398448204064</stp>
        <tr r="G702" s="2"/>
      </tp>
      <tp t="s">
        <v>#N/A N/A</v>
        <stp/>
        <stp>BDP|2086349379207794449</stp>
        <tr r="B2462" s="2"/>
      </tp>
      <tp t="s">
        <v>#N/A N/A</v>
        <stp/>
        <stp>BDP|3995464828764997400</stp>
        <tr r="H295" s="2"/>
      </tp>
      <tp t="s">
        <v>#N/A N/A</v>
        <stp/>
        <stp>BDP|7831602014481571471</stp>
        <tr r="C3903" s="2"/>
      </tp>
      <tp t="s">
        <v>#N/A N/A</v>
        <stp/>
        <stp>BDP|1354290405227825197</stp>
        <tr r="C1326" s="2"/>
      </tp>
      <tp t="s">
        <v>#N/A N/A</v>
        <stp/>
        <stp>BDP|5193809720229787388</stp>
        <tr r="D3503" s="2"/>
      </tp>
      <tp t="s">
        <v>#N/A N/A</v>
        <stp/>
        <stp>BDP|4666802498295252521</stp>
        <tr r="F3600" s="2"/>
      </tp>
      <tp t="s">
        <v>#N/A N/A</v>
        <stp/>
        <stp>BDP|7108832185273022197</stp>
        <tr r="I4089" s="2"/>
      </tp>
      <tp t="s">
        <v>#N/A N/A</v>
        <stp/>
        <stp>BDP|8064818105904959137</stp>
        <tr r="F1918" s="2"/>
      </tp>
      <tp t="s">
        <v>#N/A N/A</v>
        <stp/>
        <stp>BDP|4979020005127071604</stp>
        <tr r="H4142" s="2"/>
      </tp>
      <tp t="s">
        <v>#N/A N/A</v>
        <stp/>
        <stp>BDP|3790689672303330404</stp>
        <tr r="D4417" s="2"/>
      </tp>
      <tp t="s">
        <v>#N/A N/A</v>
        <stp/>
        <stp>BDP|1008691706584377627</stp>
        <tr r="F4603" s="2"/>
      </tp>
      <tp t="s">
        <v>#N/A N/A</v>
        <stp/>
        <stp>BDP|3070288408157990373</stp>
        <tr r="B2539" s="2"/>
      </tp>
      <tp t="s">
        <v>#N/A N/A</v>
        <stp/>
        <stp>BDP|8955914931471084679</stp>
        <tr r="C264" s="2"/>
      </tp>
      <tp t="s">
        <v>#N/A N/A</v>
        <stp/>
        <stp>BDP|9463750651128968675</stp>
        <tr r="B1034" s="2"/>
      </tp>
      <tp t="s">
        <v>#N/A N/A</v>
        <stp/>
        <stp>BDP|5829507128793978471</stp>
        <tr r="G744" s="2"/>
      </tp>
      <tp t="s">
        <v>#N/A N/A</v>
        <stp/>
        <stp>BDP|6705910170264856900</stp>
        <tr r="B4590" s="2"/>
      </tp>
      <tp t="s">
        <v>#N/A N/A</v>
        <stp/>
        <stp>BDP|4660627511481968724</stp>
        <tr r="D3845" s="2"/>
      </tp>
      <tp t="s">
        <v>#N/A N/A</v>
        <stp/>
        <stp>BDP|6547983954568665712</stp>
        <tr r="G1080" s="2"/>
      </tp>
      <tp t="s">
        <v>#N/A N/A</v>
        <stp/>
        <stp>BDP|9313897144160669067</stp>
        <tr r="G1625" s="2"/>
      </tp>
      <tp t="s">
        <v>#N/A N/A</v>
        <stp/>
        <stp>BDP|7955470350085947697</stp>
        <tr r="B3046" s="2"/>
      </tp>
      <tp t="s">
        <v>#N/A N/A</v>
        <stp/>
        <stp>BDP|7808944356646589803</stp>
        <tr r="D3091" s="2"/>
      </tp>
      <tp t="s">
        <v>#N/A N/A</v>
        <stp/>
        <stp>BDP|3680500242832286591</stp>
        <tr r="C4015" s="2"/>
      </tp>
      <tp t="s">
        <v>#N/A N/A</v>
        <stp/>
        <stp>BDP|8520364180964855243</stp>
        <tr r="C4122" s="2"/>
      </tp>
      <tp t="s">
        <v>#N/A N/A</v>
        <stp/>
        <stp>BDP|7234724585098860528</stp>
        <tr r="B4323" s="2"/>
      </tp>
      <tp t="s">
        <v>#N/A N/A</v>
        <stp/>
        <stp>BDP|4527559464603266193</stp>
        <tr r="G2201" s="2"/>
      </tp>
      <tp t="s">
        <v>#N/A N/A</v>
        <stp/>
        <stp>BDP|4396933282175505583</stp>
        <tr r="B3937" s="2"/>
      </tp>
      <tp t="s">
        <v>#N/A N/A</v>
        <stp/>
        <stp>BDP|1119437759900049543</stp>
        <tr r="A1223" s="2"/>
      </tp>
      <tp t="s">
        <v>#N/A N/A</v>
        <stp/>
        <stp>BDP|7103790934947059134</stp>
        <tr r="F3589" s="2"/>
      </tp>
      <tp t="s">
        <v>#N/A N/A</v>
        <stp/>
        <stp>BDP|8248078993695039191</stp>
        <tr r="H2848" s="2"/>
      </tp>
      <tp t="s">
        <v>#N/A N/A</v>
        <stp/>
        <stp>BDP|1142871080455994103</stp>
        <tr r="B327" s="2"/>
      </tp>
      <tp t="s">
        <v>#N/A N/A</v>
        <stp/>
        <stp>BDP|2544822989241185607</stp>
        <tr r="H1725" s="2"/>
      </tp>
      <tp t="s">
        <v>#N/A N/A</v>
        <stp/>
        <stp>BDP|8189978115107834249</stp>
        <tr r="B4018" s="2"/>
      </tp>
      <tp t="s">
        <v>#N/A N/A</v>
        <stp/>
        <stp>BDP|6632556651331596285</stp>
        <tr r="B4693" s="2"/>
      </tp>
      <tp t="s">
        <v>#N/A N/A</v>
        <stp/>
        <stp>BDP|8600677475865820937</stp>
        <tr r="F899" s="2"/>
      </tp>
      <tp t="s">
        <v>#N/A N/A</v>
        <stp/>
        <stp>BDP|9446872347943923327</stp>
        <tr r="D2172" s="2"/>
      </tp>
      <tp t="s">
        <v>#N/A N/A</v>
        <stp/>
        <stp>BDP|9725588008808999111</stp>
        <tr r="B595" s="2"/>
      </tp>
      <tp t="s">
        <v>#N/A N/A</v>
        <stp/>
        <stp>BDP|2959132985727138919</stp>
        <tr r="I1630" s="2"/>
      </tp>
      <tp t="s">
        <v>#N/A N/A</v>
        <stp/>
        <stp>BDP|6825509831305009065</stp>
        <tr r="H2648" s="2"/>
      </tp>
      <tp t="s">
        <v>#N/A N/A</v>
        <stp/>
        <stp>BDP|7444835125770526889</stp>
        <tr r="B4015" s="2"/>
      </tp>
      <tp t="s">
        <v>#N/A N/A</v>
        <stp/>
        <stp>BDP|9001133706665286880</stp>
        <tr r="G4564" s="2"/>
      </tp>
      <tp t="s">
        <v>#N/A N/A</v>
        <stp/>
        <stp>BDP|5611521274774825678</stp>
        <tr r="A3663" s="2"/>
      </tp>
      <tp t="s">
        <v>#N/A N/A</v>
        <stp/>
        <stp>BDP|8485633433921362989</stp>
        <tr r="H84" s="2"/>
      </tp>
      <tp t="s">
        <v>#N/A N/A</v>
        <stp/>
        <stp>BDP|8935227143849768207</stp>
        <tr r="B3746" s="2"/>
      </tp>
      <tp t="s">
        <v>#N/A N/A</v>
        <stp/>
        <stp>BDP|2194204316064118091</stp>
        <tr r="A4165" s="2"/>
      </tp>
      <tp t="s">
        <v>#N/A N/A</v>
        <stp/>
        <stp>BDP|1004089637551772677</stp>
        <tr r="F806" s="2"/>
      </tp>
      <tp t="s">
        <v>#N/A N/A</v>
        <stp/>
        <stp>BDP|1802964602134180921</stp>
        <tr r="D4085" s="2"/>
      </tp>
      <tp t="s">
        <v>#N/A N/A</v>
        <stp/>
        <stp>BDP|6762778247867027788</stp>
        <tr r="H4956" s="2"/>
      </tp>
      <tp t="s">
        <v>#N/A N/A</v>
        <stp/>
        <stp>BDP|2535522152511287680</stp>
        <tr r="D1277" s="2"/>
      </tp>
      <tp t="s">
        <v>#N/A N/A</v>
        <stp/>
        <stp>BDP|7475166004674821719</stp>
        <tr r="F31" s="2"/>
      </tp>
      <tp t="s">
        <v>#N/A N/A</v>
        <stp/>
        <stp>BDP|7185615619955222049</stp>
        <tr r="C2971" s="2"/>
      </tp>
      <tp t="s">
        <v>#N/A N/A</v>
        <stp/>
        <stp>BDP|3052749771007960135</stp>
        <tr r="H4790" s="2"/>
      </tp>
      <tp t="s">
        <v>#N/A N/A</v>
        <stp/>
        <stp>BDP|8556240444873935831</stp>
        <tr r="A1269" s="2"/>
      </tp>
      <tp t="s">
        <v>#N/A N/A</v>
        <stp/>
        <stp>BDP|7814479082666441865</stp>
        <tr r="B1768" s="2"/>
      </tp>
      <tp t="s">
        <v>#N/A N/A</v>
        <stp/>
        <stp>BDP|9100081392561226469</stp>
        <tr r="H1351" s="2"/>
      </tp>
      <tp t="s">
        <v>#N/A N/A</v>
        <stp/>
        <stp>BDP|5148621667479995927</stp>
        <tr r="B1431" s="2"/>
      </tp>
      <tp t="s">
        <v>#N/A N/A</v>
        <stp/>
        <stp>BDP|7671742659253288360</stp>
        <tr r="F3307" s="2"/>
      </tp>
      <tp t="s">
        <v>#N/A N/A</v>
        <stp/>
        <stp>BDP|8821971606886515235</stp>
        <tr r="H2570" s="2"/>
      </tp>
      <tp t="s">
        <v>#N/A N/A</v>
        <stp/>
        <stp>BDP|2050158420735942130</stp>
        <tr r="D3922" s="2"/>
      </tp>
      <tp t="s">
        <v>#N/A N/A</v>
        <stp/>
        <stp>BDP|7185001907500061294</stp>
        <tr r="D1212" s="2"/>
      </tp>
      <tp t="s">
        <v>#N/A N/A</v>
        <stp/>
        <stp>BDP|2618598730778787978</stp>
        <tr r="C4025" s="2"/>
      </tp>
      <tp t="s">
        <v>#N/A N/A</v>
        <stp/>
        <stp>BDP|5719182711592437254</stp>
        <tr r="D2687" s="2"/>
      </tp>
      <tp t="s">
        <v>#N/A N/A</v>
        <stp/>
        <stp>BDP|9004658185641973368</stp>
        <tr r="F1546" s="2"/>
      </tp>
      <tp t="s">
        <v>#N/A N/A</v>
        <stp/>
        <stp>BDP|6954009851857265153</stp>
        <tr r="B4404" s="2"/>
      </tp>
      <tp t="s">
        <v>#N/A N/A</v>
        <stp/>
        <stp>BDP|3050526093699924376</stp>
        <tr r="F3457" s="2"/>
      </tp>
      <tp t="s">
        <v>#N/A N/A</v>
        <stp/>
        <stp>BDP|5976704742971190253</stp>
        <tr r="C3291" s="2"/>
      </tp>
      <tp t="s">
        <v>#N/A N/A</v>
        <stp/>
        <stp>BDP|6190898690174760606</stp>
        <tr r="H999" s="2"/>
      </tp>
      <tp t="s">
        <v>#N/A N/A</v>
        <stp/>
        <stp>BDP|5026074888481149916</stp>
        <tr r="D2913" s="2"/>
      </tp>
      <tp t="s">
        <v>#N/A N/A</v>
        <stp/>
        <stp>BDP|7503480621727308307</stp>
        <tr r="A95" s="2"/>
      </tp>
      <tp t="s">
        <v>#N/A N/A</v>
        <stp/>
        <stp>BDP|4191185013096491715</stp>
        <tr r="B1763" s="2"/>
      </tp>
      <tp t="s">
        <v>#N/A N/A</v>
        <stp/>
        <stp>BDP|5632647908087746123</stp>
        <tr r="C709" s="2"/>
      </tp>
      <tp t="s">
        <v>#N/A N/A</v>
        <stp/>
        <stp>BDP|7824563673272672247</stp>
        <tr r="F1912" s="2"/>
      </tp>
      <tp t="s">
        <v>#N/A N/A</v>
        <stp/>
        <stp>BDP|5268354248736639165</stp>
        <tr r="H3639" s="2"/>
      </tp>
      <tp t="s">
        <v>#N/A N/A</v>
        <stp/>
        <stp>BDP|8004673963098928522</stp>
        <tr r="H307" s="2"/>
      </tp>
      <tp t="s">
        <v>#N/A N/A</v>
        <stp/>
        <stp>BDP|5334270207906508499</stp>
        <tr r="F2082" s="2"/>
      </tp>
      <tp t="s">
        <v>#N/A N/A</v>
        <stp/>
        <stp>BDP|2509783143554135006</stp>
        <tr r="C2385" s="2"/>
      </tp>
      <tp t="s">
        <v>#N/A N/A</v>
        <stp/>
        <stp>BDP|1598012477521844249</stp>
        <tr r="D4642" s="2"/>
      </tp>
      <tp t="s">
        <v>#N/A N/A</v>
        <stp/>
        <stp>BDP|2528190290679609656</stp>
        <tr r="C3337" s="2"/>
      </tp>
      <tp t="s">
        <v>#N/A N/A</v>
        <stp/>
        <stp>BDP|1033176750510900012</stp>
        <tr r="H2483" s="2"/>
      </tp>
      <tp t="s">
        <v>#N/A N/A</v>
        <stp/>
        <stp>BDP|1282933252938435083</stp>
        <tr r="B2954" s="2"/>
      </tp>
      <tp t="s">
        <v>#N/A N/A</v>
        <stp/>
        <stp>BDP|2727284777322534024</stp>
        <tr r="B2400" s="2"/>
      </tp>
      <tp t="s">
        <v>#N/A N/A</v>
        <stp/>
        <stp>BDP|2832923992645463232</stp>
        <tr r="I1713" s="2"/>
      </tp>
      <tp t="s">
        <v>#N/A N/A</v>
        <stp/>
        <stp>BDP|1638773414657851521</stp>
        <tr r="B4630" s="2"/>
      </tp>
      <tp t="s">
        <v>#N/A N/A</v>
        <stp/>
        <stp>BDP|4622998594479589814</stp>
        <tr r="A170" s="2"/>
      </tp>
      <tp t="s">
        <v>#N/A N/A</v>
        <stp/>
        <stp>BDP|7215296772873686402</stp>
        <tr r="D4366" s="2"/>
      </tp>
      <tp t="s">
        <v>#N/A N/A</v>
        <stp/>
        <stp>BDP|2262086938020523487</stp>
        <tr r="F4799" s="2"/>
      </tp>
      <tp t="s">
        <v>#N/A N/A</v>
        <stp/>
        <stp>BDP|3746114885926858948</stp>
        <tr r="I4454" s="2"/>
      </tp>
      <tp t="s">
        <v>#N/A N/A</v>
        <stp/>
        <stp>BDP|2309916551332921953</stp>
        <tr r="B2866" s="2"/>
      </tp>
      <tp t="s">
        <v>#N/A N/A</v>
        <stp/>
        <stp>BDP|5426363403342728194</stp>
        <tr r="C2311" s="2"/>
      </tp>
      <tp t="s">
        <v>#N/A N/A</v>
        <stp/>
        <stp>BDP|3281641879527828089</stp>
        <tr r="C1267" s="2"/>
      </tp>
      <tp t="s">
        <v>#N/A N/A</v>
        <stp/>
        <stp>BDP|3210024549690470223</stp>
        <tr r="G858" s="2"/>
      </tp>
      <tp t="s">
        <v>#N/A N/A</v>
        <stp/>
        <stp>BDP|7543300579793261512</stp>
        <tr r="D3267" s="2"/>
      </tp>
      <tp t="s">
        <v>#N/A N/A</v>
        <stp/>
        <stp>BDP|2799479652296833057</stp>
        <tr r="H844" s="2"/>
      </tp>
      <tp t="s">
        <v>#N/A N/A</v>
        <stp/>
        <stp>BDP|5228691840772271065</stp>
        <tr r="H884" s="2"/>
      </tp>
      <tp t="s">
        <v>#N/A N/A</v>
        <stp/>
        <stp>BDP|7769246463751869777</stp>
        <tr r="B113" s="2"/>
      </tp>
      <tp t="s">
        <v>#N/A N/A</v>
        <stp/>
        <stp>BDP|8317995413312383759</stp>
        <tr r="F105" s="2"/>
      </tp>
      <tp t="s">
        <v>#N/A N/A</v>
        <stp/>
        <stp>BDP|3500677120401542381</stp>
        <tr r="I1861" s="2"/>
      </tp>
      <tp t="s">
        <v>#N/A N/A</v>
        <stp/>
        <stp>BDP|3667158074620382089</stp>
        <tr r="C253" s="2"/>
      </tp>
      <tp t="s">
        <v>#N/A N/A</v>
        <stp/>
        <stp>BDP|5900233261807471335</stp>
        <tr r="A678" s="2"/>
      </tp>
      <tp t="s">
        <v>#N/A N/A</v>
        <stp/>
        <stp>BDP|1881754200566379527</stp>
        <tr r="D3955" s="2"/>
      </tp>
      <tp t="s">
        <v>#N/A N/A</v>
        <stp/>
        <stp>BDP|1482084962952753059</stp>
        <tr r="C4948" s="2"/>
      </tp>
      <tp t="s">
        <v>#N/A N/A</v>
        <stp/>
        <stp>BDP|7618027870111989416</stp>
        <tr r="F4415" s="2"/>
      </tp>
      <tp t="s">
        <v>#N/A N/A</v>
        <stp/>
        <stp>BDP|2571044587896938930</stp>
        <tr r="B4397" s="2"/>
      </tp>
      <tp t="s">
        <v>#N/A N/A</v>
        <stp/>
        <stp>BDP|7986987639230246861</stp>
        <tr r="D715" s="2"/>
      </tp>
      <tp t="s">
        <v>#N/A N/A</v>
        <stp/>
        <stp>BDP|1003297240915300766</stp>
        <tr r="F3961" s="2"/>
      </tp>
      <tp t="s">
        <v>#N/A N/A</v>
        <stp/>
        <stp>BDP|3675919076871872959</stp>
        <tr r="D4759" s="2"/>
      </tp>
      <tp t="s">
        <v>#N/A N/A</v>
        <stp/>
        <stp>BDP|4697404245449601891</stp>
        <tr r="A2803" s="2"/>
      </tp>
      <tp t="s">
        <v>#N/A N/A</v>
        <stp/>
        <stp>BDP|3612828915249598689</stp>
        <tr r="C3411" s="2"/>
      </tp>
      <tp t="s">
        <v>#N/A N/A</v>
        <stp/>
        <stp>BDP|6669213456926410296</stp>
        <tr r="C273" s="2"/>
      </tp>
      <tp t="s">
        <v>#N/A N/A</v>
        <stp/>
        <stp>BDP|1301066011494802109</stp>
        <tr r="C4604" s="2"/>
      </tp>
      <tp t="s">
        <v>#N/A N/A</v>
        <stp/>
        <stp>BDP|3648582520384270508</stp>
        <tr r="F2392" s="2"/>
      </tp>
      <tp t="s">
        <v>#N/A N/A</v>
        <stp/>
        <stp>BDP|3774950484775882222</stp>
        <tr r="B4332" s="2"/>
      </tp>
      <tp t="s">
        <v>#N/A N/A</v>
        <stp/>
        <stp>BDP|4134157319668398921</stp>
        <tr r="C435" s="2"/>
      </tp>
      <tp t="s">
        <v>#N/A N/A</v>
        <stp/>
        <stp>BDP|7302365308548146909</stp>
        <tr r="B3634" s="2"/>
      </tp>
      <tp t="s">
        <v>#N/A N/A</v>
        <stp/>
        <stp>BDP|8963861781348714559</stp>
        <tr r="B733" s="2"/>
      </tp>
      <tp t="s">
        <v>#N/A N/A</v>
        <stp/>
        <stp>BDP|2014342059205591444</stp>
        <tr r="B1861" s="2"/>
      </tp>
      <tp t="s">
        <v>#N/A N/A</v>
        <stp/>
        <stp>BDP|2450835275468906078</stp>
        <tr r="F3177" s="2"/>
      </tp>
      <tp t="s">
        <v>#N/A N/A</v>
        <stp/>
        <stp>BDP|1223210173880845142</stp>
        <tr r="I3104" s="2"/>
      </tp>
      <tp t="s">
        <v>#N/A N/A</v>
        <stp/>
        <stp>BDP|2078628157351004590</stp>
        <tr r="B4981" s="2"/>
      </tp>
      <tp t="s">
        <v>#N/A N/A</v>
        <stp/>
        <stp>BDP|3820744117082082272</stp>
        <tr r="F938" s="2"/>
      </tp>
      <tp t="s">
        <v>#N/A N/A</v>
        <stp/>
        <stp>BDP|2770769275371160694</stp>
        <tr r="G1940" s="2"/>
      </tp>
      <tp t="s">
        <v>#N/A N/A</v>
        <stp/>
        <stp>BDP|6086471255690848264</stp>
        <tr r="D3422" s="2"/>
      </tp>
      <tp t="s">
        <v>#N/A N/A</v>
        <stp/>
        <stp>BDP|7145495132365480025</stp>
        <tr r="C2058" s="2"/>
      </tp>
      <tp t="s">
        <v>#N/A N/A</v>
        <stp/>
        <stp>BDP|7993218495789506049</stp>
        <tr r="D4765" s="2"/>
      </tp>
      <tp t="s">
        <v>#N/A N/A</v>
        <stp/>
        <stp>BDP|6800598259205277663</stp>
        <tr r="C3605" s="2"/>
      </tp>
      <tp t="s">
        <v>#N/A N/A</v>
        <stp/>
        <stp>BDP|9986545161506552953</stp>
        <tr r="B1254" s="2"/>
      </tp>
      <tp t="s">
        <v>#N/A N/A</v>
        <stp/>
        <stp>BDP|1724796620890726150</stp>
        <tr r="G3530" s="2"/>
      </tp>
      <tp t="s">
        <v>#N/A N/A</v>
        <stp/>
        <stp>BDP|2284811298774387247</stp>
        <tr r="D1464" s="2"/>
      </tp>
      <tp t="s">
        <v>#N/A N/A</v>
        <stp/>
        <stp>BDP|2467720706379510995</stp>
        <tr r="D1831" s="2"/>
      </tp>
      <tp t="s">
        <v>#N/A N/A</v>
        <stp/>
        <stp>BDP|3855886698901093642</stp>
        <tr r="B4403" s="2"/>
      </tp>
      <tp t="s">
        <v>#N/A N/A</v>
        <stp/>
        <stp>BDP|2098382927362285411</stp>
        <tr r="H3761" s="2"/>
      </tp>
      <tp t="s">
        <v>#N/A N/A</v>
        <stp/>
        <stp>BDP|1418842681441826554</stp>
        <tr r="G656" s="2"/>
      </tp>
      <tp t="s">
        <v>#N/A N/A</v>
        <stp/>
        <stp>BDP|5358684466195299538</stp>
        <tr r="A4770" s="2"/>
      </tp>
      <tp t="s">
        <v>#N/A N/A</v>
        <stp/>
        <stp>BDP|5702114344684925171</stp>
        <tr r="B518" s="2"/>
      </tp>
      <tp t="s">
        <v>#N/A N/A</v>
        <stp/>
        <stp>BDP|3068097369735425585</stp>
        <tr r="D91" s="2"/>
      </tp>
      <tp t="s">
        <v>#N/A N/A</v>
        <stp/>
        <stp>BDP|8815633105093034820</stp>
        <tr r="F4136" s="2"/>
      </tp>
      <tp t="s">
        <v>#N/A N/A</v>
        <stp/>
        <stp>BDP|5704011679027024033</stp>
        <tr r="B2696" s="2"/>
      </tp>
      <tp t="s">
        <v>#N/A N/A</v>
        <stp/>
        <stp>BDP|6419607662506359596</stp>
        <tr r="G1323" s="2"/>
      </tp>
      <tp t="s">
        <v>#N/A N/A</v>
        <stp/>
        <stp>BDP|9075700464075940813</stp>
        <tr r="I1434" s="2"/>
      </tp>
      <tp t="s">
        <v>#N/A N/A</v>
        <stp/>
        <stp>BDP|3437817243613956937</stp>
        <tr r="G95" s="2"/>
      </tp>
      <tp t="s">
        <v>#N/A N/A</v>
        <stp/>
        <stp>BDP|4701423209315391039</stp>
        <tr r="F2649" s="2"/>
      </tp>
      <tp t="s">
        <v>#N/A N/A</v>
        <stp/>
        <stp>BDP|5283259418380672355</stp>
        <tr r="G1607" s="2"/>
      </tp>
      <tp t="s">
        <v>#N/A N/A</v>
        <stp/>
        <stp>BDP|4751204462525031094</stp>
        <tr r="H1354" s="2"/>
      </tp>
      <tp t="s">
        <v>#N/A N/A</v>
        <stp/>
        <stp>BDP|9401219939469699467</stp>
        <tr r="D4303" s="2"/>
      </tp>
      <tp t="s">
        <v>#N/A N/A</v>
        <stp/>
        <stp>BDP|6092751717356701398</stp>
        <tr r="F3998" s="2"/>
      </tp>
      <tp t="s">
        <v>#N/A N/A</v>
        <stp/>
        <stp>BDP|7122785948587950644</stp>
        <tr r="D1374" s="2"/>
      </tp>
      <tp t="s">
        <v>#N/A N/A</v>
        <stp/>
        <stp>BDP|9747567177297266984</stp>
        <tr r="B3144" s="2"/>
      </tp>
      <tp t="s">
        <v>#N/A N/A</v>
        <stp/>
        <stp>BDP|4659613981799959636</stp>
        <tr r="C897" s="2"/>
      </tp>
      <tp t="s">
        <v>#N/A N/A</v>
        <stp/>
        <stp>BDP|3003664717293472293</stp>
        <tr r="F71" s="2"/>
      </tp>
      <tp t="s">
        <v>#N/A N/A</v>
        <stp/>
        <stp>BDP|2228540941310928621</stp>
        <tr r="A2347" s="2"/>
      </tp>
      <tp t="s">
        <v>#N/A N/A</v>
        <stp/>
        <stp>BDP|9688942924807218081</stp>
        <tr r="A585" s="2"/>
      </tp>
      <tp t="s">
        <v>#N/A N/A</v>
        <stp/>
        <stp>BDP|4723784362780538047</stp>
        <tr r="B3073" s="2"/>
      </tp>
      <tp t="s">
        <v>#N/A N/A</v>
        <stp/>
        <stp>BDP|1294448017598421993</stp>
        <tr r="B2869" s="2"/>
      </tp>
      <tp t="s">
        <v>#N/A N/A</v>
        <stp/>
        <stp>BDP|8218281677700342826</stp>
        <tr r="I4512" s="2"/>
      </tp>
      <tp t="s">
        <v>#N/A N/A</v>
        <stp/>
        <stp>BDP|5250064515249468890</stp>
        <tr r="F3769" s="2"/>
      </tp>
      <tp t="s">
        <v>#N/A N/A</v>
        <stp/>
        <stp>BDP|1093294971985778436</stp>
        <tr r="H3732" s="2"/>
      </tp>
      <tp t="s">
        <v>#N/A N/A</v>
        <stp/>
        <stp>BDP|9869547661478623772</stp>
        <tr r="F2287" s="2"/>
      </tp>
      <tp t="s">
        <v>#N/A N/A</v>
        <stp/>
        <stp>BDP|4938433069550999368</stp>
        <tr r="F739" s="2"/>
      </tp>
      <tp t="s">
        <v>#N/A N/A</v>
        <stp/>
        <stp>BDP|2240002698538742613</stp>
        <tr r="D375" s="2"/>
      </tp>
      <tp t="s">
        <v>#N/A N/A</v>
        <stp/>
        <stp>BDP|1247718129074500538</stp>
        <tr r="D1427" s="2"/>
      </tp>
      <tp t="s">
        <v>#N/A N/A</v>
        <stp/>
        <stp>BDP|3153318890994841844</stp>
        <tr r="B128" s="2"/>
      </tp>
      <tp t="s">
        <v>#N/A N/A</v>
        <stp/>
        <stp>BDP|3534524168074471174</stp>
        <tr r="I4038" s="2"/>
      </tp>
      <tp t="s">
        <v>#N/A N/A</v>
        <stp/>
        <stp>BDP|3871324227694646375</stp>
        <tr r="I3225" s="2"/>
      </tp>
      <tp t="s">
        <v>#N/A N/A</v>
        <stp/>
        <stp>BDP|5148162439312413060</stp>
        <tr r="G1147" s="2"/>
      </tp>
      <tp t="s">
        <v>#N/A N/A</v>
        <stp/>
        <stp>BDP|6015743679984484757</stp>
        <tr r="A2678" s="2"/>
      </tp>
      <tp t="s">
        <v>#N/A N/A</v>
        <stp/>
        <stp>BDP|3919454709277941507</stp>
        <tr r="A3244" s="2"/>
      </tp>
      <tp t="s">
        <v>#N/A N/A</v>
        <stp/>
        <stp>BDP|4376848839202314818</stp>
        <tr r="I2937" s="2"/>
      </tp>
      <tp t="s">
        <v>#N/A N/A</v>
        <stp/>
        <stp>BDP|1995272457206170549</stp>
        <tr r="D3317" s="2"/>
      </tp>
      <tp t="s">
        <v>#N/A N/A</v>
        <stp/>
        <stp>BDP|2809676229271912232</stp>
        <tr r="C525" s="2"/>
      </tp>
      <tp t="s">
        <v>#N/A N/A</v>
        <stp/>
        <stp>BDP|9233101083691435490</stp>
        <tr r="H552" s="2"/>
      </tp>
      <tp t="s">
        <v>#N/A N/A</v>
        <stp/>
        <stp>BDP|5078324745937987025</stp>
        <tr r="F444" s="2"/>
      </tp>
      <tp t="s">
        <v>#N/A N/A</v>
        <stp/>
        <stp>BDP|1876292829891083543</stp>
        <tr r="F4914" s="2"/>
      </tp>
      <tp t="s">
        <v>#N/A N/A</v>
        <stp/>
        <stp>BDP|8401132676038850351</stp>
        <tr r="D4361" s="2"/>
      </tp>
      <tp t="s">
        <v>#N/A N/A</v>
        <stp/>
        <stp>BDP|8665913311217266287</stp>
        <tr r="B3717" s="2"/>
      </tp>
      <tp t="s">
        <v>#N/A N/A</v>
        <stp/>
        <stp>BDP|6452334889608319010</stp>
        <tr r="B4140" s="2"/>
      </tp>
      <tp t="s">
        <v>#N/A N/A</v>
        <stp/>
        <stp>BDP|5426925461607904838</stp>
        <tr r="F1537" s="2"/>
      </tp>
      <tp t="s">
        <v>#N/A N/A</v>
        <stp/>
        <stp>BDP|2849533861447427338</stp>
        <tr r="D4393" s="2"/>
      </tp>
      <tp t="s">
        <v>#N/A N/A</v>
        <stp/>
        <stp>BDP|6196172751462964530</stp>
        <tr r="D2940" s="2"/>
      </tp>
      <tp t="s">
        <v>#N/A N/A</v>
        <stp/>
        <stp>BDP|7488710701112826712</stp>
        <tr r="I4538" s="2"/>
      </tp>
      <tp t="s">
        <v>#N/A N/A</v>
        <stp/>
        <stp>BDP|6753275919081415109</stp>
        <tr r="I2660" s="2"/>
      </tp>
      <tp t="s">
        <v>#N/A N/A</v>
        <stp/>
        <stp>BDP|4222653424221939478</stp>
        <tr r="D4028" s="2"/>
      </tp>
      <tp t="s">
        <v>#N/A N/A</v>
        <stp/>
        <stp>BDP|6945086084889800202</stp>
        <tr r="B3920" s="2"/>
      </tp>
      <tp t="s">
        <v>#N/A N/A</v>
        <stp/>
        <stp>BDP|8723224988785208229</stp>
        <tr r="H1722" s="2"/>
      </tp>
      <tp t="s">
        <v>#N/A N/A</v>
        <stp/>
        <stp>BDP|9065518699362626234</stp>
        <tr r="D4081" s="2"/>
      </tp>
      <tp t="s">
        <v>#N/A N/A</v>
        <stp/>
        <stp>BDP|6984422991918711609</stp>
        <tr r="I1962" s="2"/>
      </tp>
      <tp t="s">
        <v>#N/A N/A</v>
        <stp/>
        <stp>BDP|5109326133573919348</stp>
        <tr r="H141" s="2"/>
      </tp>
      <tp t="s">
        <v>#N/A N/A</v>
        <stp/>
        <stp>BDP|9758868609873678738</stp>
        <tr r="H2766" s="2"/>
      </tp>
      <tp t="s">
        <v>#N/A N/A</v>
        <stp/>
        <stp>BDP|8919976910983544660</stp>
        <tr r="H4143" s="2"/>
      </tp>
      <tp t="s">
        <v>#N/A N/A</v>
        <stp/>
        <stp>BDP|4006931884200306099</stp>
        <tr r="H3549" s="2"/>
      </tp>
      <tp t="s">
        <v>#N/A N/A</v>
        <stp/>
        <stp>BDP|5485137683290051992</stp>
        <tr r="C2397" s="2"/>
      </tp>
      <tp t="s">
        <v>#N/A N/A</v>
        <stp/>
        <stp>BDP|5417783379682008289</stp>
        <tr r="D645" s="2"/>
      </tp>
      <tp t="s">
        <v>#N/A N/A</v>
        <stp/>
        <stp>BDP|7221267201924046485</stp>
        <tr r="H3299" s="2"/>
      </tp>
      <tp t="s">
        <v>#N/A N/A</v>
        <stp/>
        <stp>BDP|8979108698243439683</stp>
        <tr r="A4270" s="2"/>
      </tp>
      <tp t="s">
        <v>#N/A N/A</v>
        <stp/>
        <stp>BDP|4550954390913431296</stp>
        <tr r="B1453" s="2"/>
      </tp>
      <tp t="s">
        <v>#N/A N/A</v>
        <stp/>
        <stp>BDP|8558663506898975315</stp>
        <tr r="G569" s="2"/>
      </tp>
      <tp t="s">
        <v>#N/A N/A</v>
        <stp/>
        <stp>BDP|2154286200903669620</stp>
        <tr r="F598" s="2"/>
      </tp>
      <tp t="s">
        <v>#N/A N/A</v>
        <stp/>
        <stp>BDP|1578213406901976766</stp>
        <tr r="H1600" s="2"/>
      </tp>
      <tp t="s">
        <v>#N/A N/A</v>
        <stp/>
        <stp>BDP|7371699211633515636</stp>
        <tr r="H3456" s="2"/>
      </tp>
      <tp t="s">
        <v>#N/A N/A</v>
        <stp/>
        <stp>BDP|5424426674523686096</stp>
        <tr r="A4509" s="2"/>
      </tp>
      <tp t="s">
        <v>#N/A N/A</v>
        <stp/>
        <stp>BDP|8989560499967388686</stp>
        <tr r="G478" s="2"/>
      </tp>
      <tp t="s">
        <v>#N/A N/A</v>
        <stp/>
        <stp>BDP|7715541922484938158</stp>
        <tr r="B1038" s="2"/>
      </tp>
      <tp t="s">
        <v>#N/A N/A</v>
        <stp/>
        <stp>BDP|3062531322690881146</stp>
        <tr r="F2346" s="2"/>
      </tp>
      <tp t="s">
        <v>#N/A N/A</v>
        <stp/>
        <stp>BDP|2965033579783682385</stp>
        <tr r="C1597" s="2"/>
      </tp>
      <tp t="s">
        <v>#N/A N/A</v>
        <stp/>
        <stp>BDP|1979059551378200922</stp>
        <tr r="I1015" s="2"/>
      </tp>
      <tp t="s">
        <v>#N/A N/A</v>
        <stp/>
        <stp>BDP|4658468641554815547</stp>
        <tr r="G4727" s="2"/>
      </tp>
      <tp t="s">
        <v>#N/A N/A</v>
        <stp/>
        <stp>BDP|2704794225030760213</stp>
        <tr r="D2115" s="2"/>
      </tp>
      <tp t="s">
        <v>#N/A N/A</v>
        <stp/>
        <stp>BDP|7923171474677160362</stp>
        <tr r="I4699" s="2"/>
      </tp>
      <tp t="s">
        <v>#N/A N/A</v>
        <stp/>
        <stp>BDP|8533821225005801273</stp>
        <tr r="C347" s="2"/>
      </tp>
      <tp t="s">
        <v>#N/A N/A</v>
        <stp/>
        <stp>BDP|2859291501784946146</stp>
        <tr r="B247" s="2"/>
      </tp>
      <tp t="s">
        <v>#N/A N/A</v>
        <stp/>
        <stp>BDP|6906517071205714435</stp>
        <tr r="D1444" s="2"/>
      </tp>
      <tp t="s">
        <v>#N/A N/A</v>
        <stp/>
        <stp>BDP|4116872149518369511</stp>
        <tr r="H2115" s="2"/>
      </tp>
      <tp t="s">
        <v>#N/A N/A</v>
        <stp/>
        <stp>BDP|5913806181644039453</stp>
        <tr r="A431" s="2"/>
      </tp>
      <tp t="s">
        <v>#N/A N/A</v>
        <stp/>
        <stp>BDP|5123383243083601410</stp>
        <tr r="I2927" s="2"/>
      </tp>
      <tp t="s">
        <v>#N/A N/A</v>
        <stp/>
        <stp>BDP|6703528045123598181</stp>
        <tr r="D4152" s="2"/>
      </tp>
      <tp t="s">
        <v>#N/A N/A</v>
        <stp/>
        <stp>BDP|6111597125127679361</stp>
        <tr r="H1000" s="2"/>
      </tp>
      <tp t="s">
        <v>#N/A N/A</v>
        <stp/>
        <stp>BDP|5919673259761279282</stp>
        <tr r="I2231" s="2"/>
      </tp>
      <tp t="s">
        <v>#N/A N/A</v>
        <stp/>
        <stp>BDP|3450703338943181107</stp>
        <tr r="G2235" s="2"/>
      </tp>
      <tp t="s">
        <v>#N/A N/A</v>
        <stp/>
        <stp>BDP|8800973153948933989</stp>
        <tr r="D1000" s="2"/>
      </tp>
      <tp t="s">
        <v>#N/A N/A</v>
        <stp/>
        <stp>BDP|3468328837452836449</stp>
        <tr r="A2939" s="2"/>
      </tp>
      <tp t="s">
        <v>#N/A N/A</v>
        <stp/>
        <stp>BDP|6261786905731622545</stp>
        <tr r="G4390" s="2"/>
      </tp>
      <tp t="s">
        <v>#N/A N/A</v>
        <stp/>
        <stp>BDP|2206261429103204423</stp>
        <tr r="I2335" s="2"/>
      </tp>
      <tp t="s">
        <v>#N/A N/A</v>
        <stp/>
        <stp>BDP|4611181877106136151</stp>
        <tr r="G438" s="2"/>
      </tp>
      <tp t="s">
        <v>#N/A N/A</v>
        <stp/>
        <stp>BDP|3022783436141123320</stp>
        <tr r="F2410" s="2"/>
      </tp>
      <tp t="s">
        <v>#N/A N/A</v>
        <stp/>
        <stp>BDP|1311182778146789498</stp>
        <tr r="A1833" s="2"/>
      </tp>
      <tp t="s">
        <v>#N/A N/A</v>
        <stp/>
        <stp>BDP|6196140517535714688</stp>
        <tr r="D1206" s="2"/>
      </tp>
      <tp t="s">
        <v>#N/A N/A</v>
        <stp/>
        <stp>BDP|6636444949040248346</stp>
        <tr r="C2658" s="2"/>
      </tp>
      <tp t="s">
        <v>#N/A N/A</v>
        <stp/>
        <stp>BDP|8854476880748644945</stp>
        <tr r="A1684" s="2"/>
      </tp>
      <tp t="s">
        <v>#N/A N/A</v>
        <stp/>
        <stp>BDP|6149255472215802337</stp>
        <tr r="A467" s="2"/>
      </tp>
      <tp t="s">
        <v>#N/A N/A</v>
        <stp/>
        <stp>BDP|3613071779335468411</stp>
        <tr r="B3341" s="2"/>
      </tp>
      <tp t="s">
        <v>#N/A N/A</v>
        <stp/>
        <stp>BDP|7330436334222008793</stp>
        <tr r="B23" s="2"/>
      </tp>
      <tp t="s">
        <v>#N/A N/A</v>
        <stp/>
        <stp>BDP|4057861370956821838</stp>
        <tr r="F2223" s="2"/>
      </tp>
      <tp t="s">
        <v>#N/A N/A</v>
        <stp/>
        <stp>BDP|5939470630064519365</stp>
        <tr r="I1112" s="2"/>
      </tp>
      <tp t="s">
        <v>#N/A N/A</v>
        <stp/>
        <stp>BDP|2098201713850855462</stp>
        <tr r="A2845" s="2"/>
      </tp>
      <tp t="s">
        <v>#N/A N/A</v>
        <stp/>
        <stp>BDP|9062676299192201116</stp>
        <tr r="C2613" s="2"/>
      </tp>
      <tp t="s">
        <v>#N/A N/A</v>
        <stp/>
        <stp>BDP|2606297121686546162</stp>
        <tr r="G4085" s="2"/>
      </tp>
      <tp t="s">
        <v>#N/A N/A</v>
        <stp/>
        <stp>BDP|6979675262153345020</stp>
        <tr r="B1852" s="2"/>
      </tp>
      <tp t="s">
        <v>#N/A N/A</v>
        <stp/>
        <stp>BDP|3657179213500770688</stp>
        <tr r="H4338" s="2"/>
      </tp>
      <tp t="s">
        <v>#N/A N/A</v>
        <stp/>
        <stp>BDP|2813961137475132851</stp>
        <tr r="F1283" s="2"/>
      </tp>
      <tp t="s">
        <v>#N/A N/A</v>
        <stp/>
        <stp>BDP|6267483376718627876</stp>
        <tr r="F4759" s="2"/>
      </tp>
      <tp t="s">
        <v>#N/A N/A</v>
        <stp/>
        <stp>BDP|9290863203030134441</stp>
        <tr r="A4236" s="2"/>
      </tp>
      <tp t="s">
        <v>#N/A N/A</v>
        <stp/>
        <stp>BDP|9756077300714481865</stp>
        <tr r="D4240" s="2"/>
      </tp>
      <tp t="s">
        <v>#N/A N/A</v>
        <stp/>
        <stp>BDP|6394564581508507630</stp>
        <tr r="D945" s="2"/>
      </tp>
      <tp t="s">
        <v>#N/A N/A</v>
        <stp/>
        <stp>BDP|3447847398911315693</stp>
        <tr r="G4217" s="2"/>
      </tp>
      <tp t="s">
        <v>#N/A N/A</v>
        <stp/>
        <stp>BDP|9684342046319195278</stp>
        <tr r="G1775" s="2"/>
      </tp>
      <tp t="s">
        <v>#N/A N/A</v>
        <stp/>
        <stp>BDP|7148728866612632111</stp>
        <tr r="C1040" s="2"/>
      </tp>
      <tp t="s">
        <v>#N/A N/A</v>
        <stp/>
        <stp>BDP|7630529950134207643</stp>
        <tr r="H4219" s="2"/>
      </tp>
      <tp t="s">
        <v>#N/A N/A</v>
        <stp/>
        <stp>BDP|7381623461570539275</stp>
        <tr r="H4655" s="2"/>
      </tp>
      <tp t="s">
        <v>#N/A N/A</v>
        <stp/>
        <stp>BDP|3190572628929990850</stp>
        <tr r="I1279" s="2"/>
      </tp>
      <tp t="s">
        <v>#N/A N/A</v>
        <stp/>
        <stp>BDP|6224502115981039651</stp>
        <tr r="A1859" s="2"/>
      </tp>
      <tp t="s">
        <v>#N/A N/A</v>
        <stp/>
        <stp>BDP|4076875103999788018</stp>
        <tr r="B933" s="2"/>
      </tp>
      <tp t="s">
        <v>#N/A N/A</v>
        <stp/>
        <stp>BDP|5667360115416707409</stp>
        <tr r="G1992" s="2"/>
      </tp>
      <tp t="s">
        <v>#N/A N/A</v>
        <stp/>
        <stp>BDP|9567560022839751241</stp>
        <tr r="G1676" s="2"/>
      </tp>
      <tp t="s">
        <v>#N/A N/A</v>
        <stp/>
        <stp>BDP|9022155784877754240</stp>
        <tr r="I614" s="2"/>
      </tp>
      <tp t="s">
        <v>#N/A N/A</v>
        <stp/>
        <stp>BDP|7097847986593740175</stp>
        <tr r="G501" s="2"/>
      </tp>
      <tp t="s">
        <v>#N/A N/A</v>
        <stp/>
        <stp>BDP|6864786329294287290</stp>
        <tr r="F179" s="2"/>
      </tp>
      <tp t="s">
        <v>#N/A N/A</v>
        <stp/>
        <stp>BDP|7226999617722867867</stp>
        <tr r="H489" s="2"/>
      </tp>
      <tp t="s">
        <v>#N/A N/A</v>
        <stp/>
        <stp>BDP|2610385644813081389</stp>
        <tr r="H3707" s="2"/>
      </tp>
      <tp t="s">
        <v>#N/A N/A</v>
        <stp/>
        <stp>BDP|2822330256976841772</stp>
        <tr r="I2374" s="2"/>
      </tp>
      <tp t="s">
        <v>#N/A N/A</v>
        <stp/>
        <stp>BDP|9780805076312237110</stp>
        <tr r="D824" s="2"/>
      </tp>
      <tp t="s">
        <v>#N/A N/A</v>
        <stp/>
        <stp>BDP|4493002799120835874</stp>
        <tr r="G3093" s="2"/>
      </tp>
      <tp t="s">
        <v>#N/A N/A</v>
        <stp/>
        <stp>BDP|1698065356528709935</stp>
        <tr r="D3416" s="2"/>
      </tp>
      <tp t="s">
        <v>#N/A N/A</v>
        <stp/>
        <stp>BDP|9765711192202089061</stp>
        <tr r="D737" s="2"/>
      </tp>
      <tp t="s">
        <v>#N/A N/A</v>
        <stp/>
        <stp>BDP|6500568260840859099</stp>
        <tr r="A4333" s="2"/>
      </tp>
      <tp t="s">
        <v>#N/A N/A</v>
        <stp/>
        <stp>BDP|4112137295781251878</stp>
        <tr r="I3984" s="2"/>
      </tp>
      <tp t="s">
        <v>#N/A N/A</v>
        <stp/>
        <stp>BDP|1422878871608021302</stp>
        <tr r="H4057" s="2"/>
      </tp>
      <tp t="s">
        <v>#N/A N/A</v>
        <stp/>
        <stp>BDP|6776643080455166809</stp>
        <tr r="H4980" s="2"/>
      </tp>
      <tp t="s">
        <v>#N/A N/A</v>
        <stp/>
        <stp>BDP|5556923589550599195</stp>
        <tr r="F4989" s="2"/>
      </tp>
      <tp t="s">
        <v>#N/A N/A</v>
        <stp/>
        <stp>BDP|6574471862804637542</stp>
        <tr r="H5000" s="2"/>
      </tp>
      <tp t="s">
        <v>#N/A N/A</v>
        <stp/>
        <stp>BDP|6751950296697481424</stp>
        <tr r="C2327" s="2"/>
      </tp>
      <tp t="s">
        <v>#N/A N/A</v>
        <stp/>
        <stp>BDP|4848481974901141376</stp>
        <tr r="I1261" s="2"/>
      </tp>
      <tp t="s">
        <v>#N/A N/A</v>
        <stp/>
        <stp>BDP|1138929742068245110</stp>
        <tr r="F1608" s="2"/>
      </tp>
      <tp t="s">
        <v>#N/A N/A</v>
        <stp/>
        <stp>BDP|7486372975594349275</stp>
        <tr r="I3671" s="2"/>
      </tp>
      <tp t="s">
        <v>#N/A N/A</v>
        <stp/>
        <stp>BDP|6549615856691702179</stp>
        <tr r="G1351" s="2"/>
      </tp>
      <tp t="s">
        <v>#N/A N/A</v>
        <stp/>
        <stp>BDP|3920355780308870562</stp>
        <tr r="H3380" s="2"/>
      </tp>
      <tp t="s">
        <v>#N/A N/A</v>
        <stp/>
        <stp>BDP|4009512012290421553</stp>
        <tr r="G3986" s="2"/>
      </tp>
      <tp t="s">
        <v>#N/A N/A</v>
        <stp/>
        <stp>BDP|1169726330342072215</stp>
        <tr r="I2337" s="2"/>
      </tp>
      <tp t="s">
        <v>#N/A N/A</v>
        <stp/>
        <stp>BDP|3068836559072065987</stp>
        <tr r="C4237" s="2"/>
      </tp>
      <tp t="s">
        <v>#N/A N/A</v>
        <stp/>
        <stp>BDP|8178920534793530403</stp>
        <tr r="D2020" s="2"/>
      </tp>
      <tp t="s">
        <v>#N/A N/A</v>
        <stp/>
        <stp>BDP|9046551397676264625</stp>
        <tr r="F3937" s="2"/>
      </tp>
      <tp t="s">
        <v>#N/A N/A</v>
        <stp/>
        <stp>BDP|8886494989960210184</stp>
        <tr r="C400" s="2"/>
      </tp>
      <tp t="s">
        <v>#N/A N/A</v>
        <stp/>
        <stp>BDP|7870382067457271075</stp>
        <tr r="G2737" s="2"/>
      </tp>
      <tp t="s">
        <v>#N/A N/A</v>
        <stp/>
        <stp>BDP|5376924993187927793</stp>
        <tr r="G3819" s="2"/>
      </tp>
      <tp t="s">
        <v>#N/A N/A</v>
        <stp/>
        <stp>BDP|2245722311935396405</stp>
        <tr r="D4707" s="2"/>
      </tp>
      <tp t="s">
        <v>#N/A N/A</v>
        <stp/>
        <stp>BDP|6758698256616215689</stp>
        <tr r="H3651" s="2"/>
      </tp>
      <tp t="s">
        <v>#N/A N/A</v>
        <stp/>
        <stp>BDP|5821375348573372467</stp>
        <tr r="H3062" s="2"/>
      </tp>
      <tp t="s">
        <v>#N/A N/A</v>
        <stp/>
        <stp>BDP|2762073186948298767</stp>
        <tr r="A3441" s="2"/>
      </tp>
      <tp t="s">
        <v>#N/A N/A</v>
        <stp/>
        <stp>BDP|2796694712987611787</stp>
        <tr r="G485" s="2"/>
      </tp>
      <tp t="s">
        <v>#N/A N/A</v>
        <stp/>
        <stp>BDP|1261180707775812075</stp>
        <tr r="H4266" s="2"/>
      </tp>
      <tp t="s">
        <v>#N/A N/A</v>
        <stp/>
        <stp>BDP|3713840613947192834</stp>
        <tr r="B4822" s="2"/>
      </tp>
      <tp t="s">
        <v>#N/A N/A</v>
        <stp/>
        <stp>BDP|4411149881429417178</stp>
        <tr r="A3895" s="2"/>
      </tp>
      <tp t="s">
        <v>#N/A N/A</v>
        <stp/>
        <stp>BDP|1228545164675077203</stp>
        <tr r="H1247" s="2"/>
      </tp>
      <tp t="s">
        <v>#N/A N/A</v>
        <stp/>
        <stp>BDP|8003067004645210824</stp>
        <tr r="H1835" s="2"/>
      </tp>
      <tp t="s">
        <v>#N/A N/A</v>
        <stp/>
        <stp>BDP|7405063723376525666</stp>
        <tr r="I2428" s="2"/>
      </tp>
      <tp t="s">
        <v>#N/A N/A</v>
        <stp/>
        <stp>BDP|7442266145622451615</stp>
        <tr r="H3585" s="2"/>
      </tp>
      <tp t="s">
        <v>#N/A N/A</v>
        <stp/>
        <stp>BDP|1432859531229697645</stp>
        <tr r="A3076" s="2"/>
      </tp>
      <tp t="s">
        <v>#N/A N/A</v>
        <stp/>
        <stp>BDP|8698738444317161920</stp>
        <tr r="A3162" s="2"/>
      </tp>
      <tp t="s">
        <v>#N/A N/A</v>
        <stp/>
        <stp>BDP|7042159317945778777</stp>
        <tr r="C3662" s="2"/>
      </tp>
      <tp t="s">
        <v>#N/A N/A</v>
        <stp/>
        <stp>BDP|3499560839268951809</stp>
        <tr r="C2748" s="2"/>
      </tp>
      <tp t="s">
        <v>#N/A N/A</v>
        <stp/>
        <stp>BDP|2842065754736994418</stp>
        <tr r="G3758" s="2"/>
      </tp>
      <tp t="s">
        <v>#N/A N/A</v>
        <stp/>
        <stp>BDP|4770055978122109494</stp>
        <tr r="I3848" s="2"/>
      </tp>
      <tp t="s">
        <v>#N/A N/A</v>
        <stp/>
        <stp>BDP|9200155243240304950</stp>
        <tr r="G2908" s="2"/>
      </tp>
      <tp t="s">
        <v>#N/A N/A</v>
        <stp/>
        <stp>BDP|8537070681124300125</stp>
        <tr r="F2546" s="2"/>
      </tp>
      <tp t="s">
        <v>#N/A N/A</v>
        <stp/>
        <stp>BDP|4867476858261737126</stp>
        <tr r="G1831" s="2"/>
      </tp>
      <tp t="s">
        <v>#N/A N/A</v>
        <stp/>
        <stp>BDP|2610691878701257775</stp>
        <tr r="I3315" s="2"/>
      </tp>
      <tp t="s">
        <v>#N/A N/A</v>
        <stp/>
        <stp>BDP|9018608036341544819</stp>
        <tr r="G1027" s="2"/>
      </tp>
      <tp t="s">
        <v>#N/A N/A</v>
        <stp/>
        <stp>BDP|9119553487578252935</stp>
        <tr r="H4751" s="2"/>
      </tp>
      <tp t="s">
        <v>#N/A N/A</v>
        <stp/>
        <stp>BDP|4779421670552203054</stp>
        <tr r="F4137" s="2"/>
      </tp>
      <tp t="s">
        <v>#N/A N/A</v>
        <stp/>
        <stp>BDP|5585931484590132118</stp>
        <tr r="B4561" s="2"/>
      </tp>
      <tp t="s">
        <v>#N/A N/A</v>
        <stp/>
        <stp>BDP|4035026991160271834</stp>
        <tr r="I2982" s="2"/>
      </tp>
      <tp t="s">
        <v>#N/A N/A</v>
        <stp/>
        <stp>BDP|4775076284758749115</stp>
        <tr r="G2778" s="2"/>
      </tp>
      <tp t="s">
        <v>#N/A N/A</v>
        <stp/>
        <stp>BDP|3193113040432615149</stp>
        <tr r="G1497" s="2"/>
      </tp>
      <tp t="s">
        <v>#N/A N/A</v>
        <stp/>
        <stp>BDP|5887153330773824178</stp>
        <tr r="G275" s="2"/>
      </tp>
      <tp t="s">
        <v>#N/A N/A</v>
        <stp/>
        <stp>BDP|5212833085254707416</stp>
        <tr r="D1781" s="2"/>
      </tp>
      <tp t="s">
        <v>#N/A N/A</v>
        <stp/>
        <stp>BDP|8036958636573686470</stp>
        <tr r="H3722" s="2"/>
      </tp>
      <tp t="s">
        <v>#N/A N/A</v>
        <stp/>
        <stp>BDP|6375215460816342138</stp>
        <tr r="F2585" s="2"/>
      </tp>
      <tp t="s">
        <v>#N/A N/A</v>
        <stp/>
        <stp>BDP|8804809076905428784</stp>
        <tr r="A1531" s="2"/>
      </tp>
      <tp t="s">
        <v>#N/A N/A</v>
        <stp/>
        <stp>BDP|9202148084852069700</stp>
        <tr r="A3185" s="2"/>
      </tp>
      <tp t="s">
        <v>#N/A N/A</v>
        <stp/>
        <stp>BDP|5302813584194207464</stp>
        <tr r="C2244" s="2"/>
      </tp>
      <tp t="s">
        <v>#N/A N/A</v>
        <stp/>
        <stp>BDP|4564119515578101933</stp>
        <tr r="B1114" s="2"/>
      </tp>
      <tp t="s">
        <v>#N/A N/A</v>
        <stp/>
        <stp>BDP|5305051284001587940</stp>
        <tr r="D48" s="2"/>
      </tp>
      <tp t="s">
        <v>#N/A N/A</v>
        <stp/>
        <stp>BDP|6020018557844331268</stp>
        <tr r="G953" s="2"/>
      </tp>
      <tp t="s">
        <v>#N/A N/A</v>
        <stp/>
        <stp>BDP|9661000279972448982</stp>
        <tr r="D159" s="2"/>
      </tp>
      <tp t="s">
        <v>#N/A N/A</v>
        <stp/>
        <stp>BDP|6089205261542530572</stp>
        <tr r="F3346" s="2"/>
      </tp>
      <tp t="s">
        <v>#N/A N/A</v>
        <stp/>
        <stp>BDP|7748152861192980796</stp>
        <tr r="D46" s="2"/>
      </tp>
      <tp t="s">
        <v>#N/A N/A</v>
        <stp/>
        <stp>BDP|3635430828196721698</stp>
        <tr r="D4493" s="2"/>
      </tp>
      <tp t="s">
        <v>#N/A N/A</v>
        <stp/>
        <stp>BDP|9038327996394799206</stp>
        <tr r="B4612" s="2"/>
      </tp>
      <tp t="s">
        <v>#N/A N/A</v>
        <stp/>
        <stp>BDP|7599345625525422633</stp>
        <tr r="C40" s="2"/>
      </tp>
      <tp t="s">
        <v>#N/A N/A</v>
        <stp/>
        <stp>BDP|5121569950514751433</stp>
        <tr r="C4255" s="2"/>
      </tp>
      <tp t="s">
        <v>#N/A N/A</v>
        <stp/>
        <stp>BDP|7556641998244890927</stp>
        <tr r="H1997" s="2"/>
      </tp>
      <tp t="s">
        <v>#N/A N/A</v>
        <stp/>
        <stp>BDP|2680533611885108668</stp>
        <tr r="A1479" s="2"/>
      </tp>
      <tp t="s">
        <v>#N/A N/A</v>
        <stp/>
        <stp>BDP|8033034103535481871</stp>
        <tr r="F1662" s="2"/>
      </tp>
      <tp t="s">
        <v>#N/A N/A</v>
        <stp/>
        <stp>BDP|8428389158263350847</stp>
        <tr r="G3523" s="2"/>
      </tp>
      <tp t="s">
        <v>#N/A N/A</v>
        <stp/>
        <stp>BDP|6769352603740590071</stp>
        <tr r="A1660" s="2"/>
      </tp>
      <tp t="s">
        <v>#N/A N/A</v>
        <stp/>
        <stp>BDP|8963513073107191897</stp>
        <tr r="F4933" s="2"/>
      </tp>
      <tp t="s">
        <v>#N/A N/A</v>
        <stp/>
        <stp>BDP|3305775447541026408</stp>
        <tr r="B1080" s="2"/>
      </tp>
      <tp t="s">
        <v>#N/A N/A</v>
        <stp/>
        <stp>BDP|4055433360487504458</stp>
        <tr r="A4464" s="2"/>
      </tp>
      <tp t="s">
        <v>#N/A N/A</v>
        <stp/>
        <stp>BDP|3370193244031517288</stp>
        <tr r="H940" s="2"/>
      </tp>
      <tp t="s">
        <v>#N/A N/A</v>
        <stp/>
        <stp>BDP|9342400680754177419</stp>
        <tr r="B2210" s="2"/>
      </tp>
      <tp t="s">
        <v>#N/A N/A</v>
        <stp/>
        <stp>BDP|4954224668570802589</stp>
        <tr r="G3282" s="2"/>
      </tp>
      <tp t="s">
        <v>#N/A N/A</v>
        <stp/>
        <stp>BDP|3386772101204008565</stp>
        <tr r="F4274" s="2"/>
      </tp>
      <tp t="s">
        <v>#N/A N/A</v>
        <stp/>
        <stp>BDP|1327628169274368083</stp>
        <tr r="C89" s="2"/>
      </tp>
      <tp t="s">
        <v>#N/A N/A</v>
        <stp/>
        <stp>BDP|1787387272250883069</stp>
        <tr r="B1269" s="2"/>
      </tp>
      <tp t="s">
        <v>#N/A N/A</v>
        <stp/>
        <stp>BDP|6633229808730661197</stp>
        <tr r="F654" s="2"/>
      </tp>
      <tp t="s">
        <v>#N/A N/A</v>
        <stp/>
        <stp>BDP|1688680638310325165</stp>
        <tr r="H1416" s="2"/>
      </tp>
      <tp t="s">
        <v>#N/A N/A</v>
        <stp/>
        <stp>BDP|5285072290011716814</stp>
        <tr r="G3170" s="2"/>
      </tp>
      <tp t="s">
        <v>#N/A N/A</v>
        <stp/>
        <stp>BDP|5955574138926306067</stp>
        <tr r="F15" s="2"/>
      </tp>
      <tp t="s">
        <v>#N/A N/A</v>
        <stp/>
        <stp>BDP|4787080698531003942</stp>
        <tr r="C827" s="2"/>
      </tp>
      <tp t="s">
        <v>#N/A N/A</v>
        <stp/>
        <stp>BDP|6037949687524660666</stp>
        <tr r="D3504" s="2"/>
      </tp>
      <tp t="s">
        <v>#N/A N/A</v>
        <stp/>
        <stp>BDP|2287035326393101651</stp>
        <tr r="C2288" s="2"/>
      </tp>
      <tp t="s">
        <v>#N/A N/A</v>
        <stp/>
        <stp>BDP|3520390920463881471</stp>
        <tr r="D2521" s="2"/>
      </tp>
      <tp t="s">
        <v>#N/A N/A</v>
        <stp/>
        <stp>BDP|5139160754544585051</stp>
        <tr r="A2711" s="2"/>
      </tp>
      <tp t="s">
        <v>#N/A N/A</v>
        <stp/>
        <stp>BDP|2495591173673849655</stp>
        <tr r="B4496" s="2"/>
      </tp>
      <tp t="s">
        <v>#N/A N/A</v>
        <stp/>
        <stp>BDP|2799722706034046400</stp>
        <tr r="A1509" s="2"/>
      </tp>
      <tp t="s">
        <v>#N/A N/A</v>
        <stp/>
        <stp>BDP|6502958773414800982</stp>
        <tr r="C4895" s="2"/>
      </tp>
      <tp t="s">
        <v>#N/A N/A</v>
        <stp/>
        <stp>BDP|1514331921355699024</stp>
        <tr r="A594" s="2"/>
      </tp>
      <tp t="s">
        <v>#N/A N/A</v>
        <stp/>
        <stp>BDP|9794424073209256674</stp>
        <tr r="G4634" s="2"/>
      </tp>
      <tp t="s">
        <v>#N/A N/A</v>
        <stp/>
        <stp>BDP|1232729669992357798</stp>
        <tr r="B4483" s="2"/>
      </tp>
      <tp t="s">
        <v>#N/A N/A</v>
        <stp/>
        <stp>BDP|8226723672924279931</stp>
        <tr r="B3841" s="2"/>
      </tp>
      <tp t="s">
        <v>#N/A N/A</v>
        <stp/>
        <stp>BDP|4951254249327014062</stp>
        <tr r="A1695" s="2"/>
      </tp>
      <tp t="s">
        <v>#N/A N/A</v>
        <stp/>
        <stp>BDP|3421015331621240454</stp>
        <tr r="B2315" s="2"/>
      </tp>
      <tp t="s">
        <v>#N/A N/A</v>
        <stp/>
        <stp>BDP|5617701944382259137</stp>
        <tr r="F1936" s="2"/>
      </tp>
      <tp t="s">
        <v>#N/A N/A</v>
        <stp/>
        <stp>BDP|8229386151679957216</stp>
        <tr r="H4022" s="2"/>
      </tp>
      <tp t="s">
        <v>#N/A N/A</v>
        <stp/>
        <stp>BDP|5869164031892829049</stp>
        <tr r="I553" s="2"/>
      </tp>
      <tp t="s">
        <v>#N/A N/A</v>
        <stp/>
        <stp>BDP|5022763511966204068</stp>
        <tr r="I1999" s="2"/>
      </tp>
      <tp t="s">
        <v>#N/A N/A</v>
        <stp/>
        <stp>BDP|9232721722550935984</stp>
        <tr r="B2664" s="2"/>
      </tp>
      <tp t="s">
        <v>#N/A N/A</v>
        <stp/>
        <stp>BDP|3787808396054357315</stp>
        <tr r="D2179" s="2"/>
      </tp>
      <tp t="s">
        <v>#N/A N/A</v>
        <stp/>
        <stp>BDP|5535661545672161042</stp>
        <tr r="F3189" s="2"/>
      </tp>
      <tp t="s">
        <v>#N/A N/A</v>
        <stp/>
        <stp>BDP|5028390425683834277</stp>
        <tr r="G4293" s="2"/>
      </tp>
      <tp t="s">
        <v>#N/A N/A</v>
        <stp/>
        <stp>BDP|5028840032729278272</stp>
        <tr r="H2051" s="2"/>
      </tp>
      <tp t="s">
        <v>#N/A N/A</v>
        <stp/>
        <stp>BDP|8617673581554454772</stp>
        <tr r="H3372" s="2"/>
      </tp>
      <tp t="s">
        <v>#N/A N/A</v>
        <stp/>
        <stp>BDP|6360504382698047620</stp>
        <tr r="D1960" s="2"/>
      </tp>
      <tp t="s">
        <v>#N/A N/A</v>
        <stp/>
        <stp>BDP|4732823951028623412</stp>
        <tr r="D2720" s="2"/>
      </tp>
      <tp t="s">
        <v>#N/A N/A</v>
        <stp/>
        <stp>BDP|8453041087147732235</stp>
        <tr r="F2806" s="2"/>
      </tp>
      <tp t="s">
        <v>#N/A N/A</v>
        <stp/>
        <stp>BDP|1575631332463506221</stp>
        <tr r="D335" s="2"/>
      </tp>
      <tp t="s">
        <v>#N/A N/A</v>
        <stp/>
        <stp>BDP|5357272420155618514</stp>
        <tr r="D886" s="2"/>
      </tp>
      <tp t="s">
        <v>#N/A N/A</v>
        <stp/>
        <stp>BDP|3105364620845678228</stp>
        <tr r="G4962" s="2"/>
      </tp>
      <tp t="s">
        <v>#N/A N/A</v>
        <stp/>
        <stp>BDP|9250217503386345806</stp>
        <tr r="A2183" s="2"/>
      </tp>
      <tp t="s">
        <v>#N/A N/A</v>
        <stp/>
        <stp>BDP|2467364920157600170</stp>
        <tr r="A947" s="2"/>
      </tp>
      <tp t="s">
        <v>#N/A N/A</v>
        <stp/>
        <stp>BDP|5196808706301545914</stp>
        <tr r="A1733" s="2"/>
      </tp>
      <tp t="s">
        <v>#N/A N/A</v>
        <stp/>
        <stp>BDP|6565238214318092816</stp>
        <tr r="D1775" s="2"/>
      </tp>
      <tp t="s">
        <v>#N/A N/A</v>
        <stp/>
        <stp>BDP|2442784509121612102</stp>
        <tr r="G144" s="2"/>
      </tp>
      <tp t="s">
        <v>#N/A N/A</v>
        <stp/>
        <stp>BDP|7852444228527752303</stp>
        <tr r="B1767" s="2"/>
      </tp>
      <tp t="s">
        <v>#N/A N/A</v>
        <stp/>
        <stp>BDP|2489875260371091805</stp>
        <tr r="H393" s="2"/>
      </tp>
      <tp t="s">
        <v>#N/A N/A</v>
        <stp/>
        <stp>BDP|2239414261652134700</stp>
        <tr r="C4808" s="2"/>
      </tp>
      <tp t="s">
        <v>#N/A N/A</v>
        <stp/>
        <stp>BDP|3176531153846389014</stp>
        <tr r="D913" s="2"/>
      </tp>
      <tp t="s">
        <v>#N/A N/A</v>
        <stp/>
        <stp>BDP|7818284273857574058</stp>
        <tr r="H4769" s="2"/>
      </tp>
      <tp t="s">
        <v>#N/A N/A</v>
        <stp/>
        <stp>BDP|5600334043717535005</stp>
        <tr r="A4233" s="2"/>
      </tp>
      <tp t="s">
        <v>#N/A N/A</v>
        <stp/>
        <stp>BDP|8851963485788839407</stp>
        <tr r="H596" s="2"/>
      </tp>
      <tp t="s">
        <v>#N/A N/A</v>
        <stp/>
        <stp>BDP|4272165240671662517</stp>
        <tr r="G1562" s="2"/>
      </tp>
      <tp t="s">
        <v>#N/A N/A</v>
        <stp/>
        <stp>BDP|8771813936580665652</stp>
        <tr r="F1823" s="2"/>
      </tp>
      <tp t="s">
        <v>#N/A N/A</v>
        <stp/>
        <stp>BDP|4500697419506224045</stp>
        <tr r="H1303" s="2"/>
      </tp>
      <tp t="s">
        <v>#N/A N/A</v>
        <stp/>
        <stp>BDP|2821084844694701705</stp>
        <tr r="F705" s="2"/>
      </tp>
      <tp t="s">
        <v>#N/A N/A</v>
        <stp/>
        <stp>BDP|3408269805207061348</stp>
        <tr r="H4979" s="2"/>
      </tp>
      <tp t="s">
        <v>#N/A N/A</v>
        <stp/>
        <stp>BDP|4507840891022270212</stp>
        <tr r="D4999" s="2"/>
      </tp>
      <tp t="s">
        <v>#N/A N/A</v>
        <stp/>
        <stp>BDP|3282616457181126468</stp>
        <tr r="G4682" s="2"/>
      </tp>
      <tp t="s">
        <v>#N/A N/A</v>
        <stp/>
        <stp>BDP|8318647771388461417</stp>
        <tr r="H2771" s="2"/>
      </tp>
      <tp t="s">
        <v>#N/A N/A</v>
        <stp/>
        <stp>BDP|3480014902965338372</stp>
        <tr r="G2712" s="2"/>
      </tp>
      <tp t="s">
        <v>#N/A N/A</v>
        <stp/>
        <stp>BDP|7673555675209032957</stp>
        <tr r="G2340" s="2"/>
      </tp>
      <tp t="s">
        <v>#N/A N/A</v>
        <stp/>
        <stp>BDP|3507037707952529478</stp>
        <tr r="G1248" s="2"/>
      </tp>
      <tp t="s">
        <v>#N/A N/A</v>
        <stp/>
        <stp>BDP|6836746229237273147</stp>
        <tr r="G3081" s="2"/>
      </tp>
      <tp t="s">
        <v>#N/A N/A</v>
        <stp/>
        <stp>BDP|1862057067436834411</stp>
        <tr r="D3232" s="2"/>
      </tp>
      <tp t="s">
        <v>#N/A N/A</v>
        <stp/>
        <stp>BDP|3476536297598268215</stp>
        <tr r="H2674" s="2"/>
      </tp>
      <tp t="s">
        <v>#N/A N/A</v>
        <stp/>
        <stp>BDP|7212519140415485643</stp>
        <tr r="C4934" s="2"/>
      </tp>
      <tp t="s">
        <v>#N/A N/A</v>
        <stp/>
        <stp>BDP|5980156248222232758</stp>
        <tr r="H949" s="2"/>
      </tp>
      <tp t="s">
        <v>#N/A N/A</v>
        <stp/>
        <stp>BDP|3438974396614679201</stp>
        <tr r="C2128" s="2"/>
      </tp>
      <tp t="s">
        <v>#N/A N/A</v>
        <stp/>
        <stp>BDP|7167736031746200020</stp>
        <tr r="B1624" s="2"/>
      </tp>
      <tp t="s">
        <v>#N/A N/A</v>
        <stp/>
        <stp>BDP|8083528472388471773</stp>
        <tr r="D4357" s="2"/>
      </tp>
      <tp t="s">
        <v>#N/A N/A</v>
        <stp/>
        <stp>BDP|3737173560429778844</stp>
        <tr r="F1476" s="2"/>
      </tp>
      <tp t="s">
        <v>#N/A N/A</v>
        <stp/>
        <stp>BDP|2302720760631090729</stp>
        <tr r="D3944" s="2"/>
      </tp>
      <tp t="s">
        <v>#N/A N/A</v>
        <stp/>
        <stp>BDP|4036788602656892012</stp>
        <tr r="F2505" s="2"/>
      </tp>
      <tp t="s">
        <v>#N/A N/A</v>
        <stp/>
        <stp>BDP|6055107323239335935</stp>
        <tr r="I2227" s="2"/>
      </tp>
      <tp t="s">
        <v>#N/A N/A</v>
        <stp/>
        <stp>BDP|1269053906541526574</stp>
        <tr r="H4647" s="2"/>
      </tp>
      <tp t="s">
        <v>#N/A N/A</v>
        <stp/>
        <stp>BDP|2467977687624110260</stp>
        <tr r="A4180" s="2"/>
      </tp>
      <tp t="s">
        <v>#N/A N/A</v>
        <stp/>
        <stp>BDP|9305596093380861025</stp>
        <tr r="H3492" s="2"/>
      </tp>
      <tp t="s">
        <v>#N/A N/A</v>
        <stp/>
        <stp>BDP|5002691231442239790</stp>
        <tr r="D4371" s="2"/>
      </tp>
      <tp t="s">
        <v>#N/A N/A</v>
        <stp/>
        <stp>BDP|7698582773015793594</stp>
        <tr r="C767" s="2"/>
      </tp>
      <tp t="s">
        <v>#N/A N/A</v>
        <stp/>
        <stp>BDP|1314585215349829953</stp>
        <tr r="C3653" s="2"/>
      </tp>
      <tp t="s">
        <v>#N/A N/A</v>
        <stp/>
        <stp>BDP|8310408396102071256</stp>
        <tr r="I1756" s="2"/>
      </tp>
      <tp t="s">
        <v>#N/A N/A</v>
        <stp/>
        <stp>BDP|7021698289029972594</stp>
        <tr r="F747" s="2"/>
      </tp>
      <tp t="s">
        <v>#N/A N/A</v>
        <stp/>
        <stp>BDP|1050370321096297345</stp>
        <tr r="C316" s="2"/>
      </tp>
      <tp t="s">
        <v>#N/A N/A</v>
        <stp/>
        <stp>BDP|1029674754213240419</stp>
        <tr r="D2345" s="2"/>
      </tp>
      <tp t="s">
        <v>#N/A N/A</v>
        <stp/>
        <stp>BDP|6071416619883857505</stp>
        <tr r="G1305" s="2"/>
      </tp>
      <tp t="s">
        <v>#N/A N/A</v>
        <stp/>
        <stp>BDP|4065611003904371311</stp>
        <tr r="G2408" s="2"/>
      </tp>
      <tp t="s">
        <v>#N/A N/A</v>
        <stp/>
        <stp>BDP|7501421465579657949</stp>
        <tr r="D1001" s="2"/>
      </tp>
      <tp t="s">
        <v>#N/A N/A</v>
        <stp/>
        <stp>BDP|3437729837331112300</stp>
        <tr r="H2341" s="2"/>
      </tp>
      <tp t="s">
        <v>#N/A N/A</v>
        <stp/>
        <stp>BDP|9368823243444490460</stp>
        <tr r="C4381" s="2"/>
      </tp>
      <tp t="s">
        <v>#N/A N/A</v>
        <stp/>
        <stp>BDP|5337454024387756159</stp>
        <tr r="A4061" s="2"/>
      </tp>
      <tp t="s">
        <v>#N/A N/A</v>
        <stp/>
        <stp>BDP|8599303370499208076</stp>
        <tr r="B1381" s="2"/>
      </tp>
      <tp t="s">
        <v>#N/A N/A</v>
        <stp/>
        <stp>BDP|3200790637472897046</stp>
        <tr r="C1710" s="2"/>
      </tp>
      <tp t="s">
        <v>#N/A N/A</v>
        <stp/>
        <stp>BDP|6749796062904521692</stp>
        <tr r="G2829" s="2"/>
      </tp>
      <tp t="s">
        <v>#N/A N/A</v>
        <stp/>
        <stp>BDP|1698387732621446587</stp>
        <tr r="D315" s="2"/>
      </tp>
      <tp t="s">
        <v>#N/A N/A</v>
        <stp/>
        <stp>BDP|9974062358839353042</stp>
        <tr r="F2294" s="2"/>
      </tp>
      <tp t="s">
        <v>#N/A N/A</v>
        <stp/>
        <stp>BDP|8941820740816946722</stp>
        <tr r="I3821" s="2"/>
      </tp>
      <tp t="s">
        <v>#N/A N/A</v>
        <stp/>
        <stp>BDP|3917786550593009718</stp>
        <tr r="H3748" s="2"/>
      </tp>
      <tp t="s">
        <v>#N/A N/A</v>
        <stp/>
        <stp>BDP|9174506486168624918</stp>
        <tr r="H4966" s="2"/>
      </tp>
      <tp t="s">
        <v>#N/A N/A</v>
        <stp/>
        <stp>BDP|6784162773096569376</stp>
        <tr r="G140" s="2"/>
      </tp>
      <tp t="s">
        <v>#N/A N/A</v>
        <stp/>
        <stp>BDP|4836599172790563361</stp>
        <tr r="D1709" s="2"/>
      </tp>
      <tp t="s">
        <v>#N/A N/A</v>
        <stp/>
        <stp>BDP|6732343842867272335</stp>
        <tr r="C2223" s="2"/>
      </tp>
      <tp t="s">
        <v>#N/A N/A</v>
        <stp/>
        <stp>BDP|5617554952292687272</stp>
        <tr r="G3814" s="2"/>
      </tp>
      <tp t="s">
        <v>#N/A N/A</v>
        <stp/>
        <stp>BDP|3201737720113434058</stp>
        <tr r="A2317" s="2"/>
      </tp>
      <tp t="s">
        <v>#N/A N/A</v>
        <stp/>
        <stp>BDP|3089711462476580168</stp>
        <tr r="H2094" s="2"/>
      </tp>
      <tp t="s">
        <v>#N/A N/A</v>
        <stp/>
        <stp>BDP|6627585818210694701</stp>
        <tr r="H4375" s="2"/>
      </tp>
      <tp t="s">
        <v>#N/A N/A</v>
        <stp/>
        <stp>BDP|3293672307258411864</stp>
        <tr r="F1674" s="2"/>
      </tp>
      <tp t="s">
        <v>#N/A N/A</v>
        <stp/>
        <stp>BDP|3125523326807720627</stp>
        <tr r="B3568" s="2"/>
      </tp>
      <tp t="s">
        <v>#N/A N/A</v>
        <stp/>
        <stp>BDP|2789200740481391049</stp>
        <tr r="A1847" s="2"/>
      </tp>
      <tp t="s">
        <v>#N/A N/A</v>
        <stp/>
        <stp>BDP|3654796151482709698</stp>
        <tr r="D2535" s="2"/>
      </tp>
      <tp t="s">
        <v>#N/A N/A</v>
        <stp/>
        <stp>BDP|7280739000865845092</stp>
        <tr r="H4777" s="2"/>
      </tp>
      <tp t="s">
        <v>#N/A N/A</v>
        <stp/>
        <stp>BDP|7354538351326388429</stp>
        <tr r="G1082" s="2"/>
      </tp>
      <tp t="s">
        <v>#N/A N/A</v>
        <stp/>
        <stp>BDP|6460275819533813328</stp>
        <tr r="A4567" s="2"/>
      </tp>
      <tp t="s">
        <v>#N/A N/A</v>
        <stp/>
        <stp>BDP|8332888028812199525</stp>
        <tr r="C1585" s="2"/>
      </tp>
      <tp t="s">
        <v>#N/A N/A</v>
        <stp/>
        <stp>BDP|3162903529718953519</stp>
        <tr r="F644" s="2"/>
      </tp>
      <tp t="s">
        <v>#N/A N/A</v>
        <stp/>
        <stp>BDP|6232929374659211463</stp>
        <tr r="C1205" s="2"/>
      </tp>
      <tp t="s">
        <v>#N/A N/A</v>
        <stp/>
        <stp>BDP|9359929207322029763</stp>
        <tr r="A3309" s="2"/>
      </tp>
      <tp t="s">
        <v>#N/A N/A</v>
        <stp/>
        <stp>BDP|1213266725844484056</stp>
        <tr r="G13" s="2"/>
      </tp>
      <tp t="s">
        <v>#N/A N/A</v>
        <stp/>
        <stp>BDP|3946234558243763255</stp>
        <tr r="G3136" s="2"/>
      </tp>
      <tp t="s">
        <v>#N/A N/A</v>
        <stp/>
        <stp>BDP|5154285136649605897</stp>
        <tr r="D2117" s="2"/>
      </tp>
      <tp t="s">
        <v>#N/A N/A</v>
        <stp/>
        <stp>BDP|4051957903530321854</stp>
        <tr r="B3670" s="2"/>
      </tp>
      <tp t="s">
        <v>#N/A N/A</v>
        <stp/>
        <stp>BDP|4214116232765425652</stp>
        <tr r="F366" s="2"/>
      </tp>
      <tp t="s">
        <v>#N/A N/A</v>
        <stp/>
        <stp>BDP|8517848993848466467</stp>
        <tr r="G2343" s="2"/>
      </tp>
      <tp t="s">
        <v>#N/A N/A</v>
        <stp/>
        <stp>BDP|8209701211243474874</stp>
        <tr r="I3156" s="2"/>
      </tp>
      <tp t="s">
        <v>#N/A N/A</v>
        <stp/>
        <stp>BDP|5928783450400238235</stp>
        <tr r="C3777" s="2"/>
      </tp>
      <tp t="s">
        <v>#N/A N/A</v>
        <stp/>
        <stp>BDP|7604808749846843877</stp>
        <tr r="D3278" s="2"/>
      </tp>
      <tp t="s">
        <v>#N/A N/A</v>
        <stp/>
        <stp>BDP|3161746215208064807</stp>
        <tr r="F3393" s="2"/>
      </tp>
      <tp t="s">
        <v>#N/A N/A</v>
        <stp/>
        <stp>BDP|7459236603313170354</stp>
        <tr r="F2377" s="2"/>
      </tp>
      <tp t="s">
        <v>#N/A N/A</v>
        <stp/>
        <stp>BDP|7636742876700315274</stp>
        <tr r="A2195" s="2"/>
      </tp>
      <tp t="s">
        <v>#N/A N/A</v>
        <stp/>
        <stp>BDP|1271108207774332169</stp>
        <tr r="H4678" s="2"/>
      </tp>
      <tp t="s">
        <v>#N/A N/A</v>
        <stp/>
        <stp>BDP|4380629505900493703</stp>
        <tr r="A3881" s="2"/>
      </tp>
      <tp t="s">
        <v>#N/A N/A</v>
        <stp/>
        <stp>BDP|7435671458068955925</stp>
        <tr r="G3815" s="2"/>
      </tp>
      <tp t="s">
        <v>#N/A N/A</v>
        <stp/>
        <stp>BDP|8034924122404659264</stp>
        <tr r="A351" s="2"/>
      </tp>
      <tp t="s">
        <v>#N/A N/A</v>
        <stp/>
        <stp>BDP|3467021202220358672</stp>
        <tr r="H1216" s="2"/>
      </tp>
      <tp t="s">
        <v>#N/A N/A</v>
        <stp/>
        <stp>BDP|1665128237195555368</stp>
        <tr r="H2299" s="2"/>
      </tp>
      <tp t="s">
        <v>#N/A N/A</v>
        <stp/>
        <stp>BDP|8057614684383092059</stp>
        <tr r="I1047" s="2"/>
      </tp>
      <tp t="s">
        <v>#N/A N/A</v>
        <stp/>
        <stp>BDP|4026572910727119263</stp>
        <tr r="C1423" s="2"/>
      </tp>
      <tp t="s">
        <v>#N/A N/A</v>
        <stp/>
        <stp>BDP|3400749202802327316</stp>
        <tr r="I2686" s="2"/>
      </tp>
      <tp t="s">
        <v>#N/A N/A</v>
        <stp/>
        <stp>BDP|6875560941867828578</stp>
        <tr r="G457" s="2"/>
      </tp>
      <tp t="s">
        <v>#N/A N/A</v>
        <stp/>
        <stp>BDP|4581578931560533763</stp>
        <tr r="A4796" s="2"/>
      </tp>
      <tp t="s">
        <v>#N/A N/A</v>
        <stp/>
        <stp>BDP|1666271553881395213</stp>
        <tr r="D3390" s="2"/>
      </tp>
      <tp t="s">
        <v>#N/A N/A</v>
        <stp/>
        <stp>BDP|3624482152523469486</stp>
        <tr r="D4794" s="2"/>
      </tp>
      <tp t="s">
        <v>#N/A N/A</v>
        <stp/>
        <stp>BDP|6043202037144329640</stp>
        <tr r="B4668" s="2"/>
      </tp>
      <tp t="s">
        <v>#N/A N/A</v>
        <stp/>
        <stp>BDP|2799428187109577272</stp>
        <tr r="G2792" s="2"/>
      </tp>
      <tp t="s">
        <v>#N/A N/A</v>
        <stp/>
        <stp>BDP|2219518150190598764</stp>
        <tr r="C3854" s="2"/>
      </tp>
      <tp t="s">
        <v>#N/A N/A</v>
        <stp/>
        <stp>BDP|8854297110529327721</stp>
        <tr r="D742" s="2"/>
      </tp>
      <tp t="s">
        <v>#N/A N/A</v>
        <stp/>
        <stp>BDP|5715176004418267961</stp>
        <tr r="H3374" s="2"/>
      </tp>
      <tp t="s">
        <v>#N/A N/A</v>
        <stp/>
        <stp>BDP|2879731203752868200</stp>
        <tr r="D1862" s="2"/>
      </tp>
      <tp t="s">
        <v>#N/A N/A</v>
        <stp/>
        <stp>BDP|1023663577245432057</stp>
        <tr r="F4838" s="2"/>
      </tp>
      <tp t="s">
        <v>#N/A N/A</v>
        <stp/>
        <stp>BDP|7112272773262713527</stp>
        <tr r="D4961" s="2"/>
      </tp>
      <tp t="s">
        <v>#N/A N/A</v>
        <stp/>
        <stp>BDP|8875048388321195452</stp>
        <tr r="H3752" s="2"/>
      </tp>
      <tp t="s">
        <v>#N/A N/A</v>
        <stp/>
        <stp>BDP|3364545670655144166</stp>
        <tr r="B1750" s="2"/>
      </tp>
      <tp t="s">
        <v>#N/A N/A</v>
        <stp/>
        <stp>BDP|9224513707981178858</stp>
        <tr r="A3158" s="2"/>
      </tp>
      <tp t="s">
        <v>#N/A N/A</v>
        <stp/>
        <stp>BDP|9677700611588305245</stp>
        <tr r="D2081" s="2"/>
      </tp>
      <tp t="s">
        <v>#N/A N/A</v>
        <stp/>
        <stp>BDP|2683058844356021576</stp>
        <tr r="D3120" s="2"/>
      </tp>
      <tp t="s">
        <v>#N/A N/A</v>
        <stp/>
        <stp>BDP|5743469451888557957</stp>
        <tr r="F835" s="2"/>
      </tp>
      <tp t="s">
        <v>#N/A N/A</v>
        <stp/>
        <stp>BDP|7681920383182482136</stp>
        <tr r="D211" s="2"/>
      </tp>
      <tp t="s">
        <v>#N/A N/A</v>
        <stp/>
        <stp>BDP|8228123198650936513</stp>
        <tr r="H1957" s="2"/>
      </tp>
      <tp t="s">
        <v>#N/A N/A</v>
        <stp/>
        <stp>BDP|3010026440606730454</stp>
        <tr r="G1331" s="2"/>
      </tp>
      <tp t="s">
        <v>#N/A N/A</v>
        <stp/>
        <stp>BDP|8825990622344743243</stp>
        <tr r="I3504" s="2"/>
      </tp>
      <tp t="s">
        <v>#N/A N/A</v>
        <stp/>
        <stp>BDP|4659739597517772858</stp>
        <tr r="G1025" s="2"/>
      </tp>
      <tp t="s">
        <v>#N/A N/A</v>
        <stp/>
        <stp>BDP|2468081615403167583</stp>
        <tr r="I2447" s="2"/>
      </tp>
      <tp t="s">
        <v>#N/A N/A</v>
        <stp/>
        <stp>BDP|7753273951207850297</stp>
        <tr r="A1679" s="2"/>
      </tp>
      <tp t="s">
        <v>#N/A N/A</v>
        <stp/>
        <stp>BDP|3354822755913520805</stp>
        <tr r="C1590" s="2"/>
      </tp>
      <tp t="s">
        <v>#N/A N/A</v>
        <stp/>
        <stp>BDP|7522408851675612634</stp>
        <tr r="I4544" s="2"/>
      </tp>
      <tp t="s">
        <v>#N/A N/A</v>
        <stp/>
        <stp>BDP|2959289901511715460</stp>
        <tr r="D3687" s="2"/>
      </tp>
      <tp t="s">
        <v>#N/A N/A</v>
        <stp/>
        <stp>BDP|5957513849402229328</stp>
        <tr r="C4099" s="2"/>
      </tp>
      <tp t="s">
        <v>#N/A N/A</v>
        <stp/>
        <stp>BDP|3506117749857876440</stp>
        <tr r="C3060" s="2"/>
      </tp>
      <tp t="s">
        <v>#N/A N/A</v>
        <stp/>
        <stp>BDP|6786416910402773405</stp>
        <tr r="B2914" s="2"/>
      </tp>
      <tp t="s">
        <v>#N/A N/A</v>
        <stp/>
        <stp>BDP|7743423543991102366</stp>
        <tr r="B2995" s="2"/>
      </tp>
      <tp t="s">
        <v>#N/A N/A</v>
        <stp/>
        <stp>BDP|3914662211983950267</stp>
        <tr r="B2299" s="2"/>
      </tp>
      <tp t="s">
        <v>#N/A N/A</v>
        <stp/>
        <stp>BDP|2367022832866031227</stp>
        <tr r="F251" s="2"/>
      </tp>
      <tp t="s">
        <v>#N/A N/A</v>
        <stp/>
        <stp>BDP|3180638772002122509</stp>
        <tr r="C933" s="2"/>
      </tp>
      <tp t="s">
        <v>#N/A N/A</v>
        <stp/>
        <stp>BDP|1743139510281519505</stp>
        <tr r="F1051" s="2"/>
      </tp>
      <tp t="s">
        <v>#N/A N/A</v>
        <stp/>
        <stp>BDP|5535003114998055907</stp>
        <tr r="F55" s="2"/>
      </tp>
      <tp t="s">
        <v>#N/A N/A</v>
        <stp/>
        <stp>BDP|7230769945158344934</stp>
        <tr r="B1846" s="2"/>
      </tp>
      <tp t="s">
        <v>#N/A N/A</v>
        <stp/>
        <stp>BDP|5996446546582930232</stp>
        <tr r="C4370" s="2"/>
      </tp>
      <tp t="s">
        <v>#N/A N/A</v>
        <stp/>
        <stp>BDP|2212289375000865264</stp>
        <tr r="F1355" s="2"/>
      </tp>
      <tp t="s">
        <v>#N/A N/A</v>
        <stp/>
        <stp>BDP|7384326971392801497</stp>
        <tr r="D4246" s="2"/>
      </tp>
      <tp t="s">
        <v>#N/A N/A</v>
        <stp/>
        <stp>BDP|5349758448770904361</stp>
        <tr r="H205" s="2"/>
      </tp>
      <tp t="s">
        <v>#N/A N/A</v>
        <stp/>
        <stp>BDP|2831367020316885072</stp>
        <tr r="F670" s="2"/>
      </tp>
      <tp t="s">
        <v>#N/A N/A</v>
        <stp/>
        <stp>BDP|5420854390304706578</stp>
        <tr r="C2373" s="2"/>
      </tp>
      <tp t="s">
        <v>#N/A N/A</v>
        <stp/>
        <stp>BDP|1167150008902832750</stp>
        <tr r="G4942" s="2"/>
      </tp>
      <tp t="s">
        <v>#N/A N/A</v>
        <stp/>
        <stp>BDP|9070930610841225501</stp>
        <tr r="F3475" s="2"/>
      </tp>
      <tp t="s">
        <v>#N/A N/A</v>
        <stp/>
        <stp>BDP|9282405313679617066</stp>
        <tr r="D186" s="2"/>
      </tp>
      <tp t="s">
        <v>#N/A N/A</v>
        <stp/>
        <stp>BDP|6525000332671482120</stp>
        <tr r="D4665" s="2"/>
      </tp>
      <tp t="s">
        <v>#N/A N/A</v>
        <stp/>
        <stp>BDP|6488318303295296554</stp>
        <tr r="C172" s="2"/>
      </tp>
      <tp t="s">
        <v>#N/A N/A</v>
        <stp/>
        <stp>BDP|9756745322718814189</stp>
        <tr r="D4674" s="2"/>
      </tp>
      <tp t="s">
        <v>#N/A N/A</v>
        <stp/>
        <stp>BDP|5482335766586306337</stp>
        <tr r="I3107" s="2"/>
      </tp>
      <tp t="s">
        <v>#N/A N/A</v>
        <stp/>
        <stp>BDP|9360405446095186954</stp>
        <tr r="H811" s="2"/>
      </tp>
      <tp t="s">
        <v>#N/A N/A</v>
        <stp/>
        <stp>BDP|1453468852850123509</stp>
        <tr r="I3944" s="2"/>
      </tp>
      <tp t="s">
        <v>#N/A N/A</v>
        <stp/>
        <stp>BDP|1333657524715432571</stp>
        <tr r="D4143" s="2"/>
      </tp>
      <tp t="s">
        <v>#N/A N/A</v>
        <stp/>
        <stp>BDP|5379537819737900316</stp>
        <tr r="B296" s="2"/>
      </tp>
      <tp t="s">
        <v>#N/A N/A</v>
        <stp/>
        <stp>BDP|5323064143163157763</stp>
        <tr r="G4285" s="2"/>
      </tp>
      <tp t="s">
        <v>#N/A N/A</v>
        <stp/>
        <stp>BDP|8071456045355858896</stp>
        <tr r="H4267" s="2"/>
      </tp>
      <tp t="s">
        <v>#N/A N/A</v>
        <stp/>
        <stp>BDP|3324069917160492772</stp>
        <tr r="D464" s="2"/>
      </tp>
      <tp t="s">
        <v>#N/A N/A</v>
        <stp/>
        <stp>BDP|2000833731659738547</stp>
        <tr r="H1234" s="2"/>
      </tp>
      <tp t="s">
        <v>#N/A N/A</v>
        <stp/>
        <stp>BDP|5481948751794665860</stp>
        <tr r="C966" s="2"/>
      </tp>
      <tp t="s">
        <v>#N/A N/A</v>
        <stp/>
        <stp>BDP|3242997119928597663</stp>
        <tr r="H624" s="2"/>
      </tp>
      <tp t="s">
        <v>#N/A N/A</v>
        <stp/>
        <stp>BDP|4573340016773546034</stp>
        <tr r="F3686" s="2"/>
      </tp>
      <tp t="s">
        <v>#N/A N/A</v>
        <stp/>
        <stp>BDP|5834333826276439781</stp>
        <tr r="B4074" s="2"/>
      </tp>
      <tp t="s">
        <v>#N/A N/A</v>
        <stp/>
        <stp>BDP|6706035418465856754</stp>
        <tr r="C3048" s="2"/>
      </tp>
      <tp t="s">
        <v>#N/A N/A</v>
        <stp/>
        <stp>BDP|1794139031875280360</stp>
        <tr r="I3482" s="2"/>
      </tp>
      <tp t="s">
        <v>#N/A N/A</v>
        <stp/>
        <stp>BDP|4217864545468548555</stp>
        <tr r="G295" s="2"/>
      </tp>
      <tp t="s">
        <v>#N/A N/A</v>
        <stp/>
        <stp>BDP|2824215338985187316</stp>
        <tr r="A4601" s="2"/>
      </tp>
      <tp t="s">
        <v>#N/A N/A</v>
        <stp/>
        <stp>BDP|6932016929471036002</stp>
        <tr r="I2974" s="2"/>
      </tp>
      <tp t="s">
        <v>#N/A N/A</v>
        <stp/>
        <stp>BDP|6040577637070620572</stp>
        <tr r="F2634" s="2"/>
      </tp>
      <tp t="s">
        <v>#N/A N/A</v>
        <stp/>
        <stp>BDP|3818124041122367191</stp>
        <tr r="H1624" s="2"/>
      </tp>
      <tp t="s">
        <v>#N/A N/A</v>
        <stp/>
        <stp>BDP|5455420018763756685</stp>
        <tr r="B870" s="2"/>
      </tp>
      <tp t="s">
        <v>#N/A N/A</v>
        <stp/>
        <stp>BDP|3954389647014365548</stp>
        <tr r="G3175" s="2"/>
      </tp>
      <tp t="s">
        <v>#N/A N/A</v>
        <stp/>
        <stp>BDP|7373071977786745357</stp>
        <tr r="B658" s="2"/>
      </tp>
      <tp t="s">
        <v>#N/A N/A</v>
        <stp/>
        <stp>BDP|2510076238486894238</stp>
        <tr r="F2821" s="2"/>
      </tp>
      <tp t="s">
        <v>#N/A N/A</v>
        <stp/>
        <stp>BDP|7549181171202552680</stp>
        <tr r="I1920" s="2"/>
      </tp>
      <tp t="s">
        <v>#N/A N/A</v>
        <stp/>
        <stp>BDP|1861293154326036540</stp>
        <tr r="H997" s="2"/>
      </tp>
      <tp t="s">
        <v>#N/A N/A</v>
        <stp/>
        <stp>BDP|4605630293728630611</stp>
        <tr r="C4965" s="2"/>
      </tp>
      <tp t="s">
        <v>#N/A N/A</v>
        <stp/>
        <stp>BDP|2814190485166471812</stp>
        <tr r="D4994" s="2"/>
      </tp>
      <tp t="s">
        <v>#N/A N/A</v>
        <stp/>
        <stp>BDP|5032369244822313506</stp>
        <tr r="G3734" s="2"/>
      </tp>
      <tp t="s">
        <v>#N/A N/A</v>
        <stp/>
        <stp>BDP|8623250415117257953</stp>
        <tr r="H1738" s="2"/>
      </tp>
      <tp t="s">
        <v>#N/A N/A</v>
        <stp/>
        <stp>BDP|3614636010516468701</stp>
        <tr r="B3837" s="2"/>
      </tp>
      <tp t="s">
        <v>#N/A N/A</v>
        <stp/>
        <stp>BDP|3316875112466504924</stp>
        <tr r="F2575" s="2"/>
      </tp>
      <tp t="s">
        <v>#N/A N/A</v>
        <stp/>
        <stp>BDP|3987649480059831146</stp>
        <tr r="H1507" s="2"/>
      </tp>
      <tp t="s">
        <v>#N/A N/A</v>
        <stp/>
        <stp>BDP|3364186173233914307</stp>
        <tr r="D2472" s="2"/>
      </tp>
      <tp t="s">
        <v>#N/A N/A</v>
        <stp/>
        <stp>BDP|5850144438701328360</stp>
        <tr r="D2076" s="2"/>
      </tp>
      <tp t="s">
        <v>#N/A N/A</v>
        <stp/>
        <stp>BDP|5422372839048860832</stp>
        <tr r="G152" s="2"/>
      </tp>
      <tp t="s">
        <v>#N/A N/A</v>
        <stp/>
        <stp>BDP|3770110173297352777</stp>
        <tr r="B1060" s="2"/>
      </tp>
      <tp t="s">
        <v>#N/A N/A</v>
        <stp/>
        <stp>BDP|5513024107489920984</stp>
        <tr r="C1328" s="2"/>
      </tp>
      <tp t="s">
        <v>#N/A N/A</v>
        <stp/>
        <stp>BDP|9593458864637683938</stp>
        <tr r="C2470" s="2"/>
      </tp>
      <tp t="s">
        <v>#N/A N/A</v>
        <stp/>
        <stp>BDP|6009244934077153507</stp>
        <tr r="D2410" s="2"/>
      </tp>
      <tp t="s">
        <v>#N/A N/A</v>
        <stp/>
        <stp>BDP|5433474133561244630</stp>
        <tr r="G2274" s="2"/>
      </tp>
      <tp t="s">
        <v>#N/A N/A</v>
        <stp/>
        <stp>BDP|6103410226530113562</stp>
        <tr r="G46" s="2"/>
      </tp>
      <tp t="s">
        <v>#N/A N/A</v>
        <stp/>
        <stp>BDP|8431839703497797221</stp>
        <tr r="D856" s="2"/>
      </tp>
      <tp t="s">
        <v>#N/A N/A</v>
        <stp/>
        <stp>BDP|7853952901668545383</stp>
        <tr r="B3109" s="2"/>
      </tp>
      <tp t="s">
        <v>#N/A N/A</v>
        <stp/>
        <stp>BDP|8569727486466062405</stp>
        <tr r="G2845" s="2"/>
      </tp>
      <tp t="s">
        <v>#N/A N/A</v>
        <stp/>
        <stp>BDP|3009069798349680694</stp>
        <tr r="G2240" s="2"/>
      </tp>
      <tp t="s">
        <v>#N/A N/A</v>
        <stp/>
        <stp>BDP|3951284050431357049</stp>
        <tr r="B576" s="2"/>
      </tp>
      <tp t="s">
        <v>#N/A N/A</v>
        <stp/>
        <stp>BDP|5244161663544210338</stp>
        <tr r="G4853" s="2"/>
      </tp>
      <tp t="s">
        <v>#N/A N/A</v>
        <stp/>
        <stp>BDP|8213324053638136349</stp>
        <tr r="H2375" s="2"/>
      </tp>
      <tp t="s">
        <v>#N/A N/A</v>
        <stp/>
        <stp>BDP|4431883289936542764</stp>
        <tr r="I4470" s="2"/>
      </tp>
      <tp t="s">
        <v>#N/A N/A</v>
        <stp/>
        <stp>BDP|5277611546872676050</stp>
        <tr r="F3010" s="2"/>
      </tp>
      <tp t="s">
        <v>#N/A N/A</v>
        <stp/>
        <stp>BDP|7442015533196783771</stp>
        <tr r="H3763" s="2"/>
      </tp>
      <tp t="s">
        <v>#N/A N/A</v>
        <stp/>
        <stp>BDP|7713282480768049099</stp>
        <tr r="B2789" s="2"/>
      </tp>
      <tp t="s">
        <v>#N/A N/A</v>
        <stp/>
        <stp>BDP|1715607873963551673</stp>
        <tr r="I4672" s="2"/>
      </tp>
      <tp t="s">
        <v>#N/A N/A</v>
        <stp/>
        <stp>BDP|4240774464326490632</stp>
        <tr r="C3255" s="2"/>
      </tp>
      <tp t="s">
        <v>#N/A N/A</v>
        <stp/>
        <stp>BDP|4579724396548788706</stp>
        <tr r="G3870" s="2"/>
      </tp>
      <tp t="s">
        <v>#N/A N/A</v>
        <stp/>
        <stp>BDP|7198307826772530142</stp>
        <tr r="B2292" s="2"/>
      </tp>
      <tp t="s">
        <v>#N/A N/A</v>
        <stp/>
        <stp>BDP|9926298062508075040</stp>
        <tr r="H2679" s="2"/>
      </tp>
      <tp t="s">
        <v>#N/A N/A</v>
        <stp/>
        <stp>BDP|3266996663389886063</stp>
        <tr r="D1186" s="2"/>
      </tp>
      <tp t="s">
        <v>#N/A N/A</v>
        <stp/>
        <stp>BDP|4303444465965119654</stp>
        <tr r="A2830" s="2"/>
      </tp>
      <tp t="s">
        <v>#N/A N/A</v>
        <stp/>
        <stp>BDP|2648753004689884992</stp>
        <tr r="H388" s="2"/>
      </tp>
      <tp t="s">
        <v>#N/A N/A</v>
        <stp/>
        <stp>BDP|7391757473551104320</stp>
        <tr r="A1210" s="2"/>
      </tp>
      <tp t="s">
        <v>#N/A N/A</v>
        <stp/>
        <stp>BDP|9231698505132801801</stp>
        <tr r="B3601" s="2"/>
      </tp>
      <tp t="s">
        <v>#N/A N/A</v>
        <stp/>
        <stp>BDP|5672441475983949080</stp>
        <tr r="H4651" s="2"/>
      </tp>
      <tp t="s">
        <v>#N/A N/A</v>
        <stp/>
        <stp>BDP|6878184766093497741</stp>
        <tr r="A2570" s="2"/>
      </tp>
      <tp t="s">
        <v>#N/A N/A</v>
        <stp/>
        <stp>BDP|5216608170046620720</stp>
        <tr r="D2571" s="2"/>
      </tp>
      <tp t="s">
        <v>#N/A N/A</v>
        <stp/>
        <stp>BDP|2158749323965860788</stp>
        <tr r="I2764" s="2"/>
      </tp>
      <tp t="s">
        <v>#N/A N/A</v>
        <stp/>
        <stp>BDP|5812718959003741116</stp>
        <tr r="F2824" s="2"/>
      </tp>
      <tp t="s">
        <v>#N/A N/A</v>
        <stp/>
        <stp>BDP|4891601170243843364</stp>
        <tr r="I3624" s="2"/>
      </tp>
      <tp t="s">
        <v>#N/A N/A</v>
        <stp/>
        <stp>BDP|6245287755716164288</stp>
        <tr r="B136" s="2"/>
      </tp>
      <tp t="s">
        <v>#N/A N/A</v>
        <stp/>
        <stp>BDP|6550176354291520659</stp>
        <tr r="F2909" s="2"/>
      </tp>
      <tp t="s">
        <v>#N/A N/A</v>
        <stp/>
        <stp>BDP|8978792820029112179</stp>
        <tr r="H4961" s="2"/>
      </tp>
      <tp t="s">
        <v>#N/A N/A</v>
        <stp/>
        <stp>BDP|7421609175447226450</stp>
        <tr r="I397" s="2"/>
      </tp>
      <tp t="s">
        <v>#N/A N/A</v>
        <stp/>
        <stp>BDP|7495033353174662340</stp>
        <tr r="D3446" s="2"/>
      </tp>
      <tp t="s">
        <v>#N/A N/A</v>
        <stp/>
        <stp>BDP|9292439357755739879</stp>
        <tr r="D1079" s="2"/>
      </tp>
      <tp t="s">
        <v>#N/A N/A</v>
        <stp/>
        <stp>BDP|5220811949838573491</stp>
        <tr r="I1340" s="2"/>
      </tp>
      <tp t="s">
        <v>#N/A N/A</v>
        <stp/>
        <stp>BDP|5821029909423621330</stp>
        <tr r="A1788" s="2"/>
      </tp>
      <tp t="s">
        <v>#N/A N/A</v>
        <stp/>
        <stp>BDP|7024181011145797787</stp>
        <tr r="A2450" s="2"/>
      </tp>
      <tp t="s">
        <v>#N/A N/A</v>
        <stp/>
        <stp>BDP|5186520670356505407</stp>
        <tr r="A269" s="2"/>
      </tp>
      <tp t="s">
        <v>#N/A N/A</v>
        <stp/>
        <stp>BDP|3489381813410941405</stp>
        <tr r="F1091" s="2"/>
      </tp>
      <tp t="s">
        <v>#N/A N/A</v>
        <stp/>
        <stp>BDP|7245860692921700271</stp>
        <tr r="C1922" s="2"/>
      </tp>
      <tp t="s">
        <v>#N/A N/A</v>
        <stp/>
        <stp>BDP|7769224715336241749</stp>
        <tr r="D536" s="2"/>
      </tp>
      <tp t="s">
        <v>#N/A N/A</v>
        <stp/>
        <stp>BDP|5468619155555564630</stp>
        <tr r="G491" s="2"/>
      </tp>
      <tp t="s">
        <v>#N/A N/A</v>
        <stp/>
        <stp>BDP|6537333194171284866</stp>
        <tr r="F3844" s="2"/>
      </tp>
      <tp t="s">
        <v>#N/A N/A</v>
        <stp/>
        <stp>BDP|9222113690676216279</stp>
        <tr r="G4793" s="2"/>
      </tp>
      <tp t="s">
        <v>#N/A N/A</v>
        <stp/>
        <stp>BDP|5602928412631589959</stp>
        <tr r="H51" s="2"/>
      </tp>
      <tp t="s">
        <v>#N/A N/A</v>
        <stp/>
        <stp>BDP|8076587747984004896</stp>
        <tr r="D1722" s="2"/>
      </tp>
      <tp t="s">
        <v>#N/A N/A</v>
        <stp/>
        <stp>BDP|1756012875473056059</stp>
        <tr r="G262" s="2"/>
      </tp>
      <tp t="s">
        <v>#N/A N/A</v>
        <stp/>
        <stp>BDP|3840618816201007091</stp>
        <tr r="B1921" s="2"/>
      </tp>
      <tp t="s">
        <v>#N/A N/A</v>
        <stp/>
        <stp>BDP|7051574865777681621</stp>
        <tr r="C4923" s="2"/>
      </tp>
      <tp t="s">
        <v>#N/A N/A</v>
        <stp/>
        <stp>BDP|6685165043277726123</stp>
        <tr r="I2804" s="2"/>
      </tp>
      <tp t="s">
        <v>#N/A N/A</v>
        <stp/>
        <stp>BDP|1880491404076325605</stp>
        <tr r="C1106" s="2"/>
      </tp>
      <tp t="s">
        <v>#N/A N/A</v>
        <stp/>
        <stp>BDP|5645316834896644630</stp>
        <tr r="G4260" s="2"/>
      </tp>
      <tp t="s">
        <v>#N/A N/A</v>
        <stp/>
        <stp>BDP|3593951597964481257</stp>
        <tr r="G4029" s="2"/>
      </tp>
      <tp t="s">
        <v>#N/A N/A</v>
        <stp/>
        <stp>BDP|4361664032986054210</stp>
        <tr r="H2471" s="2"/>
      </tp>
      <tp t="s">
        <v>#N/A N/A</v>
        <stp/>
        <stp>BDP|7883987804579671243</stp>
        <tr r="A3312" s="2"/>
      </tp>
      <tp t="s">
        <v>#N/A N/A</v>
        <stp/>
        <stp>BDP|7918477436055801068</stp>
        <tr r="I63" s="2"/>
      </tp>
      <tp t="s">
        <v>#N/A N/A</v>
        <stp/>
        <stp>BDP|2026715630937139463</stp>
        <tr r="H874" s="2"/>
      </tp>
      <tp t="s">
        <v>#N/A N/A</v>
        <stp/>
        <stp>BDP|4710640260989601836</stp>
        <tr r="G642" s="2"/>
      </tp>
      <tp t="s">
        <v>#N/A N/A</v>
        <stp/>
        <stp>BDP|7654367111340145064</stp>
        <tr r="C494" s="2"/>
      </tp>
      <tp t="s">
        <v>#N/A N/A</v>
        <stp/>
        <stp>BDP|7661369751367284355</stp>
        <tr r="A523" s="2"/>
      </tp>
      <tp t="s">
        <v>#N/A N/A</v>
        <stp/>
        <stp>BDP|7967988038459695192</stp>
        <tr r="G2023" s="2"/>
      </tp>
      <tp t="s">
        <v>#N/A N/A</v>
        <stp/>
        <stp>BDP|9085396735965363990</stp>
        <tr r="B3197" s="2"/>
      </tp>
      <tp t="s">
        <v>#N/A N/A</v>
        <stp/>
        <stp>BDP|9582113512784491844</stp>
        <tr r="H2193" s="2"/>
      </tp>
      <tp t="s">
        <v>#N/A N/A</v>
        <stp/>
        <stp>BDP|4950735952033902071</stp>
        <tr r="G4441" s="2"/>
      </tp>
      <tp t="s">
        <v>#N/A N/A</v>
        <stp/>
        <stp>BDP|6252313074162642573</stp>
        <tr r="D4495" s="2"/>
      </tp>
      <tp t="s">
        <v>#N/A N/A</v>
        <stp/>
        <stp>BDP|5005110085780231904</stp>
        <tr r="H2860" s="2"/>
      </tp>
      <tp t="s">
        <v>#N/A N/A</v>
        <stp/>
        <stp>BDP|6168826931020208860</stp>
        <tr r="D4010" s="2"/>
      </tp>
      <tp t="s">
        <v>#N/A N/A</v>
        <stp/>
        <stp>BDP|1568062743083773310</stp>
        <tr r="A3181" s="2"/>
      </tp>
      <tp t="s">
        <v>#N/A N/A</v>
        <stp/>
        <stp>BDP|9582821601910143417</stp>
        <tr r="H1150" s="2"/>
      </tp>
      <tp t="s">
        <v>#N/A N/A</v>
        <stp/>
        <stp>BDP|6504916104233445923</stp>
        <tr r="G1563" s="2"/>
      </tp>
      <tp t="s">
        <v>#N/A N/A</v>
        <stp/>
        <stp>BDP|5308017648302423685</stp>
        <tr r="G1239" s="2"/>
      </tp>
      <tp t="s">
        <v>#N/A N/A</v>
        <stp/>
        <stp>BDP|1022415007159979992</stp>
        <tr r="A1542" s="2"/>
      </tp>
      <tp t="s">
        <v>#N/A N/A</v>
        <stp/>
        <stp>BDP|9888232754058004399</stp>
        <tr r="G2539" s="2"/>
      </tp>
      <tp t="s">
        <v>#N/A N/A</v>
        <stp/>
        <stp>BDP|7924766751782854205</stp>
        <tr r="D1670" s="2"/>
      </tp>
      <tp t="s">
        <v>#N/A N/A</v>
        <stp/>
        <stp>BDP|7411867607298207217</stp>
        <tr r="F898" s="2"/>
      </tp>
      <tp t="s">
        <v>#N/A N/A</v>
        <stp/>
        <stp>BDP|7012737713983296745</stp>
        <tr r="F4822" s="2"/>
      </tp>
      <tp t="s">
        <v>#N/A N/A</v>
        <stp/>
        <stp>BDP|7324286803259919975</stp>
        <tr r="G1053" s="2"/>
      </tp>
      <tp t="s">
        <v>#N/A N/A</v>
        <stp/>
        <stp>BDP|6903894826830181916</stp>
        <tr r="A1048" s="2"/>
      </tp>
      <tp t="s">
        <v>#N/A N/A</v>
        <stp/>
        <stp>BDP|6772153958675579290</stp>
        <tr r="D4131" s="2"/>
      </tp>
      <tp t="s">
        <v>#N/A N/A</v>
        <stp/>
        <stp>BDP|3063556045017435026</stp>
        <tr r="A4146" s="2"/>
      </tp>
      <tp t="s">
        <v>#N/A N/A</v>
        <stp/>
        <stp>BDP|3360783101865985450</stp>
        <tr r="I1236" s="2"/>
      </tp>
      <tp t="s">
        <v>#N/A N/A</v>
        <stp/>
        <stp>BDP|7707853897744708741</stp>
        <tr r="B3905" s="2"/>
      </tp>
      <tp t="s">
        <v>#N/A N/A</v>
        <stp/>
        <stp>BDP|3008410073104614125</stp>
        <tr r="D2483" s="2"/>
      </tp>
      <tp t="s">
        <v>#N/A N/A</v>
        <stp/>
        <stp>BDP|2029213795654546876</stp>
        <tr r="F3519" s="2"/>
      </tp>
      <tp t="s">
        <v>#N/A N/A</v>
        <stp/>
        <stp>BDP|3828883317117103805</stp>
        <tr r="I2238" s="2"/>
      </tp>
      <tp t="s">
        <v>#N/A N/A</v>
        <stp/>
        <stp>BDP|7064175034228771822</stp>
        <tr r="G4668" s="2"/>
      </tp>
      <tp t="s">
        <v>#N/A N/A</v>
        <stp/>
        <stp>BDP|3260161870624518474</stp>
        <tr r="D4048" s="2"/>
      </tp>
      <tp t="s">
        <v>#N/A N/A</v>
        <stp/>
        <stp>BDP|4428316653046409140</stp>
        <tr r="A1593" s="2"/>
      </tp>
      <tp t="s">
        <v>#N/A N/A</v>
        <stp/>
        <stp>BDP|8452508354188795511</stp>
        <tr r="I4374" s="2"/>
      </tp>
      <tp t="s">
        <v>#N/A N/A</v>
        <stp/>
        <stp>BDP|5126757337216129241</stp>
        <tr r="C2045" s="2"/>
      </tp>
      <tp t="s">
        <v>#N/A N/A</v>
        <stp/>
        <stp>BDP|8446021624389101652</stp>
        <tr r="F3470" s="2"/>
      </tp>
      <tp t="s">
        <v>#N/A N/A</v>
        <stp/>
        <stp>BDP|9607755137158547077</stp>
        <tr r="D780" s="2"/>
      </tp>
      <tp t="s">
        <v>#N/A N/A</v>
        <stp/>
        <stp>BDP|3636168656441396331</stp>
        <tr r="G2239" s="2"/>
      </tp>
      <tp t="s">
        <v>#N/A N/A</v>
        <stp/>
        <stp>BDP|2803564221587807716</stp>
        <tr r="F1268" s="2"/>
      </tp>
      <tp t="s">
        <v>#N/A N/A</v>
        <stp/>
        <stp>BDP|2167920920009738523</stp>
        <tr r="F4328" s="2"/>
      </tp>
      <tp t="s">
        <v>#N/A N/A</v>
        <stp/>
        <stp>BDP|8485659680625436632</stp>
        <tr r="F3340" s="2"/>
      </tp>
      <tp t="s">
        <v>#N/A N/A</v>
        <stp/>
        <stp>BDP|1576605762596738262</stp>
        <tr r="B109" s="2"/>
      </tp>
      <tp t="s">
        <v>#N/A N/A</v>
        <stp/>
        <stp>BDP|7358664846763374367</stp>
        <tr r="G3578" s="2"/>
      </tp>
      <tp t="s">
        <v>#N/A N/A</v>
        <stp/>
        <stp>BDP|8482734351556188917</stp>
        <tr r="C2768" s="2"/>
      </tp>
      <tp t="s">
        <v>#N/A N/A</v>
        <stp/>
        <stp>BDP|9525252867281838997</stp>
        <tr r="F264" s="2"/>
      </tp>
      <tp t="s">
        <v>#N/A N/A</v>
        <stp/>
        <stp>BDP|2441264132671739713</stp>
        <tr r="D4326" s="2"/>
      </tp>
      <tp t="s">
        <v>#N/A N/A</v>
        <stp/>
        <stp>BDP|1407417033476508555</stp>
        <tr r="G1581" s="2"/>
      </tp>
      <tp t="s">
        <v>#N/A N/A</v>
        <stp/>
        <stp>BDP|7176654663286401457</stp>
        <tr r="A739" s="2"/>
      </tp>
      <tp t="s">
        <v>#N/A N/A</v>
        <stp/>
        <stp>BDP|8850391434078557578</stp>
        <tr r="F4281" s="2"/>
      </tp>
      <tp t="s">
        <v>#N/A N/A</v>
        <stp/>
        <stp>BDP|3554639362815293314</stp>
        <tr r="G4374" s="2"/>
      </tp>
      <tp t="s">
        <v>#N/A N/A</v>
        <stp/>
        <stp>BDP|4394230528974801579</stp>
        <tr r="F4012" s="2"/>
      </tp>
      <tp t="s">
        <v>#N/A N/A</v>
        <stp/>
        <stp>BDP|3649774117191891191</stp>
        <tr r="A1592" s="2"/>
      </tp>
      <tp t="s">
        <v>#N/A N/A</v>
        <stp/>
        <stp>BDP|6359078654794106263</stp>
        <tr r="D4737" s="2"/>
      </tp>
      <tp t="s">
        <v>#N/A N/A</v>
        <stp/>
        <stp>BDP|8040670219162096895</stp>
        <tr r="G925" s="2"/>
      </tp>
      <tp t="s">
        <v>#N/A N/A</v>
        <stp/>
        <stp>BDP|8217278881194349305</stp>
        <tr r="A2568" s="2"/>
      </tp>
      <tp t="s">
        <v>#N/A N/A</v>
        <stp/>
        <stp>BDP|2704446254344546259</stp>
        <tr r="D4202" s="2"/>
      </tp>
      <tp t="s">
        <v>#N/A N/A</v>
        <stp/>
        <stp>BDP|9388531555798545472</stp>
        <tr r="G1348" s="2"/>
      </tp>
      <tp t="s">
        <v>#N/A N/A</v>
        <stp/>
        <stp>BDP|3280886846642234893</stp>
        <tr r="H1506" s="2"/>
      </tp>
      <tp t="s">
        <v>#N/A N/A</v>
        <stp/>
        <stp>BDP|7599118342836931182</stp>
        <tr r="A705" s="2"/>
      </tp>
      <tp t="s">
        <v>#N/A N/A</v>
        <stp/>
        <stp>BDP|4494726064428392869</stp>
        <tr r="H233" s="2"/>
      </tp>
      <tp t="s">
        <v>#N/A N/A</v>
        <stp/>
        <stp>BDP|2220262187268292560</stp>
        <tr r="A4499" s="2"/>
      </tp>
      <tp t="s">
        <v>#N/A N/A</v>
        <stp/>
        <stp>BDP|4639372325131239118</stp>
        <tr r="C4909" s="2"/>
      </tp>
      <tp t="s">
        <v>#N/A N/A</v>
        <stp/>
        <stp>BDP|9554036994841799429</stp>
        <tr r="A3299" s="2"/>
      </tp>
      <tp t="s">
        <v>#N/A N/A</v>
        <stp/>
        <stp>BDP|4255026631875165776</stp>
        <tr r="D3931" s="2"/>
      </tp>
      <tp t="s">
        <v>#N/A N/A</v>
        <stp/>
        <stp>BDP|2611181859950220320</stp>
        <tr r="I3432" s="2"/>
      </tp>
      <tp t="s">
        <v>#N/A N/A</v>
        <stp/>
        <stp>BDP|1324042601890302423</stp>
        <tr r="D924" s="2"/>
      </tp>
      <tp t="s">
        <v>#N/A N/A</v>
        <stp/>
        <stp>BDP|4411237411171194304</stp>
        <tr r="I772" s="2"/>
      </tp>
      <tp t="s">
        <v>#N/A N/A</v>
        <stp/>
        <stp>BDP|7974556578997318703</stp>
        <tr r="G2967" s="2"/>
      </tp>
      <tp t="s">
        <v>#N/A N/A</v>
        <stp/>
        <stp>BDP|5998812597861183091</stp>
        <tr r="B4941" s="2"/>
      </tp>
      <tp t="s">
        <v>#N/A N/A</v>
        <stp/>
        <stp>BDP|8304612422789771008</stp>
        <tr r="G2126" s="2"/>
      </tp>
      <tp t="s">
        <v>#N/A N/A</v>
        <stp/>
        <stp>BDP|3368901892421773719</stp>
        <tr r="B3052" s="2"/>
      </tp>
      <tp t="s">
        <v>#N/A N/A</v>
        <stp/>
        <stp>BDP|4635848494903170308</stp>
        <tr r="G3604" s="2"/>
      </tp>
      <tp t="s">
        <v>#N/A N/A</v>
        <stp/>
        <stp>BDP|1431397338382698643</stp>
        <tr r="A1787" s="2"/>
      </tp>
      <tp t="s">
        <v>#N/A N/A</v>
        <stp/>
        <stp>BDP|7359495676305883436</stp>
        <tr r="F34" s="2"/>
      </tp>
      <tp t="s">
        <v>#N/A N/A</v>
        <stp/>
        <stp>BDP|5639544934992300423</stp>
        <tr r="G580" s="2"/>
      </tp>
      <tp t="s">
        <v>#N/A N/A</v>
        <stp/>
        <stp>BDP|3734621152824010107</stp>
        <tr r="B4635" s="2"/>
      </tp>
      <tp t="s">
        <v>#N/A N/A</v>
        <stp/>
        <stp>BDP|8331362988701888722</stp>
        <tr r="B2403" s="2"/>
      </tp>
      <tp t="s">
        <v>#N/A N/A</v>
        <stp/>
        <stp>BDP|1597045126595844381</stp>
        <tr r="B633" s="2"/>
      </tp>
      <tp t="s">
        <v>#N/A N/A</v>
        <stp/>
        <stp>BDP|8576805650142440268</stp>
        <tr r="A3800" s="2"/>
      </tp>
      <tp t="s">
        <v>#N/A N/A</v>
        <stp/>
        <stp>BDP|8735957100180189442</stp>
        <tr r="F1409" s="2"/>
      </tp>
      <tp t="s">
        <v>#N/A N/A</v>
        <stp/>
        <stp>BDP|5146377423215062428</stp>
        <tr r="I1792" s="2"/>
      </tp>
      <tp t="s">
        <v>#N/A N/A</v>
        <stp/>
        <stp>BDP|5251145200862966381</stp>
        <tr r="F4844" s="2"/>
      </tp>
      <tp t="s">
        <v>#N/A N/A</v>
        <stp/>
        <stp>BDP|6671303719300898101</stp>
        <tr r="B2257" s="2"/>
      </tp>
      <tp t="s">
        <v>#N/A N/A</v>
        <stp/>
        <stp>BDP|7562744999825630996</stp>
        <tr r="B4831" s="2"/>
      </tp>
      <tp t="s">
        <v>#N/A N/A</v>
        <stp/>
        <stp>BDP|6279950137761164869</stp>
        <tr r="G4494" s="2"/>
      </tp>
      <tp t="s">
        <v>#N/A N/A</v>
        <stp/>
        <stp>BDP|2837365308902171606</stp>
        <tr r="C1522" s="2"/>
      </tp>
      <tp t="s">
        <v>#N/A N/A</v>
        <stp/>
        <stp>BDP|8107638344167347823</stp>
        <tr r="F3964" s="2"/>
      </tp>
      <tp t="s">
        <v>#N/A N/A</v>
        <stp/>
        <stp>BDP|1044098633077463094</stp>
        <tr r="G2459" s="2"/>
      </tp>
      <tp t="s">
        <v>#N/A N/A</v>
        <stp/>
        <stp>BDP|2956630017721942138</stp>
        <tr r="D4543" s="2"/>
      </tp>
      <tp t="s">
        <v>#N/A N/A</v>
        <stp/>
        <stp>BDP|5166286753356993144</stp>
        <tr r="A600" s="2"/>
      </tp>
      <tp t="s">
        <v>#N/A N/A</v>
        <stp/>
        <stp>BDP|8432998078574525772</stp>
        <tr r="H3862" s="2"/>
      </tp>
      <tp t="s">
        <v>#N/A N/A</v>
        <stp/>
        <stp>BDP|4091735876117279604</stp>
        <tr r="D4064" s="2"/>
      </tp>
      <tp t="s">
        <v>#N/A N/A</v>
        <stp/>
        <stp>BDP|2791993274790502983</stp>
        <tr r="G369" s="2"/>
      </tp>
      <tp t="s">
        <v>#N/A N/A</v>
        <stp/>
        <stp>BDP|2835693822180453305</stp>
        <tr r="I3843" s="2"/>
      </tp>
      <tp t="s">
        <v>#N/A N/A</v>
        <stp/>
        <stp>BDP|3607210042506741650</stp>
        <tr r="H1383" s="2"/>
      </tp>
      <tp t="s">
        <v>#N/A N/A</v>
        <stp/>
        <stp>BDP|4520011641336736352</stp>
        <tr r="I3506" s="2"/>
      </tp>
      <tp t="s">
        <v>#N/A N/A</v>
        <stp/>
        <stp>BDP|8302522164739373713</stp>
        <tr r="I1164" s="2"/>
      </tp>
      <tp t="s">
        <v>#N/A N/A</v>
        <stp/>
        <stp>BDP|9173476585732226265</stp>
        <tr r="G4623" s="2"/>
      </tp>
      <tp t="s">
        <v>#N/A N/A</v>
        <stp/>
        <stp>BDP|6778383355274500187</stp>
        <tr r="I3945" s="2"/>
      </tp>
      <tp t="s">
        <v>#N/A N/A</v>
        <stp/>
        <stp>BDP|2547474654780657673</stp>
        <tr r="F2693" s="2"/>
      </tp>
      <tp t="s">
        <v>#N/A N/A</v>
        <stp/>
        <stp>BDP|1419276075477307622</stp>
        <tr r="F2008" s="2"/>
      </tp>
      <tp t="s">
        <v>#N/A N/A</v>
        <stp/>
        <stp>BDP|8116849940230487163</stp>
        <tr r="G4702" s="2"/>
      </tp>
      <tp t="s">
        <v>#N/A N/A</v>
        <stp/>
        <stp>BDP|3041043384727305940</stp>
        <tr r="C719" s="2"/>
      </tp>
      <tp t="s">
        <v>#N/A N/A</v>
        <stp/>
        <stp>BDP|2764109448727092581</stp>
        <tr r="I648" s="2"/>
      </tp>
      <tp t="s">
        <v>#N/A N/A</v>
        <stp/>
        <stp>BDP|9377665535101373844</stp>
        <tr r="B3217" s="2"/>
      </tp>
      <tp t="s">
        <v>#N/A N/A</v>
        <stp/>
        <stp>BDP|2033033757624604656</stp>
        <tr r="A4947" s="2"/>
      </tp>
      <tp t="s">
        <v>#N/A N/A</v>
        <stp/>
        <stp>BDP|4000749021054087021</stp>
        <tr r="C3528" s="2"/>
      </tp>
      <tp t="s">
        <v>#N/A N/A</v>
        <stp/>
        <stp>BDP|4913108348994485028</stp>
        <tr r="D1069" s="2"/>
      </tp>
      <tp t="s">
        <v>#N/A N/A</v>
        <stp/>
        <stp>BDP|9060804097849338439</stp>
        <tr r="C3234" s="2"/>
      </tp>
      <tp t="s">
        <v>#N/A N/A</v>
        <stp/>
        <stp>BDP|7738361281609345040</stp>
        <tr r="D307" s="2"/>
      </tp>
      <tp t="s">
        <v>#N/A N/A</v>
        <stp/>
        <stp>BDP|1114357325866394354</stp>
        <tr r="B150" s="2"/>
      </tp>
      <tp t="s">
        <v>#N/A N/A</v>
        <stp/>
        <stp>BDP|5256716291508543601</stp>
        <tr r="F3615" s="2"/>
      </tp>
      <tp t="s">
        <v>#N/A N/A</v>
        <stp/>
        <stp>BDP|8775783149757296939</stp>
        <tr r="H1584" s="2"/>
      </tp>
      <tp t="s">
        <v>#N/A N/A</v>
        <stp/>
        <stp>BDP|4843485048143856276</stp>
        <tr r="G2403" s="2"/>
      </tp>
      <tp t="s">
        <v>#N/A N/A</v>
        <stp/>
        <stp>BDP|3519731493598029024</stp>
        <tr r="F4891" s="2"/>
      </tp>
      <tp t="s">
        <v>#N/A N/A</v>
        <stp/>
        <stp>BDP|7347317863606141172</stp>
        <tr r="H1765" s="2"/>
      </tp>
      <tp t="s">
        <v>#N/A N/A</v>
        <stp/>
        <stp>BDP|6024504168078968863</stp>
        <tr r="D2700" s="2"/>
      </tp>
      <tp t="s">
        <v>#N/A N/A</v>
        <stp/>
        <stp>BDP|5863194207533967283</stp>
        <tr r="I1186" s="2"/>
      </tp>
      <tp t="s">
        <v>#N/A N/A</v>
        <stp/>
        <stp>BDP|7872354512395169594</stp>
        <tr r="A2178" s="2"/>
      </tp>
      <tp t="s">
        <v>#N/A N/A</v>
        <stp/>
        <stp>BDP|6859427875024930413</stp>
        <tr r="C1123" s="2"/>
      </tp>
      <tp t="s">
        <v>#N/A N/A</v>
        <stp/>
        <stp>BDP|9729365785296264111</stp>
        <tr r="C2783" s="2"/>
      </tp>
      <tp t="s">
        <v>#N/A N/A</v>
        <stp/>
        <stp>BDP|5458157742501173452</stp>
        <tr r="D4624" s="2"/>
      </tp>
      <tp t="s">
        <v>#N/A N/A</v>
        <stp/>
        <stp>BDP|6748124239080808132</stp>
        <tr r="A3228" s="2"/>
      </tp>
      <tp t="s">
        <v>#N/A N/A</v>
        <stp/>
        <stp>BDP|4347042452672422667</stp>
        <tr r="C1268" s="2"/>
      </tp>
      <tp t="s">
        <v>#N/A N/A</v>
        <stp/>
        <stp>BDP|6104744216311401402</stp>
        <tr r="A3161" s="2"/>
      </tp>
      <tp t="s">
        <v>#N/A N/A</v>
        <stp/>
        <stp>BDP|3993024768534158458</stp>
        <tr r="D1068" s="2"/>
      </tp>
      <tp t="s">
        <v>#N/A N/A</v>
        <stp/>
        <stp>BDP|9378810626477720144</stp>
        <tr r="I1134" s="2"/>
      </tp>
      <tp t="s">
        <v>#N/A N/A</v>
        <stp/>
        <stp>BDP|4087364242970156624</stp>
        <tr r="B2609" s="2"/>
      </tp>
      <tp t="s">
        <v>#N/A N/A</v>
        <stp/>
        <stp>BDP|7466108725808365954</stp>
        <tr r="B2737" s="2"/>
      </tp>
      <tp t="s">
        <v>#N/A N/A</v>
        <stp/>
        <stp>BDP|3150414192628056356</stp>
        <tr r="G814" s="2"/>
      </tp>
      <tp t="s">
        <v>#N/A N/A</v>
        <stp/>
        <stp>BDP|1781531148300896537</stp>
        <tr r="D1471" s="2"/>
      </tp>
      <tp t="s">
        <v>#N/A N/A</v>
        <stp/>
        <stp>BDP|3255163710136737040</stp>
        <tr r="A4695" s="2"/>
      </tp>
      <tp t="s">
        <v>#N/A N/A</v>
        <stp/>
        <stp>BDP|9603388182273899437</stp>
        <tr r="G3665" s="2"/>
      </tp>
      <tp t="s">
        <v>#N/A N/A</v>
        <stp/>
        <stp>BDP|9202711199356859453</stp>
        <tr r="A1646" s="2"/>
      </tp>
      <tp t="s">
        <v>#N/A N/A</v>
        <stp/>
        <stp>BDP|1999601891812879973</stp>
        <tr r="F1353" s="2"/>
      </tp>
      <tp t="s">
        <v>#N/A N/A</v>
        <stp/>
        <stp>BDP|9195810551899032866</stp>
        <tr r="D3288" s="2"/>
      </tp>
      <tp t="s">
        <v>#N/A N/A</v>
        <stp/>
        <stp>BDP|5903345219643737147</stp>
        <tr r="I440" s="2"/>
      </tp>
      <tp t="s">
        <v>#N/A N/A</v>
        <stp/>
        <stp>BDP|2756396537020602784</stp>
        <tr r="C4535" s="2"/>
      </tp>
      <tp t="s">
        <v>#N/A N/A</v>
        <stp/>
        <stp>BDP|7618591535424531080</stp>
        <tr r="C1097" s="2"/>
      </tp>
      <tp t="s">
        <v>#N/A N/A</v>
        <stp/>
        <stp>BDP|2075179909106186080</stp>
        <tr r="B1348" s="2"/>
      </tp>
      <tp t="s">
        <v>#N/A N/A</v>
        <stp/>
        <stp>BDP|9789233356798388363</stp>
        <tr r="B855" s="2"/>
      </tp>
      <tp t="s">
        <v>#N/A N/A</v>
        <stp/>
        <stp>BDP|7632344236432405075</stp>
        <tr r="B3519" s="2"/>
      </tp>
      <tp t="s">
        <v>#N/A N/A</v>
        <stp/>
        <stp>BDP|9727647956028161735</stp>
        <tr r="B873" s="2"/>
      </tp>
      <tp t="s">
        <v>#N/A N/A</v>
        <stp/>
        <stp>BDP|7851455569686714641</stp>
        <tr r="H3597" s="2"/>
      </tp>
      <tp t="s">
        <v>#N/A N/A</v>
        <stp/>
        <stp>BDP|1701078795105630873</stp>
        <tr r="F2337" s="2"/>
      </tp>
      <tp t="s">
        <v>#N/A N/A</v>
        <stp/>
        <stp>BDP|4262400454732419269</stp>
        <tr r="F175" s="2"/>
      </tp>
      <tp t="s">
        <v>#N/A N/A</v>
        <stp/>
        <stp>BDP|5254304884469344218</stp>
        <tr r="A4018" s="2"/>
      </tp>
      <tp t="s">
        <v>#N/A N/A</v>
        <stp/>
        <stp>BDP|2358244386858231573</stp>
        <tr r="F2476" s="2"/>
      </tp>
      <tp t="s">
        <v>#N/A N/A</v>
        <stp/>
        <stp>BDP|8776921850812737364</stp>
        <tr r="G2608" s="2"/>
      </tp>
      <tp t="s">
        <v>#N/A N/A</v>
        <stp/>
        <stp>BDP|9550909455473476307</stp>
        <tr r="H4382" s="2"/>
      </tp>
      <tp t="s">
        <v>#N/A N/A</v>
        <stp/>
        <stp>BDP|4082960521118090238</stp>
        <tr r="D4062" s="2"/>
      </tp>
      <tp t="s">
        <v>#N/A N/A</v>
        <stp/>
        <stp>BDP|4669546543534389465</stp>
        <tr r="G2121" s="2"/>
      </tp>
      <tp t="s">
        <v>#N/A N/A</v>
        <stp/>
        <stp>BDP|4183259716114484620</stp>
        <tr r="G1856" s="2"/>
      </tp>
      <tp t="s">
        <v>#N/A N/A</v>
        <stp/>
        <stp>BDP|4483365950380273741</stp>
        <tr r="H2849" s="2"/>
      </tp>
      <tp t="s">
        <v>#N/A N/A</v>
        <stp/>
        <stp>BDP|4777201973917532354</stp>
        <tr r="F1260" s="2"/>
      </tp>
      <tp t="s">
        <v>#N/A N/A</v>
        <stp/>
        <stp>BDP|2516153861863766324</stp>
        <tr r="A1584" s="2"/>
      </tp>
      <tp t="s">
        <v>#N/A N/A</v>
        <stp/>
        <stp>BDP|3109079806174029242</stp>
        <tr r="C2718" s="2"/>
      </tp>
      <tp t="s">
        <v>#N/A N/A</v>
        <stp/>
        <stp>BDP|9909024684396389287</stp>
        <tr r="G2700" s="2"/>
      </tp>
      <tp t="s">
        <v>#N/A N/A</v>
        <stp/>
        <stp>BDP|8295904034191405664</stp>
        <tr r="H2222" s="2"/>
      </tp>
      <tp t="s">
        <v>#N/A N/A</v>
        <stp/>
        <stp>BDP|1977336335820912423</stp>
        <tr r="B4212" s="2"/>
      </tp>
      <tp t="s">
        <v>#N/A N/A</v>
        <stp/>
        <stp>BDP|7761799263801857219</stp>
        <tr r="A4596" s="2"/>
      </tp>
      <tp t="s">
        <v>#N/A N/A</v>
        <stp/>
        <stp>BDP|4961667545977703493</stp>
        <tr r="D3001" s="2"/>
      </tp>
      <tp t="s">
        <v>#N/A N/A</v>
        <stp/>
        <stp>BDP|9601758985622740151</stp>
        <tr r="C18" s="2"/>
      </tp>
      <tp t="s">
        <v>#N/A N/A</v>
        <stp/>
        <stp>BDP|9548497613398881132</stp>
        <tr r="F225" s="2"/>
      </tp>
      <tp t="s">
        <v>#N/A N/A</v>
        <stp/>
        <stp>BDP|7852388066415712252</stp>
        <tr r="C1863" s="2"/>
      </tp>
      <tp t="s">
        <v>#N/A N/A</v>
        <stp/>
        <stp>BDP|8225943848268919838</stp>
        <tr r="G972" s="2"/>
      </tp>
      <tp t="s">
        <v>#N/A N/A</v>
        <stp/>
        <stp>BDP|6078191709563312178</stp>
        <tr r="I4088" s="2"/>
      </tp>
      <tp t="s">
        <v>#N/A N/A</v>
        <stp/>
        <stp>BDP|1294540006057055641</stp>
        <tr r="D3657" s="2"/>
      </tp>
      <tp t="s">
        <v>#N/A N/A</v>
        <stp/>
        <stp>BDP|6135589426002302687</stp>
        <tr r="D1920" s="2"/>
      </tp>
      <tp t="s">
        <v>#N/A N/A</v>
        <stp/>
        <stp>BDP|6954351410238090982</stp>
        <tr r="G4565" s="2"/>
      </tp>
      <tp t="s">
        <v>#N/A N/A</v>
        <stp/>
        <stp>BDP|2992287124073459456</stp>
        <tr r="C801" s="2"/>
      </tp>
      <tp t="s">
        <v>#N/A N/A</v>
        <stp/>
        <stp>BDP|5224256264024610019</stp>
        <tr r="A4361" s="2"/>
      </tp>
      <tp t="s">
        <v>#N/A N/A</v>
        <stp/>
        <stp>BDP|5235039397519623041</stp>
        <tr r="F1873" s="2"/>
      </tp>
      <tp t="s">
        <v>#N/A N/A</v>
        <stp/>
        <stp>BDP|7617712524316796105</stp>
        <tr r="I4693" s="2"/>
      </tp>
      <tp t="s">
        <v>#N/A N/A</v>
        <stp/>
        <stp>BDP|8651817209930272580</stp>
        <tr r="C708" s="2"/>
      </tp>
      <tp t="s">
        <v>#N/A N/A</v>
        <stp/>
        <stp>BDP|9557250896875426263</stp>
        <tr r="B1012" s="2"/>
      </tp>
      <tp t="s">
        <v>#N/A N/A</v>
        <stp/>
        <stp>BDP|2006356819222113799</stp>
        <tr r="H149" s="2"/>
      </tp>
      <tp t="s">
        <v>#N/A N/A</v>
        <stp/>
        <stp>BDP|6878112268404795024</stp>
        <tr r="I1574" s="2"/>
      </tp>
      <tp t="s">
        <v>#N/A N/A</v>
        <stp/>
        <stp>BDP|7280756493655729976</stp>
        <tr r="H1317" s="2"/>
      </tp>
      <tp t="s">
        <v>#N/A N/A</v>
        <stp/>
        <stp>BDP|4788951093091206076</stp>
        <tr r="I1082" s="2"/>
      </tp>
      <tp t="s">
        <v>#N/A N/A</v>
        <stp/>
        <stp>BDP|3115032776507592650</stp>
        <tr r="A4443" s="2"/>
      </tp>
      <tp t="s">
        <v>#N/A N/A</v>
        <stp/>
        <stp>BDP|7035746761174785763</stp>
        <tr r="I3076" s="2"/>
      </tp>
      <tp t="s">
        <v>#N/A N/A</v>
        <stp/>
        <stp>BDP|5019309202045700617</stp>
        <tr r="A865" s="2"/>
      </tp>
      <tp t="s">
        <v>#N/A N/A</v>
        <stp/>
        <stp>BDP|4188424347467577650</stp>
        <tr r="F3220" s="2"/>
      </tp>
      <tp t="s">
        <v>#N/A N/A</v>
        <stp/>
        <stp>BDP|3842091813896638101</stp>
        <tr r="C3957" s="2"/>
      </tp>
      <tp t="s">
        <v>#N/A N/A</v>
        <stp/>
        <stp>BDP|8336452115189060178</stp>
        <tr r="G1558" s="2"/>
      </tp>
      <tp t="s">
        <v>#N/A N/A</v>
        <stp/>
        <stp>BDP|6708558163780079056</stp>
        <tr r="G4514" s="2"/>
      </tp>
      <tp t="s">
        <v>#N/A N/A</v>
        <stp/>
        <stp>BDP|3421101405295578207</stp>
        <tr r="C968" s="2"/>
      </tp>
      <tp t="s">
        <v>#N/A N/A</v>
        <stp/>
        <stp>BDP|5734085318650317100</stp>
        <tr r="F278" s="2"/>
      </tp>
      <tp t="s">
        <v>#N/A N/A</v>
        <stp/>
        <stp>BDP|1277870090005824094</stp>
        <tr r="B316" s="2"/>
      </tp>
      <tp t="s">
        <v>#N/A N/A</v>
        <stp/>
        <stp>BDP|4025150640191412553</stp>
        <tr r="I722" s="2"/>
      </tp>
      <tp t="s">
        <v>#N/A N/A</v>
        <stp/>
        <stp>BDP|8438713161848419449</stp>
        <tr r="F3974" s="2"/>
      </tp>
      <tp t="s">
        <v>#N/A N/A</v>
        <stp/>
        <stp>BDP|5782340851854552235</stp>
        <tr r="B163" s="2"/>
      </tp>
      <tp t="s">
        <v>#N/A N/A</v>
        <stp/>
        <stp>BDP|5086064411254091534</stp>
        <tr r="A4027" s="2"/>
      </tp>
      <tp t="s">
        <v>#N/A N/A</v>
        <stp/>
        <stp>BDP|9942115158620301874</stp>
        <tr r="D1297" s="2"/>
      </tp>
      <tp t="s">
        <v>#N/A N/A</v>
        <stp/>
        <stp>BDP|1809304028720279567</stp>
        <tr r="G1472" s="2"/>
      </tp>
      <tp t="s">
        <v>#N/A N/A</v>
        <stp/>
        <stp>BDP|6091636801807404224</stp>
        <tr r="C932" s="2"/>
      </tp>
      <tp t="s">
        <v>#N/A N/A</v>
        <stp/>
        <stp>BDP|9344821877263552071</stp>
        <tr r="A4637" s="2"/>
      </tp>
      <tp t="s">
        <v>#N/A N/A</v>
        <stp/>
        <stp>BDP|6326976193566648556</stp>
        <tr r="F656" s="2"/>
      </tp>
      <tp t="s">
        <v>#N/A N/A</v>
        <stp/>
        <stp>BDP|1015926596594422043</stp>
        <tr r="B970" s="2"/>
      </tp>
      <tp t="s">
        <v>#N/A N/A</v>
        <stp/>
        <stp>BDP|9787317036648496402</stp>
        <tr r="F4151" s="2"/>
      </tp>
      <tp t="s">
        <v>#N/A N/A</v>
        <stp/>
        <stp>BDP|2139207116477209312</stp>
        <tr r="I3434" s="2"/>
      </tp>
      <tp t="s">
        <v>#N/A N/A</v>
        <stp/>
        <stp>BDP|5431011234775102647</stp>
        <tr r="H2870" s="2"/>
      </tp>
      <tp t="s">
        <v>#N/A N/A</v>
        <stp/>
        <stp>BDP|5704853487723173301</stp>
        <tr r="G3244" s="2"/>
      </tp>
      <tp t="s">
        <v>#N/A N/A</v>
        <stp/>
        <stp>BDP|7468525277505108544</stp>
        <tr r="G356" s="2"/>
      </tp>
      <tp t="s">
        <v>#N/A N/A</v>
        <stp/>
        <stp>BDP|7255401437157432253</stp>
        <tr r="B2613" s="2"/>
      </tp>
      <tp t="s">
        <v>#N/A N/A</v>
        <stp/>
        <stp>BDP|4681339529746807603</stp>
        <tr r="D2820" s="2"/>
      </tp>
      <tp t="s">
        <v>#N/A N/A</v>
        <stp/>
        <stp>BDP|8068245234798693428</stp>
        <tr r="C3866" s="2"/>
      </tp>
      <tp t="s">
        <v>#N/A N/A</v>
        <stp/>
        <stp>BDP|5857587452417451726</stp>
        <tr r="A1616" s="2"/>
      </tp>
      <tp t="s">
        <v>#N/A N/A</v>
        <stp/>
        <stp>BDP|7528892292792321191</stp>
        <tr r="C223" s="2"/>
      </tp>
      <tp t="s">
        <v>#N/A N/A</v>
        <stp/>
        <stp>BDP|6149879788105813629</stp>
        <tr r="D3840" s="2"/>
      </tp>
      <tp t="s">
        <v>#N/A N/A</v>
        <stp/>
        <stp>BDP|7633052805715435761</stp>
        <tr r="G4693" s="2"/>
      </tp>
      <tp t="s">
        <v>#N/A N/A</v>
        <stp/>
        <stp>BDP|8747503584750108064</stp>
        <tr r="A1547" s="2"/>
      </tp>
      <tp t="s">
        <v>#N/A N/A</v>
        <stp/>
        <stp>BDP|2265200438542900474</stp>
        <tr r="A4821" s="2"/>
      </tp>
      <tp t="s">
        <v>#N/A N/A</v>
        <stp/>
        <stp>BDP|1016812985350268421</stp>
        <tr r="A1941" s="2"/>
      </tp>
      <tp t="s">
        <v>#N/A N/A</v>
        <stp/>
        <stp>BDP|7205177256167478136</stp>
        <tr r="F734" s="2"/>
      </tp>
      <tp t="s">
        <v>#N/A N/A</v>
        <stp/>
        <stp>BDP|1531190771353161180</stp>
        <tr r="F1167" s="2"/>
      </tp>
      <tp t="s">
        <v>#N/A N/A</v>
        <stp/>
        <stp>BDP|6571209353550440476</stp>
        <tr r="A3903" s="2"/>
      </tp>
      <tp t="s">
        <v>#N/A N/A</v>
        <stp/>
        <stp>BDP|1394626003475630711</stp>
        <tr r="H4805" s="2"/>
      </tp>
      <tp t="s">
        <v>#N/A N/A</v>
        <stp/>
        <stp>BDP|4435286708855024616</stp>
        <tr r="A3893" s="2"/>
      </tp>
      <tp t="s">
        <v>#N/A N/A</v>
        <stp/>
        <stp>BDP|9198769084324096763</stp>
        <tr r="F4386" s="2"/>
      </tp>
      <tp t="s">
        <v>#N/A N/A</v>
        <stp/>
        <stp>BDP|4714148784280444866</stp>
        <tr r="C2565" s="2"/>
      </tp>
      <tp t="s">
        <v>#N/A N/A</v>
        <stp/>
        <stp>BDP|6496351524293572154</stp>
        <tr r="B1698" s="2"/>
      </tp>
      <tp t="s">
        <v>#N/A N/A</v>
        <stp/>
        <stp>BDP|6692685734025653391</stp>
        <tr r="I2340" s="2"/>
      </tp>
      <tp t="s">
        <v>#N/A N/A</v>
        <stp/>
        <stp>BDP|7190382717305212591</stp>
        <tr r="A896" s="2"/>
      </tp>
      <tp t="s">
        <v>#N/A N/A</v>
        <stp/>
        <stp>BDP|2016385616376987327</stp>
        <tr r="B530" s="2"/>
      </tp>
      <tp t="s">
        <v>#N/A N/A</v>
        <stp/>
        <stp>BDP|9501231371578189134</stp>
        <tr r="D4286" s="2"/>
      </tp>
      <tp t="s">
        <v>#N/A N/A</v>
        <stp/>
        <stp>BDP|7805063747083994552</stp>
        <tr r="G4858" s="2"/>
      </tp>
      <tp t="s">
        <v>#N/A N/A</v>
        <stp/>
        <stp>BDP|9096636637821579848</stp>
        <tr r="B3501" s="2"/>
      </tp>
      <tp t="s">
        <v>#N/A N/A</v>
        <stp/>
        <stp>BDP|3743421271127685277</stp>
        <tr r="A3335" s="2"/>
      </tp>
      <tp t="s">
        <v>#N/A N/A</v>
        <stp/>
        <stp>BDP|3654308280148465571</stp>
        <tr r="I3840" s="2"/>
      </tp>
      <tp t="s">
        <v>#N/A N/A</v>
        <stp/>
        <stp>BDP|1434047045931826184</stp>
        <tr r="D3525" s="2"/>
      </tp>
      <tp t="s">
        <v>#N/A N/A</v>
        <stp/>
        <stp>BDP|2260567363861366515</stp>
        <tr r="I4542" s="2"/>
      </tp>
      <tp t="s">
        <v>#N/A N/A</v>
        <stp/>
        <stp>BDP|9258023082477201358</stp>
        <tr r="H1672" s="2"/>
      </tp>
      <tp t="s">
        <v>#N/A N/A</v>
        <stp/>
        <stp>BDP|2413200257313362359</stp>
        <tr r="C4073" s="2"/>
      </tp>
      <tp t="s">
        <v>#N/A N/A</v>
        <stp/>
        <stp>BDP|2787395855260751197</stp>
        <tr r="H175" s="2"/>
      </tp>
      <tp t="s">
        <v>#N/A N/A</v>
        <stp/>
        <stp>BDP|4710827248918926511</stp>
        <tr r="I3666" s="2"/>
      </tp>
      <tp t="s">
        <v>#N/A N/A</v>
        <stp/>
        <stp>BDP|9012207061600347878</stp>
        <tr r="G1298" s="2"/>
      </tp>
      <tp t="s">
        <v>#N/A N/A</v>
        <stp/>
        <stp>BDP|5194105797120297818</stp>
        <tr r="F3980" s="2"/>
      </tp>
      <tp t="s">
        <v>#N/A N/A</v>
        <stp/>
        <stp>BDP|5595233260015148122</stp>
        <tr r="F276" s="2"/>
      </tp>
      <tp t="s">
        <v>#N/A N/A</v>
        <stp/>
        <stp>BDP|6540459135487741371</stp>
        <tr r="A3415" s="2"/>
      </tp>
      <tp t="s">
        <v>#N/A N/A</v>
        <stp/>
        <stp>BDP|1387682336983067289</stp>
        <tr r="C760" s="2"/>
      </tp>
      <tp t="s">
        <v>#N/A N/A</v>
        <stp/>
        <stp>BDP|6326448834003665700</stp>
        <tr r="C2283" s="2"/>
      </tp>
      <tp t="s">
        <v>#N/A N/A</v>
        <stp/>
        <stp>BDP|7436223666302484414</stp>
        <tr r="D4241" s="2"/>
      </tp>
      <tp t="s">
        <v>#N/A N/A</v>
        <stp/>
        <stp>BDP|4085634444374131733</stp>
        <tr r="G3109" s="2"/>
      </tp>
      <tp t="s">
        <v>#N/A N/A</v>
        <stp/>
        <stp>BDP|4007153884999779132</stp>
        <tr r="A2256" s="2"/>
      </tp>
      <tp t="s">
        <v>#N/A N/A</v>
        <stp/>
        <stp>BDP|1558167601174490135</stp>
        <tr r="G113" s="2"/>
      </tp>
      <tp t="s">
        <v>#N/A N/A</v>
        <stp/>
        <stp>BDP|1753705653980969681</stp>
        <tr r="F738" s="2"/>
      </tp>
      <tp t="s">
        <v>#N/A N/A</v>
        <stp/>
        <stp>BDP|2273273478866844406</stp>
        <tr r="H1563" s="2"/>
      </tp>
      <tp t="s">
        <v>#N/A N/A</v>
        <stp/>
        <stp>BDP|5590789419924506247</stp>
        <tr r="H727" s="2"/>
      </tp>
      <tp t="s">
        <v>#N/A N/A</v>
        <stp/>
        <stp>BDP|3370735067852774553</stp>
        <tr r="A1657" s="2"/>
      </tp>
      <tp t="s">
        <v>#N/A N/A</v>
        <stp/>
        <stp>BDP|2034433482823711837</stp>
        <tr r="F3246" s="2"/>
      </tp>
      <tp t="s">
        <v>#N/A N/A</v>
        <stp/>
        <stp>BDP|7576926931431031938</stp>
        <tr r="D4955" s="2"/>
      </tp>
      <tp t="s">
        <v>#N/A N/A</v>
        <stp/>
        <stp>BDP|1294925367613748850</stp>
        <tr r="B906" s="2"/>
      </tp>
      <tp t="s">
        <v>#N/A N/A</v>
        <stp/>
        <stp>BDP|8718662738860901855</stp>
        <tr r="H1160" s="2"/>
      </tp>
      <tp t="s">
        <v>#N/A N/A</v>
        <stp/>
        <stp>BDP|5584108646062103771</stp>
        <tr r="G4755" s="2"/>
      </tp>
      <tp t="s">
        <v>#N/A N/A</v>
        <stp/>
        <stp>BDP|1242463705422516213</stp>
        <tr r="F125" s="2"/>
      </tp>
      <tp t="s">
        <v>#N/A N/A</v>
        <stp/>
        <stp>BDP|4346112730074424735</stp>
        <tr r="H4713" s="2"/>
      </tp>
      <tp t="s">
        <v>#N/A N/A</v>
        <stp/>
        <stp>BDP|1468337406764639324</stp>
        <tr r="I4833" s="2"/>
      </tp>
      <tp t="s">
        <v>#N/A N/A</v>
        <stp/>
        <stp>BDP|4030548854346680731</stp>
        <tr r="I516" s="2"/>
      </tp>
      <tp t="s">
        <v>#N/A N/A</v>
        <stp/>
        <stp>BDP|3665738916843767311</stp>
        <tr r="F1048" s="2"/>
      </tp>
      <tp t="s">
        <v>#N/A N/A</v>
        <stp/>
        <stp>BDP|6324664973270553260</stp>
        <tr r="C996" s="2"/>
      </tp>
      <tp t="s">
        <v>#N/A N/A</v>
        <stp/>
        <stp>BDP|7072855403762127827</stp>
        <tr r="B2884" s="2"/>
      </tp>
      <tp t="s">
        <v>#N/A N/A</v>
        <stp/>
        <stp>BDP|5515341673834310049</stp>
        <tr r="B4462" s="2"/>
      </tp>
      <tp t="s">
        <v>#N/A N/A</v>
        <stp/>
        <stp>BDP|8366982777624023790</stp>
        <tr r="I1870" s="2"/>
      </tp>
      <tp t="s">
        <v>#N/A N/A</v>
        <stp/>
        <stp>BDP|6147167156183762434</stp>
        <tr r="F4970" s="2"/>
      </tp>
      <tp t="s">
        <v>#N/A N/A</v>
        <stp/>
        <stp>BDP|6749790222001863712</stp>
        <tr r="A1559" s="2"/>
      </tp>
      <tp t="s">
        <v>#N/A N/A</v>
        <stp/>
        <stp>BDP|9503423882465614566</stp>
        <tr r="G3380" s="2"/>
      </tp>
      <tp t="s">
        <v>#N/A N/A</v>
        <stp/>
        <stp>BDP|2823455327893983267</stp>
        <tr r="I1479" s="2"/>
      </tp>
      <tp t="s">
        <v>#N/A N/A</v>
        <stp/>
        <stp>BDP|1308119472330224278</stp>
        <tr r="I2240" s="2"/>
      </tp>
      <tp t="s">
        <v>#N/A N/A</v>
        <stp/>
        <stp>BDP|4178582862475903772</stp>
        <tr r="B3309" s="2"/>
      </tp>
      <tp t="s">
        <v>#N/A N/A</v>
        <stp/>
        <stp>BDP|6521520757155355665</stp>
        <tr r="I2550" s="2"/>
      </tp>
      <tp t="s">
        <v>#N/A N/A</v>
        <stp/>
        <stp>BDP|3577662667727144105</stp>
        <tr r="D62" s="2"/>
      </tp>
      <tp t="s">
        <v>#N/A N/A</v>
        <stp/>
        <stp>BDP|3413653402073721313</stp>
        <tr r="F2179" s="2"/>
      </tp>
      <tp t="s">
        <v>#N/A N/A</v>
        <stp/>
        <stp>BDP|4410868347969267425</stp>
        <tr r="F1131" s="2"/>
      </tp>
      <tp t="s">
        <v>#N/A N/A</v>
        <stp/>
        <stp>BDP|8103617281047757431</stp>
        <tr r="G1832" s="2"/>
      </tp>
      <tp t="s">
        <v>#N/A N/A</v>
        <stp/>
        <stp>BDP|2592015444512639139</stp>
        <tr r="D4778" s="2"/>
      </tp>
      <tp t="s">
        <v>#N/A N/A</v>
        <stp/>
        <stp>BDP|3566427500556259402</stp>
        <tr r="G3703" s="2"/>
      </tp>
      <tp t="s">
        <v>#N/A N/A</v>
        <stp/>
        <stp>BDP|3739761771666627035</stp>
        <tr r="G1592" s="2"/>
      </tp>
      <tp t="s">
        <v>#N/A N/A</v>
        <stp/>
        <stp>BDP|4870295767065429073</stp>
        <tr r="A1550" s="2"/>
      </tp>
      <tp t="s">
        <v>#N/A N/A</v>
        <stp/>
        <stp>BDP|6583329323865393722</stp>
        <tr r="H4076" s="2"/>
      </tp>
      <tp t="s">
        <v>#N/A N/A</v>
        <stp/>
        <stp>BDP|9041859644654394470</stp>
        <tr r="C232" s="2"/>
      </tp>
      <tp t="s">
        <v>#N/A N/A</v>
        <stp/>
        <stp>BDP|4957312250050560783</stp>
        <tr r="A3383" s="2"/>
      </tp>
      <tp t="s">
        <v>#N/A N/A</v>
        <stp/>
        <stp>BDP|3612215073170669371</stp>
        <tr r="D1443" s="2"/>
      </tp>
      <tp t="s">
        <v>#N/A N/A</v>
        <stp/>
        <stp>BDP|7980738888608644510</stp>
        <tr r="H2480" s="2"/>
      </tp>
      <tp t="s">
        <v>#N/A N/A</v>
        <stp/>
        <stp>BDP|5432749879278923858</stp>
        <tr r="D1066" s="2"/>
      </tp>
      <tp t="s">
        <v>#N/A N/A</v>
        <stp/>
        <stp>BDP|8226932510640539517</stp>
        <tr r="B4319" s="2"/>
      </tp>
      <tp t="s">
        <v>#N/A N/A</v>
        <stp/>
        <stp>BDP|1010389734976968205</stp>
        <tr r="B4254" s="2"/>
      </tp>
      <tp t="s">
        <v>#N/A N/A</v>
        <stp/>
        <stp>BDP|9260741293524869686</stp>
        <tr r="B3677" s="2"/>
      </tp>
      <tp t="s">
        <v>#N/A N/A</v>
        <stp/>
        <stp>BDP|5171831560399638713</stp>
        <tr r="D4755" s="2"/>
      </tp>
      <tp t="s">
        <v>#N/A N/A</v>
        <stp/>
        <stp>BDP|3092477613406292536</stp>
        <tr r="H719" s="2"/>
      </tp>
      <tp t="s">
        <v>#N/A N/A</v>
        <stp/>
        <stp>BDP|7725737443209208802</stp>
        <tr r="A4552" s="2"/>
      </tp>
      <tp t="s">
        <v>#N/A N/A</v>
        <stp/>
        <stp>BDP|1551149543970069176</stp>
        <tr r="B1507" s="2"/>
      </tp>
      <tp t="s">
        <v>#N/A N/A</v>
        <stp/>
        <stp>BDP|5560748996179784752</stp>
        <tr r="H2058" s="2"/>
      </tp>
      <tp t="s">
        <v>#N/A N/A</v>
        <stp/>
        <stp>BDP|6525323067744606232</stp>
        <tr r="D4204" s="2"/>
      </tp>
      <tp t="s">
        <v>#N/A N/A</v>
        <stp/>
        <stp>BDP|7587427546857436500</stp>
        <tr r="B3743" s="2"/>
      </tp>
      <tp t="s">
        <v>#N/A N/A</v>
        <stp/>
        <stp>BDP|2756767153275143060</stp>
        <tr r="H1641" s="2"/>
      </tp>
      <tp t="s">
        <v>#N/A N/A</v>
        <stp/>
        <stp>BDP|8765662915249014313</stp>
        <tr r="B2513" s="2"/>
      </tp>
      <tp t="s">
        <v>#N/A N/A</v>
        <stp/>
        <stp>BDP|4786038423873088024</stp>
        <tr r="C1983" s="2"/>
      </tp>
      <tp t="s">
        <v>#N/A N/A</v>
        <stp/>
        <stp>BDP|4987731831833661683</stp>
        <tr r="I4852" s="2"/>
      </tp>
      <tp t="s">
        <v>#N/A N/A</v>
        <stp/>
        <stp>BDP|3608316541671674053</stp>
        <tr r="D2988" s="2"/>
      </tp>
      <tp t="s">
        <v>#N/A N/A</v>
        <stp/>
        <stp>BDP|6241796106203976710</stp>
        <tr r="F1489" s="2"/>
      </tp>
      <tp t="s">
        <v>#N/A N/A</v>
        <stp/>
        <stp>BDP|6251626843387250642</stp>
        <tr r="A4005" s="2"/>
      </tp>
      <tp t="s">
        <v>#N/A N/A</v>
        <stp/>
        <stp>BDP|8280774572948303512</stp>
        <tr r="G4822" s="2"/>
      </tp>
      <tp t="s">
        <v>#N/A N/A</v>
        <stp/>
        <stp>BDP|3173708441656761328</stp>
        <tr r="B357" s="2"/>
      </tp>
      <tp t="s">
        <v>#N/A N/A</v>
        <stp/>
        <stp>BDP|5961699150285225678</stp>
        <tr r="A150" s="2"/>
      </tp>
      <tp t="s">
        <v>#N/A N/A</v>
        <stp/>
        <stp>BDP|1811067203726958213</stp>
        <tr r="B4220" s="2"/>
      </tp>
      <tp t="s">
        <v>#N/A N/A</v>
        <stp/>
        <stp>BDP|6934341879221864691</stp>
        <tr r="B4258" s="2"/>
      </tp>
      <tp t="s">
        <v>#N/A N/A</v>
        <stp/>
        <stp>BDP|4720755673831082041</stp>
        <tr r="A4533" s="2"/>
      </tp>
      <tp t="s">
        <v>#N/A N/A</v>
        <stp/>
        <stp>BDP|8866669138350192823</stp>
        <tr r="I4031" s="2"/>
      </tp>
      <tp t="s">
        <v>#N/A N/A</v>
        <stp/>
        <stp>BDP|5507076912601146042</stp>
        <tr r="G1549" s="2"/>
      </tp>
      <tp t="s">
        <v>#N/A N/A</v>
        <stp/>
        <stp>BDP|4685466745667837572</stp>
        <tr r="F3806" s="2"/>
      </tp>
      <tp t="s">
        <v>#N/A N/A</v>
        <stp/>
        <stp>BDP|1680542800151100392</stp>
        <tr r="D1165" s="2"/>
      </tp>
      <tp t="s">
        <v>#N/A N/A</v>
        <stp/>
        <stp>BDP|7915424212195349108</stp>
        <tr r="H1187" s="2"/>
      </tp>
      <tp t="s">
        <v>#N/A N/A</v>
        <stp/>
        <stp>BDP|9906437802979174231</stp>
        <tr r="H3822" s="2"/>
      </tp>
      <tp t="s">
        <v>#N/A N/A</v>
        <stp/>
        <stp>BDP|1631389851568571900</stp>
        <tr r="I1203" s="2"/>
      </tp>
      <tp t="s">
        <v>#N/A N/A</v>
        <stp/>
        <stp>BDP|8882142590077496128</stp>
        <tr r="A2339" s="2"/>
      </tp>
      <tp t="s">
        <v>#N/A N/A</v>
        <stp/>
        <stp>BDP|4780573921072280798</stp>
        <tr r="H3921" s="2"/>
      </tp>
      <tp t="s">
        <v>#N/A N/A</v>
        <stp/>
        <stp>BDP|6457746963278196983</stp>
        <tr r="A3083" s="2"/>
      </tp>
      <tp t="s">
        <v>#N/A N/A</v>
        <stp/>
        <stp>BDP|9240920464327846769</stp>
        <tr r="C714" s="2"/>
      </tp>
      <tp t="s">
        <v>#N/A N/A</v>
        <stp/>
        <stp>BDP|7505606766190898114</stp>
        <tr r="C330" s="2"/>
      </tp>
      <tp t="s">
        <v>#N/A N/A</v>
        <stp/>
        <stp>BDP|3111344938946702306</stp>
        <tr r="C1265" s="2"/>
      </tp>
      <tp t="s">
        <v>#N/A N/A</v>
        <stp/>
        <stp>BDP|8238724748919434467</stp>
        <tr r="I2656" s="2"/>
      </tp>
      <tp t="s">
        <v>#N/A N/A</v>
        <stp/>
        <stp>BDP|1652253402033983623</stp>
        <tr r="G4262" s="2"/>
      </tp>
      <tp t="s">
        <v>#N/A N/A</v>
        <stp/>
        <stp>BDP|1973378214137824281</stp>
        <tr r="G1878" s="2"/>
      </tp>
      <tp t="s">
        <v>#N/A N/A</v>
        <stp/>
        <stp>BDP|8176952140626782596</stp>
        <tr r="H1058" s="2"/>
      </tp>
      <tp t="s">
        <v>#N/A N/A</v>
        <stp/>
        <stp>BDP|7248921379357480873</stp>
        <tr r="G4820" s="2"/>
      </tp>
      <tp t="s">
        <v>#N/A N/A</v>
        <stp/>
        <stp>BDP|5892068922654386552</stp>
        <tr r="A3042" s="2"/>
      </tp>
      <tp t="s">
        <v>#N/A N/A</v>
        <stp/>
        <stp>BDP|1794693120762028142</stp>
        <tr r="A4160" s="2"/>
      </tp>
      <tp t="s">
        <v>#N/A N/A</v>
        <stp/>
        <stp>BDP|4213992277575531939</stp>
        <tr r="G2597" s="2"/>
      </tp>
      <tp t="s">
        <v>#N/A N/A</v>
        <stp/>
        <stp>BDP|4975324059161091587</stp>
        <tr r="C3843" s="2"/>
      </tp>
      <tp t="s">
        <v>#N/A N/A</v>
        <stp/>
        <stp>BDP|9881470585094654761</stp>
        <tr r="C4497" s="2"/>
      </tp>
      <tp t="s">
        <v>#N/A N/A</v>
        <stp/>
        <stp>BDP|7612690187839554673</stp>
        <tr r="I4259" s="2"/>
      </tp>
      <tp t="s">
        <v>#N/A N/A</v>
        <stp/>
        <stp>BDP|3615230161963801267</stp>
        <tr r="H1315" s="2"/>
      </tp>
      <tp t="s">
        <v>#N/A N/A</v>
        <stp/>
        <stp>BDP|1651099667421429065</stp>
        <tr r="D2933" s="2"/>
      </tp>
      <tp t="s">
        <v>#N/A N/A</v>
        <stp/>
        <stp>BDP|9616662631593285991</stp>
        <tr r="B1124" s="2"/>
      </tp>
      <tp t="s">
        <v>#N/A N/A</v>
        <stp/>
        <stp>BDP|7496234119136229461</stp>
        <tr r="H1853" s="2"/>
      </tp>
      <tp t="s">
        <v>#N/A N/A</v>
        <stp/>
        <stp>BDP|1084882118526261887</stp>
        <tr r="I3467" s="2"/>
      </tp>
      <tp t="s">
        <v>#N/A N/A</v>
        <stp/>
        <stp>BDP|8908043897744422348</stp>
        <tr r="F1217" s="2"/>
      </tp>
      <tp t="s">
        <v>#N/A N/A</v>
        <stp/>
        <stp>BDP|3325719758701332631</stp>
        <tr r="A4454" s="2"/>
      </tp>
      <tp t="s">
        <v>#N/A N/A</v>
        <stp/>
        <stp>BDP|9949502196986382569</stp>
        <tr r="G224" s="2"/>
      </tp>
      <tp t="s">
        <v>#N/A N/A</v>
        <stp/>
        <stp>BDP|8489017183063574596</stp>
        <tr r="C2663" s="2"/>
      </tp>
      <tp t="s">
        <v>#N/A N/A</v>
        <stp/>
        <stp>BDP|1238233324713778481</stp>
        <tr r="I3460" s="2"/>
      </tp>
      <tp t="s">
        <v>#N/A N/A</v>
        <stp/>
        <stp>BDP|7942529720880307624</stp>
        <tr r="G4195" s="2"/>
      </tp>
      <tp t="s">
        <v>#N/A N/A</v>
        <stp/>
        <stp>BDP|5750372728771775357</stp>
        <tr r="H1812" s="2"/>
      </tp>
      <tp t="s">
        <v>#N/A N/A</v>
        <stp/>
        <stp>BDP|6271434028282019430</stp>
        <tr r="B484" s="2"/>
      </tp>
      <tp t="s">
        <v>#N/A N/A</v>
        <stp/>
        <stp>BDP|1566036654134931612</stp>
        <tr r="G1868" s="2"/>
      </tp>
      <tp t="s">
        <v>#N/A N/A</v>
        <stp/>
        <stp>BDP|2513346728392744740</stp>
        <tr r="H3881" s="2"/>
      </tp>
      <tp t="s">
        <v>#N/A N/A</v>
        <stp/>
        <stp>BDP|3549381325456716250</stp>
        <tr r="C1091" s="2"/>
      </tp>
      <tp t="s">
        <v>#N/A N/A</v>
        <stp/>
        <stp>BDP|7444457155268915873</stp>
        <tr r="I4460" s="2"/>
      </tp>
      <tp t="s">
        <v>#N/A N/A</v>
        <stp/>
        <stp>BDP|9813571016948425378</stp>
        <tr r="G584" s="2"/>
      </tp>
      <tp t="s">
        <v>#N/A N/A</v>
        <stp/>
        <stp>BDP|5159959559837463831</stp>
        <tr r="B529" s="2"/>
      </tp>
      <tp t="s">
        <v>#N/A N/A</v>
        <stp/>
        <stp>BDP|5044242440454798198</stp>
        <tr r="I4485" s="2"/>
      </tp>
      <tp t="s">
        <v>#N/A N/A</v>
        <stp/>
        <stp>BDP|3418092015354726051</stp>
        <tr r="G4768" s="2"/>
      </tp>
      <tp t="s">
        <v>#N/A N/A</v>
        <stp/>
        <stp>BDP|5436561158963615068</stp>
        <tr r="F746" s="2"/>
      </tp>
      <tp t="s">
        <v>#N/A N/A</v>
        <stp/>
        <stp>BDP|6375382244653446415</stp>
        <tr r="I1336" s="2"/>
      </tp>
      <tp t="s">
        <v>#N/A N/A</v>
        <stp/>
        <stp>BDP|7176410421346271191</stp>
        <tr r="G1393" s="2"/>
      </tp>
      <tp t="s">
        <v>#N/A N/A</v>
        <stp/>
        <stp>BDP|3355563162656843056</stp>
        <tr r="G3897" s="2"/>
      </tp>
      <tp t="s">
        <v>#N/A N/A</v>
        <stp/>
        <stp>BDP|6773461606382471690</stp>
        <tr r="I2679" s="2"/>
      </tp>
      <tp t="s">
        <v>#N/A N/A</v>
        <stp/>
        <stp>BDP|8866945027775408056</stp>
        <tr r="C371" s="2"/>
      </tp>
      <tp t="s">
        <v>#N/A N/A</v>
        <stp/>
        <stp>BDP|4934243271932091565</stp>
        <tr r="F4720" s="2"/>
      </tp>
      <tp t="s">
        <v>#N/A N/A</v>
        <stp/>
        <stp>BDP|8334747768457173842</stp>
        <tr r="B2990" s="2"/>
      </tp>
      <tp t="s">
        <v>#N/A N/A</v>
        <stp/>
        <stp>BDP|2902970265653356826</stp>
        <tr r="D122" s="2"/>
      </tp>
      <tp t="s">
        <v>#N/A N/A</v>
        <stp/>
        <stp>BDP|2915231551004223737</stp>
        <tr r="F2924" s="2"/>
      </tp>
      <tp t="s">
        <v>#N/A N/A</v>
        <stp/>
        <stp>BDP|5610129827374091497</stp>
        <tr r="I2269" s="2"/>
      </tp>
      <tp t="s">
        <v>#N/A N/A</v>
        <stp/>
        <stp>BDP|9648580378205572894</stp>
        <tr r="D180" s="2"/>
      </tp>
      <tp t="s">
        <v>#N/A N/A</v>
        <stp/>
        <stp>BDP|2387349530813948748</stp>
        <tr r="G16" s="2"/>
      </tp>
      <tp t="s">
        <v>#N/A N/A</v>
        <stp/>
        <stp>BDP|5944522351192323131</stp>
        <tr r="A3723" s="2"/>
      </tp>
      <tp t="s">
        <v>#N/A N/A</v>
        <stp/>
        <stp>BDP|8264204479858743369</stp>
        <tr r="I4860" s="2"/>
      </tp>
      <tp t="s">
        <v>#N/A N/A</v>
        <stp/>
        <stp>BDP|7977641163643435204</stp>
        <tr r="A1248" s="2"/>
      </tp>
      <tp t="s">
        <v>#N/A N/A</v>
        <stp/>
        <stp>BDP|8455477168379420554</stp>
        <tr r="H425" s="2"/>
      </tp>
      <tp t="s">
        <v>#N/A N/A</v>
        <stp/>
        <stp>BDP|5227262399718528022</stp>
        <tr r="F3224" s="2"/>
      </tp>
      <tp t="s">
        <v>#N/A N/A</v>
        <stp/>
        <stp>BDP|8011877745182161096</stp>
        <tr r="B138" s="2"/>
      </tp>
      <tp t="s">
        <v>#N/A N/A</v>
        <stp/>
        <stp>BDP|6449117214763355386</stp>
        <tr r="C3283" s="2"/>
      </tp>
      <tp t="s">
        <v>#N/A N/A</v>
        <stp/>
        <stp>BDP|9595122757662982933</stp>
        <tr r="A1802" s="2"/>
      </tp>
      <tp t="s">
        <v>#N/A N/A</v>
        <stp/>
        <stp>BDP|9742887329957482284</stp>
        <tr r="B2639" s="2"/>
      </tp>
      <tp t="s">
        <v>#N/A N/A</v>
        <stp/>
        <stp>BDP|8956459907849273335</stp>
        <tr r="A3129" s="2"/>
      </tp>
      <tp t="s">
        <v>#N/A N/A</v>
        <stp/>
        <stp>BDP|2579463430256122582</stp>
        <tr r="I1113" s="2"/>
      </tp>
      <tp t="s">
        <v>#N/A N/A</v>
        <stp/>
        <stp>BDP|1713302456056869733</stp>
        <tr r="C3379" s="2"/>
      </tp>
      <tp t="s">
        <v>#N/A N/A</v>
        <stp/>
        <stp>BDP|4725852455948963756</stp>
        <tr r="B3694" s="2"/>
      </tp>
      <tp t="s">
        <v>#N/A N/A</v>
        <stp/>
        <stp>BDP|7837588937576503197</stp>
        <tr r="A2753" s="2"/>
      </tp>
      <tp t="s">
        <v>#N/A N/A</v>
        <stp/>
        <stp>BDP|3612148618561369423</stp>
        <tr r="G1770" s="2"/>
      </tp>
      <tp t="s">
        <v>#N/A N/A</v>
        <stp/>
        <stp>BDP|6024820596892743387</stp>
        <tr r="I2484" s="2"/>
      </tp>
      <tp t="s">
        <v>#N/A N/A</v>
        <stp/>
        <stp>BDP|4417278491039155084</stp>
        <tr r="B3392" s="2"/>
      </tp>
      <tp t="s">
        <v>#N/A N/A</v>
        <stp/>
        <stp>BDP|6819413871383089031</stp>
        <tr r="D615" s="2"/>
      </tp>
      <tp t="s">
        <v>#N/A N/A</v>
        <stp/>
        <stp>BDP|1298616957667826373</stp>
        <tr r="D4210" s="2"/>
      </tp>
      <tp t="s">
        <v>#N/A N/A</v>
        <stp/>
        <stp>BDP|2194598313032696260</stp>
        <tr r="G949" s="2"/>
      </tp>
      <tp t="s">
        <v>#N/A N/A</v>
        <stp/>
        <stp>BDP|3692640325459808845</stp>
        <tr r="D738" s="2"/>
      </tp>
      <tp t="s">
        <v>#N/A N/A</v>
        <stp/>
        <stp>BDP|3980976497565128031</stp>
        <tr r="D4740" s="2"/>
      </tp>
      <tp t="s">
        <v>#N/A N/A</v>
        <stp/>
        <stp>BDP|3516236248981528207</stp>
        <tr r="I4624" s="2"/>
      </tp>
      <tp t="s">
        <v>#N/A N/A</v>
        <stp/>
        <stp>BDP|8812336060808511355</stp>
        <tr r="D3876" s="2"/>
      </tp>
      <tp t="s">
        <v>#N/A N/A</v>
        <stp/>
        <stp>BDP|4899207261586044025</stp>
        <tr r="H4457" s="2"/>
      </tp>
      <tp t="s">
        <v>#N/A N/A</v>
        <stp/>
        <stp>BDP|7126351173614477188</stp>
        <tr r="B838" s="2"/>
      </tp>
      <tp t="s">
        <v>#N/A N/A</v>
        <stp/>
        <stp>BDP|2397292138845981001</stp>
        <tr r="C4822" s="2"/>
      </tp>
      <tp t="s">
        <v>#N/A N/A</v>
        <stp/>
        <stp>BDP|2459719703130441393</stp>
        <tr r="A464" s="2"/>
      </tp>
      <tp t="s">
        <v>#N/A N/A</v>
        <stp/>
        <stp>BDP|8970813372195162409</stp>
        <tr r="D172" s="2"/>
      </tp>
      <tp t="s">
        <v>#N/A N/A</v>
        <stp/>
        <stp>BDP|2174140321735947269</stp>
        <tr r="H546" s="2"/>
      </tp>
      <tp t="s">
        <v>#N/A N/A</v>
        <stp/>
        <stp>BDP|8505593096811547342</stp>
        <tr r="D136" s="2"/>
      </tp>
      <tp t="s">
        <v>#N/A N/A</v>
        <stp/>
        <stp>BDP|6418532547811951023</stp>
        <tr r="I645" s="2"/>
      </tp>
      <tp t="s">
        <v>#N/A N/A</v>
        <stp/>
        <stp>BDP|5323796663921136332</stp>
        <tr r="G2975" s="2"/>
      </tp>
      <tp t="s">
        <v>#N/A N/A</v>
        <stp/>
        <stp>BDP|6811101520415697651</stp>
        <tr r="A1154" s="2"/>
      </tp>
      <tp t="s">
        <v>#N/A N/A</v>
        <stp/>
        <stp>BDP|9704499804853095814</stp>
        <tr r="B1717" s="2"/>
      </tp>
      <tp t="s">
        <v>#N/A N/A</v>
        <stp/>
        <stp>BDP|4834249985700282809</stp>
        <tr r="F626" s="2"/>
      </tp>
      <tp t="s">
        <v>#N/A N/A</v>
        <stp/>
        <stp>BDP|4845391328300411368</stp>
        <tr r="F1795" s="2"/>
      </tp>
      <tp t="s">
        <v>#N/A N/A</v>
        <stp/>
        <stp>BDP|6846418501145277115</stp>
        <tr r="G734" s="2"/>
      </tp>
      <tp t="s">
        <v>#N/A N/A</v>
        <stp/>
        <stp>BDP|1456159919870484773</stp>
        <tr r="H329" s="2"/>
      </tp>
      <tp t="s">
        <v>#N/A N/A</v>
        <stp/>
        <stp>BDP|6312386662892291709</stp>
        <tr r="F4361" s="2"/>
      </tp>
      <tp t="s">
        <v>#N/A N/A</v>
        <stp/>
        <stp>BDP|2654707168463081650</stp>
        <tr r="A1134" s="2"/>
      </tp>
      <tp t="s">
        <v>#N/A N/A</v>
        <stp/>
        <stp>BDP|9324248459008638037</stp>
        <tr r="A2865" s="2"/>
      </tp>
      <tp t="s">
        <v>#N/A N/A</v>
        <stp/>
        <stp>BDP|6650458419566618377</stp>
        <tr r="B2109" s="2"/>
      </tp>
      <tp t="s">
        <v>#N/A N/A</v>
        <stp/>
        <stp>BDP|1387550773732870769</stp>
        <tr r="D752" s="2"/>
      </tp>
      <tp t="s">
        <v>#N/A N/A</v>
        <stp/>
        <stp>BDP|4041679327801941720</stp>
        <tr r="C3116" s="2"/>
      </tp>
      <tp t="s">
        <v>#N/A N/A</v>
        <stp/>
        <stp>BDP|9907117696982375568</stp>
        <tr r="G4955" s="2"/>
      </tp>
      <tp t="s">
        <v>#N/A N/A</v>
        <stp/>
        <stp>BDP|5733002906135926633</stp>
        <tr r="I604" s="2"/>
      </tp>
      <tp t="s">
        <v>#N/A N/A</v>
        <stp/>
        <stp>BDP|6079701253003803107</stp>
        <tr r="A2020" s="2"/>
      </tp>
      <tp t="s">
        <v>#N/A N/A</v>
        <stp/>
        <stp>BDP|7956704342870196210</stp>
        <tr r="C3628" s="2"/>
      </tp>
      <tp t="s">
        <v>#N/A N/A</v>
        <stp/>
        <stp>BDP|8869996840290808322</stp>
        <tr r="C1563" s="2"/>
      </tp>
      <tp t="s">
        <v>#N/A N/A</v>
        <stp/>
        <stp>BDP|5815001897378619222</stp>
        <tr r="G2954" s="2"/>
      </tp>
      <tp t="s">
        <v>#N/A N/A</v>
        <stp/>
        <stp>BDP|4217720852464901405</stp>
        <tr r="A3084" s="2"/>
      </tp>
      <tp t="s">
        <v>#N/A N/A</v>
        <stp/>
        <stp>BDP|8688593768554592997</stp>
        <tr r="H4251" s="2"/>
      </tp>
      <tp t="s">
        <v>#N/A N/A</v>
        <stp/>
        <stp>BDP|4316046063360744483</stp>
        <tr r="C2693" s="2"/>
      </tp>
      <tp t="s">
        <v>#N/A N/A</v>
        <stp/>
        <stp>BDP|4495696820982435426</stp>
        <tr r="H4833" s="2"/>
      </tp>
      <tp t="s">
        <v>#N/A N/A</v>
        <stp/>
        <stp>BDP|1548505127996922609</stp>
        <tr r="G1610" s="2"/>
      </tp>
      <tp t="s">
        <v>#N/A N/A</v>
        <stp/>
        <stp>BDP|5555018309100489327</stp>
        <tr r="C1996" s="2"/>
      </tp>
      <tp t="s">
        <v>#N/A N/A</v>
        <stp/>
        <stp>BDP|7478275969345430050</stp>
        <tr r="A2586" s="2"/>
      </tp>
      <tp t="s">
        <v>#N/A N/A</v>
        <stp/>
        <stp>BDP|6092879072069704692</stp>
        <tr r="F2970" s="2"/>
      </tp>
      <tp t="s">
        <v>#N/A N/A</v>
        <stp/>
        <stp>BDP|6630701474194112480</stp>
        <tr r="G1432" s="2"/>
      </tp>
      <tp t="s">
        <v>#N/A N/A</v>
        <stp/>
        <stp>BDP|2243439649335287113</stp>
        <tr r="C2425" s="2"/>
      </tp>
      <tp t="s">
        <v>#N/A N/A</v>
        <stp/>
        <stp>BDP|2334198005562630728</stp>
        <tr r="C3654" s="2"/>
      </tp>
      <tp t="s">
        <v>#N/A N/A</v>
        <stp/>
        <stp>BDP|8533807100817700199</stp>
        <tr r="B3919" s="2"/>
      </tp>
      <tp t="s">
        <v>#N/A N/A</v>
        <stp/>
        <stp>BDP|7958607514211701715</stp>
        <tr r="F1412" s="2"/>
      </tp>
      <tp t="s">
        <v>#N/A N/A</v>
        <stp/>
        <stp>BDP|9309925875152809371</stp>
        <tr r="H34" s="2"/>
      </tp>
      <tp t="s">
        <v>#N/A N/A</v>
        <stp/>
        <stp>BDP|4488198124219157832</stp>
        <tr r="F1453" s="2"/>
      </tp>
      <tp t="s">
        <v>#N/A N/A</v>
        <stp/>
        <stp>BDP|2380703733848278891</stp>
        <tr r="C4275" s="2"/>
      </tp>
      <tp t="s">
        <v>#N/A N/A</v>
        <stp/>
        <stp>BDP|2035499270222583574</stp>
        <tr r="H904" s="2"/>
      </tp>
      <tp t="s">
        <v>#N/A N/A</v>
        <stp/>
        <stp>BDP|5511491872189350960</stp>
        <tr r="I3877" s="2"/>
      </tp>
      <tp t="s">
        <v>#N/A N/A</v>
        <stp/>
        <stp>BDP|4738343448037577253</stp>
        <tr r="C656" s="2"/>
      </tp>
      <tp t="s">
        <v>#N/A N/A</v>
        <stp/>
        <stp>BDP|3410549620974276691</stp>
        <tr r="H4114" s="2"/>
      </tp>
      <tp t="s">
        <v>#N/A N/A</v>
        <stp/>
        <stp>BDP|3750708079866577305</stp>
        <tr r="D2026" s="2"/>
      </tp>
      <tp t="s">
        <v>#N/A N/A</v>
        <stp/>
        <stp>BDP|8866968915642199416</stp>
        <tr r="D1782" s="2"/>
      </tp>
      <tp t="s">
        <v>#N/A N/A</v>
        <stp/>
        <stp>BDP|1511274809546863381</stp>
        <tr r="I2136" s="2"/>
      </tp>
      <tp t="s">
        <v>#N/A N/A</v>
        <stp/>
        <stp>BDP|9647518896770350399</stp>
        <tr r="H1744" s="2"/>
      </tp>
      <tp t="s">
        <v>#N/A N/A</v>
        <stp/>
        <stp>BDP|7250925682051918106</stp>
        <tr r="C742" s="2"/>
      </tp>
      <tp t="s">
        <v>#N/A N/A</v>
        <stp/>
        <stp>BDP|4024347328972794103</stp>
        <tr r="A4050" s="2"/>
      </tp>
      <tp t="s">
        <v>#N/A N/A</v>
        <stp/>
        <stp>BDP|7282842782654785582</stp>
        <tr r="A2468" s="2"/>
      </tp>
      <tp t="s">
        <v>#N/A N/A</v>
        <stp/>
        <stp>BDP|7181459320900993767</stp>
        <tr r="C231" s="2"/>
      </tp>
      <tp t="s">
        <v>#N/A N/A</v>
        <stp/>
        <stp>BDP|7491474918665484145</stp>
        <tr r="D2374" s="2"/>
      </tp>
      <tp t="s">
        <v>#N/A N/A</v>
        <stp/>
        <stp>BDP|9000787675996639934</stp>
        <tr r="F961" s="2"/>
      </tp>
      <tp t="s">
        <v>#N/A N/A</v>
        <stp/>
        <stp>BDP|6927457920847574113</stp>
        <tr r="H1057" s="2"/>
      </tp>
      <tp t="s">
        <v>#N/A N/A</v>
        <stp/>
        <stp>BDP|1874843728898925557</stp>
        <tr r="A3087" s="2"/>
      </tp>
      <tp t="s">
        <v>#N/A N/A</v>
        <stp/>
        <stp>BDP|4931628945439503936</stp>
        <tr r="B2549" s="2"/>
      </tp>
      <tp t="s">
        <v>#N/A N/A</v>
        <stp/>
        <stp>BDP|3074419916736605690</stp>
        <tr r="C2686" s="2"/>
      </tp>
      <tp t="s">
        <v>#N/A N/A</v>
        <stp/>
        <stp>BDP|7028982990911842085</stp>
        <tr r="A2720" s="2"/>
      </tp>
      <tp t="s">
        <v>#N/A N/A</v>
        <stp/>
        <stp>BDP|6111978795735253590</stp>
        <tr r="F4942" s="2"/>
      </tp>
      <tp t="s">
        <v>#N/A N/A</v>
        <stp/>
        <stp>BDP|6935171074001185731</stp>
        <tr r="F2360" s="2"/>
      </tp>
      <tp t="s">
        <v>#N/A N/A</v>
        <stp/>
        <stp>BDP|5385269723157834468</stp>
        <tr r="I2184" s="2"/>
      </tp>
      <tp t="s">
        <v>#N/A N/A</v>
        <stp/>
        <stp>BDP|8772999117990949688</stp>
        <tr r="G2583" s="2"/>
      </tp>
      <tp t="s">
        <v>#N/A N/A</v>
        <stp/>
        <stp>BDP|8499322084713950632</stp>
        <tr r="D4508" s="2"/>
      </tp>
      <tp t="s">
        <v>#N/A N/A</v>
        <stp/>
        <stp>BDP|1679886982922758536</stp>
        <tr r="G4746" s="2"/>
      </tp>
      <tp t="s">
        <v>#N/A N/A</v>
        <stp/>
        <stp>BDP|8818871171792494324</stp>
        <tr r="B2651" s="2"/>
      </tp>
      <tp t="s">
        <v>#N/A N/A</v>
        <stp/>
        <stp>BDP|6807108440231586458</stp>
        <tr r="D3320" s="2"/>
      </tp>
      <tp t="s">
        <v>#N/A N/A</v>
        <stp/>
        <stp>BDP|7877158029620579294</stp>
        <tr r="A1429" s="2"/>
      </tp>
      <tp t="s">
        <v>#N/A N/A</v>
        <stp/>
        <stp>BDP|8107469833371955855</stp>
        <tr r="H813" s="2"/>
      </tp>
      <tp t="s">
        <v>#N/A N/A</v>
        <stp/>
        <stp>BDP|4270381128706285584</stp>
        <tr r="C2546" s="2"/>
      </tp>
      <tp t="s">
        <v>#N/A N/A</v>
        <stp/>
        <stp>BDP|2138607128659379928</stp>
        <tr r="H4286" s="2"/>
      </tp>
      <tp t="s">
        <v>#N/A N/A</v>
        <stp/>
        <stp>BDP|8477749589820736168</stp>
        <tr r="A2245" s="2"/>
      </tp>
      <tp t="s">
        <v>#N/A N/A</v>
        <stp/>
        <stp>BDP|8212942813881842752</stp>
        <tr r="A4776" s="2"/>
      </tp>
      <tp t="s">
        <v>#N/A N/A</v>
        <stp/>
        <stp>BDP|1218196365292103278</stp>
        <tr r="H4158" s="2"/>
      </tp>
      <tp t="s">
        <v>#N/A N/A</v>
        <stp/>
        <stp>BDP|6762487112494509109</stp>
        <tr r="F87" s="2"/>
      </tp>
      <tp t="s">
        <v>#N/A N/A</v>
        <stp/>
        <stp>BDP|7858598581699019586</stp>
        <tr r="D4974" s="2"/>
      </tp>
      <tp t="s">
        <v>#N/A N/A</v>
        <stp/>
        <stp>BDP|4458955199895348730</stp>
        <tr r="D1859" s="2"/>
      </tp>
      <tp t="s">
        <v>#N/A N/A</v>
        <stp/>
        <stp>BDP|7021731089928374612</stp>
        <tr r="F196" s="2"/>
      </tp>
      <tp t="s">
        <v>#N/A N/A</v>
        <stp/>
        <stp>BDP|4373380722925096618</stp>
        <tr r="A2812" s="2"/>
      </tp>
      <tp t="s">
        <v>#N/A N/A</v>
        <stp/>
        <stp>BDP|5992516400656337034</stp>
        <tr r="C1757" s="2"/>
      </tp>
      <tp t="s">
        <v>#N/A N/A</v>
        <stp/>
        <stp>BDP|4888426208731870720</stp>
        <tr r="H1550" s="2"/>
      </tp>
      <tp t="s">
        <v>#N/A N/A</v>
        <stp/>
        <stp>BDP|1233791424030443237</stp>
        <tr r="G2102" s="2"/>
      </tp>
      <tp t="s">
        <v>#N/A N/A</v>
        <stp/>
        <stp>BDP|6328354256502169494</stp>
        <tr r="D2066" s="2"/>
      </tp>
      <tp t="s">
        <v>#N/A N/A</v>
        <stp/>
        <stp>BDP|6867905461056675975</stp>
        <tr r="C151" s="2"/>
      </tp>
      <tp t="s">
        <v>#N/A N/A</v>
        <stp/>
        <stp>BDP|6977768860101763009</stp>
        <tr r="C530" s="2"/>
      </tp>
      <tp t="s">
        <v>#N/A N/A</v>
        <stp/>
        <stp>BDP|9132937380306200887</stp>
        <tr r="G1731" s="2"/>
      </tp>
      <tp t="s">
        <v>#N/A N/A</v>
        <stp/>
        <stp>BDP|1564479429839521865</stp>
        <tr r="F1594" s="2"/>
      </tp>
      <tp t="s">
        <v>#N/A N/A</v>
        <stp/>
        <stp>BDP|7333003020534362783</stp>
        <tr r="F4367" s="2"/>
      </tp>
      <tp t="s">
        <v>#N/A N/A</v>
        <stp/>
        <stp>BDP|5073783786619679505</stp>
        <tr r="I3987" s="2"/>
      </tp>
      <tp t="s">
        <v>#N/A N/A</v>
        <stp/>
        <stp>BDP|5751391265571707742</stp>
        <tr r="D3201" s="2"/>
      </tp>
      <tp t="s">
        <v>#N/A N/A</v>
        <stp/>
        <stp>BDP|6350422013580285589</stp>
        <tr r="D3857" s="2"/>
      </tp>
      <tp t="s">
        <v>#N/A N/A</v>
        <stp/>
        <stp>BDP|1762273939674842294</stp>
        <tr r="C3016" s="2"/>
      </tp>
      <tp t="s">
        <v>#N/A N/A</v>
        <stp/>
        <stp>BDP|5301265410700901040</stp>
        <tr r="G2964" s="2"/>
      </tp>
      <tp t="s">
        <v>#N/A N/A</v>
        <stp/>
        <stp>BDP|7492107506747227789</stp>
        <tr r="A3592" s="2"/>
      </tp>
      <tp t="s">
        <v>#N/A N/A</v>
        <stp/>
        <stp>BDP|5733812132369423182</stp>
        <tr r="H647" s="2"/>
      </tp>
      <tp t="s">
        <v>#N/A N/A</v>
        <stp/>
        <stp>BDP|4945241555031771470</stp>
        <tr r="C1449" s="2"/>
      </tp>
      <tp t="s">
        <v>#N/A N/A</v>
        <stp/>
        <stp>BDP|1323091923447930286</stp>
        <tr r="H2074" s="2"/>
      </tp>
      <tp t="s">
        <v>#N/A N/A</v>
        <stp/>
        <stp>BDP|9242982502175359330</stp>
        <tr r="G3609" s="2"/>
      </tp>
      <tp t="s">
        <v>#N/A N/A</v>
        <stp/>
        <stp>BDP|9586091654639699364</stp>
        <tr r="G4389" s="2"/>
      </tp>
      <tp t="s">
        <v>#N/A N/A</v>
        <stp/>
        <stp>BDP|5668715570753913067</stp>
        <tr r="A3212" s="2"/>
      </tp>
      <tp t="s">
        <v>#N/A N/A</v>
        <stp/>
        <stp>BDP|3454609180668495386</stp>
        <tr r="A456" s="2"/>
      </tp>
      <tp t="s">
        <v>#N/A N/A</v>
        <stp/>
        <stp>BDP|3932170033451257677</stp>
        <tr r="A810" s="2"/>
      </tp>
      <tp t="s">
        <v>#N/A N/A</v>
        <stp/>
        <stp>BDP|5681210015618293882</stp>
        <tr r="A2742" s="2"/>
      </tp>
      <tp t="s">
        <v>#N/A N/A</v>
        <stp/>
        <stp>BDP|4637354919211274107</stp>
        <tr r="A2372" s="2"/>
      </tp>
      <tp t="s">
        <v>#N/A N/A</v>
        <stp/>
        <stp>BDP|1212614069210114732</stp>
        <tr r="C4739" s="2"/>
      </tp>
      <tp t="s">
        <v>#N/A N/A</v>
        <stp/>
        <stp>BDP|4667932022181950864</stp>
        <tr r="H3089" s="2"/>
      </tp>
      <tp t="s">
        <v>#N/A N/A</v>
        <stp/>
        <stp>BDP|1643989394401399614</stp>
        <tr r="H3518" s="2"/>
      </tp>
      <tp t="s">
        <v>#N/A N/A</v>
        <stp/>
        <stp>BDP|3608602608226235547</stp>
        <tr r="F1050" s="2"/>
      </tp>
      <tp t="s">
        <v>#N/A N/A</v>
        <stp/>
        <stp>BDP|5258001072045836103</stp>
        <tr r="A571" s="2"/>
      </tp>
      <tp t="s">
        <v>#N/A N/A</v>
        <stp/>
        <stp>BDP|9164476187640144385</stp>
        <tr r="F1348" s="2"/>
      </tp>
      <tp t="s">
        <v>#N/A N/A</v>
        <stp/>
        <stp>BDP|1936440311167674522</stp>
        <tr r="A2470" s="2"/>
      </tp>
      <tp t="s">
        <v>#N/A N/A</v>
        <stp/>
        <stp>BDP|4816704641750414154</stp>
        <tr r="I2729" s="2"/>
      </tp>
      <tp t="s">
        <v>#N/A N/A</v>
        <stp/>
        <stp>BDP|1851594108846678479</stp>
        <tr r="G4310" s="2"/>
      </tp>
      <tp t="s">
        <v>#N/A N/A</v>
        <stp/>
        <stp>BDP|7014476121043764497</stp>
        <tr r="B931" s="2"/>
      </tp>
      <tp t="s">
        <v>#N/A N/A</v>
        <stp/>
        <stp>BDP|8898687489616098617</stp>
        <tr r="D4212" s="2"/>
      </tp>
      <tp t="s">
        <v>#N/A N/A</v>
        <stp/>
        <stp>BDP|9187871693647582981</stp>
        <tr r="I4720" s="2"/>
      </tp>
      <tp t="s">
        <v>#N/A N/A</v>
        <stp/>
        <stp>BDP|8514752832843949939</stp>
        <tr r="D1306" s="2"/>
      </tp>
      <tp t="s">
        <v>#N/A N/A</v>
        <stp/>
        <stp>BDP|7370805874328849673</stp>
        <tr r="I4873" s="2"/>
      </tp>
      <tp t="s">
        <v>#N/A N/A</v>
        <stp/>
        <stp>BDP|6236275149497302174</stp>
        <tr r="F4782" s="2"/>
      </tp>
      <tp t="s">
        <v>#N/A N/A</v>
        <stp/>
        <stp>BDP|4646884180393621107</stp>
        <tr r="H4319" s="2"/>
      </tp>
      <tp t="s">
        <v>#N/A N/A</v>
        <stp/>
        <stp>BDP|2497608758704197346</stp>
        <tr r="H3778" s="2"/>
      </tp>
      <tp t="s">
        <v>#N/A N/A</v>
        <stp/>
        <stp>BDP|6863910154955700936</stp>
        <tr r="A2083" s="2"/>
      </tp>
      <tp t="s">
        <v>#N/A N/A</v>
        <stp/>
        <stp>BDP|2487003228016315063</stp>
        <tr r="F1622" s="2"/>
      </tp>
      <tp t="s">
        <v>#N/A N/A</v>
        <stp/>
        <stp>BDP|5210652655124225499</stp>
        <tr r="A2084" s="2"/>
      </tp>
      <tp t="s">
        <v>#N/A N/A</v>
        <stp/>
        <stp>BDP|5643839908509448205</stp>
        <tr r="F527" s="2"/>
      </tp>
      <tp t="s">
        <v>#N/A N/A</v>
        <stp/>
        <stp>BDP|1695992027215178907</stp>
        <tr r="C2073" s="2"/>
      </tp>
      <tp t="s">
        <v>#N/A N/A</v>
        <stp/>
        <stp>BDP|3217604459215499367</stp>
        <tr r="F1878" s="2"/>
      </tp>
      <tp t="s">
        <v>#N/A N/A</v>
        <stp/>
        <stp>BDP|7803273717773282134</stp>
        <tr r="I3063" s="2"/>
      </tp>
      <tp t="s">
        <v>#N/A N/A</v>
        <stp/>
        <stp>BDP|6093333158435522374</stp>
        <tr r="G1441" s="2"/>
      </tp>
      <tp t="s">
        <v>#N/A N/A</v>
        <stp/>
        <stp>BDP|8314980825504451139</stp>
        <tr r="H4945" s="2"/>
      </tp>
      <tp t="s">
        <v>#N/A N/A</v>
        <stp/>
        <stp>BDP|7881685571767055784</stp>
        <tr r="A3804" s="2"/>
      </tp>
      <tp t="s">
        <v>#N/A N/A</v>
        <stp/>
        <stp>BDP|1713098757376982499</stp>
        <tr r="B4259" s="2"/>
      </tp>
      <tp t="s">
        <v>#N/A N/A</v>
        <stp/>
        <stp>BDP|6373017076362486590</stp>
        <tr r="B1978" s="2"/>
      </tp>
      <tp t="s">
        <v>#N/A N/A</v>
        <stp/>
        <stp>BDP|4644999994677186538</stp>
        <tr r="B3547" s="2"/>
      </tp>
      <tp t="s">
        <v>#N/A N/A</v>
        <stp/>
        <stp>BDP|8227797170287357919</stp>
        <tr r="A3923" s="2"/>
      </tp>
      <tp t="s">
        <v>#N/A N/A</v>
        <stp/>
        <stp>BDP|2947252510214567308</stp>
        <tr r="F2451" s="2"/>
      </tp>
      <tp t="s">
        <v>#N/A N/A</v>
        <stp/>
        <stp>BDP|7678103123796581491</stp>
        <tr r="H594" s="2"/>
      </tp>
      <tp t="s">
        <v>#N/A N/A</v>
        <stp/>
        <stp>BDP|7197218514966569484</stp>
        <tr r="D4873" s="2"/>
      </tp>
      <tp t="s">
        <v>#N/A N/A</v>
        <stp/>
        <stp>BDP|7089915238869776278</stp>
        <tr r="C1826" s="2"/>
      </tp>
      <tp t="s">
        <v>#N/A N/A</v>
        <stp/>
        <stp>BDP|5827562591338785716</stp>
        <tr r="H2799" s="2"/>
      </tp>
      <tp t="s">
        <v>#N/A N/A</v>
        <stp/>
        <stp>BDP|1933011475357497705</stp>
        <tr r="G4536" s="2"/>
      </tp>
      <tp t="s">
        <v>#N/A N/A</v>
        <stp/>
        <stp>BDP|7962679355506509477</stp>
        <tr r="F2862" s="2"/>
      </tp>
      <tp t="s">
        <v>#N/A N/A</v>
        <stp/>
        <stp>BDP|2410216823802644697</stp>
        <tr r="F113" s="2"/>
      </tp>
      <tp t="s">
        <v>#N/A N/A</v>
        <stp/>
        <stp>BDP|6738566639451195704</stp>
        <tr r="I358" s="2"/>
      </tp>
      <tp t="s">
        <v>#N/A N/A</v>
        <stp/>
        <stp>BDP|5297368810308494997</stp>
        <tr r="D1715" s="2"/>
      </tp>
      <tp t="s">
        <v>#N/A N/A</v>
        <stp/>
        <stp>BDP|6578728569008416932</stp>
        <tr r="I1145" s="2"/>
      </tp>
      <tp t="s">
        <v>#N/A N/A</v>
        <stp/>
        <stp>BDP|2869916646890270940</stp>
        <tr r="B4947" s="2"/>
      </tp>
      <tp t="s">
        <v>#N/A N/A</v>
        <stp/>
        <stp>BDP|8929521476689183552</stp>
        <tr r="B4955" s="2"/>
      </tp>
      <tp t="s">
        <v>#N/A N/A</v>
        <stp/>
        <stp>BDP|4020466793236496980</stp>
        <tr r="G575" s="2"/>
      </tp>
      <tp t="s">
        <v>#N/A N/A</v>
        <stp/>
        <stp>BDP|6840713369994114580</stp>
        <tr r="G1067" s="2"/>
      </tp>
      <tp t="s">
        <v>#N/A N/A</v>
        <stp/>
        <stp>BDP|7937449895775103902</stp>
        <tr r="G1007" s="2"/>
      </tp>
      <tp t="s">
        <v>#N/A N/A</v>
        <stp/>
        <stp>BDP|7182948170858572791</stp>
        <tr r="C3623" s="2"/>
      </tp>
      <tp t="s">
        <v>#N/A N/A</v>
        <stp/>
        <stp>BDP|1740985403757610939</stp>
        <tr r="I2778" s="2"/>
      </tp>
      <tp t="s">
        <v>#N/A N/A</v>
        <stp/>
        <stp>BDP|2554243411964969307</stp>
        <tr r="A2081" s="2"/>
      </tp>
      <tp t="s">
        <v>#N/A N/A</v>
        <stp/>
        <stp>BDP|6444251998363881880</stp>
        <tr r="G4012" s="2"/>
      </tp>
      <tp t="s">
        <v>#N/A N/A</v>
        <stp/>
        <stp>BDP|2501450606112627292</stp>
        <tr r="B515" s="2"/>
      </tp>
      <tp t="s">
        <v>#N/A N/A</v>
        <stp/>
        <stp>BDP|4434850829669228136</stp>
        <tr r="C3076" s="2"/>
      </tp>
      <tp t="s">
        <v>#N/A N/A</v>
        <stp/>
        <stp>BDP|7816434530487797159</stp>
        <tr r="H189" s="2"/>
      </tp>
      <tp t="s">
        <v>#N/A N/A</v>
        <stp/>
        <stp>BDP|6047492638183861400</stp>
        <tr r="G3896" s="2"/>
      </tp>
      <tp t="s">
        <v>#N/A N/A</v>
        <stp/>
        <stp>BDP|8805866128391934567</stp>
        <tr r="A86" s="2"/>
      </tp>
      <tp t="s">
        <v>#N/A N/A</v>
        <stp/>
        <stp>BDP|3718009214342385692</stp>
        <tr r="H4584" s="2"/>
      </tp>
      <tp t="s">
        <v>#N/A N/A</v>
        <stp/>
        <stp>BDP|9054445392583624196</stp>
        <tr r="F1381" s="2"/>
      </tp>
      <tp t="s">
        <v>#N/A N/A</v>
        <stp/>
        <stp>BDP|1143630982088956101</stp>
        <tr r="C3659" s="2"/>
      </tp>
      <tp t="s">
        <v>#N/A N/A</v>
        <stp/>
        <stp>BDP|3085498312239471965</stp>
        <tr r="G3921" s="2"/>
      </tp>
      <tp t="s">
        <v>#N/A N/A</v>
        <stp/>
        <stp>BDP|1341042300653882468</stp>
        <tr r="H31" s="2"/>
      </tp>
      <tp t="s">
        <v>#N/A N/A</v>
        <stp/>
        <stp>BDP|3319591720560108225</stp>
        <tr r="B3895" s="2"/>
      </tp>
      <tp t="s">
        <v>#N/A N/A</v>
        <stp/>
        <stp>BDP|9515098914957195909</stp>
        <tr r="B2149" s="2"/>
      </tp>
      <tp t="s">
        <v>#N/A N/A</v>
        <stp/>
        <stp>BDP|2709632517296243587</stp>
        <tr r="H1229" s="2"/>
      </tp>
      <tp t="s">
        <v>#N/A N/A</v>
        <stp/>
        <stp>BDP|3890459162511237645</stp>
        <tr r="C4795" s="2"/>
      </tp>
      <tp t="s">
        <v>#N/A N/A</v>
        <stp/>
        <stp>BDP|5272361127060945231</stp>
        <tr r="A11" s="2"/>
      </tp>
      <tp t="s">
        <v>#N/A N/A</v>
        <stp/>
        <stp>BDP|6670694238654858163</stp>
        <tr r="F3023" s="2"/>
      </tp>
      <tp t="s">
        <v>#N/A N/A</v>
        <stp/>
        <stp>BDP|6225514641138368982</stp>
        <tr r="D233" s="2"/>
      </tp>
      <tp t="s">
        <v>#N/A N/A</v>
        <stp/>
        <stp>BDP|7637042059386377216</stp>
        <tr r="H3942" s="2"/>
      </tp>
      <tp t="s">
        <v>#N/A N/A</v>
        <stp/>
        <stp>BDP|3338669505665062699</stp>
        <tr r="A4515" s="2"/>
      </tp>
      <tp t="s">
        <v>#N/A N/A</v>
        <stp/>
        <stp>BDP|3467003019153239764</stp>
        <tr r="B4815" s="2"/>
      </tp>
      <tp t="s">
        <v>#N/A N/A</v>
        <stp/>
        <stp>BDP|9791887037450610479</stp>
        <tr r="B977" s="2"/>
      </tp>
      <tp t="s">
        <v>#N/A N/A</v>
        <stp/>
        <stp>BDP|7361141438283668001</stp>
        <tr r="I1687" s="2"/>
      </tp>
      <tp t="s">
        <v>#N/A N/A</v>
        <stp/>
        <stp>BDP|7026708619237684062</stp>
        <tr r="H380" s="2"/>
      </tp>
      <tp t="s">
        <v>#N/A N/A</v>
        <stp/>
        <stp>BDP|1646177810664914316</stp>
        <tr r="D1918" s="2"/>
      </tp>
      <tp t="s">
        <v>#N/A N/A</v>
        <stp/>
        <stp>BDP|7489269043617007085</stp>
        <tr r="G1286" s="2"/>
      </tp>
      <tp t="s">
        <v>#N/A N/A</v>
        <stp/>
        <stp>BDP|1321333439627161014</stp>
        <tr r="A2603" s="2"/>
      </tp>
      <tp t="s">
        <v>#N/A N/A</v>
        <stp/>
        <stp>BDP|3783631154306074098</stp>
        <tr r="D4798" s="2"/>
      </tp>
      <tp t="s">
        <v>#N/A N/A</v>
        <stp/>
        <stp>BDP|4831247941613549713</stp>
        <tr r="F3128" s="2"/>
      </tp>
      <tp t="s">
        <v>#N/A N/A</v>
        <stp/>
        <stp>BDP|9409409997837271583</stp>
        <tr r="C2728" s="2"/>
      </tp>
      <tp t="s">
        <v>#N/A N/A</v>
        <stp/>
        <stp>BDP|5816031221524435573</stp>
        <tr r="G4428" s="2"/>
      </tp>
      <tp t="s">
        <v>#N/A N/A</v>
        <stp/>
        <stp>BDP|6882446841507069748</stp>
        <tr r="D2829" s="2"/>
      </tp>
      <tp t="s">
        <v>#N/A N/A</v>
        <stp/>
        <stp>BDP|6045267924226352681</stp>
        <tr r="G4462" s="2"/>
      </tp>
      <tp t="s">
        <v>#N/A N/A</v>
        <stp/>
        <stp>BDP|2570400778312243564</stp>
        <tr r="G3142" s="2"/>
      </tp>
      <tp t="s">
        <v>#N/A N/A</v>
        <stp/>
        <stp>BDP|1936040675033225335</stp>
        <tr r="B4708" s="2"/>
      </tp>
      <tp t="s">
        <v>#N/A N/A</v>
        <stp/>
        <stp>BDP|9378125285487902142</stp>
        <tr r="H1135" s="2"/>
      </tp>
      <tp t="s">
        <v>#N/A N/A</v>
        <stp/>
        <stp>BDP|8602214073959809259</stp>
        <tr r="C2292" s="2"/>
      </tp>
      <tp t="s">
        <v>#N/A N/A</v>
        <stp/>
        <stp>BDP|2450194341120138147</stp>
        <tr r="H1464" s="2"/>
      </tp>
      <tp t="s">
        <v>#N/A N/A</v>
        <stp/>
        <stp>BDP|5119631398018030437</stp>
        <tr r="C2462" s="2"/>
      </tp>
      <tp t="s">
        <v>#N/A N/A</v>
        <stp/>
        <stp>BDP|1702516261625976170</stp>
        <tr r="F176" s="2"/>
      </tp>
      <tp t="s">
        <v>#N/A N/A</v>
        <stp/>
        <stp>BDP|7100490734146116047</stp>
        <tr r="G3406" s="2"/>
      </tp>
      <tp t="s">
        <v>#N/A N/A</v>
        <stp/>
        <stp>BDP|9505269721567392882</stp>
        <tr r="C4245" s="2"/>
      </tp>
      <tp t="s">
        <v>#N/A N/A</v>
        <stp/>
        <stp>BDP|2681798717526403452</stp>
        <tr r="F127" s="2"/>
      </tp>
      <tp t="s">
        <v>#N/A N/A</v>
        <stp/>
        <stp>BDP|3681723311737596492</stp>
        <tr r="D4258" s="2"/>
      </tp>
      <tp t="s">
        <v>#N/A N/A</v>
        <stp/>
        <stp>BDP|9424695701021336863</stp>
        <tr r="C4515" s="2"/>
      </tp>
      <tp t="s">
        <v>#N/A N/A</v>
        <stp/>
        <stp>BDP|5025414076648712896</stp>
        <tr r="H334" s="2"/>
      </tp>
      <tp t="s">
        <v>#N/A N/A</v>
        <stp/>
        <stp>BDP|2958095148774158404</stp>
        <tr r="A4658" s="2"/>
      </tp>
      <tp t="s">
        <v>#N/A N/A</v>
        <stp/>
        <stp>BDP|6601231485558966204</stp>
        <tr r="F2858" s="2"/>
      </tp>
      <tp t="s">
        <v>#N/A N/A</v>
        <stp/>
        <stp>BDP|8635831245546095498</stp>
        <tr r="C2497" s="2"/>
      </tp>
      <tp t="s">
        <v>#N/A N/A</v>
        <stp/>
        <stp>BDP|2296635797852736981</stp>
        <tr r="H4514" s="2"/>
      </tp>
      <tp t="s">
        <v>#N/A N/A</v>
        <stp/>
        <stp>BDP|5612250660910279789</stp>
        <tr r="G3672" s="2"/>
      </tp>
      <tp t="s">
        <v>#N/A N/A</v>
        <stp/>
        <stp>BDP|2681528848342623737</stp>
        <tr r="I4631" s="2"/>
      </tp>
      <tp t="s">
        <v>#N/A N/A</v>
        <stp/>
        <stp>BDP|2942125850699698948</stp>
        <tr r="H1995" s="2"/>
      </tp>
      <tp t="s">
        <v>#N/A N/A</v>
        <stp/>
        <stp>BDP|3181501103267942756</stp>
        <tr r="G1143" s="2"/>
      </tp>
      <tp t="s">
        <v>#N/A N/A</v>
        <stp/>
        <stp>BDP|4204322450671686585</stp>
        <tr r="G3803" s="2"/>
      </tp>
      <tp t="s">
        <v>#N/A N/A</v>
        <stp/>
        <stp>BDP|9959731836912376912</stp>
        <tr r="H1267" s="2"/>
      </tp>
      <tp t="s">
        <v>#N/A N/A</v>
        <stp/>
        <stp>BDP|1386727958616424333</stp>
        <tr r="C1613" s="2"/>
      </tp>
      <tp t="s">
        <v>#N/A N/A</v>
        <stp/>
        <stp>BDP|3146741045031971779</stp>
        <tr r="C1849" s="2"/>
      </tp>
      <tp t="s">
        <v>#N/A N/A</v>
        <stp/>
        <stp>BDP|2621413257721854468</stp>
        <tr r="F3103" s="2"/>
      </tp>
      <tp t="s">
        <v>#N/A N/A</v>
        <stp/>
        <stp>BDP|1746028229200045521</stp>
        <tr r="A580" s="2"/>
      </tp>
      <tp t="s">
        <v>#N/A N/A</v>
        <stp/>
        <stp>BDP|4011027211376579589</stp>
        <tr r="A4216" s="2"/>
      </tp>
      <tp t="s">
        <v>#N/A N/A</v>
        <stp/>
        <stp>BDP|9580211351850892832</stp>
        <tr r="H1252" s="2"/>
      </tp>
      <tp t="s">
        <v>#N/A N/A</v>
        <stp/>
        <stp>BDP|9967605210660587827</stp>
        <tr r="A3676" s="2"/>
      </tp>
      <tp t="s">
        <v>#N/A N/A</v>
        <stp/>
        <stp>BDP|7822588561827997561</stp>
        <tr r="A4238" s="2"/>
      </tp>
      <tp t="s">
        <v>#N/A N/A</v>
        <stp/>
        <stp>BDP|3352271059956734444</stp>
        <tr r="C359" s="2"/>
      </tp>
      <tp t="s">
        <v>#N/A N/A</v>
        <stp/>
        <stp>BDP|5900254513987856792</stp>
        <tr r="C878" s="2"/>
      </tp>
      <tp t="s">
        <v>#N/A N/A</v>
        <stp/>
        <stp>BDP|7092108610520682181</stp>
        <tr r="H4785" s="2"/>
      </tp>
      <tp t="s">
        <v>#N/A N/A</v>
        <stp/>
        <stp>BDP|4543554792908457681</stp>
        <tr r="G2209" s="2"/>
      </tp>
      <tp t="s">
        <v>#N/A N/A</v>
        <stp/>
        <stp>BDP|5219429648701330251</stp>
        <tr r="I3661" s="2"/>
      </tp>
      <tp t="s">
        <v>#N/A N/A</v>
        <stp/>
        <stp>BDP|6105998114998042028</stp>
        <tr r="F1210" s="2"/>
      </tp>
      <tp t="s">
        <v>#N/A N/A</v>
        <stp/>
        <stp>BDP|4592255117789052892</stp>
        <tr r="F2835" s="2"/>
      </tp>
      <tp t="s">
        <v>#N/A N/A</v>
        <stp/>
        <stp>BDP|9019581322790088843</stp>
        <tr r="G1570" s="2"/>
      </tp>
      <tp t="s">
        <v>#N/A N/A</v>
        <stp/>
        <stp>BDP|8381048587007894166</stp>
        <tr r="F4047" s="2"/>
      </tp>
      <tp t="s">
        <v>#N/A N/A</v>
        <stp/>
        <stp>BDP|6676655496017352888</stp>
        <tr r="F2640" s="2"/>
      </tp>
      <tp t="s">
        <v>#N/A N/A</v>
        <stp/>
        <stp>BDP|8183591898397620587</stp>
        <tr r="A872" s="2"/>
      </tp>
      <tp t="s">
        <v>#N/A N/A</v>
        <stp/>
        <stp>BDP|3140774599493187803</stp>
        <tr r="A1594" s="2"/>
      </tp>
      <tp t="s">
        <v>#N/A N/A</v>
        <stp/>
        <stp>BDP|7021472187728686581</stp>
        <tr r="A3807" s="2"/>
      </tp>
      <tp t="s">
        <v>#N/A N/A</v>
        <stp/>
        <stp>BDP|7250348154673409485</stp>
        <tr r="F2928" s="2"/>
      </tp>
      <tp t="s">
        <v>#N/A N/A</v>
        <stp/>
        <stp>BDP|5844425130144578019</stp>
        <tr r="I2185" s="2"/>
      </tp>
      <tp t="s">
        <v>#N/A N/A</v>
        <stp/>
        <stp>BDP|7282002592788706093</stp>
        <tr r="H115" s="2"/>
      </tp>
      <tp t="s">
        <v>#N/A N/A</v>
        <stp/>
        <stp>BDP|2307007541886440685</stp>
        <tr r="F1092" s="2"/>
      </tp>
      <tp t="s">
        <v>#N/A N/A</v>
        <stp/>
        <stp>BDP|5942062274017104347</stp>
        <tr r="B4035" s="2"/>
      </tp>
      <tp t="s">
        <v>#N/A N/A</v>
        <stp/>
        <stp>BDP|1086932436028987523</stp>
        <tr r="C4973" s="2"/>
      </tp>
      <tp t="s">
        <v>#N/A N/A</v>
        <stp/>
        <stp>BDP|1914511274751524474</stp>
        <tr r="F995" s="2"/>
      </tp>
      <tp t="s">
        <v>#N/A N/A</v>
        <stp/>
        <stp>BDP|1569813774478649084</stp>
        <tr r="G4276" s="2"/>
      </tp>
      <tp t="s">
        <v>#N/A N/A</v>
        <stp/>
        <stp>BDP|6513684210507641055</stp>
        <tr r="A4020" s="2"/>
      </tp>
      <tp t="s">
        <v>#N/A N/A</v>
        <stp/>
        <stp>BDP|5520581666568079850</stp>
        <tr r="D2884" s="2"/>
      </tp>
      <tp t="s">
        <v>#N/A N/A</v>
        <stp/>
        <stp>BDP|2973357009515227297</stp>
        <tr r="G2917" s="2"/>
      </tp>
      <tp t="s">
        <v>#N/A N/A</v>
        <stp/>
        <stp>BDP|4363312869825195245</stp>
        <tr r="C3242" s="2"/>
      </tp>
      <tp t="s">
        <v>#N/A N/A</v>
        <stp/>
        <stp>BDP|3581258863784858552</stp>
        <tr r="A3790" s="2"/>
      </tp>
      <tp t="s">
        <v>#N/A N/A</v>
        <stp/>
        <stp>BDP|9772345228617551902</stp>
        <tr r="G3741" s="2"/>
      </tp>
      <tp t="s">
        <v>#N/A N/A</v>
        <stp/>
        <stp>BDP|4649153894792159886</stp>
        <tr r="B3794" s="2"/>
      </tp>
      <tp t="s">
        <v>#N/A N/A</v>
        <stp/>
        <stp>BDP|1411784831113246013</stp>
        <tr r="G1576" s="2"/>
      </tp>
      <tp t="s">
        <v>#N/A N/A</v>
        <stp/>
        <stp>BDP|7010180240383695708</stp>
        <tr r="G709" s="2"/>
      </tp>
      <tp t="s">
        <v>#N/A N/A</v>
        <stp/>
        <stp>BDP|2994471838515865608</stp>
        <tr r="F4416" s="2"/>
      </tp>
      <tp t="s">
        <v>#N/A N/A</v>
        <stp/>
        <stp>BDP|4719917983381870231</stp>
        <tr r="G4368" s="2"/>
      </tp>
      <tp t="s">
        <v>#N/A N/A</v>
        <stp/>
        <stp>BDP|9536646817421074985</stp>
        <tr r="C4295" s="2"/>
      </tp>
      <tp t="s">
        <v>#N/A N/A</v>
        <stp/>
        <stp>BDP|2914818858119994072</stp>
        <tr r="D196" s="2"/>
      </tp>
      <tp t="s">
        <v>#N/A N/A</v>
        <stp/>
        <stp>BDP|1067380412411109451</stp>
        <tr r="B2764" s="2"/>
      </tp>
      <tp t="s">
        <v>#N/A N/A</v>
        <stp/>
        <stp>BDP|1911037012627405122</stp>
        <tr r="I3486" s="2"/>
      </tp>
      <tp t="s">
        <v>#N/A N/A</v>
        <stp/>
        <stp>BDP|7210110769311230763</stp>
        <tr r="F3907" s="2"/>
      </tp>
      <tp t="s">
        <v>#N/A N/A</v>
        <stp/>
        <stp>BDP|1896623272800499629</stp>
        <tr r="C4085" s="2"/>
      </tp>
      <tp t="s">
        <v>#N/A N/A</v>
        <stp/>
        <stp>BDP|4679987148969030688</stp>
        <tr r="D4797" s="2"/>
      </tp>
      <tp t="s">
        <v>#N/A N/A</v>
        <stp/>
        <stp>BDP|1714350572282921173</stp>
        <tr r="H2021" s="2"/>
      </tp>
      <tp t="s">
        <v>#N/A N/A</v>
        <stp/>
        <stp>BDP|8237311124449108684</stp>
        <tr r="H4077" s="2"/>
      </tp>
      <tp t="s">
        <v>#N/A N/A</v>
        <stp/>
        <stp>BDP|3254512681201486988</stp>
        <tr r="A2008" s="2"/>
      </tp>
      <tp t="s">
        <v>#N/A N/A</v>
        <stp/>
        <stp>BDP|1249914923659760595</stp>
        <tr r="A1675" s="2"/>
      </tp>
      <tp t="s">
        <v>#N/A N/A</v>
        <stp/>
        <stp>BDP|1302270756074547491</stp>
        <tr r="I3292" s="2"/>
      </tp>
      <tp t="s">
        <v>#N/A N/A</v>
        <stp/>
        <stp>BDP|2792154537805901320</stp>
        <tr r="H2596" s="2"/>
      </tp>
      <tp t="s">
        <v>#N/A N/A</v>
        <stp/>
        <stp>BDP|4908694546986907618</stp>
        <tr r="H2068" s="2"/>
      </tp>
      <tp t="s">
        <v>#N/A N/A</v>
        <stp/>
        <stp>BDP|5723663998418527422</stp>
        <tr r="F4592" s="2"/>
      </tp>
      <tp t="s">
        <v>#N/A N/A</v>
        <stp/>
        <stp>BDP|3662165750510929171</stp>
        <tr r="I1715" s="2"/>
      </tp>
      <tp t="s">
        <v>#N/A N/A</v>
        <stp/>
        <stp>BDP|5016489207426998180</stp>
        <tr r="B2821" s="2"/>
      </tp>
      <tp t="s">
        <v>#N/A N/A</v>
        <stp/>
        <stp>BDP|7513275919797056552</stp>
        <tr r="G2880" s="2"/>
      </tp>
      <tp t="s">
        <v>#N/A N/A</v>
        <stp/>
        <stp>BDP|6735457708275226160</stp>
        <tr r="D3379" s="2"/>
      </tp>
      <tp t="s">
        <v>#N/A N/A</v>
        <stp/>
        <stp>BDP|2046351569663529275</stp>
        <tr r="A3340" s="2"/>
      </tp>
      <tp t="s">
        <v>#N/A N/A</v>
        <stp/>
        <stp>BDP|4999696107543080796</stp>
        <tr r="C1993" s="2"/>
      </tp>
      <tp t="s">
        <v>#N/A N/A</v>
        <stp/>
        <stp>BDP|9685760098492380350</stp>
        <tr r="F2850" s="2"/>
      </tp>
      <tp t="s">
        <v>#N/A N/A</v>
        <stp/>
        <stp>BDP|4040839311289826249</stp>
        <tr r="H3673" s="2"/>
      </tp>
      <tp t="s">
        <v>#N/A N/A</v>
        <stp/>
        <stp>BDP|3484467824544891707</stp>
        <tr r="G2030" s="2"/>
      </tp>
      <tp t="s">
        <v>#N/A N/A</v>
        <stp/>
        <stp>BDP|3450165598689718430</stp>
        <tr r="A1971" s="2"/>
      </tp>
      <tp t="s">
        <v>#N/A N/A</v>
        <stp/>
        <stp>BDP|7007183171041324646</stp>
        <tr r="C1782" s="2"/>
      </tp>
      <tp t="s">
        <v>#N/A N/A</v>
        <stp/>
        <stp>BDP|7763587753661125032</stp>
        <tr r="A4083" s="2"/>
      </tp>
      <tp t="s">
        <v>#N/A N/A</v>
        <stp/>
        <stp>BDP|8101281224827690957</stp>
        <tr r="D853" s="2"/>
      </tp>
      <tp t="s">
        <v>#N/A N/A</v>
        <stp/>
        <stp>BDP|1217598366693087730</stp>
        <tr r="A592" s="2"/>
      </tp>
      <tp t="s">
        <v>#N/A N/A</v>
        <stp/>
        <stp>BDP|5148585125404232001</stp>
        <tr r="D1973" s="2"/>
      </tp>
      <tp t="s">
        <v>#N/A N/A</v>
        <stp/>
        <stp>BDP|3370305313465773297</stp>
        <tr r="H259" s="2"/>
      </tp>
      <tp t="s">
        <v>#N/A N/A</v>
        <stp/>
        <stp>BDP|5400908384920861261</stp>
        <tr r="F3390" s="2"/>
      </tp>
      <tp t="s">
        <v>#N/A N/A</v>
        <stp/>
        <stp>BDP|4930170849303044492</stp>
        <tr r="G4032" s="2"/>
      </tp>
      <tp t="s">
        <v>#N/A N/A</v>
        <stp/>
        <stp>BDP|8112880814351377603</stp>
        <tr r="B4277" s="2"/>
      </tp>
      <tp t="s">
        <v>#N/A N/A</v>
        <stp/>
        <stp>BDP|9416023968150610964</stp>
        <tr r="G4737" s="2"/>
      </tp>
      <tp t="s">
        <v>#N/A N/A</v>
        <stp/>
        <stp>BDP|8562702762117152899</stp>
        <tr r="G1793" s="2"/>
      </tp>
      <tp t="s">
        <v>#N/A N/A</v>
        <stp/>
        <stp>BDP|7038297864655794052</stp>
        <tr r="B339" s="2"/>
      </tp>
      <tp t="s">
        <v>#N/A N/A</v>
        <stp/>
        <stp>BDP|3707584574250689727</stp>
        <tr r="B1314" s="2"/>
      </tp>
      <tp t="s">
        <v>#N/A N/A</v>
        <stp/>
        <stp>BDP|9184484996471044305</stp>
        <tr r="B3159" s="2"/>
      </tp>
      <tp t="s">
        <v>#N/A N/A</v>
        <stp/>
        <stp>BDP|5746692073585221708</stp>
        <tr r="D1967" s="2"/>
      </tp>
      <tp t="s">
        <v>#N/A N/A</v>
        <stp/>
        <stp>BDP|1389489046775497266</stp>
        <tr r="G4356" s="2"/>
      </tp>
      <tp t="s">
        <v>#N/A N/A</v>
        <stp/>
        <stp>BDP|6130391827134932599</stp>
        <tr r="A761" s="2"/>
      </tp>
      <tp t="s">
        <v>#N/A N/A</v>
        <stp/>
        <stp>BDP|1878583557176054188</stp>
        <tr r="B1225" s="2"/>
      </tp>
      <tp t="s">
        <v>#N/A N/A</v>
        <stp/>
        <stp>BDP|7298743967389972976</stp>
        <tr r="F4128" s="2"/>
      </tp>
      <tp t="s">
        <v>#N/A N/A</v>
        <stp/>
        <stp>BDP|7482673049110002351</stp>
        <tr r="G1124" s="2"/>
      </tp>
      <tp t="s">
        <v>#N/A N/A</v>
        <stp/>
        <stp>BDP|9811753785035384541</stp>
        <tr r="B3094" s="2"/>
      </tp>
      <tp t="s">
        <v>#N/A N/A</v>
        <stp/>
        <stp>BDP|1739359914661843412</stp>
        <tr r="B4879" s="2"/>
      </tp>
      <tp t="s">
        <v>#N/A N/A</v>
        <stp/>
        <stp>BDP|7107379317930982372</stp>
        <tr r="F2732" s="2"/>
      </tp>
      <tp t="s">
        <v>#N/A N/A</v>
        <stp/>
        <stp>BDP|9974912584626586861</stp>
        <tr r="B2966" s="2"/>
      </tp>
      <tp t="s">
        <v>#N/A N/A</v>
        <stp/>
        <stp>BDP|4048251561933219590</stp>
        <tr r="F4680" s="2"/>
      </tp>
      <tp t="s">
        <v>#N/A N/A</v>
        <stp/>
        <stp>BDP|5049288820027052474</stp>
        <tr r="I895" s="2"/>
      </tp>
      <tp t="s">
        <v>#N/A N/A</v>
        <stp/>
        <stp>BDP|2434191165330657318</stp>
        <tr r="D3101" s="2"/>
      </tp>
      <tp t="s">
        <v>#N/A N/A</v>
        <stp/>
        <stp>BDP|3430346231216820369</stp>
        <tr r="C2066" s="2"/>
      </tp>
      <tp t="s">
        <v>#N/A N/A</v>
        <stp/>
        <stp>BDP|5526394436304224779</stp>
        <tr r="I2393" s="2"/>
      </tp>
      <tp t="s">
        <v>#N/A N/A</v>
        <stp/>
        <stp>BDP|6877257746997147153</stp>
        <tr r="H3341" s="2"/>
      </tp>
      <tp t="s">
        <v>#N/A N/A</v>
        <stp/>
        <stp>BDP|1382692519998846849</stp>
        <tr r="D2724" s="2"/>
      </tp>
      <tp t="s">
        <v>#N/A N/A</v>
        <stp/>
        <stp>BDP|4683691561552079015</stp>
        <tr r="C1877" s="2"/>
      </tp>
      <tp t="s">
        <v>#N/A N/A</v>
        <stp/>
        <stp>BDP|1288815477299860138</stp>
        <tr r="C1186" s="2"/>
      </tp>
      <tp t="s">
        <v>#N/A N/A</v>
        <stp/>
        <stp>BDP|6535832635169489289</stp>
        <tr r="C1248" s="2"/>
      </tp>
      <tp t="s">
        <v>#N/A N/A</v>
        <stp/>
        <stp>BDP|5451218844263669689</stp>
        <tr r="I1275" s="2"/>
      </tp>
      <tp t="s">
        <v>#N/A N/A</v>
        <stp/>
        <stp>BDP|4437212561797339185</stp>
        <tr r="F4670" s="2"/>
      </tp>
      <tp t="s">
        <v>#N/A N/A</v>
        <stp/>
        <stp>BDP|9337972078323347206</stp>
        <tr r="I4257" s="2"/>
      </tp>
      <tp t="s">
        <v>#N/A N/A</v>
        <stp/>
        <stp>BDP|2124272479273914293</stp>
        <tr r="F2958" s="2"/>
      </tp>
      <tp t="s">
        <v>#N/A N/A</v>
        <stp/>
        <stp>BDP|4218408568175402518</stp>
        <tr r="D888" s="2"/>
      </tp>
      <tp t="s">
        <v>#N/A N/A</v>
        <stp/>
        <stp>BDP|8611774845014800935</stp>
        <tr r="B4091" s="2"/>
      </tp>
      <tp t="s">
        <v>#N/A N/A</v>
        <stp/>
        <stp>BDP|1638438874046701298</stp>
        <tr r="D4056" s="2"/>
      </tp>
      <tp t="s">
        <v>#N/A N/A</v>
        <stp/>
        <stp>BDP|2695872001448690495</stp>
        <tr r="I4574" s="2"/>
      </tp>
      <tp t="s">
        <v>#N/A N/A</v>
        <stp/>
        <stp>BDP|7675571768333660100</stp>
        <tr r="I4953" s="2"/>
      </tp>
      <tp t="s">
        <v>#N/A N/A</v>
        <stp/>
        <stp>BDP|7610790646263362156</stp>
        <tr r="A1892" s="2"/>
      </tp>
      <tp t="s">
        <v>#N/A N/A</v>
        <stp/>
        <stp>BDP|3764181971744406753</stp>
        <tr r="B2304" s="2"/>
      </tp>
      <tp t="s">
        <v>#N/A N/A</v>
        <stp/>
        <stp>BDP|6190398626688511945</stp>
        <tr r="A479" s="2"/>
      </tp>
      <tp t="s">
        <v>#N/A N/A</v>
        <stp/>
        <stp>BDP|5197380102925340576</stp>
        <tr r="H3005" s="2"/>
      </tp>
      <tp t="s">
        <v>#N/A N/A</v>
        <stp/>
        <stp>BDP|1704140331233802650</stp>
        <tr r="F4172" s="2"/>
      </tp>
      <tp t="s">
        <v>#N/A N/A</v>
        <stp/>
        <stp>BDP|1955066756637370550</stp>
        <tr r="G390" s="2"/>
      </tp>
      <tp t="s">
        <v>#N/A N/A</v>
        <stp/>
        <stp>BDP|7970325041951217778</stp>
        <tr r="A3095" s="2"/>
      </tp>
      <tp t="s">
        <v>#N/A N/A</v>
        <stp/>
        <stp>BDP|1731569178205333059</stp>
        <tr r="I1099" s="2"/>
      </tp>
      <tp t="s">
        <v>#N/A N/A</v>
        <stp/>
        <stp>BDP|1827820643642642905</stp>
        <tr r="H2558" s="2"/>
      </tp>
      <tp t="s">
        <v>#N/A N/A</v>
        <stp/>
        <stp>BDP|6440730618430505655</stp>
        <tr r="H4188" s="2"/>
      </tp>
      <tp t="s">
        <v>#N/A N/A</v>
        <stp/>
        <stp>BDP|2008175894595908955</stp>
        <tr r="I1420" s="2"/>
      </tp>
      <tp t="s">
        <v>#N/A N/A</v>
        <stp/>
        <stp>BDP|3012161546012807275</stp>
        <tr r="B3728" s="2"/>
      </tp>
      <tp t="s">
        <v>#N/A N/A</v>
        <stp/>
        <stp>BDP|7959400984048385518</stp>
        <tr r="A485" s="2"/>
      </tp>
      <tp t="s">
        <v>#N/A N/A</v>
        <stp/>
        <stp>BDP|6165977791566058684</stp>
        <tr r="H1510" s="2"/>
      </tp>
      <tp t="s">
        <v>#N/A N/A</v>
        <stp/>
        <stp>BDP|4803186725393855225</stp>
        <tr r="H448" s="2"/>
      </tp>
      <tp t="s">
        <v>#N/A N/A</v>
        <stp/>
        <stp>BDP|8480493733229242039</stp>
        <tr r="C4849" s="2"/>
      </tp>
      <tp t="s">
        <v>#N/A N/A</v>
        <stp/>
        <stp>BDP|7900015307887492640</stp>
        <tr r="C994" s="2"/>
      </tp>
      <tp t="s">
        <v>#N/A N/A</v>
        <stp/>
        <stp>BDP|2554748515947920521</stp>
        <tr r="D1314" s="2"/>
      </tp>
      <tp t="s">
        <v>#N/A N/A</v>
        <stp/>
        <stp>BDP|4143504745613260097</stp>
        <tr r="G4959" s="2"/>
      </tp>
      <tp t="s">
        <v>#N/A N/A</v>
        <stp/>
        <stp>BDP|4729007788872081802</stp>
        <tr r="C640" s="2"/>
      </tp>
      <tp t="s">
        <v>#N/A N/A</v>
        <stp/>
        <stp>BDP|7284031956863911717</stp>
        <tr r="B516" s="2"/>
      </tp>
      <tp t="s">
        <v>#N/A N/A</v>
        <stp/>
        <stp>BDP|2100692036162663373</stp>
        <tr r="C266" s="2"/>
      </tp>
      <tp t="s">
        <v>#N/A N/A</v>
        <stp/>
        <stp>BDP|3337582250632097748</stp>
        <tr r="G2188" s="2"/>
      </tp>
      <tp t="s">
        <v>#N/A N/A</v>
        <stp/>
        <stp>BDP|5814719536271484644</stp>
        <tr r="C4521" s="2"/>
      </tp>
      <tp t="s">
        <v>#N/A N/A</v>
        <stp/>
        <stp>BDP|7112084054485279100</stp>
        <tr r="D549" s="2"/>
      </tp>
      <tp t="s">
        <v>#N/A N/A</v>
        <stp/>
        <stp>BDP|6455367868143207675</stp>
        <tr r="D3847" s="2"/>
      </tp>
      <tp t="s">
        <v>#N/A N/A</v>
        <stp/>
        <stp>BDP|8897169511718419640</stp>
        <tr r="C2063" s="2"/>
      </tp>
      <tp t="s">
        <v>#N/A N/A</v>
        <stp/>
        <stp>BDP|7930492771963594188</stp>
        <tr r="B4925" s="2"/>
      </tp>
      <tp t="s">
        <v>#N/A N/A</v>
        <stp/>
        <stp>BDP|6969364537646488605</stp>
        <tr r="G2064" s="2"/>
      </tp>
      <tp t="s">
        <v>#N/A N/A</v>
        <stp/>
        <stp>BDP|2497857237728286788</stp>
        <tr r="A487" s="2"/>
      </tp>
      <tp t="s">
        <v>#N/A N/A</v>
        <stp/>
        <stp>BDP|5880208462906276147</stp>
        <tr r="B2994" s="2"/>
      </tp>
      <tp t="s">
        <v>#N/A N/A</v>
        <stp/>
        <stp>BDP|5995969143378995692</stp>
        <tr r="I2348" s="2"/>
      </tp>
      <tp t="s">
        <v>#N/A N/A</v>
        <stp/>
        <stp>BDP|1883677524610390348</stp>
        <tr r="G4266" s="2"/>
      </tp>
      <tp t="s">
        <v>#N/A N/A</v>
        <stp/>
        <stp>BDP|5590380102708446872</stp>
        <tr r="D4235" s="2"/>
      </tp>
      <tp t="s">
        <v>#N/A N/A</v>
        <stp/>
        <stp>BDP|9448799257604728911</stp>
        <tr r="A3825" s="2"/>
      </tp>
      <tp t="s">
        <v>#N/A N/A</v>
        <stp/>
        <stp>BDP|8118490602518243248</stp>
        <tr r="D2552" s="2"/>
      </tp>
      <tp t="s">
        <v>#N/A N/A</v>
        <stp/>
        <stp>BDP|8849612223062296847</stp>
        <tr r="C4235" s="2"/>
      </tp>
      <tp t="s">
        <v>#N/A N/A</v>
        <stp/>
        <stp>BDP|6075305446192288580</stp>
        <tr r="G2024" s="2"/>
      </tp>
      <tp t="s">
        <v>#N/A N/A</v>
        <stp/>
        <stp>BDP|1495484687872573928</stp>
        <tr r="A2583" s="2"/>
      </tp>
      <tp t="s">
        <v>#N/A N/A</v>
        <stp/>
        <stp>BDP|1566238085455643894</stp>
        <tr r="C1995" s="2"/>
      </tp>
      <tp t="s">
        <v>#N/A N/A</v>
        <stp/>
        <stp>BDP|1172647804970510182</stp>
        <tr r="I431" s="2"/>
      </tp>
      <tp t="s">
        <v>#N/A N/A</v>
        <stp/>
        <stp>BDP|3128483432802752006</stp>
        <tr r="D4787" s="2"/>
      </tp>
      <tp t="s">
        <v>#N/A N/A</v>
        <stp/>
        <stp>BDP|5999512371169026852</stp>
        <tr r="H2150" s="2"/>
      </tp>
      <tp t="s">
        <v>#N/A N/A</v>
        <stp/>
        <stp>BDP|9205638417519995139</stp>
        <tr r="G2297" s="2"/>
      </tp>
      <tp t="s">
        <v>#N/A N/A</v>
        <stp/>
        <stp>BDP|8660645072527425889</stp>
        <tr r="G1790" s="2"/>
      </tp>
      <tp t="s">
        <v>#N/A N/A</v>
        <stp/>
        <stp>BDP|8983985763235760494</stp>
        <tr r="B846" s="2"/>
      </tp>
      <tp t="s">
        <v>#N/A N/A</v>
        <stp/>
        <stp>BDP|6404499211535405041</stp>
        <tr r="H2440" s="2"/>
      </tp>
      <tp t="s">
        <v>#N/A N/A</v>
        <stp/>
        <stp>BDP|2264139368356210570</stp>
        <tr r="F2128" s="2"/>
      </tp>
      <tp t="s">
        <v>#N/A N/A</v>
        <stp/>
        <stp>BDP|1952318761403726126</stp>
        <tr r="B4215" s="2"/>
      </tp>
      <tp t="s">
        <v>#N/A N/A</v>
        <stp/>
        <stp>BDP|3022727520921736192</stp>
        <tr r="H3406" s="2"/>
      </tp>
      <tp t="s">
        <v>#N/A N/A</v>
        <stp/>
        <stp>BDP|8272662986969925973</stp>
        <tr r="F1590" s="2"/>
      </tp>
      <tp t="s">
        <v>#N/A N/A</v>
        <stp/>
        <stp>BDP|1433189956616402521</stp>
        <tr r="G1949" s="2"/>
      </tp>
      <tp t="s">
        <v>#N/A N/A</v>
        <stp/>
        <stp>BDP|2960464289738380091</stp>
        <tr r="B4236" s="2"/>
      </tp>
      <tp t="s">
        <v>#N/A N/A</v>
        <stp/>
        <stp>BDP|6987133670245604305</stp>
        <tr r="F4124" s="2"/>
      </tp>
      <tp t="s">
        <v>#N/A N/A</v>
        <stp/>
        <stp>BDP|1363743389020700859</stp>
        <tr r="H4637" s="2"/>
      </tp>
      <tp t="s">
        <v>#N/A N/A</v>
        <stp/>
        <stp>BDP|2553170813460984445</stp>
        <tr r="A582" s="2"/>
      </tp>
      <tp t="s">
        <v>#N/A N/A</v>
        <stp/>
        <stp>BDP|5394644458054501462</stp>
        <tr r="B2241" s="2"/>
      </tp>
      <tp t="s">
        <v>#N/A N/A</v>
        <stp/>
        <stp>BDP|8383638465459096792</stp>
        <tr r="G422" s="2"/>
      </tp>
      <tp t="s">
        <v>#N/A N/A</v>
        <stp/>
        <stp>BDP|7252485156579196913</stp>
        <tr r="I2268" s="2"/>
      </tp>
      <tp t="s">
        <v>#N/A N/A</v>
        <stp/>
        <stp>BDP|5467487713541297712</stp>
        <tr r="B4650" s="2"/>
      </tp>
      <tp t="s">
        <v>#N/A N/A</v>
        <stp/>
        <stp>BDP|9102860092057180986</stp>
        <tr r="B759" s="2"/>
      </tp>
      <tp t="s">
        <v>#N/A N/A</v>
        <stp/>
        <stp>BDP|3387669783188398397</stp>
        <tr r="G239" s="2"/>
      </tp>
      <tp t="s">
        <v>#N/A N/A</v>
        <stp/>
        <stp>BDP|5888233891858554038</stp>
        <tr r="G3839" s="2"/>
      </tp>
      <tp t="s">
        <v>#N/A N/A</v>
        <stp/>
        <stp>BDP|6574599681348278534</stp>
        <tr r="A4121" s="2"/>
      </tp>
      <tp t="s">
        <v>#N/A N/A</v>
        <stp/>
        <stp>BDP|1667073004122850510</stp>
        <tr r="F50" s="2"/>
      </tp>
      <tp t="s">
        <v>#N/A N/A</v>
        <stp/>
        <stp>BDP|8071830870598916962</stp>
        <tr r="F3830" s="2"/>
      </tp>
      <tp t="s">
        <v>#N/A N/A</v>
        <stp/>
        <stp>BDP|1842347511721004415</stp>
        <tr r="I735" s="2"/>
      </tp>
      <tp t="s">
        <v>#N/A N/A</v>
        <stp/>
        <stp>BDP|1032263687984491991</stp>
        <tr r="A3851" s="2"/>
      </tp>
      <tp t="s">
        <v>#N/A N/A</v>
        <stp/>
        <stp>BDP|3775526108906798661</stp>
        <tr r="B2517" s="2"/>
      </tp>
      <tp t="s">
        <v>#N/A N/A</v>
        <stp/>
        <stp>BDP|2411766829542050377</stp>
        <tr r="F3467" s="2"/>
      </tp>
      <tp t="s">
        <v>#N/A N/A</v>
        <stp/>
        <stp>BDP|5127073872093076785</stp>
        <tr r="I4287" s="2"/>
      </tp>
      <tp t="s">
        <v>#N/A N/A</v>
        <stp/>
        <stp>BDP|7530624246041516285</stp>
        <tr r="F2643" s="2"/>
      </tp>
      <tp t="s">
        <v>#N/A N/A</v>
        <stp/>
        <stp>BDP|2013751668720629576</stp>
        <tr r="I2650" s="2"/>
      </tp>
      <tp t="s">
        <v>#N/A N/A</v>
        <stp/>
        <stp>BDP|8095535769859236445</stp>
        <tr r="D1257" s="2"/>
      </tp>
      <tp t="s">
        <v>#N/A N/A</v>
        <stp/>
        <stp>BDP|3197002018124116049</stp>
        <tr r="B2073" s="2"/>
      </tp>
      <tp t="s">
        <v>#N/A N/A</v>
        <stp/>
        <stp>BDP|3994098778603000145</stp>
        <tr r="C1204" s="2"/>
      </tp>
      <tp t="s">
        <v>#N/A N/A</v>
        <stp/>
        <stp>BDP|8944900034087040312</stp>
        <tr r="B1349" s="2"/>
      </tp>
      <tp t="s">
        <v>#N/A N/A</v>
        <stp/>
        <stp>BDP|9629857311171770791</stp>
        <tr r="F4104" s="2"/>
      </tp>
      <tp t="s">
        <v>#N/A N/A</v>
        <stp/>
        <stp>BDP|8280021591996876155</stp>
        <tr r="H2813" s="2"/>
      </tp>
      <tp t="s">
        <v>#N/A N/A</v>
        <stp/>
        <stp>BDP|3023413049745203063</stp>
        <tr r="F4713" s="2"/>
      </tp>
      <tp t="s">
        <v>#N/A N/A</v>
        <stp/>
        <stp>BDP|5264727405101174582</stp>
        <tr r="C740" s="2"/>
      </tp>
      <tp t="s">
        <v>#N/A N/A</v>
        <stp/>
        <stp>BDP|7661597071102355110</stp>
        <tr r="F616" s="2"/>
      </tp>
      <tp t="s">
        <v>#N/A N/A</v>
        <stp/>
        <stp>BDP|4963271624116442427</stp>
        <tr r="I1806" s="2"/>
      </tp>
      <tp t="s">
        <v>#N/A N/A</v>
        <stp/>
        <stp>BDP|4707253358321551430</stp>
        <tr r="A4429" s="2"/>
      </tp>
      <tp t="s">
        <v>#N/A N/A</v>
        <stp/>
        <stp>BDP|3351006149054576531</stp>
        <tr r="G2546" s="2"/>
      </tp>
      <tp t="s">
        <v>#N/A N/A</v>
        <stp/>
        <stp>BDP|4573564263348468983</stp>
        <tr r="F3681" s="2"/>
      </tp>
      <tp t="s">
        <v>#N/A N/A</v>
        <stp/>
        <stp>BDP|7113306580098926240</stp>
        <tr r="A4531" s="2"/>
      </tp>
      <tp t="s">
        <v>#N/A N/A</v>
        <stp/>
        <stp>BDP|5842847485242444111</stp>
        <tr r="I3242" s="2"/>
      </tp>
      <tp t="s">
        <v>#N/A N/A</v>
        <stp/>
        <stp>BDP|2546334032555833102</stp>
        <tr r="G3568" s="2"/>
      </tp>
      <tp t="s">
        <v>#N/A N/A</v>
        <stp/>
        <stp>BDP|3846638403870425302</stp>
        <tr r="I3216" s="2"/>
      </tp>
      <tp t="s">
        <v>#N/A N/A</v>
        <stp/>
        <stp>BDP|8246040228384243807</stp>
        <tr r="I1412" s="2"/>
      </tp>
      <tp t="s">
        <v>#N/A N/A</v>
        <stp/>
        <stp>BDP|4477715539622649464</stp>
        <tr r="I4834" s="2"/>
      </tp>
      <tp t="s">
        <v>#N/A N/A</v>
        <stp/>
        <stp>BDP|5931239371960772603</stp>
        <tr r="G871" s="2"/>
      </tp>
      <tp t="s">
        <v>#N/A N/A</v>
        <stp/>
        <stp>BDP|8345013712619821644</stp>
        <tr r="I3022" s="2"/>
      </tp>
      <tp t="s">
        <v>#N/A N/A</v>
        <stp/>
        <stp>BDP|6679318553740979619</stp>
        <tr r="I4630" s="2"/>
      </tp>
      <tp t="s">
        <v>#N/A N/A</v>
        <stp/>
        <stp>BDP|4252280675952122528</stp>
        <tr r="C1733" s="2"/>
      </tp>
      <tp t="s">
        <v>#N/A N/A</v>
        <stp/>
        <stp>BDP|5268273888251818890</stp>
        <tr r="D1181" s="2"/>
      </tp>
      <tp t="s">
        <v>#N/A N/A</v>
        <stp/>
        <stp>BDP|5692613956581999140</stp>
        <tr r="I2847" s="2"/>
      </tp>
      <tp t="s">
        <v>#N/A N/A</v>
        <stp/>
        <stp>BDP|2065565034765942769</stp>
        <tr r="A3280" s="2"/>
      </tp>
      <tp t="s">
        <v>#N/A N/A</v>
        <stp/>
        <stp>BDP|8384578680520941308</stp>
        <tr r="D4069" s="2"/>
      </tp>
      <tp t="s">
        <v>#N/A N/A</v>
        <stp/>
        <stp>BDP|5669616035820706681</stp>
        <tr r="A1255" s="2"/>
      </tp>
      <tp t="s">
        <v>#N/A N/A</v>
        <stp/>
        <stp>BDP|8259987553150331279</stp>
        <tr r="B2942" s="2"/>
      </tp>
      <tp t="s">
        <v>#N/A N/A</v>
        <stp/>
        <stp>BDP|4578232264291768788</stp>
        <tr r="B3926" s="2"/>
      </tp>
      <tp t="s">
        <v>#N/A N/A</v>
        <stp/>
        <stp>BDP|4128555929905022004</stp>
        <tr r="B2440" s="2"/>
      </tp>
      <tp t="s">
        <v>#N/A N/A</v>
        <stp/>
        <stp>BDP|2066368773381070182</stp>
        <tr r="A4166" s="2"/>
      </tp>
      <tp t="s">
        <v>#N/A N/A</v>
        <stp/>
        <stp>BDP|3318372926910959467</stp>
        <tr r="G1996" s="2"/>
      </tp>
      <tp t="s">
        <v>#N/A N/A</v>
        <stp/>
        <stp>BDP|5692937188233406147</stp>
        <tr r="B394" s="2"/>
      </tp>
      <tp t="s">
        <v>#N/A N/A</v>
        <stp/>
        <stp>BDP|2196844474768473386</stp>
        <tr r="H3556" s="2"/>
      </tp>
      <tp t="s">
        <v>#N/A N/A</v>
        <stp/>
        <stp>BDP|5969251817828204844</stp>
        <tr r="D3768" s="2"/>
      </tp>
      <tp t="s">
        <v>#N/A N/A</v>
        <stp/>
        <stp>BDP|9686924388928989686</stp>
        <tr r="I3256" s="2"/>
      </tp>
      <tp t="s">
        <v>#N/A N/A</v>
        <stp/>
        <stp>BDP|1022284904763686672</stp>
        <tr r="B4014" s="2"/>
      </tp>
      <tp t="s">
        <v>#N/A N/A</v>
        <stp/>
        <stp>BDP|1623485205390473328</stp>
        <tr r="D2141" s="2"/>
      </tp>
      <tp t="s">
        <v>#N/A N/A</v>
        <stp/>
        <stp>BDP|6496548408823375664</stp>
        <tr r="D598" s="2"/>
      </tp>
      <tp t="s">
        <v>#N/A N/A</v>
        <stp/>
        <stp>BDP|5256058959095441373</stp>
        <tr r="F1037" s="2"/>
      </tp>
      <tp t="s">
        <v>#N/A N/A</v>
        <stp/>
        <stp>BDP|2153726930263721399</stp>
        <tr r="G578" s="2"/>
      </tp>
      <tp t="s">
        <v>#N/A N/A</v>
        <stp/>
        <stp>BDP|1610925619919795679</stp>
        <tr r="F2506" s="2"/>
      </tp>
      <tp t="s">
        <v>#N/A N/A</v>
        <stp/>
        <stp>BDP|1696558008821556331</stp>
        <tr r="A139" s="2"/>
      </tp>
      <tp t="s">
        <v>#N/A N/A</v>
        <stp/>
        <stp>BDP|1845745277893023466</stp>
        <tr r="C4365" s="2"/>
      </tp>
      <tp t="s">
        <v>#N/A N/A</v>
        <stp/>
        <stp>BDP|4164656741946838607</stp>
        <tr r="H3496" s="2"/>
      </tp>
      <tp t="s">
        <v>#N/A N/A</v>
        <stp/>
        <stp>BDP|7024289693788350254</stp>
        <tr r="B2861" s="2"/>
      </tp>
      <tp t="s">
        <v>#N/A N/A</v>
        <stp/>
        <stp>BDP|4869538367366539742</stp>
        <tr r="I4335" s="2"/>
      </tp>
      <tp t="s">
        <v>#N/A N/A</v>
        <stp/>
        <stp>BDP|5895101050616352167</stp>
        <tr r="D1533" s="2"/>
      </tp>
      <tp t="s">
        <v>#N/A N/A</v>
        <stp/>
        <stp>BDP|4561155563405824069</stp>
        <tr r="G4919" s="2"/>
      </tp>
      <tp t="s">
        <v>#N/A N/A</v>
        <stp/>
        <stp>BDP|3518534105609782997</stp>
        <tr r="B1902" s="2"/>
      </tp>
      <tp t="s">
        <v>#N/A N/A</v>
        <stp/>
        <stp>BDP|1670470034868116891</stp>
        <tr r="D4769" s="2"/>
      </tp>
      <tp t="s">
        <v>#N/A N/A</v>
        <stp/>
        <stp>BDP|3772211507284822349</stp>
        <tr r="G2595" s="2"/>
      </tp>
      <tp t="s">
        <v>#N/A N/A</v>
        <stp/>
        <stp>BDP|6409281381309194314</stp>
        <tr r="G2605" s="2"/>
      </tp>
      <tp t="s">
        <v>#N/A N/A</v>
        <stp/>
        <stp>BDP|3302292170630239058</stp>
        <tr r="B4080" s="2"/>
      </tp>
      <tp t="s">
        <v>#N/A N/A</v>
        <stp/>
        <stp>BDP|8408425527181882942</stp>
        <tr r="D1382" s="2"/>
      </tp>
      <tp t="s">
        <v>#N/A N/A</v>
        <stp/>
        <stp>BDP|5407119363570341486</stp>
        <tr r="I810" s="2"/>
      </tp>
      <tp t="s">
        <v>#N/A N/A</v>
        <stp/>
        <stp>BDP|6849433346212339238</stp>
        <tr r="F771" s="2"/>
      </tp>
      <tp t="s">
        <v>#N/A N/A</v>
        <stp/>
        <stp>BDP|9130480098971845340</stp>
        <tr r="G4337" s="2"/>
      </tp>
      <tp t="s">
        <v>#N/A N/A</v>
        <stp/>
        <stp>BDP|9397490072058360461</stp>
        <tr r="A1901" s="2"/>
      </tp>
      <tp t="s">
        <v>#N/A N/A</v>
        <stp/>
        <stp>BDP|3899992798737131251</stp>
        <tr r="A220" s="2"/>
      </tp>
      <tp t="s">
        <v>#N/A N/A</v>
        <stp/>
        <stp>BDP|6194495205023878785</stp>
        <tr r="B4833" s="2"/>
      </tp>
      <tp t="s">
        <v>#N/A N/A</v>
        <stp/>
        <stp>BDP|8715948208972776516</stp>
        <tr r="H3906" s="2"/>
      </tp>
      <tp t="s">
        <v>#N/A N/A</v>
        <stp/>
        <stp>BDP|9277544388557006537</stp>
        <tr r="H237" s="2"/>
      </tp>
      <tp t="s">
        <v>#N/A N/A</v>
        <stp/>
        <stp>BDP|3324755060330337486</stp>
        <tr r="D1035" s="2"/>
      </tp>
      <tp t="s">
        <v>#N/A N/A</v>
        <stp/>
        <stp>BDP|1835127370209653813</stp>
        <tr r="H1572" s="2"/>
      </tp>
      <tp t="s">
        <v>#N/A N/A</v>
        <stp/>
        <stp>BDP|5130757006721605593</stp>
        <tr r="F1959" s="2"/>
      </tp>
      <tp t="s">
        <v>#N/A N/A</v>
        <stp/>
        <stp>BDP|9436271768503236844</stp>
        <tr r="D74" s="2"/>
      </tp>
      <tp t="s">
        <v>#N/A N/A</v>
        <stp/>
        <stp>BDP|4179748313890913426</stp>
        <tr r="H1414" s="2"/>
      </tp>
      <tp t="s">
        <v>#N/A N/A</v>
        <stp/>
        <stp>BDP|2791778789618105357</stp>
        <tr r="G4967" s="2"/>
      </tp>
      <tp t="s">
        <v>#N/A N/A</v>
        <stp/>
        <stp>BDP|9465675659328683418</stp>
        <tr r="I3541" s="2"/>
      </tp>
      <tp t="s">
        <v>#N/A N/A</v>
        <stp/>
        <stp>BDP|3675937200665939915</stp>
        <tr r="A542" s="2"/>
      </tp>
      <tp t="s">
        <v>#N/A N/A</v>
        <stp/>
        <stp>BDP|2058837191427672291</stp>
        <tr r="A709" s="2"/>
      </tp>
      <tp t="s">
        <v>#N/A N/A</v>
        <stp/>
        <stp>BDP|3740749302403931159</stp>
        <tr r="D1984" s="2"/>
      </tp>
      <tp t="s">
        <v>#N/A N/A</v>
        <stp/>
        <stp>BDP|4650163420958893955</stp>
        <tr r="H440" s="2"/>
      </tp>
      <tp t="s">
        <v>#N/A N/A</v>
        <stp/>
        <stp>BDP|4108337512157835756</stp>
        <tr r="F2852" s="2"/>
      </tp>
      <tp t="s">
        <v>#N/A N/A</v>
        <stp/>
        <stp>BDP|5148848749418481753</stp>
        <tr r="I720" s="2"/>
      </tp>
      <tp t="s">
        <v>#N/A N/A</v>
        <stp/>
        <stp>BDP|6742554826212823513</stp>
        <tr r="G4392" s="2"/>
      </tp>
      <tp t="s">
        <v>#N/A N/A</v>
        <stp/>
        <stp>BDP|6220055540781268584</stp>
        <tr r="H914" s="2"/>
      </tp>
      <tp t="s">
        <v>#N/A N/A</v>
        <stp/>
        <stp>BDP|2206905476399118385</stp>
        <tr r="H3956" s="2"/>
      </tp>
      <tp t="s">
        <v>#N/A N/A</v>
        <stp/>
        <stp>BDP|5191578336787955241</stp>
        <tr r="H2594" s="2"/>
      </tp>
      <tp t="s">
        <v>#N/A N/A</v>
        <stp/>
        <stp>BDP|6603725761745008480</stp>
        <tr r="H3208" s="2"/>
      </tp>
      <tp t="s">
        <v>#N/A N/A</v>
        <stp/>
        <stp>BDP|3080920713275484887</stp>
        <tr r="A2774" s="2"/>
      </tp>
      <tp t="s">
        <v>#N/A N/A</v>
        <stp/>
        <stp>BDP|7562505574077427484</stp>
        <tr r="I1828" s="2"/>
      </tp>
      <tp t="s">
        <v>#N/A N/A</v>
        <stp/>
        <stp>BDP|3625985896834590103</stp>
        <tr r="D2982" s="2"/>
      </tp>
      <tp t="s">
        <v>#N/A N/A</v>
        <stp/>
        <stp>BDP|3990089707091200495</stp>
        <tr r="G3830" s="2"/>
      </tp>
      <tp t="s">
        <v>#N/A N/A</v>
        <stp/>
        <stp>BDP|5346805688386126575</stp>
        <tr r="H650" s="2"/>
      </tp>
      <tp t="s">
        <v>#N/A N/A</v>
        <stp/>
        <stp>BDP|6999874312209625078</stp>
        <tr r="G448" s="2"/>
      </tp>
      <tp t="s">
        <v>#N/A N/A</v>
        <stp/>
        <stp>BDP|3513299054247290577</stp>
        <tr r="C3184" s="2"/>
      </tp>
      <tp t="s">
        <v>#N/A N/A</v>
        <stp/>
        <stp>BDP|5076591547920481273</stp>
        <tr r="C956" s="2"/>
      </tp>
      <tp t="s">
        <v>#N/A N/A</v>
        <stp/>
        <stp>BDP|1168466023554873516</stp>
        <tr r="F3331" s="2"/>
      </tp>
      <tp t="s">
        <v>#N/A N/A</v>
        <stp/>
        <stp>BDP|6019136025466246593</stp>
        <tr r="C3674" s="2"/>
      </tp>
      <tp t="s">
        <v>#N/A N/A</v>
        <stp/>
        <stp>BDP|2016595632623769110</stp>
        <tr r="B4692" s="2"/>
      </tp>
      <tp t="s">
        <v>#N/A N/A</v>
        <stp/>
        <stp>BDP|8347279362209992321</stp>
        <tr r="G4585" s="2"/>
      </tp>
      <tp t="s">
        <v>#N/A N/A</v>
        <stp/>
        <stp>BDP|1095622030825867772</stp>
        <tr r="A4415" s="2"/>
      </tp>
      <tp t="s">
        <v>#N/A N/A</v>
        <stp/>
        <stp>BDP|5981195093479895267</stp>
        <tr r="G4517" s="2"/>
      </tp>
      <tp t="s">
        <v>#N/A N/A</v>
        <stp/>
        <stp>BDP|4300663018793517652</stp>
        <tr r="H4719" s="2"/>
      </tp>
      <tp t="s">
        <v>#N/A N/A</v>
        <stp/>
        <stp>BDP|7130535860527925566</stp>
        <tr r="H3540" s="2"/>
      </tp>
      <tp t="s">
        <v>#N/A N/A</v>
        <stp/>
        <stp>BDP|7371710267228928810</stp>
        <tr r="G552" s="2"/>
      </tp>
      <tp t="s">
        <v>#N/A N/A</v>
        <stp/>
        <stp>BDP|2805481819289041841</stp>
        <tr r="C4159" s="2"/>
      </tp>
      <tp t="s">
        <v>#N/A N/A</v>
        <stp/>
        <stp>BDP|1537201109604323120</stp>
        <tr r="F918" s="2"/>
      </tp>
      <tp t="s">
        <v>#N/A N/A</v>
        <stp/>
        <stp>BDP|1177818649238330378</stp>
        <tr r="G4723" s="2"/>
      </tp>
      <tp t="s">
        <v>#N/A N/A</v>
        <stp/>
        <stp>BDP|2194263369712795242</stp>
        <tr r="A3929" s="2"/>
      </tp>
      <tp t="s">
        <v>#N/A N/A</v>
        <stp/>
        <stp>BDP|2729644742625921354</stp>
        <tr r="A3371" s="2"/>
      </tp>
      <tp t="s">
        <v>#N/A N/A</v>
        <stp/>
        <stp>BDP|3861845888621815412</stp>
        <tr r="H590" s="2"/>
      </tp>
      <tp t="s">
        <v>#N/A N/A</v>
        <stp/>
        <stp>BDP|7144328054012161543</stp>
        <tr r="G4851" s="2"/>
      </tp>
      <tp t="s">
        <v>#N/A N/A</v>
        <stp/>
        <stp>BDP|3629842529389982602</stp>
        <tr r="A3693" s="2"/>
      </tp>
      <tp t="s">
        <v>#N/A N/A</v>
        <stp/>
        <stp>BDP|2280407662022533475</stp>
        <tr r="G4707" s="2"/>
      </tp>
      <tp t="s">
        <v>#N/A N/A</v>
        <stp/>
        <stp>BDP|3730891316248297480</stp>
        <tr r="F2616" s="2"/>
      </tp>
      <tp t="s">
        <v>#N/A N/A</v>
        <stp/>
        <stp>BDP|2716668942817100108</stp>
        <tr r="G620" s="2"/>
      </tp>
      <tp t="s">
        <v>#N/A N/A</v>
        <stp/>
        <stp>BDP|4599212776240862786</stp>
        <tr r="D479" s="2"/>
      </tp>
      <tp t="s">
        <v>#N/A N/A</v>
        <stp/>
        <stp>BDP|7345665407820297728</stp>
        <tr r="B3000" s="2"/>
      </tp>
      <tp t="s">
        <v>#N/A N/A</v>
        <stp/>
        <stp>BDP|7615641541147390420</stp>
        <tr r="H4128" s="2"/>
      </tp>
      <tp t="s">
        <v>#N/A N/A</v>
        <stp/>
        <stp>BDP|1285044241713041057</stp>
        <tr r="B837" s="2"/>
      </tp>
      <tp t="s">
        <v>#N/A N/A</v>
        <stp/>
        <stp>BDP|2890770770704817054</stp>
        <tr r="I4147" s="2"/>
      </tp>
      <tp t="s">
        <v>#N/A N/A</v>
        <stp/>
        <stp>BDP|7708617534447517359</stp>
        <tr r="I2286" s="2"/>
      </tp>
      <tp t="s">
        <v>#N/A N/A</v>
        <stp/>
        <stp>BDP|6602171411836263605</stp>
        <tr r="B1575" s="2"/>
      </tp>
      <tp t="s">
        <v>#N/A N/A</v>
        <stp/>
        <stp>BDP|7660278311722624046</stp>
        <tr r="D2131" s="2"/>
      </tp>
      <tp t="s">
        <v>#N/A N/A</v>
        <stp/>
        <stp>BDP|6430397614986868436</stp>
        <tr r="I2789" s="2"/>
      </tp>
      <tp t="s">
        <v>#N/A N/A</v>
        <stp/>
        <stp>BDP|4959885061999027526</stp>
        <tr r="C1107" s="2"/>
      </tp>
      <tp t="s">
        <v>#N/A N/A</v>
        <stp/>
        <stp>BDP|2732875681075591162</stp>
        <tr r="B1054" s="2"/>
      </tp>
      <tp t="s">
        <v>#N/A N/A</v>
        <stp/>
        <stp>BDP|5054766678653495081</stp>
        <tr r="H1919" s="2"/>
      </tp>
      <tp t="s">
        <v>#N/A N/A</v>
        <stp/>
        <stp>BDP|6518225786119013339</stp>
        <tr r="I4366" s="2"/>
      </tp>
      <tp t="s">
        <v>#N/A N/A</v>
        <stp/>
        <stp>BDP|7133212332986665663</stp>
        <tr r="I3001" s="2"/>
      </tp>
      <tp t="s">
        <v>#N/A N/A</v>
        <stp/>
        <stp>BDP|4688234145743653743</stp>
        <tr r="G1496" s="2"/>
      </tp>
      <tp t="s">
        <v>#N/A N/A</v>
        <stp/>
        <stp>BDP|6290527230397275107</stp>
        <tr r="I3938" s="2"/>
      </tp>
      <tp t="s">
        <v>#N/A N/A</v>
        <stp/>
        <stp>BDP|9344155395067857098</stp>
        <tr r="H2999" s="2"/>
      </tp>
      <tp t="s">
        <v>#N/A N/A</v>
        <stp/>
        <stp>BDP|3446624015013647178</stp>
        <tr r="D2613" s="2"/>
      </tp>
      <tp t="s">
        <v>#N/A N/A</v>
        <stp/>
        <stp>BDP|5685447463583578261</stp>
        <tr r="D4389" s="2"/>
      </tp>
      <tp t="s">
        <v>#N/A N/A</v>
        <stp/>
        <stp>BDP|6394017371056003112</stp>
        <tr r="A2304" s="2"/>
      </tp>
      <tp t="s">
        <v>#N/A N/A</v>
        <stp/>
        <stp>BDP|9120519455079750602</stp>
        <tr r="F1400" s="2"/>
      </tp>
      <tp t="s">
        <v>#N/A N/A</v>
        <stp/>
        <stp>BDP|3285667149695673292</stp>
        <tr r="F2174" s="2"/>
      </tp>
      <tp t="s">
        <v>#N/A N/A</v>
        <stp/>
        <stp>BDP|3068917296290288577</stp>
        <tr r="I1601" s="2"/>
      </tp>
      <tp t="s">
        <v>#N/A N/A</v>
        <stp/>
        <stp>BDP|6983121373675233383</stp>
        <tr r="G778" s="2"/>
      </tp>
      <tp t="s">
        <v>#N/A N/A</v>
        <stp/>
        <stp>BDP|1397525675292085769</stp>
        <tr r="I4592" s="2"/>
      </tp>
      <tp t="s">
        <v>#N/A N/A</v>
        <stp/>
        <stp>BDP|6597832506431788958</stp>
        <tr r="C45" s="2"/>
      </tp>
      <tp t="s">
        <v>#N/A N/A</v>
        <stp/>
        <stp>BDP|9193235623217461876</stp>
        <tr r="F859" s="2"/>
      </tp>
      <tp t="s">
        <v>#N/A N/A</v>
        <stp/>
        <stp>BDP|3167448032094518601</stp>
        <tr r="A1471" s="2"/>
      </tp>
      <tp t="s">
        <v>#N/A N/A</v>
        <stp/>
        <stp>BDP|6123369130870744029</stp>
        <tr r="F2172" s="2"/>
      </tp>
      <tp t="s">
        <v>#N/A N/A</v>
        <stp/>
        <stp>BDP|1921582318600981320</stp>
        <tr r="I966" s="2"/>
      </tp>
      <tp t="s">
        <v>#N/A N/A</v>
        <stp/>
        <stp>BDP|2117219033535578044</stp>
        <tr r="H2130" s="2"/>
      </tp>
      <tp t="s">
        <v>#N/A N/A</v>
        <stp/>
        <stp>BDP|8186274145238789068</stp>
        <tr r="D3948" s="2"/>
      </tp>
      <tp t="s">
        <v>#N/A N/A</v>
        <stp/>
        <stp>BDP|6578052214358380950</stp>
        <tr r="H1033" s="2"/>
      </tp>
      <tp t="s">
        <v>#N/A N/A</v>
        <stp/>
        <stp>BDP|9588623047959455469</stp>
        <tr r="G2186" s="2"/>
      </tp>
      <tp t="s">
        <v>#N/A N/A</v>
        <stp/>
        <stp>BDP|5898229018696507657</stp>
        <tr r="C62" s="2"/>
      </tp>
      <tp t="s">
        <v>#N/A N/A</v>
        <stp/>
        <stp>BDP|1593153736815762035</stp>
        <tr r="H1056" s="2"/>
      </tp>
      <tp t="s">
        <v>#N/A N/A</v>
        <stp/>
        <stp>BDP|3341737145326205051</stp>
        <tr r="I760" s="2"/>
      </tp>
      <tp t="s">
        <v>#N/A N/A</v>
        <stp/>
        <stp>BDP|3414671023155386418</stp>
        <tr r="D1801" s="2"/>
      </tp>
      <tp t="s">
        <v>#N/A N/A</v>
        <stp/>
        <stp>BDP|4638400466097252707</stp>
        <tr r="A1562" s="2"/>
      </tp>
      <tp t="s">
        <v>#N/A N/A</v>
        <stp/>
        <stp>BDP|3006865555218362020</stp>
        <tr r="D1820" s="2"/>
      </tp>
      <tp t="s">
        <v>#N/A N/A</v>
        <stp/>
        <stp>BDP|6451467752259221803</stp>
        <tr r="G3533" s="2"/>
      </tp>
      <tp t="s">
        <v>#N/A N/A</v>
        <stp/>
        <stp>BDP|4307618682289185533</stp>
        <tr r="C4440" s="2"/>
      </tp>
      <tp t="s">
        <v>#N/A N/A</v>
        <stp/>
        <stp>BDP|5158551703781279775</stp>
        <tr r="C3799" s="2"/>
      </tp>
      <tp t="s">
        <v>#N/A N/A</v>
        <stp/>
        <stp>BDP|1344110792878541778</stp>
        <tr r="H1670" s="2"/>
      </tp>
      <tp t="s">
        <v>#N/A N/A</v>
        <stp/>
        <stp>BDP|6505765351614935690</stp>
        <tr r="A1168" s="2"/>
      </tp>
      <tp t="s">
        <v>#N/A N/A</v>
        <stp/>
        <stp>BDP|9810613654228866476</stp>
        <tr r="I4779" s="2"/>
      </tp>
      <tp t="s">
        <v>#N/A N/A</v>
        <stp/>
        <stp>BDP|6431035774795616270</stp>
        <tr r="B3162" s="2"/>
      </tp>
      <tp t="s">
        <v>#N/A N/A</v>
        <stp/>
        <stp>BDP|3682952677919161276</stp>
        <tr r="C2544" s="2"/>
      </tp>
      <tp t="s">
        <v>#N/A N/A</v>
        <stp/>
        <stp>BDP|4012106244646300152</stp>
        <tr r="A4110" s="2"/>
      </tp>
      <tp t="s">
        <v>#N/A N/A</v>
        <stp/>
        <stp>BDP|3175152215223525666</stp>
        <tr r="B2383" s="2"/>
      </tp>
      <tp t="s">
        <v>#N/A N/A</v>
        <stp/>
        <stp>BDP|4287622602810281429</stp>
        <tr r="D569" s="2"/>
      </tp>
      <tp t="s">
        <v>#N/A N/A</v>
        <stp/>
        <stp>BDP|4162247564030029630</stp>
        <tr r="F2364" s="2"/>
      </tp>
      <tp t="s">
        <v>#N/A N/A</v>
        <stp/>
        <stp>BDP|8448537669555540891</stp>
        <tr r="A1849" s="2"/>
      </tp>
      <tp t="s">
        <v>#N/A N/A</v>
        <stp/>
        <stp>BDP|6427430275241645266</stp>
        <tr r="C2616" s="2"/>
      </tp>
      <tp t="s">
        <v>#N/A N/A</v>
        <stp/>
        <stp>BDP|8530239691735693036</stp>
        <tr r="A3400" s="2"/>
      </tp>
      <tp t="s">
        <v>#N/A N/A</v>
        <stp/>
        <stp>BDP|3147174012321765417</stp>
        <tr r="F1310" s="2"/>
      </tp>
      <tp t="s">
        <v>#N/A N/A</v>
        <stp/>
        <stp>BDP|4244172333301457102</stp>
        <tr r="F2394" s="2"/>
      </tp>
      <tp t="s">
        <v>#N/A N/A</v>
        <stp/>
        <stp>BDP|4083657087134942898</stp>
        <tr r="A1280" s="2"/>
      </tp>
      <tp t="s">
        <v>#N/A N/A</v>
        <stp/>
        <stp>BDP|8550979295298759629</stp>
        <tr r="D987" s="2"/>
      </tp>
      <tp t="s">
        <v>#N/A N/A</v>
        <stp/>
        <stp>BDP|3281558023653737117</stp>
        <tr r="I2998" s="2"/>
      </tp>
      <tp t="s">
        <v>#N/A N/A</v>
        <stp/>
        <stp>BDP|6613753430552458650</stp>
        <tr r="D1088" s="2"/>
      </tp>
      <tp t="s">
        <v>#N/A N/A</v>
        <stp/>
        <stp>BDP|1690688340012436787</stp>
        <tr r="B1645" s="2"/>
      </tp>
      <tp t="s">
        <v>#N/A N/A</v>
        <stp/>
        <stp>BDP|4320628180874513866</stp>
        <tr r="C1507" s="2"/>
      </tp>
      <tp t="s">
        <v>#N/A N/A</v>
        <stp/>
        <stp>BDP|1277084500516113192</stp>
        <tr r="C2517" s="2"/>
      </tp>
      <tp t="s">
        <v>#N/A N/A</v>
        <stp/>
        <stp>BDP|5452504373117072652</stp>
        <tr r="C240" s="2"/>
      </tp>
      <tp t="s">
        <v>#N/A N/A</v>
        <stp/>
        <stp>BDP|8254423634231203841</stp>
        <tr r="I3516" s="2"/>
      </tp>
      <tp t="s">
        <v>#N/A N/A</v>
        <stp/>
        <stp>BDP|6112658903092051459</stp>
        <tr r="A2160" s="2"/>
      </tp>
      <tp t="s">
        <v>#N/A N/A</v>
        <stp/>
        <stp>BDP|7556481318075511120</stp>
        <tr r="I1671" s="2"/>
      </tp>
      <tp t="s">
        <v>#N/A N/A</v>
        <stp/>
        <stp>BDP|5572205907656733772</stp>
        <tr r="A3911" s="2"/>
      </tp>
      <tp t="s">
        <v>#N/A N/A</v>
        <stp/>
        <stp>BDP|8946964917312216487</stp>
        <tr r="A4000" s="2"/>
      </tp>
      <tp t="s">
        <v>#N/A N/A</v>
        <stp/>
        <stp>BDP|8803116233824929819</stp>
        <tr r="F3166" s="2"/>
      </tp>
      <tp t="s">
        <v>#N/A N/A</v>
        <stp/>
        <stp>BDP|6178854897707085618</stp>
        <tr r="B3889" s="2"/>
      </tp>
      <tp t="s">
        <v>#N/A N/A</v>
        <stp/>
        <stp>BDP|6727285878210719520</stp>
        <tr r="B3293" s="2"/>
      </tp>
      <tp t="s">
        <v>#N/A N/A</v>
        <stp/>
        <stp>BDP|4125252837195664673</stp>
        <tr r="D1671" s="2"/>
      </tp>
      <tp t="s">
        <v>#N/A N/A</v>
        <stp/>
        <stp>BDP|2074070400000031450</stp>
        <tr r="H3698" s="2"/>
      </tp>
      <tp t="s">
        <v>#N/A N/A</v>
        <stp/>
        <stp>BDP|2240212298657004894</stp>
        <tr r="C3507" s="2"/>
      </tp>
      <tp t="s">
        <v>#N/A N/A</v>
        <stp/>
        <stp>BDP|5835483817157024157</stp>
        <tr r="I1868" s="2"/>
      </tp>
      <tp t="s">
        <v>#N/A N/A</v>
        <stp/>
        <stp>BDP|1076685912261057181</stp>
        <tr r="C1691" s="2"/>
      </tp>
      <tp t="s">
        <v>#N/A N/A</v>
        <stp/>
        <stp>BDP|8028750378346904865</stp>
        <tr r="I1802" s="2"/>
      </tp>
      <tp t="s">
        <v>#N/A N/A</v>
        <stp/>
        <stp>BDP|5195100464432636619</stp>
        <tr r="F2632" s="2"/>
      </tp>
      <tp t="s">
        <v>#N/A N/A</v>
        <stp/>
        <stp>BDP|6566610292417653820</stp>
        <tr r="H248" s="2"/>
      </tp>
      <tp t="s">
        <v>#N/A N/A</v>
        <stp/>
        <stp>BDP|9170432763664637957</stp>
        <tr r="A1306" s="2"/>
      </tp>
      <tp t="s">
        <v>#N/A N/A</v>
        <stp/>
        <stp>BDP|9747181568231137943</stp>
        <tr r="D3235" s="2"/>
      </tp>
      <tp t="s">
        <v>#N/A N/A</v>
        <stp/>
        <stp>BDP|6807259025973300397</stp>
        <tr r="H3836" s="2"/>
      </tp>
      <tp t="s">
        <v>#N/A N/A</v>
        <stp/>
        <stp>BDP|7333082704561950046</stp>
        <tr r="H4669" s="2"/>
      </tp>
      <tp t="s">
        <v>#N/A N/A</v>
        <stp/>
        <stp>BDP|3807627432482337297</stp>
        <tr r="H407" s="2"/>
      </tp>
      <tp t="s">
        <v>#N/A N/A</v>
        <stp/>
        <stp>BDP|4150361834000430250</stp>
        <tr r="G1995" s="2"/>
      </tp>
      <tp t="s">
        <v>#N/A N/A</v>
        <stp/>
        <stp>BDP|3782289946506902523</stp>
        <tr r="A2154" s="2"/>
      </tp>
      <tp t="s">
        <v>#N/A N/A</v>
        <stp/>
        <stp>BDP|3050543592229422000</stp>
        <tr r="C3993" s="2"/>
      </tp>
      <tp t="s">
        <v>#N/A N/A</v>
        <stp/>
        <stp>BDP|5897701504863759793</stp>
        <tr r="F1370" s="2"/>
      </tp>
      <tp t="s">
        <v>#N/A N/A</v>
        <stp/>
        <stp>BDP|1432365568357178594</stp>
        <tr r="A2275" s="2"/>
      </tp>
      <tp t="s">
        <v>#N/A N/A</v>
        <stp/>
        <stp>BDP|8410338523899727615</stp>
        <tr r="I1540" s="2"/>
      </tp>
      <tp t="s">
        <v>#N/A N/A</v>
        <stp/>
        <stp>BDP|6649175552906029203</stp>
        <tr r="D1524" s="2"/>
      </tp>
      <tp t="s">
        <v>#N/A N/A</v>
        <stp/>
        <stp>BDP|3413560674170584701</stp>
        <tr r="B4917" s="2"/>
      </tp>
      <tp t="s">
        <v>#N/A N/A</v>
        <stp/>
        <stp>BDP|4777008366565453166</stp>
        <tr r="A4619" s="2"/>
      </tp>
      <tp t="s">
        <v>#N/A N/A</v>
        <stp/>
        <stp>BDP|1946307119173792642</stp>
        <tr r="I3058" s="2"/>
      </tp>
      <tp t="s">
        <v>#N/A N/A</v>
        <stp/>
        <stp>BDP|5870238249757255234</stp>
        <tr r="A2951" s="2"/>
      </tp>
      <tp t="s">
        <v>#N/A N/A</v>
        <stp/>
        <stp>BDP|4361650730703511408</stp>
        <tr r="B2024" s="2"/>
      </tp>
      <tp t="s">
        <v>#N/A N/A</v>
        <stp/>
        <stp>BDP|6896365557571865727</stp>
        <tr r="C2848" s="2"/>
      </tp>
      <tp t="s">
        <v>#N/A N/A</v>
        <stp/>
        <stp>BDP|1179326795465685835</stp>
        <tr r="F38" s="2"/>
      </tp>
      <tp t="s">
        <v>#N/A N/A</v>
        <stp/>
        <stp>BDP|3808188643814790471</stp>
        <tr r="F4736" s="2"/>
      </tp>
      <tp t="s">
        <v>#N/A N/A</v>
        <stp/>
        <stp>BDP|3192531720780405257</stp>
        <tr r="D3784" s="2"/>
      </tp>
      <tp t="s">
        <v>#N/A N/A</v>
        <stp/>
        <stp>BDP|1356053871870300076</stp>
        <tr r="B4870" s="2"/>
      </tp>
      <tp t="s">
        <v>#N/A N/A</v>
        <stp/>
        <stp>BDP|7678864275768147678</stp>
        <tr r="D877" s="2"/>
      </tp>
      <tp t="s">
        <v>#N/A N/A</v>
        <stp/>
        <stp>BDP|2761762000912657143</stp>
        <tr r="A733" s="2"/>
      </tp>
      <tp t="s">
        <v>#N/A N/A</v>
        <stp/>
        <stp>BDP|2076124362845752645</stp>
        <tr r="I818" s="2"/>
      </tp>
      <tp t="s">
        <v>#N/A N/A</v>
        <stp/>
        <stp>BDP|4687278160435776358</stp>
        <tr r="C4172" s="2"/>
      </tp>
      <tp t="s">
        <v>#N/A N/A</v>
        <stp/>
        <stp>BDP|1090741751482053762</stp>
        <tr r="A2517" s="2"/>
      </tp>
      <tp t="s">
        <v>#N/A N/A</v>
        <stp/>
        <stp>BDP|1709496225006156798</stp>
        <tr r="F2255" s="2"/>
      </tp>
      <tp t="s">
        <v>#N/A N/A</v>
        <stp/>
        <stp>BDP|4278579673424441415</stp>
        <tr r="B4245" s="2"/>
      </tp>
      <tp t="s">
        <v>#N/A N/A</v>
        <stp/>
        <stp>BDP|3572732707881424364</stp>
        <tr r="D1042" s="2"/>
      </tp>
      <tp t="s">
        <v>#N/A N/A</v>
        <stp/>
        <stp>BDP|7948766086957384998</stp>
        <tr r="I3682" s="2"/>
      </tp>
      <tp t="s">
        <v>#N/A N/A</v>
        <stp/>
        <stp>BDP|1086870615388952685</stp>
        <tr r="F2776" s="2"/>
      </tp>
      <tp t="s">
        <v>#N/A N/A</v>
        <stp/>
        <stp>BDP|4289737903675053016</stp>
        <tr r="I848" s="2"/>
      </tp>
      <tp t="s">
        <v>#N/A N/A</v>
        <stp/>
        <stp>BDP|3172586718006033728</stp>
        <tr r="I4924" s="2"/>
      </tp>
      <tp t="s">
        <v>#N/A N/A</v>
        <stp/>
        <stp>BDP|7022979082772002266</stp>
        <tr r="C4654" s="2"/>
      </tp>
      <tp t="s">
        <v>#N/A N/A</v>
        <stp/>
        <stp>BDP|3725375321432194630</stp>
        <tr r="F1987" s="2"/>
      </tp>
      <tp t="s">
        <v>#N/A N/A</v>
        <stp/>
        <stp>BDP|9288060699385717390</stp>
        <tr r="B1845" s="2"/>
      </tp>
      <tp t="s">
        <v>#N/A N/A</v>
        <stp/>
        <stp>BDP|9705950121364510058</stp>
        <tr r="C1719" s="2"/>
      </tp>
      <tp t="s">
        <v>#N/A N/A</v>
        <stp/>
        <stp>BDP|3419657299738930228</stp>
        <tr r="I1171" s="2"/>
      </tp>
      <tp t="s">
        <v>#N/A N/A</v>
        <stp/>
        <stp>BDP|3638535357127983285</stp>
        <tr r="I1097" s="2"/>
      </tp>
      <tp t="s">
        <v>#N/A N/A</v>
        <stp/>
        <stp>BDP|8892253018404408924</stp>
        <tr r="F3797" s="2"/>
      </tp>
      <tp t="s">
        <v>#N/A N/A</v>
        <stp/>
        <stp>BDP|1505437977716726258</stp>
        <tr r="I4987" s="2"/>
      </tp>
      <tp t="s">
        <v>#N/A N/A</v>
        <stp/>
        <stp>BDP|4171735442134183526</stp>
        <tr r="C3024" s="2"/>
      </tp>
      <tp t="s">
        <v>#N/A N/A</v>
        <stp/>
        <stp>BDP|1961509307623576183</stp>
        <tr r="F4839" s="2"/>
      </tp>
      <tp t="s">
        <v>#N/A N/A</v>
        <stp/>
        <stp>BDP|2132249410744720312</stp>
        <tr r="G894" s="2"/>
      </tp>
      <tp t="s">
        <v>#N/A N/A</v>
        <stp/>
        <stp>BDP|3495964489305123191</stp>
        <tr r="I1457" s="2"/>
      </tp>
      <tp t="s">
        <v>#N/A N/A</v>
        <stp/>
        <stp>BDP|4727073988539911328</stp>
        <tr r="H3919" s="2"/>
      </tp>
      <tp t="s">
        <v>#N/A N/A</v>
        <stp/>
        <stp>BDP|3018694704826885568</stp>
        <tr r="H3736" s="2"/>
      </tp>
      <tp t="s">
        <v>#N/A N/A</v>
        <stp/>
        <stp>BDP|1329663118162845269</stp>
        <tr r="A1907" s="2"/>
      </tp>
      <tp t="s">
        <v>#N/A N/A</v>
        <stp/>
        <stp>BDP|4663579452844135618</stp>
        <tr r="G3480" s="2"/>
      </tp>
      <tp t="s">
        <v>#N/A N/A</v>
        <stp/>
        <stp>BDP|9315729668628310693</stp>
        <tr r="G2493" s="2"/>
      </tp>
      <tp t="s">
        <v>#N/A N/A</v>
        <stp/>
        <stp>BDP|3305492249935837084</stp>
        <tr r="C291" s="2"/>
      </tp>
      <tp t="s">
        <v>#N/A N/A</v>
        <stp/>
        <stp>BDP|8466315546768288120</stp>
        <tr r="I227" s="2"/>
      </tp>
      <tp t="s">
        <v>#N/A N/A</v>
        <stp/>
        <stp>BDP|6456485575032865129</stp>
        <tr r="I4199" s="2"/>
      </tp>
      <tp t="s">
        <v>#N/A N/A</v>
        <stp/>
        <stp>BDP|1076639500701045002</stp>
        <tr r="G2012" s="2"/>
      </tp>
      <tp t="s">
        <v>#N/A N/A</v>
        <stp/>
        <stp>BDP|3336136533441285626</stp>
        <tr r="C1033" s="2"/>
      </tp>
      <tp t="s">
        <v>#N/A N/A</v>
        <stp/>
        <stp>BDP|1696841340929679279</stp>
        <tr r="B192" s="2"/>
      </tp>
      <tp t="s">
        <v>#N/A N/A</v>
        <stp/>
        <stp>BDP|4378942686964426761</stp>
        <tr r="B1627" s="2"/>
      </tp>
      <tp t="s">
        <v>#N/A N/A</v>
        <stp/>
        <stp>BDP|1364218816302467634</stp>
        <tr r="G1499" s="2"/>
      </tp>
      <tp t="s">
        <v>#N/A N/A</v>
        <stp/>
        <stp>BDP|6777978022142828993</stp>
        <tr r="I3174" s="2"/>
      </tp>
      <tp t="s">
        <v>#N/A N/A</v>
        <stp/>
        <stp>BDP|5901658518190069471</stp>
        <tr r="C92" s="2"/>
      </tp>
      <tp t="s">
        <v>#N/A N/A</v>
        <stp/>
        <stp>BDP|7082038311974823495</stp>
        <tr r="C1164" s="2"/>
      </tp>
      <tp t="s">
        <v>#N/A N/A</v>
        <stp/>
        <stp>BDP|3156270720953625630</stp>
        <tr r="C1436" s="2"/>
      </tp>
      <tp t="s">
        <v>#N/A N/A</v>
        <stp/>
        <stp>BDP|4912495903112927499</stp>
        <tr r="F4390" s="2"/>
      </tp>
      <tp t="s">
        <v>#N/A N/A</v>
        <stp/>
        <stp>BDP|8012666190934609530</stp>
        <tr r="A2055" s="2"/>
      </tp>
      <tp t="s">
        <v>#N/A N/A</v>
        <stp/>
        <stp>BDP|6893254301206665498</stp>
        <tr r="I3142" s="2"/>
      </tp>
      <tp t="s">
        <v>#N/A N/A</v>
        <stp/>
        <stp>BDP|7671471359274242491</stp>
        <tr r="B2482" s="2"/>
      </tp>
      <tp t="s">
        <v>#N/A N/A</v>
        <stp/>
        <stp>BDP|2639006708382516686</stp>
        <tr r="C4274" s="2"/>
      </tp>
      <tp t="s">
        <v>#N/A N/A</v>
        <stp/>
        <stp>BDP|5172518324947355342</stp>
        <tr r="D338" s="2"/>
      </tp>
      <tp t="s">
        <v>#N/A N/A</v>
        <stp/>
        <stp>BDP|6212714604883051449</stp>
        <tr r="A780" s="2"/>
      </tp>
      <tp t="s">
        <v>#N/A N/A</v>
        <stp/>
        <stp>BDP|3820164947769901930</stp>
        <tr r="G1510" s="2"/>
      </tp>
      <tp t="s">
        <v>#N/A N/A</v>
        <stp/>
        <stp>BDP|5750296995331015980</stp>
        <tr r="F1243" s="2"/>
      </tp>
      <tp t="s">
        <v>#N/A N/A</v>
        <stp/>
        <stp>BDP|5197709312494756170</stp>
        <tr r="I1407" s="2"/>
      </tp>
      <tp t="s">
        <v>#N/A N/A</v>
        <stp/>
        <stp>BDP|6541934357205376915</stp>
        <tr r="F4436" s="2"/>
      </tp>
      <tp t="s">
        <v>#N/A N/A</v>
        <stp/>
        <stp>BDP|5976946488942783010</stp>
        <tr r="C90" s="2"/>
      </tp>
      <tp t="s">
        <v>#N/A N/A</v>
        <stp/>
        <stp>BDP|2639225719400608782</stp>
        <tr r="G2352" s="2"/>
      </tp>
      <tp t="s">
        <v>#N/A N/A</v>
        <stp/>
        <stp>BDP|7257802130149015317</stp>
        <tr r="I4140" s="2"/>
      </tp>
      <tp t="s">
        <v>#N/A N/A</v>
        <stp/>
        <stp>BDP|9023252731228731601</stp>
        <tr r="H2797" s="2"/>
      </tp>
      <tp t="s">
        <v>#N/A N/A</v>
        <stp/>
        <stp>BDP|1347541321378663830</stp>
        <tr r="A2277" s="2"/>
      </tp>
      <tp t="s">
        <v>#N/A N/A</v>
        <stp/>
        <stp>BDP|9873628580957079691</stp>
        <tr r="C2588" s="2"/>
      </tp>
      <tp t="s">
        <v>#N/A N/A</v>
        <stp/>
        <stp>BDP|4772245516196668706</stp>
        <tr r="A2829" s="2"/>
      </tp>
      <tp t="s">
        <v>#N/A N/A</v>
        <stp/>
        <stp>BDP|9871447768895638818</stp>
        <tr r="H3905" s="2"/>
      </tp>
      <tp t="s">
        <v>#N/A N/A</v>
        <stp/>
        <stp>BDP|4565500678543737393</stp>
        <tr r="B1096" s="2"/>
      </tp>
      <tp t="s">
        <v>#N/A N/A</v>
        <stp/>
        <stp>BDP|3971611537649841947</stp>
        <tr r="A680" s="2"/>
      </tp>
      <tp t="s">
        <v>#N/A N/A</v>
        <stp/>
        <stp>BDP|3147515420325553764</stp>
        <tr r="G3312" s="2"/>
      </tp>
      <tp t="s">
        <v>#N/A N/A</v>
        <stp/>
        <stp>BDP|7282962741368025469</stp>
        <tr r="H3871" s="2"/>
      </tp>
      <tp t="s">
        <v>#N/A N/A</v>
        <stp/>
        <stp>BDP|6770483129215775324</stp>
        <tr r="I433" s="2"/>
      </tp>
      <tp t="s">
        <v>#N/A N/A</v>
        <stp/>
        <stp>BDP|4394947822698385155</stp>
        <tr r="G4454" s="2"/>
      </tp>
      <tp t="s">
        <v>#N/A N/A</v>
        <stp/>
        <stp>BDP|5323423408975992234</stp>
        <tr r="H4061" s="2"/>
      </tp>
      <tp t="s">
        <v>#N/A N/A</v>
        <stp/>
        <stp>BDP|8206964491227552936</stp>
        <tr r="G3990" s="2"/>
      </tp>
      <tp t="s">
        <v>#N/A N/A</v>
        <stp/>
        <stp>BDP|9724594706192956827</stp>
        <tr r="F1238" s="2"/>
      </tp>
      <tp t="s">
        <v>#N/A N/A</v>
        <stp/>
        <stp>BDP|7349872693343391379</stp>
        <tr r="H3850" s="2"/>
      </tp>
      <tp t="s">
        <v>#N/A N/A</v>
        <stp/>
        <stp>BDP|7473701809451674780</stp>
        <tr r="C1192" s="2"/>
      </tp>
      <tp t="s">
        <v>#N/A N/A</v>
        <stp/>
        <stp>BDP|3306312323423053727</stp>
        <tr r="D3718" s="2"/>
      </tp>
      <tp t="s">
        <v>#N/A N/A</v>
        <stp/>
        <stp>BDP|4686907024328200138</stp>
        <tr r="G3938" s="2"/>
      </tp>
      <tp t="s">
        <v>#N/A N/A</v>
        <stp/>
        <stp>BDP|6069809693041986093</stp>
        <tr r="G3422" s="2"/>
      </tp>
      <tp t="s">
        <v>#N/A N/A</v>
        <stp/>
        <stp>BDP|6748271052895326228</stp>
        <tr r="A4633" s="2"/>
      </tp>
      <tp t="s">
        <v>#N/A N/A</v>
        <stp/>
        <stp>BDP|8300754983011738010</stp>
        <tr r="I876" s="2"/>
      </tp>
      <tp t="s">
        <v>#N/A N/A</v>
        <stp/>
        <stp>BDP|9357921935793536627</stp>
        <tr r="I4248" s="2"/>
      </tp>
      <tp t="s">
        <v>#N/A N/A</v>
        <stp/>
        <stp>BDP|4357016073552388719</stp>
        <tr r="D528" s="2"/>
      </tp>
      <tp t="s">
        <v>#N/A N/A</v>
        <stp/>
        <stp>BDP|6420345754474527227</stp>
        <tr r="D4211" s="2"/>
      </tp>
      <tp t="s">
        <v>#N/A N/A</v>
        <stp/>
        <stp>BDP|9294444482923305042</stp>
        <tr r="B1278" s="2"/>
      </tp>
      <tp t="s">
        <v>#N/A N/A</v>
        <stp/>
        <stp>BDP|8283875678918617983</stp>
        <tr r="H176" s="2"/>
      </tp>
      <tp t="s">
        <v>#N/A N/A</v>
        <stp/>
        <stp>BDP|1271566773585202062</stp>
        <tr r="D609" s="2"/>
      </tp>
      <tp t="s">
        <v>#N/A N/A</v>
        <stp/>
        <stp>BDP|2808407340155826132</stp>
        <tr r="B785" s="2"/>
      </tp>
      <tp t="s">
        <v>#N/A N/A</v>
        <stp/>
        <stp>BDP|6530861862519561777</stp>
        <tr r="G3177" s="2"/>
      </tp>
      <tp t="s">
        <v>#N/A N/A</v>
        <stp/>
        <stp>BDP|2795011475072340105</stp>
        <tr r="C3918" s="2"/>
      </tp>
      <tp t="s">
        <v>#N/A N/A</v>
        <stp/>
        <stp>BDP|3820873590870853475</stp>
        <tr r="C4872" s="2"/>
      </tp>
      <tp t="s">
        <v>#N/A N/A</v>
        <stp/>
        <stp>BDP|3565040604080079558</stp>
        <tr r="A228" s="2"/>
      </tp>
      <tp t="s">
        <v>#N/A N/A</v>
        <stp/>
        <stp>BDP|7337432402872107730</stp>
        <tr r="I4946" s="2"/>
      </tp>
      <tp t="s">
        <v>#N/A N/A</v>
        <stp/>
        <stp>BDP|3322926983966242200</stp>
        <tr r="F4885" s="2"/>
      </tp>
      <tp t="s">
        <v>#N/A N/A</v>
        <stp/>
        <stp>BDP|7677815649665988875</stp>
        <tr r="A4468" s="2"/>
      </tp>
      <tp t="s">
        <v>#N/A N/A</v>
        <stp/>
        <stp>BDP|3004648165423921686</stp>
        <tr r="I3828" s="2"/>
      </tp>
      <tp t="s">
        <v>#N/A N/A</v>
        <stp/>
        <stp>BDP|4011060711101380240</stp>
        <tr r="A1075" s="2"/>
      </tp>
      <tp t="s">
        <v>#N/A N/A</v>
        <stp/>
        <stp>BDP|4963551868525439409</stp>
        <tr r="H4445" s="2"/>
      </tp>
      <tp t="s">
        <v>#N/A N/A</v>
        <stp/>
        <stp>BDP|2083270571477570633</stp>
        <tr r="G735" s="2"/>
      </tp>
      <tp t="s">
        <v>#N/A N/A</v>
        <stp/>
        <stp>BDP|6284915493258864881</stp>
        <tr r="F4587" s="2"/>
      </tp>
      <tp t="s">
        <v>#N/A N/A</v>
        <stp/>
        <stp>BDP|5364429278567102782</stp>
        <tr r="G4002" s="2"/>
      </tp>
      <tp t="s">
        <v>#N/A N/A</v>
        <stp/>
        <stp>BDP|1249428977523461737</stp>
        <tr r="B4522" s="2"/>
      </tp>
      <tp t="s">
        <v>#N/A N/A</v>
        <stp/>
        <stp>BDP|8234666294178783977</stp>
        <tr r="A1519" s="2"/>
      </tp>
      <tp t="s">
        <v>#N/A N/A</v>
        <stp/>
        <stp>BDP|3193115216461744417</stp>
        <tr r="B2088" s="2"/>
      </tp>
      <tp t="s">
        <v>#N/A N/A</v>
        <stp/>
        <stp>BDP|5298675332681629713</stp>
        <tr r="I1488" s="2"/>
      </tp>
      <tp t="s">
        <v>#N/A N/A</v>
        <stp/>
        <stp>BDP|6324209643444062203</stp>
        <tr r="F4447" s="2"/>
      </tp>
      <tp t="s">
        <v>#N/A N/A</v>
        <stp/>
        <stp>BDP|4391446167449301931</stp>
        <tr r="H1979" s="2"/>
      </tp>
      <tp t="s">
        <v>#N/A N/A</v>
        <stp/>
        <stp>BDP|1296543441851480730</stp>
        <tr r="F2121" s="2"/>
      </tp>
      <tp t="s">
        <v>#N/A N/A</v>
        <stp/>
        <stp>BDP|7578206900933720020</stp>
        <tr r="A4819" s="2"/>
      </tp>
      <tp t="s">
        <v>#N/A N/A</v>
        <stp/>
        <stp>BDP|7712448135305698309</stp>
        <tr r="C315" s="2"/>
      </tp>
      <tp t="s">
        <v>#N/A N/A</v>
        <stp/>
        <stp>BDP|7075308271423459653</stp>
        <tr r="I396" s="2"/>
      </tp>
      <tp t="s">
        <v>#N/A N/A</v>
        <stp/>
        <stp>BDP|5652146921313192324</stp>
        <tr r="H701" s="2"/>
      </tp>
      <tp t="s">
        <v>#N/A N/A</v>
        <stp/>
        <stp>BDP|9006419130049228136</stp>
        <tr r="F1734" s="2"/>
      </tp>
      <tp t="s">
        <v>#N/A N/A</v>
        <stp/>
        <stp>BDP|1973865401497928878</stp>
        <tr r="B1665" s="2"/>
      </tp>
      <tp t="s">
        <v>#N/A N/A</v>
        <stp/>
        <stp>BDP|9494965600741100737</stp>
        <tr r="H803" s="2"/>
      </tp>
      <tp t="s">
        <v>#N/A N/A</v>
        <stp/>
        <stp>BDP|5493325676281430641</stp>
        <tr r="D2417" s="2"/>
      </tp>
      <tp t="s">
        <v>#N/A N/A</v>
        <stp/>
        <stp>BDP|6089581056797696788</stp>
        <tr r="G4927" s="2"/>
      </tp>
      <tp t="s">
        <v>#N/A N/A</v>
        <stp/>
        <stp>BDP|6802680202623406568</stp>
        <tr r="H2538" s="2"/>
      </tp>
      <tp t="s">
        <v>#N/A N/A</v>
        <stp/>
        <stp>BDP|3975896985166277379</stp>
        <tr r="H2039" s="2"/>
      </tp>
      <tp t="s">
        <v>#N/A N/A</v>
        <stp/>
        <stp>BDP|4176246896808470170</stp>
        <tr r="A2423" s="2"/>
      </tp>
      <tp t="s">
        <v>#N/A N/A</v>
        <stp/>
        <stp>BDP|1214613328292371189</stp>
        <tr r="I1076" s="2"/>
      </tp>
      <tp t="s">
        <v>#N/A N/A</v>
        <stp/>
        <stp>BDP|6280374655793525557</stp>
        <tr r="A3565" s="2"/>
      </tp>
      <tp t="s">
        <v>#N/A N/A</v>
        <stp/>
        <stp>BDP|7387350606480352237</stp>
        <tr r="C3306" s="2"/>
      </tp>
      <tp t="s">
        <v>#N/A N/A</v>
        <stp/>
        <stp>BDP|1032395718760705560</stp>
        <tr r="I2511" s="2"/>
      </tp>
      <tp t="s">
        <v>#N/A N/A</v>
        <stp/>
        <stp>BDP|3587151055914116540</stp>
        <tr r="C3513" s="2"/>
      </tp>
      <tp t="s">
        <v>#N/A N/A</v>
        <stp/>
        <stp>BDP|4333922253896298801</stp>
        <tr r="I4475" s="2"/>
      </tp>
      <tp t="s">
        <v>#N/A N/A</v>
        <stp/>
        <stp>BDP|2825488151902617773</stp>
        <tr r="C4232" s="2"/>
      </tp>
      <tp t="s">
        <v>#N/A N/A</v>
        <stp/>
        <stp>BDP|2052376075707706754</stp>
        <tr r="F2510" s="2"/>
      </tp>
      <tp t="s">
        <v>#N/A N/A</v>
        <stp/>
        <stp>BDP|9599914523845674112</stp>
        <tr r="H1324" s="2"/>
      </tp>
      <tp t="s">
        <v>#N/A N/A</v>
        <stp/>
        <stp>BDP|3061323252495274626</stp>
        <tr r="H1810" s="2"/>
      </tp>
      <tp t="s">
        <v>#N/A N/A</v>
        <stp/>
        <stp>BDP|8467987679636634637</stp>
        <tr r="G2974" s="2"/>
      </tp>
      <tp t="s">
        <v>#N/A N/A</v>
        <stp/>
        <stp>BDP|9384890988029438668</stp>
        <tr r="H4465" s="2"/>
      </tp>
      <tp t="s">
        <v>#N/A N/A</v>
        <stp/>
        <stp>BDP|4766117562323711630</stp>
        <tr r="F2567" s="2"/>
      </tp>
      <tp t="s">
        <v>#N/A N/A</v>
        <stp/>
        <stp>BDP|8367911024820359559</stp>
        <tr r="F2316" s="2"/>
      </tp>
      <tp t="s">
        <v>#N/A N/A</v>
        <stp/>
        <stp>BDP|1884991115898203762</stp>
        <tr r="F3374" s="2"/>
      </tp>
      <tp t="s">
        <v>#N/A N/A</v>
        <stp/>
        <stp>BDP|7760960207598144074</stp>
        <tr r="B2548" s="2"/>
      </tp>
      <tp t="s">
        <v>#N/A N/A</v>
        <stp/>
        <stp>BDP|1835543196319213280</stp>
        <tr r="I1100" s="2"/>
      </tp>
      <tp t="s">
        <v>#N/A N/A</v>
        <stp/>
        <stp>BDP|3623064563737773444</stp>
        <tr r="C1803" s="2"/>
      </tp>
      <tp t="s">
        <v>#N/A N/A</v>
        <stp/>
        <stp>BDP|4973791508121823407</stp>
        <tr r="B3901" s="2"/>
      </tp>
      <tp t="s">
        <v>#N/A N/A</v>
        <stp/>
        <stp>BDP|5913631722976024189</stp>
        <tr r="A2739" s="2"/>
      </tp>
      <tp t="s">
        <v>#N/A N/A</v>
        <stp/>
        <stp>BDP|2252454336654077712</stp>
        <tr r="G1098" s="2"/>
      </tp>
      <tp t="s">
        <v>#N/A N/A</v>
        <stp/>
        <stp>BDP|2971656157613832436</stp>
        <tr r="G2980" s="2"/>
      </tp>
      <tp t="s">
        <v>#N/A N/A</v>
        <stp/>
        <stp>BDP|1539621597160112810</stp>
        <tr r="F4368" s="2"/>
      </tp>
      <tp t="s">
        <v>#N/A N/A</v>
        <stp/>
        <stp>BDP|9587360184296194261</stp>
        <tr r="I4342" s="2"/>
      </tp>
      <tp t="s">
        <v>#N/A N/A</v>
        <stp/>
        <stp>BDP|5477601140201120053</stp>
        <tr r="A4023" s="2"/>
      </tp>
      <tp t="s">
        <v>#N/A N/A</v>
        <stp/>
        <stp>BDP|5507454464367355677</stp>
        <tr r="H1124" s="2"/>
      </tp>
      <tp t="s">
        <v>#N/A N/A</v>
        <stp/>
        <stp>BDP|2426001460941775338</stp>
        <tr r="A4292" s="2"/>
      </tp>
      <tp t="s">
        <v>#N/A N/A</v>
        <stp/>
        <stp>BDP|2497047779841059296</stp>
        <tr r="B3934" s="2"/>
      </tp>
      <tp t="s">
        <v>#N/A N/A</v>
        <stp/>
        <stp>BDP|4733282403675528590</stp>
        <tr r="D1253" s="2"/>
      </tp>
      <tp t="s">
        <v>#N/A N/A</v>
        <stp/>
        <stp>BDP|7421067370095061326</stp>
        <tr r="B3150" s="2"/>
      </tp>
      <tp t="s">
        <v>#N/A N/A</v>
        <stp/>
        <stp>BDP|2763244328101274590</stp>
        <tr r="F2379" s="2"/>
      </tp>
      <tp t="s">
        <v>#N/A N/A</v>
        <stp/>
        <stp>BDP|7061176334402217111</stp>
        <tr r="H4471" s="2"/>
      </tp>
      <tp t="s">
        <v>#N/A N/A</v>
        <stp/>
        <stp>BDP|9366317712209416446</stp>
        <tr r="G699" s="2"/>
      </tp>
      <tp t="s">
        <v>#N/A N/A</v>
        <stp/>
        <stp>BDP|9623670255948165459</stp>
        <tr r="F479" s="2"/>
      </tp>
      <tp t="s">
        <v>#N/A N/A</v>
        <stp/>
        <stp>BDP|9782066165910603923</stp>
        <tr r="D2537" s="2"/>
      </tp>
      <tp t="s">
        <v>#N/A N/A</v>
        <stp/>
        <stp>BDP|8393822462113194327</stp>
        <tr r="I4497" s="2"/>
      </tp>
      <tp t="s">
        <v>#N/A N/A</v>
        <stp/>
        <stp>BDP|9964960028530615416</stp>
        <tr r="F3668" s="2"/>
      </tp>
      <tp t="s">
        <v>#N/A N/A</v>
        <stp/>
        <stp>BDP|5381259051227579320</stp>
        <tr r="C856" s="2"/>
      </tp>
      <tp t="s">
        <v>#N/A N/A</v>
        <stp/>
        <stp>BDP|8249966563147022675</stp>
        <tr r="B1723" s="2"/>
      </tp>
      <tp t="s">
        <v>#N/A N/A</v>
        <stp/>
        <stp>BDP|4166461957023063006</stp>
        <tr r="F2558" s="2"/>
      </tp>
      <tp t="s">
        <v>#N/A N/A</v>
        <stp/>
        <stp>BDP|6394127210002289231</stp>
        <tr r="C1561" s="2"/>
      </tp>
      <tp t="s">
        <v>#N/A N/A</v>
        <stp/>
        <stp>BDP|7686402018886806265</stp>
        <tr r="F1469" s="2"/>
      </tp>
      <tp t="s">
        <v>#N/A N/A</v>
        <stp/>
        <stp>BDP|3279038943840451164</stp>
        <tr r="I3606" s="2"/>
      </tp>
      <tp t="s">
        <v>#N/A N/A</v>
        <stp/>
        <stp>BDP|6152543557626012627</stp>
        <tr r="F3869" s="2"/>
      </tp>
      <tp t="s">
        <v>#N/A N/A</v>
        <stp/>
        <stp>BDP|3399206187696291966</stp>
        <tr r="F3107" s="2"/>
      </tp>
      <tp t="s">
        <v>#N/A N/A</v>
        <stp/>
        <stp>BDP|7939338578343199637</stp>
        <tr r="G1241" s="2"/>
      </tp>
      <tp t="s">
        <v>#N/A N/A</v>
        <stp/>
        <stp>BDP|1986385847848128871</stp>
        <tr r="G1829" s="2"/>
      </tp>
      <tp t="s">
        <v>#N/A N/A</v>
        <stp/>
        <stp>BDP|7529346945476175051</stp>
        <tr r="H3108" s="2"/>
      </tp>
      <tp t="s">
        <v>#N/A N/A</v>
        <stp/>
        <stp>BDP|2488537758926981268</stp>
        <tr r="I3356" s="2"/>
      </tp>
      <tp t="s">
        <v>#N/A N/A</v>
        <stp/>
        <stp>BDP|5837006718092264025</stp>
        <tr r="I4136" s="2"/>
      </tp>
      <tp t="s">
        <v>#N/A N/A</v>
        <stp/>
        <stp>BDP|3835284290758579651</stp>
        <tr r="H3352" s="2"/>
      </tp>
      <tp t="s">
        <v>#N/A N/A</v>
        <stp/>
        <stp>BDP|3794321263956406638</stp>
        <tr r="C3248" s="2"/>
      </tp>
      <tp t="s">
        <v>#N/A N/A</v>
        <stp/>
        <stp>BDP|4674744766531787227</stp>
        <tr r="H3499" s="2"/>
      </tp>
      <tp t="s">
        <v>#N/A N/A</v>
        <stp/>
        <stp>BDP|4910684361092187004</stp>
        <tr r="A2075" s="2"/>
      </tp>
      <tp t="s">
        <v>#N/A N/A</v>
        <stp/>
        <stp>BDP|9025876358804713696</stp>
        <tr r="H2507" s="2"/>
      </tp>
      <tp t="s">
        <v>#N/A N/A</v>
        <stp/>
        <stp>BDP|2881206956116969562</stp>
        <tr r="D3684" s="2"/>
      </tp>
      <tp t="s">
        <v>#N/A N/A</v>
        <stp/>
        <stp>BDP|1615495387948931305</stp>
        <tr r="G2355" s="2"/>
      </tp>
      <tp t="s">
        <v>#N/A N/A</v>
        <stp/>
        <stp>BDP|8598337995415699148</stp>
        <tr r="B1858" s="2"/>
      </tp>
      <tp t="s">
        <v>#N/A N/A</v>
        <stp/>
        <stp>BDP|1345480659070090637</stp>
        <tr r="H2540" s="2"/>
      </tp>
      <tp t="s">
        <v>#N/A N/A</v>
        <stp/>
        <stp>BDP|8461763072338297635</stp>
        <tr r="A4672" s="2"/>
      </tp>
      <tp t="s">
        <v>#N/A N/A</v>
        <stp/>
        <stp>BDP|7263995575499789685</stp>
        <tr r="G842" s="2"/>
      </tp>
      <tp t="s">
        <v>#N/A N/A</v>
        <stp/>
        <stp>BDP|3834107421452934419</stp>
        <tr r="F4253" s="2"/>
      </tp>
      <tp t="s">
        <v>#N/A N/A</v>
        <stp/>
        <stp>BDP|5485668844970705103</stp>
        <tr r="A1042" s="2"/>
      </tp>
      <tp t="s">
        <v>#N/A N/A</v>
        <stp/>
        <stp>BDP|4840829879015578877</stp>
        <tr r="A191" s="2"/>
      </tp>
      <tp t="s">
        <v>#N/A N/A</v>
        <stp/>
        <stp>BDP|9086923656541517202</stp>
        <tr r="D3719" s="2"/>
      </tp>
      <tp t="s">
        <v>#N/A N/A</v>
        <stp/>
        <stp>BDP|9397633197726633602</stp>
        <tr r="H4194" s="2"/>
      </tp>
      <tp t="s">
        <v>#N/A N/A</v>
        <stp/>
        <stp>BDP|9047896436176976278</stp>
        <tr r="B1311" s="2"/>
      </tp>
      <tp t="s">
        <v>#N/A N/A</v>
        <stp/>
        <stp>BDP|1773717945462083620</stp>
        <tr r="H960" s="2"/>
      </tp>
      <tp t="s">
        <v>#N/A N/A</v>
        <stp/>
        <stp>BDP|1378106751532684150</stp>
        <tr r="I1783" s="2"/>
      </tp>
      <tp t="s">
        <v>#N/A N/A</v>
        <stp/>
        <stp>BDP|3548444512639485962</stp>
        <tr r="H3145" s="2"/>
      </tp>
      <tp t="s">
        <v>#N/A N/A</v>
        <stp/>
        <stp>BDP|4682715147519106807</stp>
        <tr r="H3788" s="2"/>
      </tp>
      <tp t="s">
        <v>#N/A N/A</v>
        <stp/>
        <stp>BDP|4824472558941040262</stp>
        <tr r="A1216" s="2"/>
      </tp>
      <tp t="s">
        <v>#N/A N/A</v>
        <stp/>
        <stp>BDP|8188847263640528024</stp>
        <tr r="D2986" s="2"/>
      </tp>
      <tp t="s">
        <v>#N/A N/A</v>
        <stp/>
        <stp>BDP|3420059977097710505</stp>
        <tr r="D2958" s="2"/>
      </tp>
      <tp t="s">
        <v>#N/A N/A</v>
        <stp/>
        <stp>BDP|1081520004787278557</stp>
        <tr r="G2236" s="2"/>
      </tp>
      <tp t="s">
        <v>#N/A N/A</v>
        <stp/>
        <stp>BDP|1789726205095863597</stp>
        <tr r="D391" s="2"/>
      </tp>
      <tp t="s">
        <v>#N/A N/A</v>
        <stp/>
        <stp>BDP|1988196682358778645</stp>
        <tr r="I4839" s="2"/>
      </tp>
      <tp t="s">
        <v>#N/A N/A</v>
        <stp/>
        <stp>BDP|2527514766054506369</stp>
        <tr r="B3142" s="2"/>
      </tp>
      <tp t="s">
        <v>#N/A N/A</v>
        <stp/>
        <stp>BDP|6625655876923786239</stp>
        <tr r="D2446" s="2"/>
      </tp>
      <tp t="s">
        <v>#N/A N/A</v>
        <stp/>
        <stp>BDP|5215745761507479529</stp>
        <tr r="C1467" s="2"/>
      </tp>
      <tp t="s">
        <v>#N/A N/A</v>
        <stp/>
        <stp>BDP|1193476375863203709</stp>
        <tr r="G867" s="2"/>
      </tp>
      <tp t="s">
        <v>#N/A N/A</v>
        <stp/>
        <stp>BDP|1592863180044228306</stp>
        <tr r="F3947" s="2"/>
      </tp>
      <tp t="s">
        <v>#N/A N/A</v>
        <stp/>
        <stp>BDP|6298606603195471348</stp>
        <tr r="F62" s="2"/>
      </tp>
      <tp t="s">
        <v>#N/A N/A</v>
        <stp/>
        <stp>BDP|2755555508549953821</stp>
        <tr r="D2939" s="2"/>
      </tp>
      <tp t="s">
        <v>#N/A N/A</v>
        <stp/>
        <stp>BDP|8666816983188050655</stp>
        <tr r="I504" s="2"/>
      </tp>
      <tp t="s">
        <v>#N/A N/A</v>
        <stp/>
        <stp>BDP|1245604402302530341</stp>
        <tr r="D548" s="2"/>
      </tp>
      <tp t="s">
        <v>#N/A N/A</v>
        <stp/>
        <stp>BDP|5831147465141800504</stp>
        <tr r="H2652" s="2"/>
      </tp>
      <tp t="s">
        <v>#N/A N/A</v>
        <stp/>
        <stp>BDP|2187850042751361948</stp>
        <tr r="A794" s="2"/>
      </tp>
      <tp t="s">
        <v>#N/A N/A</v>
        <stp/>
        <stp>BDP|6111710114057536103</stp>
        <tr r="B4252" s="2"/>
      </tp>
      <tp t="s">
        <v>#N/A N/A</v>
        <stp/>
        <stp>BDP|6083859788159554995</stp>
        <tr r="G698" s="2"/>
      </tp>
      <tp t="s">
        <v>#N/A N/A</v>
        <stp/>
        <stp>BDP|5451156052311436663</stp>
        <tr r="H1137" s="2"/>
      </tp>
      <tp t="s">
        <v>#N/A N/A</v>
        <stp/>
        <stp>BDP|1906733615240884169</stp>
        <tr r="D4285" s="2"/>
      </tp>
      <tp t="s">
        <v>#N/A N/A</v>
        <stp/>
        <stp>BDP|7416866659304951831</stp>
        <tr r="I3788" s="2"/>
      </tp>
      <tp t="s">
        <v>#N/A N/A</v>
        <stp/>
        <stp>BDP|4130134334356255651</stp>
        <tr r="A4549" s="2"/>
      </tp>
      <tp t="s">
        <v>#N/A N/A</v>
        <stp/>
        <stp>BDP|9251964566558439877</stp>
        <tr r="D3142" s="2"/>
      </tp>
      <tp t="s">
        <v>#N/A N/A</v>
        <stp/>
        <stp>BDP|7098681469935568454</stp>
        <tr r="F2351" s="2"/>
      </tp>
      <tp t="s">
        <v>#N/A N/A</v>
        <stp/>
        <stp>BDP|8040763113618621020</stp>
        <tr r="H1869" s="2"/>
      </tp>
      <tp t="s">
        <v>#N/A N/A</v>
        <stp/>
        <stp>BDP|7891551757457271698</stp>
        <tr r="F1395" s="2"/>
      </tp>
      <tp t="s">
        <v>#N/A N/A</v>
        <stp/>
        <stp>BDP|4622031054985714278</stp>
        <tr r="I1253" s="2"/>
      </tp>
      <tp t="s">
        <v>#N/A N/A</v>
        <stp/>
        <stp>BDP|7588122114917126632</stp>
        <tr r="C4551" s="2"/>
      </tp>
      <tp t="s">
        <v>#N/A N/A</v>
        <stp/>
        <stp>BDP|8124826176813490207</stp>
        <tr r="C3441" s="2"/>
      </tp>
      <tp t="s">
        <v>#N/A N/A</v>
        <stp/>
        <stp>BDP|9653865958984826619</stp>
        <tr r="G3268" s="2"/>
      </tp>
      <tp t="s">
        <v>#N/A N/A</v>
        <stp/>
        <stp>BDP|5682628234620274633</stp>
        <tr r="D2828" s="2"/>
      </tp>
      <tp t="s">
        <v>#N/A N/A</v>
        <stp/>
        <stp>BDP|9320953221713334757</stp>
        <tr r="A169" s="2"/>
      </tp>
      <tp t="s">
        <v>#N/A N/A</v>
        <stp/>
        <stp>BDP|6066349319761422388</stp>
        <tr r="H2418" s="2"/>
      </tp>
      <tp t="s">
        <v>#N/A N/A</v>
        <stp/>
        <stp>BDP|6421321333090109051</stp>
        <tr r="D2060" s="2"/>
      </tp>
      <tp t="s">
        <v>#N/A N/A</v>
        <stp/>
        <stp>BDP|7451610300292766533</stp>
        <tr r="B3844" s="2"/>
      </tp>
      <tp t="s">
        <v>#N/A N/A</v>
        <stp/>
        <stp>BDP|1378194278748000936</stp>
        <tr r="F3278" s="2"/>
      </tp>
      <tp t="s">
        <v>#N/A N/A</v>
        <stp/>
        <stp>BDP|9066903890377426856</stp>
        <tr r="A3889" s="2"/>
      </tp>
      <tp t="s">
        <v>#N/A N/A</v>
        <stp/>
        <stp>BDP|5278174170641448404</stp>
        <tr r="A4326" s="2"/>
      </tp>
      <tp t="s">
        <v>#N/A N/A</v>
        <stp/>
        <stp>BDP|1394492769922557772</stp>
        <tr r="A1162" s="2"/>
      </tp>
      <tp t="s">
        <v>#N/A N/A</v>
        <stp/>
        <stp>BDP|8774644084167335754</stp>
        <tr r="F2293" s="2"/>
      </tp>
      <tp t="s">
        <v>#N/A N/A</v>
        <stp/>
        <stp>BDP|2032452724392662061</stp>
        <tr r="B2427" s="2"/>
      </tp>
      <tp t="s">
        <v>#N/A N/A</v>
        <stp/>
        <stp>BDP|7746340735769038875</stp>
        <tr r="I2509" s="2"/>
      </tp>
      <tp t="s">
        <v>#N/A N/A</v>
        <stp/>
        <stp>BDP|9867034298147218107</stp>
        <tr r="A914" s="2"/>
      </tp>
      <tp t="s">
        <v>#N/A N/A</v>
        <stp/>
        <stp>BDP|3250744751521052665</stp>
        <tr r="C3982" s="2"/>
      </tp>
      <tp t="s">
        <v>#N/A N/A</v>
        <stp/>
        <stp>BDP|4894415599908186709</stp>
        <tr r="G3955" s="2"/>
      </tp>
      <tp t="s">
        <v>#N/A N/A</v>
        <stp/>
        <stp>BDP|8417623047915196916</stp>
        <tr r="A2959" s="2"/>
      </tp>
      <tp t="s">
        <v>#N/A N/A</v>
        <stp/>
        <stp>BDP|9867579270808836560</stp>
        <tr r="F976" s="2"/>
      </tp>
      <tp t="s">
        <v>#N/A N/A</v>
        <stp/>
        <stp>BDP|6350225805015154741</stp>
        <tr r="D4453" s="2"/>
      </tp>
      <tp t="s">
        <v>#N/A N/A</v>
        <stp/>
        <stp>BDP|3700867584180039542</stp>
        <tr r="D507" s="2"/>
      </tp>
      <tp t="s">
        <v>#N/A N/A</v>
        <stp/>
        <stp>BDP|2670948352601893997</stp>
        <tr r="D4678" s="2"/>
      </tp>
      <tp t="s">
        <v>#N/A N/A</v>
        <stp/>
        <stp>BDP|2406955123456743942</stp>
        <tr r="C3559" s="2"/>
      </tp>
      <tp t="s">
        <v>#N/A N/A</v>
        <stp/>
        <stp>BDP|9651537678148912555</stp>
        <tr r="A4741" s="2"/>
      </tp>
      <tp t="s">
        <v>#N/A N/A</v>
        <stp/>
        <stp>BDP|5699692250619988972</stp>
        <tr r="H586" s="2"/>
      </tp>
      <tp t="s">
        <v>#N/A N/A</v>
        <stp/>
        <stp>BDP|4745881181747858570</stp>
        <tr r="I3183" s="2"/>
      </tp>
      <tp t="s">
        <v>#N/A N/A</v>
        <stp/>
        <stp>BDP|7466436562203164052</stp>
        <tr r="F2262" s="2"/>
      </tp>
      <tp t="s">
        <v>#N/A N/A</v>
        <stp/>
        <stp>BDP|5853077714914245689</stp>
        <tr r="C1128" s="2"/>
      </tp>
      <tp t="s">
        <v>#N/A N/A</v>
        <stp/>
        <stp>BDP|6380655772313214279</stp>
        <tr r="D2998" s="2"/>
      </tp>
      <tp t="s">
        <v>#N/A N/A</v>
        <stp/>
        <stp>BDP|8111717116251569924</stp>
        <tr r="D4011" s="2"/>
      </tp>
      <tp t="s">
        <v>#N/A N/A</v>
        <stp/>
        <stp>BDP|3387714317280402308</stp>
        <tr r="I3150" s="2"/>
      </tp>
      <tp t="s">
        <v>#N/A N/A</v>
        <stp/>
        <stp>BDP|5411207690401378963</stp>
        <tr r="C3175" s="2"/>
      </tp>
      <tp t="s">
        <v>#N/A N/A</v>
        <stp/>
        <stp>BDP|2067144310533183736</stp>
        <tr r="G3004" s="2"/>
      </tp>
      <tp t="s">
        <v>#N/A N/A</v>
        <stp/>
        <stp>BDP|8980956968574108532</stp>
        <tr r="C2038" s="2"/>
      </tp>
      <tp t="s">
        <v>#N/A N/A</v>
        <stp/>
        <stp>BDP|4560685668056690453</stp>
        <tr r="D4710" s="2"/>
      </tp>
      <tp t="s">
        <v>#N/A N/A</v>
        <stp/>
        <stp>BDP|3483911440030712840</stp>
        <tr r="F1493" s="2"/>
      </tp>
      <tp t="s">
        <v>#N/A N/A</v>
        <stp/>
        <stp>BDP|6498287333594824511</stp>
        <tr r="B3878" s="2"/>
      </tp>
      <tp t="s">
        <v>#N/A N/A</v>
        <stp/>
        <stp>BDP|2074172167997642400</stp>
        <tr r="G4940" s="2"/>
      </tp>
      <tp t="s">
        <v>#N/A N/A</v>
        <stp/>
        <stp>BDP|9396863015035602301</stp>
        <tr r="F686" s="2"/>
      </tp>
      <tp t="s">
        <v>#N/A N/A</v>
        <stp/>
        <stp>BDP|2118388039196220241</stp>
        <tr r="G4308" s="2"/>
      </tp>
      <tp t="s">
        <v>#N/A N/A</v>
        <stp/>
        <stp>BDP|1560599623349121985</stp>
        <tr r="I1140" s="2"/>
      </tp>
      <tp t="s">
        <v>#N/A N/A</v>
        <stp/>
        <stp>BDP|6281483334072118591</stp>
        <tr r="C603" s="2"/>
      </tp>
      <tp t="s">
        <v>#N/A N/A</v>
        <stp/>
        <stp>BDP|9924057295133686596</stp>
        <tr r="B293" s="2"/>
      </tp>
      <tp t="s">
        <v>#N/A N/A</v>
        <stp/>
        <stp>BDP|5908080602385499610</stp>
        <tr r="F2427" s="2"/>
      </tp>
      <tp t="s">
        <v>#N/A N/A</v>
        <stp/>
        <stp>BDP|7019686142621522299</stp>
        <tr r="B2933" s="2"/>
      </tp>
      <tp t="s">
        <v>#N/A N/A</v>
        <stp/>
        <stp>BDP|8359445330499069018</stp>
        <tr r="G1064" s="2"/>
      </tp>
      <tp t="s">
        <v>#N/A N/A</v>
        <stp/>
        <stp>BDP|2054546127955104647</stp>
        <tr r="G1306" s="2"/>
      </tp>
      <tp t="s">
        <v>#N/A N/A</v>
        <stp/>
        <stp>BDP|1650239754619343943</stp>
        <tr r="F1220" s="2"/>
      </tp>
      <tp t="s">
        <v>#N/A N/A</v>
        <stp/>
        <stp>BDP|4720456797368093733</stp>
        <tr r="B3334" s="2"/>
      </tp>
      <tp t="s">
        <v>#N/A N/A</v>
        <stp/>
        <stp>BDP|8256389013039958564</stp>
        <tr r="C2071" s="2"/>
      </tp>
      <tp t="s">
        <v>#N/A N/A</v>
        <stp/>
        <stp>BDP|2763282479805128413</stp>
        <tr r="G3243" s="2"/>
      </tp>
      <tp t="s">
        <v>#N/A N/A</v>
        <stp/>
        <stp>BDP|6003241205937378542</stp>
        <tr r="H1903" s="2"/>
      </tp>
      <tp t="s">
        <v>#N/A N/A</v>
        <stp/>
        <stp>BDP|7139128616869793847</stp>
        <tr r="B2509" s="2"/>
      </tp>
      <tp t="s">
        <v>#N/A N/A</v>
        <stp/>
        <stp>BDP|6851168646981788490</stp>
        <tr r="H4259" s="2"/>
      </tp>
      <tp t="s">
        <v>#N/A N/A</v>
        <stp/>
        <stp>BDP|1871679428380933382</stp>
        <tr r="F4767" s="2"/>
      </tp>
      <tp t="s">
        <v>#N/A N/A</v>
        <stp/>
        <stp>BDP|2624058337720660744</stp>
        <tr r="F2321" s="2"/>
      </tp>
      <tp t="s">
        <v>#N/A N/A</v>
        <stp/>
        <stp>BDP|6691847087706467670</stp>
        <tr r="I228" s="2"/>
      </tp>
      <tp t="s">
        <v>#N/A N/A</v>
        <stp/>
        <stp>BDP|9752240727908623741</stp>
        <tr r="A2274" s="2"/>
      </tp>
      <tp t="s">
        <v>#N/A N/A</v>
        <stp/>
        <stp>BDP|2747177578172959078</stp>
        <tr r="C2906" s="2"/>
      </tp>
      <tp t="s">
        <v>#N/A N/A</v>
        <stp/>
        <stp>BDP|4745334346196563318</stp>
        <tr r="A1211" s="2"/>
      </tp>
      <tp t="s">
        <v>#N/A N/A</v>
        <stp/>
        <stp>BDP|3569777726492138239</stp>
        <tr r="D2351" s="2"/>
      </tp>
      <tp t="s">
        <v>#N/A N/A</v>
        <stp/>
        <stp>BDP|9483049709398685795</stp>
        <tr r="F748" s="2"/>
      </tp>
      <tp t="s">
        <v>#N/A N/A</v>
        <stp/>
        <stp>BDP|2200197928315493212</stp>
        <tr r="A695" s="2"/>
      </tp>
      <tp t="s">
        <v>#N/A N/A</v>
        <stp/>
        <stp>BDP|3761008071276543456</stp>
        <tr r="A2305" s="2"/>
      </tp>
      <tp t="s">
        <v>#N/A N/A</v>
        <stp/>
        <stp>BDP|2666338962796637774</stp>
        <tr r="B2099" s="2"/>
      </tp>
      <tp t="s">
        <v>#N/A N/A</v>
        <stp/>
        <stp>BDP|4888224015355910400</stp>
        <tr r="A2601" s="2"/>
      </tp>
      <tp t="s">
        <v>#N/A N/A</v>
        <stp/>
        <stp>BDP|2707753896138746258</stp>
        <tr r="G4396" s="2"/>
      </tp>
      <tp t="s">
        <v>#N/A N/A</v>
        <stp/>
        <stp>BDP|3391871666749778236</stp>
        <tr r="B4382" s="2"/>
      </tp>
      <tp t="s">
        <v>#N/A N/A</v>
        <stp/>
        <stp>BDP|5226150420707744760</stp>
        <tr r="C1230" s="2"/>
      </tp>
      <tp t="s">
        <v>#N/A N/A</v>
        <stp/>
        <stp>BDP|9547091353169104385</stp>
        <tr r="D341" s="2"/>
      </tp>
      <tp t="s">
        <v>#N/A N/A</v>
        <stp/>
        <stp>BDP|3633274062929076858</stp>
        <tr r="D2288" s="2"/>
      </tp>
      <tp t="s">
        <v>#N/A N/A</v>
        <stp/>
        <stp>BDP|5950306524623850131</stp>
        <tr r="H1415" s="2"/>
      </tp>
      <tp t="s">
        <v>#N/A N/A</v>
        <stp/>
        <stp>BDP|2500406020711730343</stp>
        <tr r="A348" s="2"/>
      </tp>
      <tp t="s">
        <v>#N/A N/A</v>
        <stp/>
        <stp>BDP|6476674806360019630</stp>
        <tr r="B4880" s="2"/>
      </tp>
      <tp t="s">
        <v>#N/A N/A</v>
        <stp/>
        <stp>BDP|2282352361831261025</stp>
        <tr r="B796" s="2"/>
      </tp>
      <tp t="s">
        <v>#N/A N/A</v>
        <stp/>
        <stp>BDP|4287031117826237523</stp>
        <tr r="B2794" s="2"/>
      </tp>
      <tp t="s">
        <v>#N/A N/A</v>
        <stp/>
        <stp>BDP|7382109833133384059</stp>
        <tr r="C904" s="2"/>
      </tp>
      <tp t="s">
        <v>#N/A N/A</v>
        <stp/>
        <stp>BDP|7173473241577749664</stp>
        <tr r="A4753" s="2"/>
      </tp>
      <tp t="s">
        <v>#N/A N/A</v>
        <stp/>
        <stp>BDP|8466066252529653200</stp>
        <tr r="B2722" s="2"/>
      </tp>
      <tp t="s">
        <v>#N/A N/A</v>
        <stp/>
        <stp>BDP|3570389012733891410</stp>
        <tr r="G3066" s="2"/>
      </tp>
      <tp t="s">
        <v>#N/A N/A</v>
        <stp/>
        <stp>BDP|6890292215987144436</stp>
        <tr r="G1895" s="2"/>
      </tp>
      <tp t="s">
        <v>#N/A N/A</v>
        <stp/>
        <stp>BDP|5045143853056937184</stp>
        <tr r="I1036" s="2"/>
      </tp>
      <tp t="s">
        <v>#N/A N/A</v>
        <stp/>
        <stp>BDP|1044497135389334993</stp>
        <tr r="I3895" s="2"/>
      </tp>
      <tp t="s">
        <v>#N/A N/A</v>
        <stp/>
        <stp>BDP|3182082163930514391</stp>
        <tr r="C2080" s="2"/>
      </tp>
      <tp t="s">
        <v>#N/A N/A</v>
        <stp/>
        <stp>BDP|4906005441855792397</stp>
        <tr r="I590" s="2"/>
      </tp>
      <tp t="s">
        <v>#N/A N/A</v>
        <stp/>
        <stp>BDP|6713983668557377823</stp>
        <tr r="D2907" s="2"/>
      </tp>
      <tp t="s">
        <v>#N/A N/A</v>
        <stp/>
        <stp>BDP|3310762776366570304</stp>
        <tr r="H4633" s="2"/>
      </tp>
      <tp t="s">
        <v>#N/A N/A</v>
        <stp/>
        <stp>BDP|5471494125562967773</stp>
        <tr r="A4850" s="2"/>
      </tp>
      <tp t="s">
        <v>#N/A N/A</v>
        <stp/>
        <stp>BDP|2162891494345969031</stp>
        <tr r="H3624" s="2"/>
      </tp>
      <tp t="s">
        <v>#N/A N/A</v>
        <stp/>
        <stp>BDP|3513548811642694305</stp>
        <tr r="A1358" s="2"/>
      </tp>
      <tp t="s">
        <v>#N/A N/A</v>
        <stp/>
        <stp>BDP|4940703555205971530</stp>
        <tr r="D4910" s="2"/>
      </tp>
      <tp t="s">
        <v>#N/A N/A</v>
        <stp/>
        <stp>BDP|7581523446973323342</stp>
        <tr r="B2607" s="2"/>
      </tp>
      <tp t="s">
        <v>#N/A N/A</v>
        <stp/>
        <stp>BDP|7122132446085443166</stp>
        <tr r="F750" s="2"/>
      </tp>
      <tp t="s">
        <v>#N/A N/A</v>
        <stp/>
        <stp>BDP|8733583804409460290</stp>
        <tr r="I3889" s="2"/>
      </tp>
      <tp t="s">
        <v>#N/A N/A</v>
        <stp/>
        <stp>BDP|8694640971047589804</stp>
        <tr r="B423" s="2"/>
      </tp>
      <tp t="s">
        <v>#N/A N/A</v>
        <stp/>
        <stp>BDP|2389330500061588635</stp>
        <tr r="I2785" s="2"/>
      </tp>
      <tp t="s">
        <v>#N/A N/A</v>
        <stp/>
        <stp>BDP|6112472636913089467</stp>
        <tr r="F1401" s="2"/>
      </tp>
      <tp t="s">
        <v>#N/A N/A</v>
        <stp/>
        <stp>BDP|8736548818862464890</stp>
        <tr r="D4834" s="2"/>
      </tp>
      <tp t="s">
        <v>#N/A N/A</v>
        <stp/>
        <stp>BDP|6267776777308211866</stp>
        <tr r="C3243" s="2"/>
      </tp>
      <tp t="s">
        <v>#N/A N/A</v>
        <stp/>
        <stp>BDP|6337144375827395172</stp>
        <tr r="D4932" s="2"/>
      </tp>
      <tp t="s">
        <v>#N/A N/A</v>
        <stp/>
        <stp>BDP|8449564262458265546</stp>
        <tr r="A1757" s="2"/>
      </tp>
      <tp t="s">
        <v>#N/A N/A</v>
        <stp/>
        <stp>BDP|7670760421246744206</stp>
        <tr r="G4444" s="2"/>
      </tp>
      <tp t="s">
        <v>#N/A N/A</v>
        <stp/>
        <stp>BDP|8295571063978465540</stp>
        <tr r="A802" s="2"/>
      </tp>
      <tp t="s">
        <v>#N/A N/A</v>
        <stp/>
        <stp>BDP|2071151984338765504</stp>
        <tr r="C1239" s="2"/>
      </tp>
      <tp t="s">
        <v>#N/A N/A</v>
        <stp/>
        <stp>BDP|1031806977269176107</stp>
        <tr r="C2040" s="2"/>
      </tp>
      <tp t="s">
        <v>#N/A N/A</v>
        <stp/>
        <stp>BDP|7028529744965220527</stp>
        <tr r="H4888" s="2"/>
      </tp>
      <tp t="s">
        <v>#N/A N/A</v>
        <stp/>
        <stp>BDP|3678811560049773266</stp>
        <tr r="A2150" s="2"/>
      </tp>
      <tp t="s">
        <v>#N/A N/A</v>
        <stp/>
        <stp>BDP|6753439805135482132</stp>
        <tr r="D2170" s="2"/>
      </tp>
      <tp t="s">
        <v>#N/A N/A</v>
        <stp/>
        <stp>BDP|6401044642323695728</stp>
        <tr r="B1812" s="2"/>
      </tp>
      <tp t="s">
        <v>#N/A N/A</v>
        <stp/>
        <stp>BDP|3675721586272244866</stp>
        <tr r="B1751" s="2"/>
      </tp>
      <tp t="s">
        <v>#N/A N/A</v>
        <stp/>
        <stp>BDP|2490344382568599717</stp>
        <tr r="F4880" s="2"/>
      </tp>
      <tp t="s">
        <v>#N/A N/A</v>
        <stp/>
        <stp>BDP|5150519841871751307</stp>
        <tr r="C4179" s="2"/>
      </tp>
      <tp t="s">
        <v>#N/A N/A</v>
        <stp/>
        <stp>BDP|1629549663871040571</stp>
        <tr r="G201" s="2"/>
      </tp>
      <tp t="s">
        <v>#N/A N/A</v>
        <stp/>
        <stp>BDP|4798244958024925156</stp>
        <tr r="H71" s="2"/>
      </tp>
      <tp t="s">
        <v>#N/A N/A</v>
        <stp/>
        <stp>BDP|3196667157617386149</stp>
        <tr r="I464" s="2"/>
      </tp>
      <tp t="s">
        <v>#N/A N/A</v>
        <stp/>
        <stp>BDP|3768331231210146538</stp>
        <tr r="C786" s="2"/>
      </tp>
      <tp t="s">
        <v>#N/A N/A</v>
        <stp/>
        <stp>BDP|7295215214604879684</stp>
        <tr r="D4316" s="2"/>
      </tp>
      <tp t="s">
        <v>#N/A N/A</v>
        <stp/>
        <stp>BDP|4979769462652271186</stp>
        <tr r="B1440" s="2"/>
      </tp>
      <tp t="s">
        <v>#N/A N/A</v>
        <stp/>
        <stp>BDP|4608485156611793283</stp>
        <tr r="D3852" s="2"/>
      </tp>
      <tp t="s">
        <v>#N/A N/A</v>
        <stp/>
        <stp>BDP|3134949485323605711</stp>
        <tr r="F2467" s="2"/>
      </tp>
      <tp t="s">
        <v>#N/A N/A</v>
        <stp/>
        <stp>BDP|4729966020238089166</stp>
        <tr r="A371" s="2"/>
      </tp>
      <tp t="s">
        <v>#N/A N/A</v>
        <stp/>
        <stp>BDP|5431237878041185794</stp>
        <tr r="G1588" s="2"/>
      </tp>
      <tp t="s">
        <v>#N/A N/A</v>
        <stp/>
        <stp>BDP|5583283422072028181</stp>
        <tr r="A89" s="2"/>
      </tp>
      <tp t="s">
        <v>#N/A N/A</v>
        <stp/>
        <stp>BDP|7802656555560714289</stp>
        <tr r="C2009" s="2"/>
      </tp>
      <tp t="s">
        <v>#N/A N/A</v>
        <stp/>
        <stp>BDP|9482406383152164112</stp>
        <tr r="A1970" s="2"/>
      </tp>
      <tp t="s">
        <v>#N/A N/A</v>
        <stp/>
        <stp>BDP|2240341428780110588</stp>
        <tr r="B661" s="2"/>
      </tp>
      <tp t="s">
        <v>#N/A N/A</v>
        <stp/>
        <stp>BDP|1288554064587545317</stp>
        <tr r="G3942" s="2"/>
      </tp>
      <tp t="s">
        <v>#N/A N/A</v>
        <stp/>
        <stp>BDP|5743347082911074967</stp>
        <tr r="G2130" s="2"/>
      </tp>
      <tp t="s">
        <v>#N/A N/A</v>
        <stp/>
        <stp>BDP|1797706532537766456</stp>
        <tr r="A3269" s="2"/>
      </tp>
      <tp t="s">
        <v>#N/A N/A</v>
        <stp/>
        <stp>BDP|9439440408933799889</stp>
        <tr r="H1856" s="2"/>
      </tp>
      <tp t="s">
        <v>#N/A N/A</v>
        <stp/>
        <stp>BDP|3299405417351659140</stp>
        <tr r="C703" s="2"/>
      </tp>
      <tp t="s">
        <v>#N/A N/A</v>
        <stp/>
        <stp>BDP|2505304773865316527</stp>
        <tr r="B2018" s="2"/>
      </tp>
      <tp t="s">
        <v>#N/A N/A</v>
        <stp/>
        <stp>BDP|1867152776966878740</stp>
        <tr r="A2271" s="2"/>
      </tp>
      <tp t="s">
        <v>#N/A N/A</v>
        <stp/>
        <stp>BDP|6061762832682309608</stp>
        <tr r="F2079" s="2"/>
      </tp>
      <tp t="s">
        <v>#N/A N/A</v>
        <stp/>
        <stp>BDP|4475972423921756804</stp>
        <tr r="D3594" s="2"/>
      </tp>
      <tp t="s">
        <v>#N/A N/A</v>
        <stp/>
        <stp>BDP|4369579842752702165</stp>
        <tr r="G4124" s="2"/>
      </tp>
      <tp t="s">
        <v>#N/A N/A</v>
        <stp/>
        <stp>BDP|7934849739033166921</stp>
        <tr r="A25" s="2"/>
      </tp>
      <tp t="s">
        <v>#N/A N/A</v>
        <stp/>
        <stp>BDP|8894038372849627087</stp>
        <tr r="C4833" s="2"/>
      </tp>
      <tp t="s">
        <v>#N/A N/A</v>
        <stp/>
        <stp>BDP|7261980891641848048</stp>
        <tr r="H1973" s="2"/>
      </tp>
      <tp t="s">
        <v>#N/A N/A</v>
        <stp/>
        <stp>BDP|7374416072111749308</stp>
        <tr r="G4259" s="2"/>
      </tp>
      <tp t="s">
        <v>#N/A N/A</v>
        <stp/>
        <stp>BDP|8031073356188187375</stp>
        <tr r="I1108" s="2"/>
      </tp>
      <tp t="s">
        <v>#N/A N/A</v>
        <stp/>
        <stp>BDP|9051554921619226119</stp>
        <tr r="C4095" s="2"/>
      </tp>
      <tp t="s">
        <v>#N/A N/A</v>
        <stp/>
        <stp>BDP|2117169843754370504</stp>
        <tr r="H3588" s="2"/>
      </tp>
      <tp t="s">
        <v>#N/A N/A</v>
        <stp/>
        <stp>BDP|8379324410369640508</stp>
        <tr r="C1257" s="2"/>
      </tp>
      <tp t="s">
        <v>#N/A N/A</v>
        <stp/>
        <stp>BDP|7702875692395319568</stp>
        <tr r="D538" s="2"/>
      </tp>
      <tp t="s">
        <v>#N/A N/A</v>
        <stp/>
        <stp>BDP|1373771320342532069</stp>
        <tr r="C98" s="2"/>
      </tp>
      <tp t="s">
        <v>#N/A N/A</v>
        <stp/>
        <stp>BDP|2837631729788128848</stp>
        <tr r="H1981" s="2"/>
      </tp>
      <tp t="s">
        <v>#N/A N/A</v>
        <stp/>
        <stp>BDP|1006934571530263978</stp>
        <tr r="H4734" s="2"/>
      </tp>
      <tp t="s">
        <v>#N/A N/A</v>
        <stp/>
        <stp>BDP|6320331072880635437</stp>
        <tr r="C1981" s="2"/>
      </tp>
      <tp t="s">
        <v>#N/A N/A</v>
        <stp/>
        <stp>BDP|4771827278944279981</stp>
        <tr r="A3047" s="2"/>
      </tp>
      <tp t="s">
        <v>#N/A N/A</v>
        <stp/>
        <stp>BDP|6721853896648105928</stp>
        <tr r="C3651" s="2"/>
      </tp>
      <tp t="s">
        <v>#N/A N/A</v>
        <stp/>
        <stp>BDP|2101495071081823668</stp>
        <tr r="A1276" s="2"/>
      </tp>
      <tp t="s">
        <v>#N/A N/A</v>
        <stp/>
        <stp>BDP|8427253136947318836</stp>
        <tr r="H317" s="2"/>
      </tp>
      <tp t="s">
        <v>#N/A N/A</v>
        <stp/>
        <stp>BDP|2880068485425822948</stp>
        <tr r="D3804" s="2"/>
      </tp>
      <tp t="s">
        <v>#N/A N/A</v>
        <stp/>
        <stp>BDP|5875742211711997435</stp>
        <tr r="B4926" s="2"/>
      </tp>
      <tp t="s">
        <v>#N/A N/A</v>
        <stp/>
        <stp>BDP|9665789440038803411</stp>
        <tr r="D2009" s="2"/>
      </tp>
      <tp t="s">
        <v>#N/A N/A</v>
        <stp/>
        <stp>BDP|4947686021865473333</stp>
        <tr r="C3951" s="2"/>
      </tp>
      <tp t="s">
        <v>#N/A N/A</v>
        <stp/>
        <stp>BDP|7150089456546114299</stp>
        <tr r="D2451" s="2"/>
      </tp>
      <tp t="s">
        <v>#N/A N/A</v>
        <stp/>
        <stp>BDP|6812214731978997964</stp>
        <tr r="D862" s="2"/>
      </tp>
      <tp t="s">
        <v>#N/A N/A</v>
        <stp/>
        <stp>BDP|9036401687736704574</stp>
        <tr r="H1675" s="2"/>
      </tp>
      <tp t="s">
        <v>#N/A N/A</v>
        <stp/>
        <stp>BDP|6071428916333247619</stp>
        <tr r="I2921" s="2"/>
      </tp>
      <tp t="s">
        <v>#N/A N/A</v>
        <stp/>
        <stp>BDP|1395509663780254453</stp>
        <tr r="I1736" s="2"/>
      </tp>
      <tp t="s">
        <v>#N/A N/A</v>
        <stp/>
        <stp>BDP|6418391295072852874</stp>
        <tr r="B2937" s="2"/>
      </tp>
      <tp t="s">
        <v>#N/A N/A</v>
        <stp/>
        <stp>BDP|5148267633074420670</stp>
        <tr r="A2630" s="2"/>
      </tp>
      <tp t="s">
        <v>#N/A N/A</v>
        <stp/>
        <stp>BDP|6321891396286881738</stp>
        <tr r="F2158" s="2"/>
      </tp>
      <tp t="s">
        <v>#N/A N/A</v>
        <stp/>
        <stp>BDP|2556803023479616773</stp>
        <tr r="H3236" s="2"/>
      </tp>
      <tp t="s">
        <v>#N/A N/A</v>
        <stp/>
        <stp>BDP|9052152318796928932</stp>
        <tr r="F3067" s="2"/>
      </tp>
      <tp t="s">
        <v>#N/A N/A</v>
        <stp/>
        <stp>BDP|4772431570106629755</stp>
        <tr r="H4552" s="2"/>
      </tp>
      <tp t="s">
        <v>#N/A N/A</v>
        <stp/>
        <stp>BDP|1819480024345252417</stp>
        <tr r="C1070" s="2"/>
      </tp>
      <tp t="s">
        <v>#N/A N/A</v>
        <stp/>
        <stp>BDP|6311950013589453161</stp>
        <tr r="G4609" s="2"/>
      </tp>
      <tp t="s">
        <v>#N/A N/A</v>
        <stp/>
        <stp>BDP|4235716460255776633</stp>
        <tr r="I30" s="2"/>
      </tp>
      <tp t="s">
        <v>#N/A N/A</v>
        <stp/>
        <stp>BDP|8148872579654910512</stp>
        <tr r="B4198" s="2"/>
      </tp>
      <tp t="s">
        <v>#N/A N/A</v>
        <stp/>
        <stp>BDP|5687576162346798637</stp>
        <tr r="I4652" s="2"/>
      </tp>
      <tp t="s">
        <v>#N/A N/A</v>
        <stp/>
        <stp>BDP|3716382974017949655</stp>
        <tr r="D4498" s="2"/>
      </tp>
      <tp t="s">
        <v>#N/A N/A</v>
        <stp/>
        <stp>BDP|7765003431152244032</stp>
        <tr r="I3888" s="2"/>
      </tp>
      <tp t="s">
        <v>#N/A N/A</v>
        <stp/>
        <stp>BDP|9120533740416747823</stp>
        <tr r="G2775" s="2"/>
      </tp>
      <tp t="s">
        <v>#N/A N/A</v>
        <stp/>
        <stp>BDP|9666203591472525651</stp>
        <tr r="H1050" s="2"/>
      </tp>
      <tp t="s">
        <v>#N/A N/A</v>
        <stp/>
        <stp>BDP|4528706196509741537</stp>
        <tr r="B262" s="2"/>
      </tp>
      <tp t="s">
        <v>#N/A N/A</v>
        <stp/>
        <stp>BDP|2686244066056788646</stp>
        <tr r="A1712" s="2"/>
      </tp>
      <tp t="s">
        <v>#N/A N/A</v>
        <stp/>
        <stp>BDP|1352117403656583039</stp>
        <tr r="F1314" s="2"/>
      </tp>
      <tp t="s">
        <v>#N/A N/A</v>
        <stp/>
        <stp>BDP|7348743025484572001</stp>
        <tr r="A2492" s="2"/>
      </tp>
      <tp t="s">
        <v>#N/A N/A</v>
        <stp/>
        <stp>BDP|5734616974001660336</stp>
        <tr r="I2965" s="2"/>
      </tp>
      <tp t="s">
        <v>#N/A N/A</v>
        <stp/>
        <stp>BDP|7462432724737548012</stp>
        <tr r="A3075" s="2"/>
      </tp>
      <tp t="s">
        <v>#N/A N/A</v>
        <stp/>
        <stp>BDP|7477834756975668909</stp>
        <tr r="D3866" s="2"/>
      </tp>
      <tp t="s">
        <v>#N/A N/A</v>
        <stp/>
        <stp>BDP|7660463290014736802</stp>
        <tr r="I2775" s="2"/>
      </tp>
      <tp t="s">
        <v>#N/A N/A</v>
        <stp/>
        <stp>BDP|1387365162585998795</stp>
        <tr r="A2963" s="2"/>
      </tp>
      <tp t="s">
        <v>#N/A N/A</v>
        <stp/>
        <stp>BDP|2094238524127053301</stp>
        <tr r="F595" s="2"/>
      </tp>
      <tp t="s">
        <v>#N/A N/A</v>
        <stp/>
        <stp>BDP|4879953802972006989</stp>
        <tr r="A1680" s="2"/>
      </tp>
      <tp t="s">
        <v>#N/A N/A</v>
        <stp/>
        <stp>BDP|4064217239786907562</stp>
        <tr r="I1270" s="2"/>
      </tp>
      <tp t="s">
        <v>#N/A N/A</v>
        <stp/>
        <stp>BDP|1276327434511039632</stp>
        <tr r="I2577" s="2"/>
      </tp>
      <tp t="s">
        <v>#N/A N/A</v>
        <stp/>
        <stp>BDP|2277030332422702534</stp>
        <tr r="I1473" s="2"/>
      </tp>
      <tp t="s">
        <v>#N/A N/A</v>
        <stp/>
        <stp>BDP|4044723333620323654</stp>
        <tr r="A4248" s="2"/>
      </tp>
      <tp t="s">
        <v>#N/A N/A</v>
        <stp/>
        <stp>BDP|4656462667570034006</stp>
        <tr r="C1478" s="2"/>
      </tp>
      <tp t="s">
        <v>#N/A N/A</v>
        <stp/>
        <stp>BDP|1413927688333048596</stp>
        <tr r="B2959" s="2"/>
      </tp>
      <tp t="s">
        <v>#N/A N/A</v>
        <stp/>
        <stp>BDP|5773085356982786494</stp>
        <tr r="H2266" s="2"/>
      </tp>
      <tp t="s">
        <v>#N/A N/A</v>
        <stp/>
        <stp>BDP|6687670473850662130</stp>
        <tr r="H4477" s="2"/>
      </tp>
      <tp t="s">
        <v>#N/A N/A</v>
        <stp/>
        <stp>BDP|9481095281933267494</stp>
        <tr r="D1891" s="2"/>
      </tp>
      <tp t="s">
        <v>#N/A N/A</v>
        <stp/>
        <stp>BDP|4384586482356836968</stp>
        <tr r="C4619" s="2"/>
      </tp>
      <tp t="s">
        <v>#N/A N/A</v>
        <stp/>
        <stp>BDP|3283231840777781410</stp>
        <tr r="B4615" s="2"/>
      </tp>
      <tp t="s">
        <v>#N/A N/A</v>
        <stp/>
        <stp>BDP|1262631980270002963</stp>
        <tr r="D2281" s="2"/>
      </tp>
      <tp t="s">
        <v>#N/A N/A</v>
        <stp/>
        <stp>BDP|5774496163624878526</stp>
        <tr r="C3933" s="2"/>
      </tp>
      <tp t="s">
        <v>#N/A N/A</v>
        <stp/>
        <stp>BDP|1885241052894936404</stp>
        <tr r="I1226" s="2"/>
      </tp>
      <tp t="s">
        <v>#N/A N/A</v>
        <stp/>
        <stp>BDP|1757143472651210078</stp>
        <tr r="H3443" s="2"/>
      </tp>
      <tp t="s">
        <v>#N/A N/A</v>
        <stp/>
        <stp>BDP|5372633374132454049</stp>
        <tr r="F4845" s="2"/>
      </tp>
      <tp t="s">
        <v>#N/A N/A</v>
        <stp/>
        <stp>BDP|7887198635676990596</stp>
        <tr r="G1250" s="2"/>
      </tp>
      <tp t="s">
        <v>#N/A N/A</v>
        <stp/>
        <stp>BDP|5420043935802840294</stp>
        <tr r="B1062" s="2"/>
      </tp>
      <tp t="s">
        <v>#N/A N/A</v>
        <stp/>
        <stp>BDP|5695983299226409570</stp>
        <tr r="G3833" s="2"/>
      </tp>
      <tp t="s">
        <v>#N/A N/A</v>
        <stp/>
        <stp>BDP|6452709101342538544</stp>
        <tr r="B4621" s="2"/>
      </tp>
      <tp t="s">
        <v>#N/A N/A</v>
        <stp/>
        <stp>BDP|4199537137834092017</stp>
        <tr r="G3558" s="2"/>
      </tp>
      <tp t="s">
        <v>#N/A N/A</v>
        <stp/>
        <stp>BDP|6148272436639139858</stp>
        <tr r="C4862" s="2"/>
      </tp>
      <tp t="s">
        <v>#N/A N/A</v>
        <stp/>
        <stp>BDP|4416778344328740945</stp>
        <tr r="I2315" s="2"/>
      </tp>
      <tp t="s">
        <v>#N/A N/A</v>
        <stp/>
        <stp>BDP|7583565912505559006</stp>
        <tr r="B2723" s="2"/>
      </tp>
      <tp t="s">
        <v>#N/A N/A</v>
        <stp/>
        <stp>BDP|8258129958603942955</stp>
        <tr r="H1497" s="2"/>
      </tp>
      <tp t="s">
        <v>#N/A N/A</v>
        <stp/>
        <stp>BDP|9217448268385953834</stp>
        <tr r="B464" s="2"/>
      </tp>
      <tp t="s">
        <v>#N/A N/A</v>
        <stp/>
        <stp>BDP|1197210527136659156</stp>
        <tr r="I793" s="2"/>
      </tp>
      <tp t="s">
        <v>#N/A N/A</v>
        <stp/>
        <stp>BDP|1348006006803220433</stp>
        <tr r="C2014" s="2"/>
      </tp>
      <tp t="s">
        <v>#N/A N/A</v>
        <stp/>
        <stp>BDP|7583147846106713244</stp>
        <tr r="H252" s="2"/>
      </tp>
      <tp t="s">
        <v>#N/A N/A</v>
        <stp/>
        <stp>BDP|3520455721341767228</stp>
        <tr r="A2337" s="2"/>
      </tp>
      <tp t="s">
        <v>#N/A N/A</v>
        <stp/>
        <stp>BDP|1703000165752450328</stp>
        <tr r="F2301" s="2"/>
      </tp>
      <tp t="s">
        <v>#N/A N/A</v>
        <stp/>
        <stp>BDP|3749406122665063618</stp>
        <tr r="B2415" s="2"/>
      </tp>
      <tp t="s">
        <v>#N/A N/A</v>
        <stp/>
        <stp>BDP|2691439660550017619</stp>
        <tr r="A2058" s="2"/>
      </tp>
      <tp t="s">
        <v>#N/A N/A</v>
        <stp/>
        <stp>BDP|1660876381900072743</stp>
        <tr r="A187" s="2"/>
      </tp>
      <tp t="s">
        <v>#N/A N/A</v>
        <stp/>
        <stp>BDP|6549750693157115969</stp>
        <tr r="G1574" s="2"/>
      </tp>
      <tp t="s">
        <v>#N/A N/A</v>
        <stp/>
        <stp>BDP|2386706184762248910</stp>
        <tr r="C3134" s="2"/>
      </tp>
      <tp t="s">
        <v>#N/A N/A</v>
        <stp/>
        <stp>BDP|6853690363971722112</stp>
        <tr r="C4018" s="2"/>
      </tp>
      <tp t="s">
        <v>#N/A N/A</v>
        <stp/>
        <stp>BDP|8331314562413563819</stp>
        <tr r="B4114" s="2"/>
      </tp>
      <tp t="s">
        <v>#N/A N/A</v>
        <stp/>
        <stp>BDP|7618652369060665189</stp>
        <tr r="F1811" s="2"/>
      </tp>
      <tp t="s">
        <v>#N/A N/A</v>
        <stp/>
        <stp>BDP|7254129223043548124</stp>
        <tr r="D3314" s="2"/>
      </tp>
      <tp t="s">
        <v>#N/A N/A</v>
        <stp/>
        <stp>BDP|7496156343986599230</stp>
        <tr r="I4744" s="2"/>
      </tp>
      <tp t="s">
        <v>#N/A N/A</v>
        <stp/>
        <stp>BDP|1115601124714192701</stp>
        <tr r="H1575" s="2"/>
      </tp>
      <tp t="s">
        <v>#N/A N/A</v>
        <stp/>
        <stp>BDP|2777870318748572598</stp>
        <tr r="H3945" s="2"/>
      </tp>
      <tp t="s">
        <v>#N/A N/A</v>
        <stp/>
        <stp>BDP|3688811783581025401</stp>
        <tr r="I4203" s="2"/>
      </tp>
      <tp t="s">
        <v>#N/A N/A</v>
        <stp/>
        <stp>BDP|8067092180926537081</stp>
        <tr r="H861" s="2"/>
      </tp>
      <tp t="s">
        <v>#N/A N/A</v>
        <stp/>
        <stp>BDP|1718275002910715513</stp>
        <tr r="A270" s="2"/>
      </tp>
      <tp t="s">
        <v>#N/A N/A</v>
        <stp/>
        <stp>BDP|6746052696699077008</stp>
        <tr r="B4933" s="2"/>
      </tp>
      <tp t="s">
        <v>#N/A N/A</v>
        <stp/>
        <stp>BDP|8465882699087891892</stp>
        <tr r="C657" s="2"/>
      </tp>
      <tp t="s">
        <v>#N/A N/A</v>
        <stp/>
        <stp>BDP|6356469742387072737</stp>
        <tr r="D4295" s="2"/>
      </tp>
      <tp t="s">
        <v>#N/A N/A</v>
        <stp/>
        <stp>BDP|6480186179411864792</stp>
        <tr r="H3724" s="2"/>
      </tp>
      <tp t="s">
        <v>#N/A N/A</v>
        <stp/>
        <stp>BDP|3014523746104456048</stp>
        <tr r="F1829" s="2"/>
      </tp>
      <tp t="s">
        <v>#N/A N/A</v>
        <stp/>
        <stp>BDP|8287957639230864425</stp>
        <tr r="H4201" s="2"/>
      </tp>
      <tp t="s">
        <v>#N/A N/A</v>
        <stp/>
        <stp>BDP|9179772890728493965</stp>
        <tr r="G1885" s="2"/>
      </tp>
      <tp t="s">
        <v>#N/A N/A</v>
        <stp/>
        <stp>BDP|6236061435626221578</stp>
        <tr r="G3499" s="2"/>
      </tp>
      <tp t="s">
        <v>#N/A N/A</v>
        <stp/>
        <stp>BDP|3396106276414229737</stp>
        <tr r="F1558" s="2"/>
      </tp>
      <tp t="s">
        <v>#N/A N/A</v>
        <stp/>
        <stp>BDP|2356894496413057681</stp>
        <tr r="D3925" s="2"/>
      </tp>
      <tp t="s">
        <v>#N/A N/A</v>
        <stp/>
        <stp>BDP|3600635216015363742</stp>
        <tr r="I3806" s="2"/>
      </tp>
      <tp t="s">
        <v>#N/A N/A</v>
        <stp/>
        <stp>BDP|7575232382808287324</stp>
        <tr r="H2626" s="2"/>
      </tp>
      <tp t="s">
        <v>#N/A N/A</v>
        <stp/>
        <stp>BDP|7769540391134068960</stp>
        <tr r="B2303" s="2"/>
      </tp>
      <tp t="s">
        <v>#N/A N/A</v>
        <stp/>
        <stp>BDP|3590448853313505733</stp>
        <tr r="A607" s="2"/>
      </tp>
      <tp t="s">
        <v>#N/A N/A</v>
        <stp/>
        <stp>BDP|6235366551087334127</stp>
        <tr r="B114" s="2"/>
      </tp>
      <tp t="s">
        <v>#N/A N/A</v>
        <stp/>
        <stp>BDP|6943914977657233994</stp>
        <tr r="F4912" s="2"/>
      </tp>
      <tp t="s">
        <v>#N/A N/A</v>
        <stp/>
        <stp>BDP|8660183457743555987</stp>
        <tr r="I4583" s="2"/>
      </tp>
      <tp t="s">
        <v>#N/A N/A</v>
        <stp/>
        <stp>BDP|2456820891086670352</stp>
        <tr r="B3218" s="2"/>
      </tp>
      <tp t="s">
        <v>#N/A N/A</v>
        <stp/>
        <stp>BDP|8367858800993307517</stp>
        <tr r="H2739" s="2"/>
      </tp>
      <tp t="s">
        <v>#N/A N/A</v>
        <stp/>
        <stp>BDP|6027459630687181005</stp>
        <tr r="G2422" s="2"/>
      </tp>
      <tp t="s">
        <v>#N/A N/A</v>
        <stp/>
        <stp>BDP|3018328411835306241</stp>
        <tr r="D390" s="2"/>
      </tp>
      <tp t="s">
        <v>#N/A N/A</v>
        <stp/>
        <stp>BDP|5084789513725745081</stp>
        <tr r="G83" s="2"/>
      </tp>
      <tp t="s">
        <v>#N/A N/A</v>
        <stp/>
        <stp>BDP|7077624666266300732</stp>
        <tr r="A3325" s="2"/>
      </tp>
      <tp t="s">
        <v>#N/A N/A</v>
        <stp/>
        <stp>BDP|6127478633890769767</stp>
        <tr r="B2997" s="2"/>
      </tp>
      <tp t="s">
        <v>#N/A N/A</v>
        <stp/>
        <stp>BDP|6547262266330438455</stp>
        <tr r="B1291" s="2"/>
      </tp>
      <tp t="s">
        <v>#N/A N/A</v>
        <stp/>
        <stp>BDP|4522997592754316691</stp>
        <tr r="H4772" s="2"/>
      </tp>
      <tp t="s">
        <v>#N/A N/A</v>
        <stp/>
        <stp>BDP|8126006135624471947</stp>
        <tr r="H3771" s="2"/>
      </tp>
      <tp t="s">
        <v>#N/A N/A</v>
        <stp/>
        <stp>BDP|3634010473201640367</stp>
        <tr r="A2335" s="2"/>
      </tp>
      <tp t="s">
        <v>#N/A N/A</v>
        <stp/>
        <stp>BDP|3584139796118763534</stp>
        <tr r="F2886" s="2"/>
      </tp>
      <tp t="s">
        <v>#N/A N/A</v>
        <stp/>
        <stp>BDP|9255626444509603464</stp>
        <tr r="H1993" s="2"/>
      </tp>
      <tp t="s">
        <v>#N/A N/A</v>
        <stp/>
        <stp>BDP|2166628073534399170</stp>
        <tr r="H2036" s="2"/>
      </tp>
      <tp t="s">
        <v>#N/A N/A</v>
        <stp/>
        <stp>BDP|2101973701185273817</stp>
        <tr r="G758" s="2"/>
      </tp>
      <tp t="s">
        <v>#N/A N/A</v>
        <stp/>
        <stp>BDP|3222128842361131178</stp>
        <tr r="F783" s="2"/>
      </tp>
      <tp t="s">
        <v>#N/A N/A</v>
        <stp/>
        <stp>BDP|1217175836332347741</stp>
        <tr r="I3561" s="2"/>
      </tp>
      <tp t="s">
        <v>#N/A N/A</v>
        <stp/>
        <stp>BDP|5848260011269265992</stp>
        <tr r="F267" s="2"/>
      </tp>
      <tp t="s">
        <v>#N/A N/A</v>
        <stp/>
        <stp>BDP|6437027333104261736</stp>
        <tr r="B868" s="2"/>
      </tp>
      <tp t="s">
        <v>#N/A N/A</v>
        <stp/>
        <stp>BDP|4770806681615009722</stp>
        <tr r="A4364" s="2"/>
      </tp>
      <tp t="s">
        <v>#N/A N/A</v>
        <stp/>
        <stp>BDP|7281879265627169854</stp>
        <tr r="G3065" s="2"/>
      </tp>
      <tp t="s">
        <v>#N/A N/A</v>
        <stp/>
        <stp>BDP|4651635343235657543</stp>
        <tr r="I2732" s="2"/>
      </tp>
      <tp t="s">
        <v>#N/A N/A</v>
        <stp/>
        <stp>BDP|1629625116484660401</stp>
        <tr r="H1400" s="2"/>
      </tp>
      <tp t="s">
        <v>#N/A N/A</v>
        <stp/>
        <stp>BDP|1328650862917590056</stp>
        <tr r="I1221" s="2"/>
      </tp>
      <tp t="s">
        <v>#N/A N/A</v>
        <stp/>
        <stp>BDP|3142425111766174675</stp>
        <tr r="G3785" s="2"/>
      </tp>
      <tp t="s">
        <v>#N/A N/A</v>
        <stp/>
        <stp>BDP|8185598356708844627</stp>
        <tr r="G4624" s="2"/>
      </tp>
      <tp t="s">
        <v>#N/A N/A</v>
        <stp/>
        <stp>BDP|9164454027708496138</stp>
        <tr r="C4657" s="2"/>
      </tp>
      <tp t="s">
        <v>#N/A N/A</v>
        <stp/>
        <stp>BDP|2175777477067744320</stp>
        <tr r="F3695" s="2"/>
      </tp>
      <tp t="s">
        <v>#N/A N/A</v>
        <stp/>
        <stp>BDP|6518343085769327233</stp>
        <tr r="G3349" s="2"/>
      </tp>
      <tp t="s">
        <v>#N/A N/A</v>
        <stp/>
        <stp>BDP|7109221852923589504</stp>
        <tr r="H225" s="2"/>
      </tp>
      <tp t="s">
        <v>#N/A N/A</v>
        <stp/>
        <stp>BDP|5400039029510326199</stp>
        <tr r="B1710" s="2"/>
      </tp>
      <tp t="s">
        <v>#N/A N/A</v>
        <stp/>
        <stp>BDP|5499709943635392508</stp>
        <tr r="B3561" s="2"/>
      </tp>
      <tp t="s">
        <v>#N/A N/A</v>
        <stp/>
        <stp>BDP|5581128589728387298</stp>
        <tr r="F2544" s="2"/>
      </tp>
      <tp t="s">
        <v>#N/A N/A</v>
        <stp/>
        <stp>BDP|7119320743770318670</stp>
        <tr r="F4299" s="2"/>
      </tp>
      <tp t="s">
        <v>#N/A N/A</v>
        <stp/>
        <stp>BDP|8381940316996319067</stp>
        <tr r="B3138" s="2"/>
      </tp>
      <tp t="s">
        <v>#N/A N/A</v>
        <stp/>
        <stp>BDP|7159073721292014132</stp>
        <tr r="B815" s="2"/>
      </tp>
      <tp t="s">
        <v>#N/A N/A</v>
        <stp/>
        <stp>BDP|6711798808647391011</stp>
        <tr r="A1709" s="2"/>
      </tp>
      <tp t="s">
        <v>#N/A N/A</v>
        <stp/>
        <stp>BDP|3770554955867782244</stp>
        <tr r="F100" s="2"/>
      </tp>
      <tp t="s">
        <v>#N/A N/A</v>
        <stp/>
        <stp>BDP|8554571873248766427</stp>
        <tr r="I2086" s="2"/>
      </tp>
      <tp t="s">
        <v>#N/A N/A</v>
        <stp/>
        <stp>BDP|9721862191698137652</stp>
        <tr r="H3205" s="2"/>
      </tp>
      <tp t="s">
        <v>#N/A N/A</v>
        <stp/>
        <stp>BDP|6918691874114528554</stp>
        <tr r="I3498" s="2"/>
      </tp>
      <tp t="s">
        <v>#N/A N/A</v>
        <stp/>
        <stp>BDP|5835824526651961811</stp>
        <tr r="H2117" s="2"/>
      </tp>
      <tp t="s">
        <v>#N/A N/A</v>
        <stp/>
        <stp>BDP|6761565394035351920</stp>
        <tr r="B4893" s="2"/>
      </tp>
      <tp t="s">
        <v>#N/A N/A</v>
        <stp/>
        <stp>BDP|6631091339792715152</stp>
        <tr r="A1431" s="2"/>
      </tp>
      <tp t="s">
        <v>#N/A N/A</v>
        <stp/>
        <stp>BDP|1483349096524239901</stp>
        <tr r="C4820" s="2"/>
      </tp>
      <tp t="s">
        <v>#N/A N/A</v>
        <stp/>
        <stp>BDP|8602884439076685345</stp>
        <tr r="G4772" s="2"/>
      </tp>
      <tp t="s">
        <v>#N/A N/A</v>
        <stp/>
        <stp>BDP|7973345231838935900</stp>
        <tr r="F3787" s="2"/>
      </tp>
      <tp t="s">
        <v>#N/A N/A</v>
        <stp/>
        <stp>BDP|1168549545700650634</stp>
        <tr r="G926" s="2"/>
      </tp>
      <tp t="s">
        <v>#N/A N/A</v>
        <stp/>
        <stp>BDP|4628343409432645388</stp>
        <tr r="G2260" s="2"/>
      </tp>
      <tp t="s">
        <v>#N/A N/A</v>
        <stp/>
        <stp>BDP|1093129222216297273</stp>
        <tr r="H3439" s="2"/>
      </tp>
      <tp t="s">
        <v>#N/A N/A</v>
        <stp/>
        <stp>BDP|9400755472857411824</stp>
        <tr r="D1237" s="2"/>
      </tp>
      <tp t="s">
        <v>#N/A N/A</v>
        <stp/>
        <stp>BDP|6314379230101674176</stp>
        <tr r="C3299" s="2"/>
      </tp>
      <tp t="s">
        <v>#N/A N/A</v>
        <stp/>
        <stp>BDP|2883475429763072135</stp>
        <tr r="B3555" s="2"/>
      </tp>
      <tp t="s">
        <v>#N/A N/A</v>
        <stp/>
        <stp>BDP|1127735184880551862</stp>
        <tr r="I309" s="2"/>
      </tp>
      <tp t="s">
        <v>#N/A N/A</v>
        <stp/>
        <stp>BDP|8083661671587362812</stp>
        <tr r="A4494" s="2"/>
      </tp>
      <tp t="s">
        <v>#N/A N/A</v>
        <stp/>
        <stp>BDP|4746339172675206310</stp>
        <tr r="C465" s="2"/>
      </tp>
      <tp t="s">
        <v>#N/A N/A</v>
        <stp/>
        <stp>BDP|8138623990046426729</stp>
        <tr r="B2160" s="2"/>
      </tp>
      <tp t="s">
        <v>#N/A N/A</v>
        <stp/>
        <stp>BDP|5237559925510463432</stp>
        <tr r="C2518" s="2"/>
      </tp>
      <tp t="s">
        <v>#N/A N/A</v>
        <stp/>
        <stp>BDP|5536200758887144394</stp>
        <tr r="D4049" s="2"/>
      </tp>
      <tp t="s">
        <v>#N/A N/A</v>
        <stp/>
        <stp>BDP|3931241959372927088</stp>
        <tr r="B4998" s="2"/>
      </tp>
      <tp t="s">
        <v>#N/A N/A</v>
        <stp/>
        <stp>BDP|1009257977196750408</stp>
        <tr r="I3816" s="2"/>
      </tp>
      <tp t="s">
        <v>#N/A N/A</v>
        <stp/>
        <stp>BDP|1828967762861973901</stp>
        <tr r="F4948" s="2"/>
      </tp>
      <tp t="s">
        <v>#N/A N/A</v>
        <stp/>
        <stp>BDP|1905795873960531734</stp>
        <tr r="C3039" s="2"/>
      </tp>
      <tp t="s">
        <v>#N/A N/A</v>
        <stp/>
        <stp>BDP|2895169119974437060</stp>
        <tr r="A2531" s="2"/>
      </tp>
      <tp t="s">
        <v>#N/A N/A</v>
        <stp/>
        <stp>BDP|1199063232283020700</stp>
        <tr r="A4681" s="2"/>
      </tp>
      <tp t="s">
        <v>#N/A N/A</v>
        <stp/>
        <stp>BDP|9059558886055251745</stp>
        <tr r="G4696" s="2"/>
      </tp>
      <tp t="s">
        <v>#N/A N/A</v>
        <stp/>
        <stp>BDP|2723218607032148453</stp>
        <tr r="A245" s="2"/>
      </tp>
      <tp t="s">
        <v>#N/A N/A</v>
        <stp/>
        <stp>BDP|7589621573954343429</stp>
        <tr r="C2677" s="2"/>
      </tp>
      <tp t="s">
        <v>#N/A N/A</v>
        <stp/>
        <stp>BDP|6256129137344107633</stp>
        <tr r="H2761" s="2"/>
      </tp>
      <tp t="s">
        <v>#N/A N/A</v>
        <stp/>
        <stp>BDP|8711511749018843728</stp>
        <tr r="B3815" s="2"/>
      </tp>
      <tp t="s">
        <v>#N/A N/A</v>
        <stp/>
        <stp>BDP|9399804215330378605</stp>
        <tr r="F558" s="2"/>
      </tp>
      <tp t="s">
        <v>#N/A N/A</v>
        <stp/>
        <stp>BDP|2146225766346694667</stp>
        <tr r="C42" s="2"/>
      </tp>
      <tp t="s">
        <v>#N/A N/A</v>
        <stp/>
        <stp>BDP|7892934641308625490</stp>
        <tr r="G2226" s="2"/>
      </tp>
      <tp t="s">
        <v>#N/A N/A</v>
        <stp/>
        <stp>BDP|7820788713315234246</stp>
        <tr r="F3977" s="2"/>
      </tp>
      <tp t="s">
        <v>#N/A N/A</v>
        <stp/>
        <stp>BDP|1359791649016210249</stp>
        <tr r="C4094" s="2"/>
      </tp>
      <tp t="s">
        <v>#N/A N/A</v>
        <stp/>
        <stp>BDP|2304780009992313144</stp>
        <tr r="C2181" s="2"/>
      </tp>
      <tp t="s">
        <v>#N/A N/A</v>
        <stp/>
        <stp>BDP|1269903534304788941</stp>
        <tr r="H4539" s="2"/>
      </tp>
      <tp t="s">
        <v>#N/A N/A</v>
        <stp/>
        <stp>BDP|3220123221671391771</stp>
        <tr r="D2283" s="2"/>
      </tp>
      <tp t="s">
        <v>#N/A N/A</v>
        <stp/>
        <stp>BDP|3619681877500586492</stp>
        <tr r="A2638" s="2"/>
      </tp>
      <tp t="s">
        <v>#N/A N/A</v>
        <stp/>
        <stp>BDP|5194145835254626533</stp>
        <tr r="D3213" s="2"/>
      </tp>
      <tp t="s">
        <v>#N/A N/A</v>
        <stp/>
        <stp>BDP|6598617070029002811</stp>
        <tr r="C3840" s="2"/>
      </tp>
      <tp t="s">
        <v>#N/A N/A</v>
        <stp/>
        <stp>BDP|1219142205303781517</stp>
        <tr r="H3261" s="2"/>
      </tp>
      <tp t="s">
        <v>#N/A N/A</v>
        <stp/>
        <stp>BDP|7037553340366255628</stp>
        <tr r="D2920" s="2"/>
      </tp>
      <tp t="s">
        <v>#N/A N/A</v>
        <stp/>
        <stp>BDP|6936578430477979126</stp>
        <tr r="D3819" s="2"/>
      </tp>
      <tp t="s">
        <v>#N/A N/A</v>
        <stp/>
        <stp>BDP|5588361753473736620</stp>
        <tr r="G3661" s="2"/>
      </tp>
      <tp t="s">
        <v>#N/A N/A</v>
        <stp/>
        <stp>BDP|2012612203550470230</stp>
        <tr r="C3120" s="2"/>
      </tp>
      <tp t="s">
        <v>#N/A N/A</v>
        <stp/>
        <stp>BDP|3496905466538684210</stp>
        <tr r="I3558" s="2"/>
      </tp>
      <tp t="s">
        <v>#N/A N/A</v>
        <stp/>
        <stp>BDP|1491233034140793613</stp>
        <tr r="B3846" s="2"/>
      </tp>
      <tp t="s">
        <v>#N/A N/A</v>
        <stp/>
        <stp>BDP|1257325764252525041</stp>
        <tr r="D1318" s="2"/>
      </tp>
      <tp t="s">
        <v>#N/A N/A</v>
        <stp/>
        <stp>BDP|5946573419475277205</stp>
        <tr r="H4527" s="2"/>
      </tp>
      <tp t="s">
        <v>#N/A N/A</v>
        <stp/>
        <stp>BDP|1655363085388942490</stp>
        <tr r="I1889" s="2"/>
      </tp>
      <tp t="s">
        <v>#N/A N/A</v>
        <stp/>
        <stp>BDP|5736197359065702254</stp>
        <tr r="B2195" s="2"/>
      </tp>
      <tp t="s">
        <v>#N/A N/A</v>
        <stp/>
        <stp>BDP|5857999361394371868</stp>
        <tr r="B4283" s="2"/>
      </tp>
      <tp t="s">
        <v>#N/A N/A</v>
        <stp/>
        <stp>BDP|1307647101604042536</stp>
        <tr r="F1664" s="2"/>
      </tp>
      <tp t="s">
        <v>#N/A N/A</v>
        <stp/>
        <stp>BDP|3489421812468382826</stp>
        <tr r="A1061" s="2"/>
      </tp>
      <tp t="s">
        <v>#N/A N/A</v>
        <stp/>
        <stp>BDP|4395578225660047540</stp>
        <tr r="C2990" s="2"/>
      </tp>
      <tp t="s">
        <v>#N/A N/A</v>
        <stp/>
        <stp>BDP|3761597506820535089</stp>
        <tr r="F2345" s="2"/>
      </tp>
      <tp t="s">
        <v>#N/A N/A</v>
        <stp/>
        <stp>BDP|6076555800245063005</stp>
        <tr r="I2641" s="2"/>
      </tp>
      <tp t="s">
        <v>#N/A N/A</v>
        <stp/>
        <stp>BDP|6593559834503741562</stp>
        <tr r="G2086" s="2"/>
      </tp>
      <tp t="s">
        <v>#N/A N/A</v>
        <stp/>
        <stp>BDP|3081338314342282509</stp>
        <tr r="H771" s="2"/>
      </tp>
      <tp t="s">
        <v>#N/A N/A</v>
        <stp/>
        <stp>BDP|9238603462398641735</stp>
        <tr r="F1186" s="2"/>
      </tp>
      <tp t="s">
        <v>#N/A N/A</v>
        <stp/>
        <stp>BDP|7630147620380069273</stp>
        <tr r="I1332" s="2"/>
      </tp>
      <tp t="s">
        <v>#N/A N/A</v>
        <stp/>
        <stp>BDP|9685898389257634853</stp>
        <tr r="D4176" s="2"/>
      </tp>
      <tp t="s">
        <v>#N/A N/A</v>
        <stp/>
        <stp>BDP|1759986981755226393</stp>
        <tr r="A4253" s="2"/>
      </tp>
      <tp t="s">
        <v>#N/A N/A</v>
        <stp/>
        <stp>BDP|3562401241655516045</stp>
        <tr r="H2169" s="2"/>
      </tp>
      <tp t="s">
        <v>#N/A N/A</v>
        <stp/>
        <stp>BDP|1371020678785477582</stp>
        <tr r="F1099" s="2"/>
      </tp>
      <tp t="s">
        <v>#N/A N/A</v>
        <stp/>
        <stp>BDP|3228683563150960553</stp>
        <tr r="C4246" s="2"/>
      </tp>
      <tp t="s">
        <v>#N/A N/A</v>
        <stp/>
        <stp>BDP|1032170970438713953</stp>
        <tr r="D3762" s="2"/>
      </tp>
      <tp t="s">
        <v>#N/A N/A</v>
        <stp/>
        <stp>BDP|4550035527767546717</stp>
        <tr r="F2159" s="2"/>
      </tp>
      <tp t="s">
        <v>#N/A N/A</v>
        <stp/>
        <stp>BDP|9429343774258439354</stp>
        <tr r="F607" s="2"/>
      </tp>
      <tp t="s">
        <v>#N/A N/A</v>
        <stp/>
        <stp>BDP|1231325177715638646</stp>
        <tr r="H974" s="2"/>
      </tp>
      <tp t="s">
        <v>#N/A N/A</v>
        <stp/>
        <stp>BDP|2900392870312613234</stp>
        <tr r="I2413" s="2"/>
      </tp>
      <tp t="s">
        <v>#N/A N/A</v>
        <stp/>
        <stp>BDP|7747176318778404992</stp>
        <tr r="C1685" s="2"/>
      </tp>
      <tp t="s">
        <v>#N/A N/A</v>
        <stp/>
        <stp>BDP|5548775572380024357</stp>
        <tr r="B2186" s="2"/>
      </tp>
      <tp t="s">
        <v>#N/A N/A</v>
        <stp/>
        <stp>BDP|5592970096803723064</stp>
        <tr r="I3203" s="2"/>
      </tp>
      <tp t="s">
        <v>#N/A N/A</v>
        <stp/>
        <stp>BDP|5066606270700686238</stp>
        <tr r="A1230" s="2"/>
      </tp>
      <tp t="s">
        <v>#N/A N/A</v>
        <stp/>
        <stp>BDP|1982071433684102098</stp>
        <tr r="D519" s="2"/>
      </tp>
      <tp t="s">
        <v>#N/A N/A</v>
        <stp/>
        <stp>BDP|3686412540491093420</stp>
        <tr r="F3817" s="2"/>
      </tp>
      <tp t="s">
        <v>#N/A N/A</v>
        <stp/>
        <stp>BDP|8436083818467553846</stp>
        <tr r="D4979" s="2"/>
      </tp>
      <tp t="s">
        <v>#N/A N/A</v>
        <stp/>
        <stp>BDP|8974807538584372175</stp>
        <tr r="G2136" s="2"/>
      </tp>
      <tp t="s">
        <v>#N/A N/A</v>
        <stp/>
        <stp>BDP|3843688795003491943</stp>
        <tr r="D2315" s="2"/>
      </tp>
      <tp t="s">
        <v>#N/A N/A</v>
        <stp/>
        <stp>BDP|5379076907151670201</stp>
        <tr r="G1866" s="2"/>
      </tp>
      <tp t="s">
        <v>#N/A N/A</v>
        <stp/>
        <stp>BDP|7788837590417499754</stp>
        <tr r="A838" s="2"/>
      </tp>
      <tp t="s">
        <v>#N/A N/A</v>
        <stp/>
        <stp>BDP|1036334036003021403</stp>
        <tr r="H2358" s="2"/>
      </tp>
      <tp t="s">
        <v>#N/A N/A</v>
        <stp/>
        <stp>BDP|5537485468265875485</stp>
        <tr r="C2419" s="2"/>
      </tp>
      <tp t="s">
        <v>#N/A N/A</v>
        <stp/>
        <stp>BDP|4220835252659376650</stp>
        <tr r="F2213" s="2"/>
      </tp>
      <tp t="s">
        <v>#N/A N/A</v>
        <stp/>
        <stp>BDP|5369346914745316450</stp>
        <tr r="H539" s="2"/>
      </tp>
      <tp t="s">
        <v>#N/A N/A</v>
        <stp/>
        <stp>BDP|1618443714300016236</stp>
        <tr r="I2077" s="2"/>
      </tp>
      <tp t="s">
        <v>#N/A N/A</v>
        <stp/>
        <stp>BDP|4858090783662662813</stp>
        <tr r="I4858" s="2"/>
      </tp>
      <tp t="s">
        <v>#N/A N/A</v>
        <stp/>
        <stp>BDP|5902170399058883251</stp>
        <tr r="G1643" s="2"/>
      </tp>
      <tp t="s">
        <v>#N/A N/A</v>
        <stp/>
        <stp>BDP|2000091859515942539</stp>
        <tr r="I3884" s="2"/>
      </tp>
      <tp t="s">
        <v>#N/A N/A</v>
        <stp/>
        <stp>BDP|2180122609125720171</stp>
        <tr r="D679" s="2"/>
      </tp>
      <tp t="s">
        <v>#N/A N/A</v>
        <stp/>
        <stp>BDP|1213895027764297842</stp>
        <tr r="C4185" s="2"/>
      </tp>
      <tp t="s">
        <v>#N/A N/A</v>
        <stp/>
        <stp>BDP|3354343293548880663</stp>
        <tr r="B3037" s="2"/>
      </tp>
      <tp t="s">
        <v>#N/A N/A</v>
        <stp/>
        <stp>BDP|8279768682544440486</stp>
        <tr r="C132" s="2"/>
      </tp>
      <tp t="s">
        <v>#N/A N/A</v>
        <stp/>
        <stp>BDP|6394396990782031900</stp>
        <tr r="C3743" s="2"/>
      </tp>
      <tp t="s">
        <v>#N/A N/A</v>
        <stp/>
        <stp>BDP|8066208793635124181</stp>
        <tr r="B4361" s="2"/>
      </tp>
      <tp t="s">
        <v>#N/A N/A</v>
        <stp/>
        <stp>BDP|7577149107065967453</stp>
        <tr r="A3864" s="2"/>
      </tp>
      <tp t="s">
        <v>#N/A N/A</v>
        <stp/>
        <stp>BDP|7589004832374427796</stp>
        <tr r="B98" s="2"/>
      </tp>
      <tp t="s">
        <v>#N/A N/A</v>
        <stp/>
        <stp>BDP|3716433242896983259</stp>
        <tr r="C4906" s="2"/>
      </tp>
      <tp t="s">
        <v>#N/A N/A</v>
        <stp/>
        <stp>BDP|7792365968227721247</stp>
        <tr r="D3628" s="2"/>
      </tp>
      <tp t="s">
        <v>#N/A N/A</v>
        <stp/>
        <stp>BDP|5493813183897880541</stp>
        <tr r="I4115" s="2"/>
      </tp>
      <tp t="s">
        <v>#N/A N/A</v>
        <stp/>
        <stp>BDP|7378669264306855632</stp>
        <tr r="I3250" s="2"/>
      </tp>
      <tp t="s">
        <v>#N/A N/A</v>
        <stp/>
        <stp>BDP|8728511979889272476</stp>
        <tr r="A48" s="2"/>
      </tp>
      <tp t="s">
        <v>#N/A N/A</v>
        <stp/>
        <stp>BDP|9521637311921910840</stp>
        <tr r="F1466" s="2"/>
      </tp>
      <tp t="s">
        <v>#N/A N/A</v>
        <stp/>
        <stp>BDP|4486556551187361494</stp>
        <tr r="F3056" s="2"/>
      </tp>
      <tp t="s">
        <v>#N/A N/A</v>
        <stp/>
        <stp>BDP|3609763504186974579</stp>
        <tr r="F2957" s="2"/>
      </tp>
      <tp t="s">
        <v>#N/A N/A</v>
        <stp/>
        <stp>BDP|5691784365285959686</stp>
        <tr r="H3893" s="2"/>
      </tp>
      <tp t="s">
        <v>#N/A N/A</v>
        <stp/>
        <stp>BDP|5772647729613138519</stp>
        <tr r="D696" s="2"/>
      </tp>
      <tp t="s">
        <v>#N/A N/A</v>
        <stp/>
        <stp>BDP|9613546574174401889</stp>
        <tr r="C1606" s="2"/>
      </tp>
      <tp t="s">
        <v>#N/A N/A</v>
        <stp/>
        <stp>BDP|2406231872936965661</stp>
        <tr r="D4313" s="2"/>
      </tp>
      <tp t="s">
        <v>#N/A N/A</v>
        <stp/>
        <stp>BDP|1968217306157185357</stp>
        <tr r="F807" s="2"/>
      </tp>
      <tp t="s">
        <v>#N/A N/A</v>
        <stp/>
        <stp>BDP|2906041113010691426</stp>
        <tr r="F4499" s="2"/>
      </tp>
      <tp t="s">
        <v>#N/A N/A</v>
        <stp/>
        <stp>BDP|5477053727726542699</stp>
        <tr r="G35" s="2"/>
      </tp>
      <tp t="s">
        <v>#N/A N/A</v>
        <stp/>
        <stp>BDP|7335555061151911248</stp>
        <tr r="A2451" s="2"/>
      </tp>
      <tp t="s">
        <v>#N/A N/A</v>
        <stp/>
        <stp>BDP|7670240801871871316</stp>
        <tr r="D2224" s="2"/>
      </tp>
      <tp t="s">
        <v>#N/A N/A</v>
        <stp/>
        <stp>BDP|2866349700936674000</stp>
        <tr r="D4249" s="2"/>
      </tp>
      <tp t="s">
        <v>#N/A N/A</v>
        <stp/>
        <stp>BDP|6047110612728941906</stp>
        <tr r="A2876" s="2"/>
      </tp>
      <tp t="s">
        <v>#N/A N/A</v>
        <stp/>
        <stp>BDP|7538434739593469415</stp>
        <tr r="I1690" s="2"/>
      </tp>
      <tp t="s">
        <v>#N/A N/A</v>
        <stp/>
        <stp>BDP|7726485230783084459</stp>
        <tr r="G1789" s="2"/>
      </tp>
      <tp t="s">
        <v>#N/A N/A</v>
        <stp/>
        <stp>BDP|1821420456595566230</stp>
        <tr r="D1182" s="2"/>
      </tp>
      <tp t="s">
        <v>#N/A N/A</v>
        <stp/>
        <stp>BDP|2324894431676733863</stp>
        <tr r="H1022" s="2"/>
      </tp>
      <tp t="s">
        <v>#N/A N/A</v>
        <stp/>
        <stp>BDP|4189193922828737870</stp>
        <tr r="B2941" s="2"/>
      </tp>
      <tp t="s">
        <v>#N/A N/A</v>
        <stp/>
        <stp>BDP|7233594942195256413</stp>
        <tr r="A2541" s="2"/>
      </tp>
      <tp t="s">
        <v>#N/A N/A</v>
        <stp/>
        <stp>BDP|6741727240630716284</stp>
        <tr r="G3485" s="2"/>
      </tp>
      <tp t="s">
        <v>#N/A N/A</v>
        <stp/>
        <stp>BDP|8165013730799825520</stp>
        <tr r="B3863" s="2"/>
      </tp>
      <tp t="s">
        <v>#N/A N/A</v>
        <stp/>
        <stp>BDP|8286259586685835034</stp>
        <tr r="D4259" s="2"/>
      </tp>
      <tp t="s">
        <v>#N/A N/A</v>
        <stp/>
        <stp>BDP|5866530961636043704</stp>
        <tr r="C2635" s="2"/>
      </tp>
      <tp t="s">
        <v>#N/A N/A</v>
        <stp/>
        <stp>BDP|9637943068973935299</stp>
        <tr r="D3018" s="2"/>
      </tp>
      <tp t="s">
        <v>#N/A N/A</v>
        <stp/>
        <stp>BDP|4549687376385211732</stp>
        <tr r="A4862" s="2"/>
      </tp>
      <tp t="s">
        <v>#N/A N/A</v>
        <stp/>
        <stp>BDP|8734707725183928914</stp>
        <tr r="C4615" s="2"/>
      </tp>
      <tp t="s">
        <v>#N/A N/A</v>
        <stp/>
        <stp>BDP|2803318705736359059</stp>
        <tr r="A3029" s="2"/>
      </tp>
      <tp t="s">
        <v>#N/A N/A</v>
        <stp/>
        <stp>BDP|7632798773759799916</stp>
        <tr r="D38" s="2"/>
      </tp>
      <tp t="s">
        <v>#N/A N/A</v>
        <stp/>
        <stp>BDP|7022769864888128992</stp>
        <tr r="I3785" s="2"/>
      </tp>
      <tp t="s">
        <v>#N/A N/A</v>
        <stp/>
        <stp>BDP|8894690135742687884</stp>
        <tr r="I3074" s="2"/>
      </tp>
      <tp t="s">
        <v>#N/A N/A</v>
        <stp/>
        <stp>BDP|1127475491059928247</stp>
        <tr r="G2448" s="2"/>
      </tp>
      <tp t="s">
        <v>#N/A N/A</v>
        <stp/>
        <stp>BDP|8875844409596639190</stp>
        <tr r="F2588" s="2"/>
      </tp>
      <tp t="s">
        <v>#N/A N/A</v>
        <stp/>
        <stp>BDP|7426557918857718349</stp>
        <tr r="B4095" s="2"/>
      </tp>
      <tp t="s">
        <v>#N/A N/A</v>
        <stp/>
        <stp>BDP|2058487488810871928</stp>
        <tr r="A1334" s="2"/>
      </tp>
      <tp t="s">
        <v>#N/A N/A</v>
        <stp/>
        <stp>BDP|1628795012623021376</stp>
        <tr r="B2444" s="2"/>
      </tp>
      <tp t="s">
        <v>#N/A N/A</v>
        <stp/>
        <stp>BDP|5189278965523920503</stp>
        <tr r="A2454" s="2"/>
      </tp>
      <tp t="s">
        <v>#N/A N/A</v>
        <stp/>
        <stp>BDP|6232190620661110300</stp>
        <tr r="A1298" s="2"/>
      </tp>
      <tp t="s">
        <v>#N/A N/A</v>
        <stp/>
        <stp>BDP|8568550709189154326</stp>
        <tr r="H826" s="2"/>
      </tp>
      <tp t="s">
        <v>#N/A N/A</v>
        <stp/>
        <stp>BDP|6601364921559273992</stp>
        <tr r="F3629" s="2"/>
      </tp>
      <tp t="s">
        <v>#N/A N/A</v>
        <stp/>
        <stp>BDP|9069906505273945462</stp>
        <tr r="D2840" s="2"/>
      </tp>
      <tp t="s">
        <v>#N/A N/A</v>
        <stp/>
        <stp>BDP|4969373731433265073</stp>
        <tr r="I4856" s="2"/>
      </tp>
      <tp t="s">
        <v>#N/A N/A</v>
        <stp/>
        <stp>BDP|9622547181686920505</stp>
        <tr r="I642" s="2"/>
      </tp>
      <tp t="s">
        <v>#N/A N/A</v>
        <stp/>
        <stp>BDP|2101551280260911875</stp>
        <tr r="C3401" s="2"/>
      </tp>
      <tp t="s">
        <v>#N/A N/A</v>
        <stp/>
        <stp>BDP|3041035809342069603</stp>
        <tr r="G165" s="2"/>
      </tp>
      <tp t="s">
        <v>#N/A N/A</v>
        <stp/>
        <stp>BDP|2170536446207754391</stp>
        <tr r="B4122" s="2"/>
      </tp>
      <tp t="s">
        <v>#N/A N/A</v>
        <stp/>
        <stp>BDP|5339135963175977007</stp>
        <tr r="H3579" s="2"/>
      </tp>
      <tp t="s">
        <v>#N/A N/A</v>
        <stp/>
        <stp>BDP|2964500061456303015</stp>
        <tr r="I3522" s="2"/>
      </tp>
      <tp t="s">
        <v>#N/A N/A</v>
        <stp/>
        <stp>BDP|3445514421674984779</stp>
        <tr r="I3395" s="2"/>
      </tp>
      <tp t="s">
        <v>#N/A N/A</v>
        <stp/>
        <stp>BDP|5063803214622770993</stp>
        <tr r="F2408" s="2"/>
      </tp>
      <tp t="s">
        <v>#N/A N/A</v>
        <stp/>
        <stp>BDP|7275707636462749697</stp>
        <tr r="I2846" s="2"/>
      </tp>
      <tp t="s">
        <v>#N/A N/A</v>
        <stp/>
        <stp>BDP|3690510754296097295</stp>
        <tr r="I3738" s="2"/>
      </tp>
      <tp t="s">
        <v>#N/A N/A</v>
        <stp/>
        <stp>BDP|8804071980307339067</stp>
        <tr r="B4284" s="2"/>
      </tp>
      <tp t="s">
        <v>#N/A N/A</v>
        <stp/>
        <stp>BDP|7435212941143601586</stp>
        <tr r="I1357" s="2"/>
      </tp>
      <tp t="s">
        <v>#N/A N/A</v>
        <stp/>
        <stp>BDP|2537264216671638794</stp>
        <tr r="I2963" s="2"/>
      </tp>
      <tp t="s">
        <v>#N/A N/A</v>
        <stp/>
        <stp>BDP|7017286584588221246</stp>
        <tr r="B4300" s="2"/>
      </tp>
      <tp t="s">
        <v>#N/A N/A</v>
        <stp/>
        <stp>BDP|4210501178000697170</stp>
        <tr r="D1435" s="2"/>
      </tp>
      <tp t="s">
        <v>#N/A N/A</v>
        <stp/>
        <stp>BDP|7463249669121120535</stp>
        <tr r="G3540" s="2"/>
      </tp>
      <tp t="s">
        <v>#N/A N/A</v>
        <stp/>
        <stp>BDP|8976221220336950999</stp>
        <tr r="F993" s="2"/>
      </tp>
      <tp t="s">
        <v>#N/A N/A</v>
        <stp/>
        <stp>BDP|1782720528807006469</stp>
        <tr r="B3232" s="2"/>
      </tp>
      <tp t="s">
        <v>#N/A N/A</v>
        <stp/>
        <stp>BDP|2872011872893232124</stp>
        <tr r="D2530" s="2"/>
      </tp>
      <tp t="s">
        <v>#N/A N/A</v>
        <stp/>
        <stp>BDP|8147462808963658823</stp>
        <tr r="G2312" s="2"/>
      </tp>
      <tp t="s">
        <v>#N/A N/A</v>
        <stp/>
        <stp>BDP|1440987645789388214</stp>
        <tr r="G3179" s="2"/>
      </tp>
      <tp t="s">
        <v>#N/A N/A</v>
        <stp/>
        <stp>BDP|7420688760081579125</stp>
        <tr r="D2481" s="2"/>
      </tp>
      <tp t="s">
        <v>#N/A N/A</v>
        <stp/>
        <stp>BDP|5477627237032281580</stp>
        <tr r="F66" s="2"/>
      </tp>
      <tp t="s">
        <v>#N/A N/A</v>
        <stp/>
        <stp>BDP|4887165860793338761</stp>
        <tr r="B1757" s="2"/>
      </tp>
      <tp t="s">
        <v>#N/A N/A</v>
        <stp/>
        <stp>BDP|5629554767917937664</stp>
        <tr r="G2636" s="2"/>
      </tp>
      <tp t="s">
        <v>#N/A N/A</v>
        <stp/>
        <stp>BDP|6308672325265924039</stp>
        <tr r="A1059" s="2"/>
      </tp>
      <tp t="s">
        <v>#N/A N/A</v>
        <stp/>
        <stp>BDP|5750455192827268895</stp>
        <tr r="H868" s="2"/>
      </tp>
      <tp t="s">
        <v>#N/A N/A</v>
        <stp/>
        <stp>BDP|8817962490906638932</stp>
        <tr r="A2400" s="2"/>
      </tp>
      <tp t="s">
        <v>#N/A N/A</v>
        <stp/>
        <stp>BDP|7700044674872964550</stp>
        <tr r="B2989" s="2"/>
      </tp>
      <tp t="s">
        <v>#N/A N/A</v>
        <stp/>
        <stp>BDP|2792720798252331952</stp>
        <tr r="H3140" s="2"/>
      </tp>
      <tp t="s">
        <v>#N/A N/A</v>
        <stp/>
        <stp>BDP|1297200137035976274</stp>
        <tr r="C1469" s="2"/>
      </tp>
      <tp t="s">
        <v>#N/A N/A</v>
        <stp/>
        <stp>BDP|4499573978543538256</stp>
        <tr r="D4243" s="2"/>
      </tp>
      <tp t="s">
        <v>#N/A N/A</v>
        <stp/>
        <stp>BDP|9174817550095895633</stp>
        <tr r="A1962" s="2"/>
      </tp>
      <tp t="s">
        <v>#N/A N/A</v>
        <stp/>
        <stp>BDP|1897807089382900437</stp>
        <tr r="G50" s="2"/>
      </tp>
      <tp t="s">
        <v>#N/A N/A</v>
        <stp/>
        <stp>BDP|2955345730685350059</stp>
        <tr r="G2733" s="2"/>
      </tp>
      <tp t="s">
        <v>#N/A N/A</v>
        <stp/>
        <stp>BDP|4883493905050865777</stp>
        <tr r="F3861" s="2"/>
      </tp>
      <tp t="s">
        <v>#N/A N/A</v>
        <stp/>
        <stp>BDP|4845123369787895303</stp>
        <tr r="D212" s="2"/>
      </tp>
      <tp t="s">
        <v>#N/A N/A</v>
        <stp/>
        <stp>BDP|7514059065686709093</stp>
        <tr r="I3224" s="2"/>
      </tp>
      <tp t="s">
        <v>#N/A N/A</v>
        <stp/>
        <stp>BDP|5686463419520562775</stp>
        <tr r="G1821" s="2"/>
      </tp>
      <tp t="s">
        <v>#N/A N/A</v>
        <stp/>
        <stp>BDP|9887307893044227020</stp>
        <tr r="D2014" s="2"/>
      </tp>
      <tp t="s">
        <v>#N/A N/A</v>
        <stp/>
        <stp>BDP|8475401369004688903</stp>
        <tr r="H4237" s="2"/>
      </tp>
      <tp t="s">
        <v>#N/A N/A</v>
        <stp/>
        <stp>BDP|9080842564492363285</stp>
        <tr r="H4432" s="2"/>
      </tp>
      <tp t="s">
        <v>#N/A N/A</v>
        <stp/>
        <stp>BDP|4608894480605165659</stp>
        <tr r="B4582" s="2"/>
      </tp>
      <tp t="s">
        <v>#N/A N/A</v>
        <stp/>
        <stp>BDP|9118783756374743838</stp>
        <tr r="C2154" s="2"/>
      </tp>
      <tp t="s">
        <v>#N/A N/A</v>
        <stp/>
        <stp>BDP|2364639754244712280</stp>
        <tr r="H183" s="2"/>
      </tp>
      <tp t="s">
        <v>#N/A N/A</v>
        <stp/>
        <stp>BDP|1587051589209154732</stp>
        <tr r="F4917" s="2"/>
      </tp>
      <tp t="s">
        <v>#N/A N/A</v>
        <stp/>
        <stp>BDP|2977137223256276009</stp>
        <tr r="F4034" s="2"/>
      </tp>
      <tp t="s">
        <v>#N/A N/A</v>
        <stp/>
        <stp>BDP|6077652772404447489</stp>
        <tr r="C3037" s="2"/>
      </tp>
      <tp t="s">
        <v>#N/A N/A</v>
        <stp/>
        <stp>BDP|4924559033622519710</stp>
        <tr r="B3788" s="2"/>
      </tp>
      <tp t="s">
        <v>#N/A N/A</v>
        <stp/>
        <stp>BDP|2036726918697652479</stp>
        <tr r="C2314" s="2"/>
      </tp>
      <tp t="s">
        <v>#N/A N/A</v>
        <stp/>
        <stp>BDP|5214569386146947902</stp>
        <tr r="G4286" s="2"/>
      </tp>
      <tp t="s">
        <v>#N/A N/A</v>
        <stp/>
        <stp>BDP|7295086070241915683</stp>
        <tr r="G4874" s="2"/>
      </tp>
      <tp t="s">
        <v>#N/A N/A</v>
        <stp/>
        <stp>BDP|6094831514218840041</stp>
        <tr r="D4555" s="2"/>
      </tp>
      <tp t="s">
        <v>#N/A N/A</v>
        <stp/>
        <stp>BDP|7835405243142300238</stp>
        <tr r="H4715" s="2"/>
      </tp>
      <tp t="s">
        <v>#N/A N/A</v>
        <stp/>
        <stp>BDP|1107145874036231689</stp>
        <tr r="G576" s="2"/>
      </tp>
      <tp t="s">
        <v>#N/A N/A</v>
        <stp/>
        <stp>BDP|1274133430952268684</stp>
        <tr r="H4943" s="2"/>
      </tp>
      <tp t="s">
        <v>#N/A N/A</v>
        <stp/>
        <stp>BDP|1157488902091151316</stp>
        <tr r="B4006" s="2"/>
      </tp>
      <tp t="s">
        <v>#N/A N/A</v>
        <stp/>
        <stp>BDP|5391652250717560684</stp>
        <tr r="B4313" s="2"/>
      </tp>
      <tp t="s">
        <v>#N/A N/A</v>
        <stp/>
        <stp>BDP|5655367021855263682</stp>
        <tr r="I1804" s="2"/>
      </tp>
      <tp t="s">
        <v>#N/A N/A</v>
        <stp/>
        <stp>BDP|5212451402317789195</stp>
        <tr r="F3477" s="2"/>
      </tp>
      <tp t="s">
        <v>#N/A N/A</v>
        <stp/>
        <stp>BDP|4240546206337350185</stp>
        <tr r="A3311" s="2"/>
      </tp>
      <tp t="s">
        <v>#N/A N/A</v>
        <stp/>
        <stp>BDP|3915600732694376531</stp>
        <tr r="D241" s="2"/>
      </tp>
      <tp t="s">
        <v>#N/A N/A</v>
        <stp/>
        <stp>BDP|2062615835666835677</stp>
        <tr r="A4527" s="2"/>
      </tp>
      <tp t="s">
        <v>#N/A N/A</v>
        <stp/>
        <stp>BDP|3758617724350913001</stp>
        <tr r="H3469" s="2"/>
      </tp>
      <tp t="s">
        <v>#N/A N/A</v>
        <stp/>
        <stp>BDP|7301824405941683995</stp>
        <tr r="I709" s="2"/>
      </tp>
      <tp t="s">
        <v>#N/A N/A</v>
        <stp/>
        <stp>BDP|2949323641110606276</stp>
        <tr r="F1174" s="2"/>
      </tp>
      <tp t="s">
        <v>#N/A N/A</v>
        <stp/>
        <stp>BDP|7076315825617934667</stp>
        <tr r="A1087" s="2"/>
      </tp>
      <tp t="s">
        <v>#N/A N/A</v>
        <stp/>
        <stp>BDP|2910026292259353513</stp>
        <tr r="I140" s="2"/>
      </tp>
      <tp t="s">
        <v>#N/A N/A</v>
        <stp/>
        <stp>BDP|7202534576507430581</stp>
        <tr r="C4883" s="2"/>
      </tp>
      <tp t="s">
        <v>#N/A N/A</v>
        <stp/>
        <stp>BDP|2865975527269247716</stp>
        <tr r="H2985" s="2"/>
      </tp>
      <tp t="s">
        <v>#N/A N/A</v>
        <stp/>
        <stp>BDP|7824164848705450097</stp>
        <tr r="F1209" s="2"/>
      </tp>
      <tp t="s">
        <v>#N/A N/A</v>
        <stp/>
        <stp>BDP|2614383261436638626</stp>
        <tr r="B1419" s="2"/>
      </tp>
      <tp t="s">
        <v>#N/A N/A</v>
        <stp/>
        <stp>BDP|8837867865428213922</stp>
        <tr r="B4618" s="2"/>
      </tp>
      <tp t="s">
        <v>#N/A N/A</v>
        <stp/>
        <stp>BDP|6998004845916129365</stp>
        <tr r="B3877" s="2"/>
      </tp>
      <tp t="s">
        <v>#N/A N/A</v>
        <stp/>
        <stp>BDP|3554225805303925502</stp>
        <tr r="B542" s="2"/>
      </tp>
      <tp t="s">
        <v>#N/A N/A</v>
        <stp/>
        <stp>BDP|1159059309105360358</stp>
        <tr r="F3362" s="2"/>
      </tp>
      <tp t="s">
        <v>#N/A N/A</v>
        <stp/>
        <stp>BDP|2060716167244563086</stp>
        <tr r="C1754" s="2"/>
      </tp>
      <tp t="s">
        <v>#N/A N/A</v>
        <stp/>
        <stp>BDP|3104327308737822080</stp>
        <tr r="D317" s="2"/>
      </tp>
      <tp t="s">
        <v>#N/A N/A</v>
        <stp/>
        <stp>BDP|6503745612063963411</stp>
        <tr r="D4672" s="2"/>
      </tp>
      <tp t="s">
        <v>#N/A N/A</v>
        <stp/>
        <stp>BDP|3228490606523165373</stp>
        <tr r="H2819" s="2"/>
      </tp>
      <tp t="s">
        <v>#N/A N/A</v>
        <stp/>
        <stp>BDP|2523504465727963122</stp>
        <tr r="C3288" s="2"/>
      </tp>
      <tp t="s">
        <v>#N/A N/A</v>
        <stp/>
        <stp>BDP|2940322650334383738</stp>
        <tr r="G3754" s="2"/>
      </tp>
      <tp t="s">
        <v>#N/A N/A</v>
        <stp/>
        <stp>BDP|6725653765347454682</stp>
        <tr r="A70" s="2"/>
      </tp>
      <tp t="s">
        <v>#N/A N/A</v>
        <stp/>
        <stp>BDP|8808258655729431179</stp>
        <tr r="I4322" s="2"/>
      </tp>
      <tp t="s">
        <v>#N/A N/A</v>
        <stp/>
        <stp>BDP|1229683052563238613</stp>
        <tr r="A4065" s="2"/>
      </tp>
      <tp t="s">
        <v>#N/A N/A</v>
        <stp/>
        <stp>BDP|9908218088991276592</stp>
        <tr r="F4700" s="2"/>
      </tp>
      <tp t="s">
        <v>#N/A N/A</v>
        <stp/>
        <stp>BDP|3086648783398828245</stp>
        <tr r="A3445" s="2"/>
      </tp>
      <tp t="s">
        <v>#N/A N/A</v>
        <stp/>
        <stp>BDP|8327828420242245788</stp>
        <tr r="B3849" s="2"/>
      </tp>
      <tp t="s">
        <v>#N/A N/A</v>
        <stp/>
        <stp>BDP|5133411753566179594</stp>
        <tr r="D3717" s="2"/>
      </tp>
      <tp t="s">
        <v>#N/A N/A</v>
        <stp/>
        <stp>BDP|8795339385707360396</stp>
        <tr r="F2657" s="2"/>
      </tp>
      <tp t="s">
        <v>#N/A N/A</v>
        <stp/>
        <stp>BDP|4902196979034185139</stp>
        <tr r="D3599" s="2"/>
      </tp>
      <tp t="s">
        <v>#N/A N/A</v>
        <stp/>
        <stp>BDP|7171236506087861570</stp>
        <tr r="G4084" s="2"/>
      </tp>
      <tp t="s">
        <v>#N/A N/A</v>
        <stp/>
        <stp>BDP|3511866759668219137</stp>
        <tr r="C2802" s="2"/>
      </tp>
      <tp t="s">
        <v>#N/A N/A</v>
        <stp/>
        <stp>BDP|8946849627152480752</stp>
        <tr r="G2062" s="2"/>
      </tp>
      <tp t="s">
        <v>#N/A N/A</v>
        <stp/>
        <stp>BDP|3216083906517268357</stp>
        <tr r="H3078" s="2"/>
      </tp>
      <tp t="s">
        <v>#N/A N/A</v>
        <stp/>
        <stp>BDP|2086537199879741065</stp>
        <tr r="G2757" s="2"/>
      </tp>
      <tp t="s">
        <v>#N/A N/A</v>
        <stp/>
        <stp>BDP|9425291099380944562</stp>
        <tr r="D2708" s="2"/>
      </tp>
      <tp t="s">
        <v>#N/A N/A</v>
        <stp/>
        <stp>BDP|4987535303757771164</stp>
        <tr r="D732" s="2"/>
      </tp>
      <tp t="s">
        <v>#N/A N/A</v>
        <stp/>
        <stp>BDP|6723360451000192793</stp>
        <tr r="C2781" s="2"/>
      </tp>
      <tp t="s">
        <v>#N/A N/A</v>
        <stp/>
        <stp>BDP|1941022811255693245</stp>
        <tr r="I3861" s="2"/>
      </tp>
      <tp t="s">
        <v>#N/A N/A</v>
        <stp/>
        <stp>BDP|7770781465182173338</stp>
        <tr r="C1310" s="2"/>
      </tp>
      <tp t="s">
        <v>#N/A N/A</v>
        <stp/>
        <stp>BDP|3217796301846268501</stp>
        <tr r="B3839" s="2"/>
      </tp>
      <tp t="s">
        <v>#N/A N/A</v>
        <stp/>
        <stp>BDP|6187633357282566087</stp>
        <tr r="I1078" s="2"/>
      </tp>
      <tp t="s">
        <v>#N/A N/A</v>
        <stp/>
        <stp>BDP|6497384037091645051</stp>
        <tr r="F825" s="2"/>
      </tp>
      <tp t="s">
        <v>#N/A N/A</v>
        <stp/>
        <stp>BDP|4781183572706422315</stp>
        <tr r="G106" s="2"/>
      </tp>
      <tp t="s">
        <v>#N/A N/A</v>
        <stp/>
        <stp>BDP|3325467431971467281</stp>
        <tr r="C1666" s="2"/>
      </tp>
      <tp t="s">
        <v>#N/A N/A</v>
        <stp/>
        <stp>BDP|4945289259244652061</stp>
        <tr r="C5000" s="2"/>
      </tp>
      <tp t="s">
        <v>#N/A N/A</v>
        <stp/>
        <stp>BDP|7967747607990119732</stp>
        <tr r="A640" s="2"/>
      </tp>
      <tp t="s">
        <v>#N/A N/A</v>
        <stp/>
        <stp>BDP|2697564867274823276</stp>
        <tr r="D947" s="2"/>
      </tp>
      <tp t="s">
        <v>#N/A N/A</v>
        <stp/>
        <stp>BDP|7540433664905821726</stp>
        <tr r="A164" s="2"/>
      </tp>
      <tp t="s">
        <v>#N/A N/A</v>
        <stp/>
        <stp>BDP|9181997701160861792</stp>
        <tr r="A1365" s="2"/>
      </tp>
      <tp t="s">
        <v>#N/A N/A</v>
        <stp/>
        <stp>BDP|9965523308052370988</stp>
        <tr r="D1817" s="2"/>
      </tp>
      <tp t="s">
        <v>#N/A N/A</v>
        <stp/>
        <stp>BDP|9352538921260802915</stp>
        <tr r="D1987" s="2"/>
      </tp>
      <tp t="s">
        <v>#N/A N/A</v>
        <stp/>
        <stp>BDP|7118495690989800480</stp>
        <tr r="F4997" s="2"/>
      </tp>
      <tp t="s">
        <v>#N/A N/A</v>
        <stp/>
        <stp>BDP|4807868399333840172</stp>
        <tr r="F1072" s="2"/>
      </tp>
      <tp t="s">
        <v>#N/A N/A</v>
        <stp/>
        <stp>BDP|8208818447941983254</stp>
        <tr r="A3034" s="2"/>
      </tp>
      <tp t="s">
        <v>#N/A N/A</v>
        <stp/>
        <stp>BDP|6998979287870308027</stp>
        <tr r="H4250" s="2"/>
      </tp>
      <tp t="s">
        <v>#N/A N/A</v>
        <stp/>
        <stp>BDP|9982574148278802761</stp>
        <tr r="H4541" s="2"/>
      </tp>
      <tp t="s">
        <v>#N/A N/A</v>
        <stp/>
        <stp>BDP|7899514331573631564</stp>
        <tr r="G4459" s="2"/>
      </tp>
      <tp t="s">
        <v>#N/A N/A</v>
        <stp/>
        <stp>BDP|1623329199345700926</stp>
        <tr r="A3897" s="2"/>
      </tp>
      <tp t="s">
        <v>#N/A N/A</v>
        <stp/>
        <stp>BDP|5427573825494820169</stp>
        <tr r="G1452" s="2"/>
      </tp>
      <tp t="s">
        <v>#N/A N/A</v>
        <stp/>
        <stp>BDP|1512380925375555259</stp>
        <tr r="G240" s="2"/>
      </tp>
      <tp t="s">
        <v>#N/A N/A</v>
        <stp/>
        <stp>BDP|3246206271478830934</stp>
        <tr r="C226" s="2"/>
      </tp>
      <tp t="s">
        <v>#N/A N/A</v>
        <stp/>
        <stp>BDP|7998608320854883090</stp>
        <tr r="D4529" s="2"/>
      </tp>
      <tp t="s">
        <v>#N/A N/A</v>
        <stp/>
        <stp>BDP|7915326197779209361</stp>
        <tr r="G597" s="2"/>
      </tp>
      <tp t="s">
        <v>#N/A N/A</v>
        <stp/>
        <stp>BDP|9992089152499970222</stp>
        <tr r="H23" s="2"/>
      </tp>
      <tp t="s">
        <v>#N/A N/A</v>
        <stp/>
        <stp>BDP|6801884639108713264</stp>
        <tr r="G1112" s="2"/>
      </tp>
      <tp t="s">
        <v>#N/A N/A</v>
        <stp/>
        <stp>BDP|6426074200543345287</stp>
        <tr r="F2805" s="2"/>
      </tp>
      <tp t="s">
        <v>#N/A N/A</v>
        <stp/>
        <stp>BDP|2032320523917121388</stp>
        <tr r="D425" s="2"/>
      </tp>
      <tp t="s">
        <v>#N/A N/A</v>
        <stp/>
        <stp>BDP|4032863355006871837</stp>
        <tr r="C4443" s="2"/>
      </tp>
      <tp t="s">
        <v>#N/A N/A</v>
        <stp/>
        <stp>BDP|7828098287008627088</stp>
        <tr r="H2918" s="2"/>
      </tp>
      <tp t="s">
        <v>#N/A N/A</v>
        <stp/>
        <stp>BDP|9553345656499862172</stp>
        <tr r="D3401" s="2"/>
      </tp>
      <tp t="s">
        <v>#N/A N/A</v>
        <stp/>
        <stp>BDP|5247280520596212400</stp>
        <tr r="D4718" s="2"/>
      </tp>
      <tp t="s">
        <v>#N/A N/A</v>
        <stp/>
        <stp>BDP|3774464218014102500</stp>
        <tr r="B1836" s="2"/>
      </tp>
      <tp t="s">
        <v>#N/A N/A</v>
        <stp/>
        <stp>BDP|6745780834993793647</stp>
        <tr r="D5" s="2"/>
      </tp>
      <tp t="s">
        <v>#N/A N/A</v>
        <stp/>
        <stp>BDP|6191140515756150798</stp>
        <tr r="H3643" s="2"/>
      </tp>
      <tp t="s">
        <v>#N/A N/A</v>
        <stp/>
        <stp>BDP|1924575805460158325</stp>
        <tr r="F1297" s="2"/>
      </tp>
      <tp t="s">
        <v>#N/A N/A</v>
        <stp/>
        <stp>BDP|6441864625123626890</stp>
        <tr r="B279" s="2"/>
      </tp>
      <tp t="s">
        <v>#N/A N/A</v>
        <stp/>
        <stp>BDP|4020403179496336625</stp>
        <tr r="D124" s="2"/>
      </tp>
      <tp t="s">
        <v>#N/A N/A</v>
        <stp/>
        <stp>BDP|8944535587901189343</stp>
        <tr r="A3675" s="2"/>
      </tp>
      <tp t="s">
        <v>#N/A N/A</v>
        <stp/>
        <stp>BDP|4613251019215568577</stp>
        <tr r="C4788" s="2"/>
      </tp>
      <tp t="s">
        <v>#N/A N/A</v>
        <stp/>
        <stp>BDP|6790484820647380041</stp>
        <tr r="H2762" s="2"/>
      </tp>
      <tp t="s">
        <v>#N/A N/A</v>
        <stp/>
        <stp>BDP|6849551336104330305</stp>
        <tr r="D331" s="2"/>
      </tp>
      <tp t="s">
        <v>#N/A N/A</v>
        <stp/>
        <stp>BDP|1920855567441525964</stp>
        <tr r="G2520" s="2"/>
      </tp>
      <tp t="s">
        <v>#N/A N/A</v>
        <stp/>
        <stp>BDP|2168601088492275931</stp>
        <tr r="H3527" s="2"/>
      </tp>
      <tp t="s">
        <v>#N/A N/A</v>
        <stp/>
        <stp>BDP|8935306641610504856</stp>
        <tr r="G1540" s="2"/>
      </tp>
      <tp t="s">
        <v>#N/A N/A</v>
        <stp/>
        <stp>BDP|3851102972261419361</stp>
        <tr r="I1785" s="2"/>
      </tp>
      <tp t="s">
        <v>#N/A N/A</v>
        <stp/>
        <stp>BDP|9526682383954787414</stp>
        <tr r="H1071" s="2"/>
      </tp>
      <tp t="s">
        <v>#N/A N/A</v>
        <stp/>
        <stp>BDP|1805340147530165126</stp>
        <tr r="G2111" s="2"/>
      </tp>
      <tp t="s">
        <v>#N/A N/A</v>
        <stp/>
        <stp>BDP|6908208330558606878</stp>
        <tr r="B382" s="2"/>
      </tp>
      <tp t="s">
        <v>#N/A N/A</v>
        <stp/>
        <stp>BDP|2930764220012328240</stp>
        <tr r="H1202" s="2"/>
      </tp>
      <tp t="s">
        <v>#N/A N/A</v>
        <stp/>
        <stp>BDP|6614544193159860416</stp>
        <tr r="B183" s="2"/>
      </tp>
      <tp t="s">
        <v>#N/A N/A</v>
        <stp/>
        <stp>BDP|6924423131991240708</stp>
        <tr r="I2351" s="2"/>
      </tp>
      <tp t="s">
        <v>#N/A N/A</v>
        <stp/>
        <stp>BDP|3864861677299152204</stp>
        <tr r="A370" s="2"/>
      </tp>
      <tp t="s">
        <v>#N/A N/A</v>
        <stp/>
        <stp>BDP|3548004027627220180</stp>
        <tr r="D2999" s="2"/>
      </tp>
      <tp t="s">
        <v>#N/A N/A</v>
        <stp/>
        <stp>BDP|3380479169457363164</stp>
        <tr r="D4950" s="2"/>
      </tp>
      <tp t="s">
        <v>#N/A N/A</v>
        <stp/>
        <stp>BDP|1633455249121483768</stp>
        <tr r="A1922" s="2"/>
      </tp>
      <tp t="s">
        <v>#N/A N/A</v>
        <stp/>
        <stp>BDP|8796904759133622009</stp>
        <tr r="A3644" s="2"/>
      </tp>
      <tp t="s">
        <v>#N/A N/A</v>
        <stp/>
        <stp>BDP|4254344638523472024</stp>
        <tr r="G2695" s="2"/>
      </tp>
      <tp t="s">
        <v>#N/A N/A</v>
        <stp/>
        <stp>BDP|9630591231070727817</stp>
        <tr r="G1363" s="2"/>
      </tp>
      <tp t="s">
        <v>#N/A N/A</v>
        <stp/>
        <stp>BDP|6575140894631540882</stp>
        <tr r="H1656" s="2"/>
      </tp>
      <tp t="s">
        <v>#N/A N/A</v>
        <stp/>
        <stp>BDP|2433813088337427217</stp>
        <tr r="I4440" s="2"/>
      </tp>
      <tp t="s">
        <v>#N/A N/A</v>
        <stp/>
        <stp>BDP|7948526849355905437</stp>
        <tr r="G2284" s="2"/>
      </tp>
      <tp t="s">
        <v>#N/A N/A</v>
        <stp/>
        <stp>BDP|7966403770490218336</stp>
        <tr r="D251" s="2"/>
      </tp>
      <tp t="s">
        <v>#N/A N/A</v>
        <stp/>
        <stp>BDP|1021371877272873000</stp>
        <tr r="A4657" s="2"/>
      </tp>
      <tp t="s">
        <v>#N/A N/A</v>
        <stp/>
        <stp>BDP|7192462915007852228</stp>
        <tr r="A1706" s="2"/>
      </tp>
      <tp t="s">
        <v>#N/A N/A</v>
        <stp/>
        <stp>BDP|3632456605820703084</stp>
        <tr r="C741" s="2"/>
      </tp>
      <tp t="s">
        <v>#N/A N/A</v>
        <stp/>
        <stp>BDP|7822346944481206639</stp>
        <tr r="H2426" s="2"/>
      </tp>
      <tp t="s">
        <v>#N/A N/A</v>
        <stp/>
        <stp>BDP|5151406978695741478</stp>
        <tr r="G3548" s="2"/>
      </tp>
      <tp t="s">
        <v>#N/A N/A</v>
        <stp/>
        <stp>BDP|2798293636207771366</stp>
        <tr r="A4728" s="2"/>
      </tp>
      <tp t="s">
        <v>#N/A N/A</v>
        <stp/>
        <stp>BDP|3451061979870646341</stp>
        <tr r="F3437" s="2"/>
      </tp>
      <tp t="s">
        <v>#N/A N/A</v>
        <stp/>
        <stp>BDP|5692072839481463051</stp>
        <tr r="D3133" s="2"/>
      </tp>
      <tp t="s">
        <v>#N/A N/A</v>
        <stp/>
        <stp>BDP|2997678505475449669</stp>
        <tr r="I4627" s="2"/>
      </tp>
      <tp t="s">
        <v>#N/A N/A</v>
        <stp/>
        <stp>BDP|7823581570144987601</stp>
        <tr r="C3121" s="2"/>
      </tp>
      <tp t="s">
        <v>#N/A N/A</v>
        <stp/>
        <stp>BDP|6423569409407757351</stp>
        <tr r="H4618" s="2"/>
      </tp>
      <tp t="s">
        <v>#N/A N/A</v>
        <stp/>
        <stp>BDP|1742471780558993202</stp>
        <tr r="H4681" s="2"/>
      </tp>
      <tp t="s">
        <v>#N/A N/A</v>
        <stp/>
        <stp>BDP|4341131629831467140</stp>
        <tr r="C1023" s="2"/>
      </tp>
      <tp t="s">
        <v>#N/A N/A</v>
        <stp/>
        <stp>BDP|8408596566865075922</stp>
        <tr r="B3342" s="2"/>
      </tp>
      <tp t="s">
        <v>#N/A N/A</v>
        <stp/>
        <stp>BDP|4057900399090282326</stp>
        <tr r="H88" s="2"/>
      </tp>
      <tp t="s">
        <v>#N/A N/A</v>
        <stp/>
        <stp>BDP|1648319119001000576</stp>
        <tr r="F2984" s="2"/>
      </tp>
      <tp t="s">
        <v>#N/A N/A</v>
        <stp/>
        <stp>BDP|5042719804217851241</stp>
        <tr r="B36" s="2"/>
      </tp>
      <tp t="s">
        <v>#N/A N/A</v>
        <stp/>
        <stp>BDP|8350778449424461805</stp>
        <tr r="C1574" s="2"/>
      </tp>
      <tp t="s">
        <v>#N/A N/A</v>
        <stp/>
        <stp>BDP|8377722651464990902</stp>
        <tr r="D651" s="2"/>
      </tp>
      <tp t="s">
        <v>#N/A N/A</v>
        <stp/>
        <stp>BDP|4193187424979440909</stp>
        <tr r="A3999" s="2"/>
      </tp>
      <tp t="s">
        <v>#N/A N/A</v>
        <stp/>
        <stp>BDP|7787594225860072729</stp>
        <tr r="C576" s="2"/>
      </tp>
      <tp t="s">
        <v>#N/A N/A</v>
        <stp/>
        <stp>BDP|1736998096616425055</stp>
        <tr r="F4079" s="2"/>
      </tp>
      <tp t="s">
        <v>#N/A N/A</v>
        <stp/>
        <stp>BDP|4675983630339242059</stp>
        <tr r="A4985" s="2"/>
      </tp>
      <tp t="s">
        <v>#N/A N/A</v>
        <stp/>
        <stp>BDP|7491452589455143901</stp>
        <tr r="C4803" s="2"/>
      </tp>
      <tp t="s">
        <v>#N/A N/A</v>
        <stp/>
        <stp>BDP|3487406648184335066</stp>
        <tr r="C4805" s="2"/>
      </tp>
      <tp t="s">
        <v>#N/A N/A</v>
        <stp/>
        <stp>BDP|9078689007631400922</stp>
        <tr r="A312" s="2"/>
      </tp>
      <tp t="s">
        <v>#N/A N/A</v>
        <stp/>
        <stp>BDP|2871706544917012154</stp>
        <tr r="A2658" s="2"/>
      </tp>
      <tp t="s">
        <v>#N/A N/A</v>
        <stp/>
        <stp>BDP|9282893347053613137</stp>
        <tr r="C3530" s="2"/>
      </tp>
      <tp t="s">
        <v>#N/A N/A</v>
        <stp/>
        <stp>BDP|6397482287939575408</stp>
        <tr r="I4254" s="2"/>
      </tp>
      <tp t="s">
        <v>#N/A N/A</v>
        <stp/>
        <stp>BDP|7361539815236986258</stp>
        <tr r="G2728" s="2"/>
      </tp>
      <tp t="s">
        <v>#N/A N/A</v>
        <stp/>
        <stp>BDP|2717291106925249230</stp>
        <tr r="H169" s="2"/>
      </tp>
      <tp t="s">
        <v>#N/A N/A</v>
        <stp/>
        <stp>BDP|6833491740486931718</stp>
        <tr r="I630" s="2"/>
      </tp>
      <tp t="s">
        <v>#N/A N/A</v>
        <stp/>
        <stp>BDP|2967812187216339359</stp>
        <tr r="C1404" s="2"/>
      </tp>
      <tp t="s">
        <v>#N/A N/A</v>
        <stp/>
        <stp>BDP|3529281500001792736</stp>
        <tr r="F101" s="2"/>
      </tp>
      <tp t="s">
        <v>#N/A N/A</v>
        <stp/>
        <stp>BDP|6812943486624520469</stp>
        <tr r="B1039" s="2"/>
      </tp>
      <tp t="s">
        <v>#N/A N/A</v>
        <stp/>
        <stp>BDP|6418780955764682761</stp>
        <tr r="B630" s="2"/>
      </tp>
      <tp t="s">
        <v>#N/A N/A</v>
        <stp/>
        <stp>BDP|6636928438078257371</stp>
        <tr r="D16" s="2"/>
      </tp>
      <tp t="s">
        <v>#N/A N/A</v>
        <stp/>
        <stp>BDP|2237384662398880893</stp>
        <tr r="D4909" s="2"/>
      </tp>
      <tp t="s">
        <v>#N/A N/A</v>
        <stp/>
        <stp>BDP|3294164925356992118</stp>
        <tr r="I3496" s="2"/>
      </tp>
      <tp t="s">
        <v>#N/A N/A</v>
        <stp/>
        <stp>BDP|3471576533113971109</stp>
        <tr r="G200" s="2"/>
      </tp>
      <tp t="s">
        <v>#N/A N/A</v>
        <stp/>
        <stp>BDP|1871330973763088116</stp>
        <tr r="D188" s="2"/>
      </tp>
      <tp t="s">
        <v>#N/A N/A</v>
        <stp/>
        <stp>BDP|7976366922184260568</stp>
        <tr r="H2126" s="2"/>
      </tp>
      <tp t="s">
        <v>#N/A N/A</v>
        <stp/>
        <stp>BDP|7066149447674917136</stp>
        <tr r="I1813" s="2"/>
      </tp>
      <tp t="s">
        <v>#N/A N/A</v>
        <stp/>
        <stp>BDP|1022193660461731078</stp>
        <tr r="H3099" s="2"/>
      </tp>
      <tp t="s">
        <v>#N/A N/A</v>
        <stp/>
        <stp>BDP|1889325063126263524</stp>
        <tr r="G2868" s="2"/>
      </tp>
      <tp t="s">
        <v>#N/A N/A</v>
        <stp/>
        <stp>BDP|4518676944205699492</stp>
        <tr r="A4929" s="2"/>
      </tp>
      <tp t="s">
        <v>#N/A N/A</v>
        <stp/>
        <stp>BDP|5202490912710312738</stp>
        <tr r="D1941" s="2"/>
      </tp>
      <tp t="s">
        <v>#N/A N/A</v>
        <stp/>
        <stp>BDP|8584123115359307689</stp>
        <tr r="B2443" s="2"/>
      </tp>
      <tp t="s">
        <v>#N/A N/A</v>
        <stp/>
        <stp>BDP|4416499703883513420</stp>
        <tr r="H3231" s="2"/>
      </tp>
      <tp t="s">
        <v>#N/A N/A</v>
        <stp/>
        <stp>BDP|3020642351670560790</stp>
        <tr r="G4637" s="2"/>
      </tp>
      <tp t="s">
        <v>#N/A N/A</v>
        <stp/>
        <stp>BDP|2269667687038349395</stp>
        <tr r="C3159" s="2"/>
      </tp>
      <tp t="s">
        <v>#N/A N/A</v>
        <stp/>
        <stp>BDP|1621491608640843261</stp>
        <tr r="G992" s="2"/>
      </tp>
      <tp t="s">
        <v>#N/A N/A</v>
        <stp/>
        <stp>BDP|4356132808363419155</stp>
        <tr r="I44" s="2"/>
      </tp>
      <tp t="s">
        <v>#N/A N/A</v>
        <stp/>
        <stp>BDP|1707056318815066238</stp>
        <tr r="H1190" s="2"/>
      </tp>
      <tp t="s">
        <v>#N/A N/A</v>
        <stp/>
        <stp>BDP|6849508293704434968</stp>
        <tr r="C4276" s="2"/>
      </tp>
      <tp t="s">
        <v>#N/A N/A</v>
        <stp/>
        <stp>BDP|3699055180865914935</stp>
        <tr r="B425" s="2"/>
      </tp>
      <tp t="s">
        <v>#N/A N/A</v>
        <stp/>
        <stp>BDP|8248560231338863141</stp>
        <tr r="F2117" s="2"/>
      </tp>
      <tp t="s">
        <v>#N/A N/A</v>
        <stp/>
        <stp>BDP|9849409166914053871</stp>
        <tr r="H1452" s="2"/>
      </tp>
      <tp t="s">
        <v>#N/A N/A</v>
        <stp/>
        <stp>BDP|7251875694629920817</stp>
        <tr r="G850" s="2"/>
      </tp>
      <tp t="s">
        <v>#N/A N/A</v>
        <stp/>
        <stp>BDP|2337264920295444082</stp>
        <tr r="G2210" s="2"/>
      </tp>
      <tp t="s">
        <v>#N/A N/A</v>
        <stp/>
        <stp>BDP|5775477793319820622</stp>
        <tr r="F1940" s="2"/>
      </tp>
      <tp t="s">
        <v>#N/A N/A</v>
        <stp/>
        <stp>BDP|1999017924796734229</stp>
        <tr r="F1397" s="2"/>
      </tp>
      <tp t="s">
        <v>#N/A N/A</v>
        <stp/>
        <stp>BDP|6309904117569405092</stp>
        <tr r="H3627" s="2"/>
      </tp>
      <tp t="s">
        <v>#N/A N/A</v>
        <stp/>
        <stp>BDP|8430500668574555801</stp>
        <tr r="I4972" s="2"/>
      </tp>
      <tp t="s">
        <v>#N/A N/A</v>
        <stp/>
        <stp>BDP|6771199640325494136</stp>
        <tr r="G1128" s="2"/>
      </tp>
      <tp t="s">
        <v>#N/A N/A</v>
        <stp/>
        <stp>BDP|1662008838585300049</stp>
        <tr r="G2582" s="2"/>
      </tp>
      <tp t="s">
        <v>#N/A N/A</v>
        <stp/>
        <stp>BDP|7369936409278142114</stp>
        <tr r="G4399" s="2"/>
      </tp>
      <tp t="s">
        <v>#N/A N/A</v>
        <stp/>
        <stp>BDP|7506927968516776917</stp>
        <tr r="B1172" s="2"/>
      </tp>
      <tp t="s">
        <v>#N/A N/A</v>
        <stp/>
        <stp>BDP|9070654385923008398</stp>
        <tr r="H3543" s="2"/>
      </tp>
      <tp t="s">
        <v>#N/A N/A</v>
        <stp/>
        <stp>BDP|1963052965112811286</stp>
        <tr r="C2183" s="2"/>
      </tp>
      <tp t="s">
        <v>#N/A N/A</v>
        <stp/>
        <stp>BDP|5488950117478864278</stp>
        <tr r="A1098" s="2"/>
      </tp>
      <tp t="s">
        <v>#N/A N/A</v>
        <stp/>
        <stp>BDP|9165326576609820341</stp>
        <tr r="C1682" s="2"/>
      </tp>
      <tp t="s">
        <v>#N/A N/A</v>
        <stp/>
        <stp>BDP|8556905112273841463</stp>
        <tr r="H743" s="2"/>
      </tp>
      <tp t="s">
        <v>#N/A N/A</v>
        <stp/>
        <stp>BDP|8333768321968925245</stp>
        <tr r="G181" s="2"/>
      </tp>
      <tp t="s">
        <v>#N/A N/A</v>
        <stp/>
        <stp>BDP|4971031547495713236</stp>
        <tr r="F2349" s="2"/>
      </tp>
      <tp t="s">
        <v>#N/A N/A</v>
        <stp/>
        <stp>BDP|8123354253399731093</stp>
        <tr r="C4" s="2"/>
      </tp>
      <tp t="s">
        <v>#N/A N/A</v>
        <stp/>
        <stp>BDP|8008927055322790198</stp>
        <tr r="I1008" s="2"/>
      </tp>
      <tp t="s">
        <v>#N/A N/A</v>
        <stp/>
        <stp>BDP|7871996188040450140</stp>
        <tr r="I2139" s="2"/>
      </tp>
      <tp t="s">
        <v>#N/A N/A</v>
        <stp/>
        <stp>BDP|2430456558804595050</stp>
        <tr r="A4710" s="2"/>
      </tp>
      <tp t="s">
        <v>#N/A N/A</v>
        <stp/>
        <stp>BDP|6554594353974280544</stp>
        <tr r="F2297" s="2"/>
      </tp>
      <tp t="s">
        <v>#N/A N/A</v>
        <stp/>
        <stp>BDP|4970409133751085535</stp>
        <tr r="I4220" s="2"/>
      </tp>
      <tp t="s">
        <v>#N/A N/A</v>
        <stp/>
        <stp>BDP|1553494142986288054</stp>
        <tr r="B3005" s="2"/>
      </tp>
      <tp t="s">
        <v>#N/A N/A</v>
        <stp/>
        <stp>BDP|7905034995778309157</stp>
        <tr r="H3334" s="2"/>
      </tp>
      <tp t="s">
        <v>#N/A N/A</v>
        <stp/>
        <stp>BDP|2804951425497843995</stp>
        <tr r="G2286" s="2"/>
      </tp>
      <tp t="s">
        <v>#N/A N/A</v>
        <stp/>
        <stp>BDP|1700464372244830122</stp>
        <tr r="A4426" s="2"/>
      </tp>
      <tp t="s">
        <v>#N/A N/A</v>
        <stp/>
        <stp>BDP|1809383637936780095</stp>
        <tr r="D1207" s="2"/>
      </tp>
      <tp t="s">
        <v>#N/A N/A</v>
        <stp/>
        <stp>BDP|8603046812406964803</stp>
        <tr r="A1824" s="2"/>
      </tp>
      <tp t="s">
        <v>#N/A N/A</v>
        <stp/>
        <stp>BDP|3883002947606682603</stp>
        <tr r="B1780" s="2"/>
      </tp>
      <tp t="s">
        <v>#N/A N/A</v>
        <stp/>
        <stp>BDP|8610958729980105427</stp>
        <tr r="A3749" s="2"/>
      </tp>
      <tp t="s">
        <v>#N/A N/A</v>
        <stp/>
        <stp>BDP|6839484969516555551</stp>
        <tr r="B4298" s="2"/>
      </tp>
      <tp t="s">
        <v>#N/A N/A</v>
        <stp/>
        <stp>BDP|1230961274001167982</stp>
        <tr r="A682" s="2"/>
      </tp>
      <tp t="s">
        <v>#N/A N/A</v>
        <stp/>
        <stp>BDP|2021309679897828687</stp>
        <tr r="G3432" s="2"/>
      </tp>
      <tp t="s">
        <v>#N/A N/A</v>
        <stp/>
        <stp>BDP|1110890347308201244</stp>
        <tr r="G4656" s="2"/>
      </tp>
      <tp t="s">
        <v>#N/A N/A</v>
        <stp/>
        <stp>BDP|5203689714663400639</stp>
        <tr r="B2899" s="2"/>
      </tp>
      <tp t="s">
        <v>#N/A N/A</v>
        <stp/>
        <stp>BDP|1254453780782638884</stp>
        <tr r="F439" s="2"/>
      </tp>
      <tp t="s">
        <v>#N/A N/A</v>
        <stp/>
        <stp>BDP|7691259623071113187</stp>
        <tr r="F351" s="2"/>
      </tp>
      <tp t="s">
        <v>#N/A N/A</v>
        <stp/>
        <stp>BDP|4226700810245336085</stp>
        <tr r="H3658" s="2"/>
      </tp>
      <tp t="s">
        <v>#N/A N/A</v>
        <stp/>
        <stp>BDP|5919753114716615272</stp>
        <tr r="A4338" s="2"/>
      </tp>
      <tp t="s">
        <v>#N/A N/A</v>
        <stp/>
        <stp>BDP|9185991472854481400</stp>
        <tr r="F2203" s="2"/>
      </tp>
      <tp t="s">
        <v>#N/A N/A</v>
        <stp/>
        <stp>BDP|2023818389064504133</stp>
        <tr r="C3818" s="2"/>
      </tp>
      <tp t="s">
        <v>#N/A N/A</v>
        <stp/>
        <stp>BDP|5977658374406607502</stp>
        <tr r="A3320" s="2"/>
      </tp>
      <tp t="s">
        <v>#N/A N/A</v>
        <stp/>
        <stp>BDP|5575486725893483728</stp>
        <tr r="D640" s="2"/>
      </tp>
      <tp t="s">
        <v>#N/A N/A</v>
        <stp/>
        <stp>BDP|7061521622890807767</stp>
        <tr r="G374" s="2"/>
      </tp>
      <tp t="s">
        <v>#N/A N/A</v>
        <stp/>
        <stp>BDP|1958114844775683645</stp>
        <tr r="D3157" s="2"/>
      </tp>
      <tp t="s">
        <v>#N/A N/A</v>
        <stp/>
        <stp>BDP|9607098617449403627</stp>
        <tr r="D3792" s="2"/>
      </tp>
      <tp t="s">
        <v>#N/A N/A</v>
        <stp/>
        <stp>BDP|7254170618034492477</stp>
        <tr r="I1232" s="2"/>
      </tp>
      <tp t="s">
        <v>#N/A N/A</v>
        <stp/>
        <stp>BDP|8467422804778996351</stp>
        <tr r="F376" s="2"/>
      </tp>
      <tp t="s">
        <v>#N/A N/A</v>
        <stp/>
        <stp>BDP|8858314016158683573</stp>
        <tr r="D4597" s="2"/>
      </tp>
      <tp t="s">
        <v>#N/A N/A</v>
        <stp/>
        <stp>BDP|3886354313310731676</stp>
        <tr r="F1085" s="2"/>
      </tp>
      <tp t="s">
        <v>#N/A N/A</v>
        <stp/>
        <stp>BDP|5544399406064457502</stp>
        <tr r="C3553" s="2"/>
      </tp>
      <tp t="s">
        <v>#N/A N/A</v>
        <stp/>
        <stp>BDP|9640209631758122782</stp>
        <tr r="C4353" s="2"/>
      </tp>
      <tp t="s">
        <v>#N/A N/A</v>
        <stp/>
        <stp>BDP|7101829895138961914</stp>
        <tr r="F4408" s="2"/>
      </tp>
      <tp t="s">
        <v>#N/A N/A</v>
        <stp/>
        <stp>BDP|8004598860224575827</stp>
        <tr r="C4643" s="2"/>
      </tp>
      <tp t="s">
        <v>#N/A N/A</v>
        <stp/>
        <stp>BDP|2562142560934881678</stp>
        <tr r="G1491" s="2"/>
      </tp>
      <tp t="s">
        <v>#N/A N/A</v>
        <stp/>
        <stp>BDP|1114288245127156730</stp>
        <tr r="I4107" s="2"/>
      </tp>
      <tp t="s">
        <v>#N/A N/A</v>
        <stp/>
        <stp>BDP|7045583682955044847</stp>
        <tr r="D3982" s="2"/>
      </tp>
      <tp t="s">
        <v>#N/A N/A</v>
        <stp/>
        <stp>BDP|8903101282293576509</stp>
        <tr r="D1869" s="2"/>
      </tp>
      <tp t="s">
        <v>#N/A N/A</v>
        <stp/>
        <stp>BDP|7198204954414804335</stp>
        <tr r="C958" s="2"/>
      </tp>
      <tp t="s">
        <v>#N/A N/A</v>
        <stp/>
        <stp>BDP|4968186793018940358</stp>
        <tr r="G3044" s="2"/>
      </tp>
      <tp t="s">
        <v>#N/A N/A</v>
        <stp/>
        <stp>BDP|1338220336551181682</stp>
        <tr r="I920" s="2"/>
      </tp>
      <tp t="s">
        <v>#N/A N/A</v>
        <stp/>
        <stp>BDP|6259637252941965341</stp>
        <tr r="I1896" s="2"/>
      </tp>
      <tp t="s">
        <v>#N/A N/A</v>
        <stp/>
        <stp>BDP|8890278590625610179</stp>
        <tr r="A3838" s="2"/>
      </tp>
      <tp t="s">
        <v>#N/A N/A</v>
        <stp/>
        <stp>BDP|5376796581538580503</stp>
        <tr r="G2368" s="2"/>
      </tp>
      <tp t="s">
        <v>#N/A N/A</v>
        <stp/>
        <stp>BDP|1372261879214329719</stp>
        <tr r="D3225" s="2"/>
      </tp>
      <tp t="s">
        <v>#N/A N/A</v>
        <stp/>
        <stp>BDP|8069065881850170782</stp>
        <tr r="F3316" s="2"/>
      </tp>
      <tp t="s">
        <v>#N/A N/A</v>
        <stp/>
        <stp>BDP|8924865149306085582</stp>
        <tr r="H1859" s="2"/>
      </tp>
      <tp t="s">
        <v>#N/A N/A</v>
        <stp/>
        <stp>BDP|3560630171221925407</stp>
        <tr r="C1851" s="2"/>
      </tp>
      <tp t="s">
        <v>#N/A N/A</v>
        <stp/>
        <stp>BDP|5256220349265211157</stp>
        <tr r="C3550" s="2"/>
      </tp>
      <tp t="s">
        <v>#N/A N/A</v>
        <stp/>
        <stp>BDP|4583995823338461059</stp>
        <tr r="B1199" s="2"/>
      </tp>
      <tp t="s">
        <v>#N/A N/A</v>
        <stp/>
        <stp>BDP|1086929903867683890</stp>
        <tr r="D3668" s="2"/>
      </tp>
      <tp t="s">
        <v>#N/A N/A</v>
        <stp/>
        <stp>BDP|2230260619922320408</stp>
        <tr r="A3499" s="2"/>
      </tp>
      <tp t="s">
        <v>#N/A N/A</v>
        <stp/>
        <stp>BDP|6909045914371343142</stp>
        <tr r="A2915" s="2"/>
      </tp>
      <tp t="s">
        <v>#N/A N/A</v>
        <stp/>
        <stp>BDP|4984153579183989622</stp>
        <tr r="I4610" s="2"/>
      </tp>
      <tp t="s">
        <v>#N/A N/A</v>
        <stp/>
        <stp>BDP|3418443203494930445</stp>
        <tr r="H3401" s="2"/>
      </tp>
      <tp t="s">
        <v>#N/A N/A</v>
        <stp/>
        <stp>BDP|5729533503511153681</stp>
        <tr r="G3017" s="2"/>
      </tp>
      <tp t="s">
        <v>#N/A N/A</v>
        <stp/>
        <stp>BDP|6110173758303048605</stp>
        <tr r="G1999" s="2"/>
      </tp>
      <tp t="s">
        <v>#N/A N/A</v>
        <stp/>
        <stp>BDP|3123296456335601664</stp>
        <tr r="H134" s="2"/>
      </tp>
      <tp t="s">
        <v>#N/A N/A</v>
        <stp/>
        <stp>BDP|8988994369495295552</stp>
        <tr r="G2177" s="2"/>
      </tp>
      <tp t="s">
        <v>#N/A N/A</v>
        <stp/>
        <stp>BDP|7940370126779776817</stp>
        <tr r="I4201" s="2"/>
      </tp>
      <tp t="s">
        <v>#N/A N/A</v>
        <stp/>
        <stp>BDP|3417225264134807446</stp>
        <tr r="C1454" s="2"/>
      </tp>
      <tp t="s">
        <v>#N/A N/A</v>
        <stp/>
        <stp>BDP|5690555114376957009</stp>
        <tr r="H2475" s="2"/>
      </tp>
      <tp t="s">
        <v>#N/A N/A</v>
        <stp/>
        <stp>BDP|1921611002267664724</stp>
        <tr r="F341" s="2"/>
      </tp>
      <tp t="s">
        <v>#N/A N/A</v>
        <stp/>
        <stp>BDP|5708615488665120912</stp>
        <tr r="D160" s="2"/>
      </tp>
      <tp t="s">
        <v>#N/A N/A</v>
        <stp/>
        <stp>BDP|4924785773717966454</stp>
        <tr r="D450" s="2"/>
      </tp>
      <tp t="s">
        <v>#N/A N/A</v>
        <stp/>
        <stp>BDP|6178311264521210580</stp>
        <tr r="D449" s="2"/>
      </tp>
      <tp t="s">
        <v>#N/A N/A</v>
        <stp/>
        <stp>BDP|8980085263888513196</stp>
        <tr r="F1211" s="2"/>
      </tp>
      <tp t="s">
        <v>#N/A N/A</v>
        <stp/>
        <stp>BDP|5758832078254076920</stp>
        <tr r="I1576" s="2"/>
      </tp>
      <tp t="s">
        <v>#N/A N/A</v>
        <stp/>
        <stp>BDP|7440476858599744826</stp>
        <tr r="B3330" s="2"/>
      </tp>
      <tp t="s">
        <v>#N/A N/A</v>
        <stp/>
        <stp>BDP|3475332433953805729</stp>
        <tr r="C4355" s="2"/>
      </tp>
      <tp t="s">
        <v>#N/A N/A</v>
        <stp/>
        <stp>BDP|1084560891742935809</stp>
        <tr r="F788" s="2"/>
      </tp>
      <tp t="s">
        <v>#N/A N/A</v>
        <stp/>
        <stp>BDP|5909159774074083064</stp>
        <tr r="F4750" s="2"/>
      </tp>
      <tp t="s">
        <v>#N/A N/A</v>
        <stp/>
        <stp>BDP|5475996066259427415</stp>
        <tr r="A3300" s="2"/>
      </tp>
      <tp t="s">
        <v>#N/A N/A</v>
        <stp/>
        <stp>BDP|2576914015718985568</stp>
        <tr r="I944" s="2"/>
      </tp>
      <tp t="s">
        <v>#N/A N/A</v>
        <stp/>
        <stp>BDP|3925325616844425279</stp>
        <tr r="B2908" s="2"/>
      </tp>
      <tp t="s">
        <v>#N/A N/A</v>
        <stp/>
        <stp>BDP|3880240760886027626</stp>
        <tr r="C1448" s="2"/>
      </tp>
      <tp t="s">
        <v>#N/A N/A</v>
        <stp/>
        <stp>BDP|2617374433636539394</stp>
        <tr r="I4662" s="2"/>
      </tp>
      <tp t="s">
        <v>#N/A N/A</v>
        <stp/>
        <stp>BDP|8096678546075901866</stp>
        <tr r="D2936" s="2"/>
      </tp>
      <tp t="s">
        <v>#N/A N/A</v>
        <stp/>
        <stp>BDP|9385937128034692101</stp>
        <tr r="A3176" s="2"/>
      </tp>
      <tp t="s">
        <v>#N/A N/A</v>
        <stp/>
        <stp>BDP|1247797926490190329</stp>
        <tr r="A1627" s="2"/>
      </tp>
      <tp t="s">
        <v>#N/A N/A</v>
        <stp/>
        <stp>BDP|6817110885248727056</stp>
        <tr r="H581" s="2"/>
      </tp>
      <tp t="s">
        <v>#N/A N/A</v>
        <stp/>
        <stp>BDP|6909334277342544764</stp>
        <tr r="A40" s="2"/>
      </tp>
      <tp t="s">
        <v>#N/A N/A</v>
        <stp/>
        <stp>BDP|2555909357100491982</stp>
        <tr r="C4645" s="2"/>
      </tp>
      <tp t="s">
        <v>#N/A N/A</v>
        <stp/>
        <stp>BDP|7596445926031934709</stp>
        <tr r="D1146" s="2"/>
      </tp>
      <tp t="s">
        <v>#N/A N/A</v>
        <stp/>
        <stp>BDP|8022633785974906501</stp>
        <tr r="A3600" s="2"/>
      </tp>
      <tp t="s">
        <v>#N/A N/A</v>
        <stp/>
        <stp>BDP|4478931472589331499</stp>
        <tr r="F4445" s="2"/>
      </tp>
      <tp t="s">
        <v>#N/A N/A</v>
        <stp/>
        <stp>BDP|8220332281990638493</stp>
        <tr r="A4909" s="2"/>
      </tp>
      <tp t="s">
        <v>#N/A N/A</v>
        <stp/>
        <stp>BDP|5514591933392328638</stp>
        <tr r="B3175" s="2"/>
      </tp>
      <tp t="s">
        <v>#N/A N/A</v>
        <stp/>
        <stp>BDP|1400438108780707276</stp>
        <tr r="B3621" s="2"/>
      </tp>
      <tp t="s">
        <v>#N/A N/A</v>
        <stp/>
        <stp>BDP|6824604803927755033</stp>
        <tr r="A949" s="2"/>
      </tp>
      <tp t="s">
        <v>#N/A N/A</v>
        <stp/>
        <stp>BDP|5388469851905843634</stp>
        <tr r="C1400" s="2"/>
      </tp>
      <tp t="s">
        <v>#N/A N/A</v>
        <stp/>
        <stp>BDP|8024656528899416265</stp>
        <tr r="F1265" s="2"/>
      </tp>
      <tp t="s">
        <v>#N/A N/A</v>
        <stp/>
        <stp>BDP|2172697260535386046</stp>
        <tr r="H1009" s="2"/>
      </tp>
      <tp t="s">
        <v>#N/A N/A</v>
        <stp/>
        <stp>BDP|5596398417273690321</stp>
        <tr r="I3909" s="2"/>
      </tp>
      <tp t="s">
        <v>#N/A N/A</v>
        <stp/>
        <stp>BDP|6364472848809029835</stp>
        <tr r="B3965" s="2"/>
      </tp>
      <tp t="s">
        <v>#N/A N/A</v>
        <stp/>
        <stp>BDP|4391802502662614987</stp>
        <tr r="B4085" s="2"/>
      </tp>
      <tp t="s">
        <v>#N/A N/A</v>
        <stp/>
        <stp>BDP|5786386402003725257</stp>
        <tr r="C4433" s="2"/>
      </tp>
      <tp t="s">
        <v>#N/A N/A</v>
        <stp/>
        <stp>BDP|1346682245837906385</stp>
        <tr r="G2308" s="2"/>
      </tp>
      <tp t="s">
        <v>#N/A N/A</v>
        <stp/>
        <stp>BDP|6755101418339780874</stp>
        <tr r="F3127" s="2"/>
      </tp>
      <tp t="s">
        <v>#N/A N/A</v>
        <stp/>
        <stp>BDP|5491333584919916059</stp>
        <tr r="D4368" s="2"/>
      </tp>
      <tp t="s">
        <v>#N/A N/A</v>
        <stp/>
        <stp>BDP|4519495402910460750</stp>
        <tr r="I4576" s="2"/>
      </tp>
      <tp t="s">
        <v>#N/A N/A</v>
        <stp/>
        <stp>BDP|3544869860532422881</stp>
        <tr r="G4888" s="2"/>
      </tp>
      <tp t="s">
        <v>#N/A N/A</v>
        <stp/>
        <stp>BDP|6328686354137977599</stp>
        <tr r="A466" s="2"/>
      </tp>
      <tp t="s">
        <v>#N/A N/A</v>
        <stp/>
        <stp>BDP|3293017274315001687</stp>
        <tr r="B1894" s="2"/>
      </tp>
      <tp t="s">
        <v>#N/A N/A</v>
        <stp/>
        <stp>BDP|5635339432843970118</stp>
        <tr r="D4294" s="2"/>
      </tp>
      <tp t="s">
        <v>#N/A N/A</v>
        <stp/>
        <stp>BDP|7204589123037431027</stp>
        <tr r="H2561" s="2"/>
      </tp>
      <tp t="s">
        <v>#N/A N/A</v>
        <stp/>
        <stp>BDP|6182679062213283296</stp>
        <tr r="B4979" s="2"/>
      </tp>
      <tp t="s">
        <v>#N/A N/A</v>
        <stp/>
        <stp>BDP|8356586865488226438</stp>
        <tr r="F3533" s="2"/>
      </tp>
      <tp t="s">
        <v>#N/A N/A</v>
        <stp/>
        <stp>BDP|2850729931602707337</stp>
        <tr r="F1985" s="2"/>
      </tp>
      <tp t="s">
        <v>#N/A N/A</v>
        <stp/>
        <stp>BDP|4484186230280410170</stp>
        <tr r="B3387" s="2"/>
      </tp>
      <tp t="s">
        <v>#N/A N/A</v>
        <stp/>
        <stp>BDP|9377978866724569582</stp>
        <tr r="A2118" s="2"/>
      </tp>
      <tp t="s">
        <v>#N/A N/A</v>
        <stp/>
        <stp>BDP|6048527231985914257</stp>
        <tr r="H4540" s="2"/>
      </tp>
      <tp t="s">
        <v>#N/A N/A</v>
        <stp/>
        <stp>BDP|5559171810044921649</stp>
        <tr r="A363" s="2"/>
      </tp>
      <tp t="s">
        <v>#N/A N/A</v>
        <stp/>
        <stp>BDP|1263240156916842774</stp>
        <tr r="H2192" s="2"/>
      </tp>
      <tp t="s">
        <v>#N/A N/A</v>
        <stp/>
        <stp>BDP|3487270271506837751</stp>
        <tr r="D2482" s="2"/>
      </tp>
      <tp t="s">
        <v>#N/A N/A</v>
        <stp/>
        <stp>BDP|4682152958352673521</stp>
        <tr r="G1477" s="2"/>
      </tp>
      <tp t="s">
        <v>#N/A N/A</v>
        <stp/>
        <stp>BDP|7333869405739739181</stp>
        <tr r="A3774" s="2"/>
      </tp>
      <tp t="s">
        <v>#N/A N/A</v>
        <stp/>
        <stp>BDP|9920557355189084763</stp>
        <tr r="C4977" s="2"/>
      </tp>
      <tp t="s">
        <v>#N/A N/A</v>
        <stp/>
        <stp>BDP|1467757705620919129</stp>
        <tr r="B2634" s="2"/>
      </tp>
      <tp t="s">
        <v>#N/A N/A</v>
        <stp/>
        <stp>BDP|4944359211006510772</stp>
        <tr r="C3034" s="2"/>
      </tp>
      <tp t="s">
        <v>#N/A N/A</v>
        <stp/>
        <stp>BDP|5365143067171694493</stp>
        <tr r="F573" s="2"/>
      </tp>
      <tp t="s">
        <v>#N/A N/A</v>
        <stp/>
        <stp>BDP|1163531688969324262</stp>
        <tr r="A4316" s="2"/>
      </tp>
      <tp t="s">
        <v>#N/A N/A</v>
        <stp/>
        <stp>BDP|3647305069114485546</stp>
        <tr r="F4434" s="2"/>
      </tp>
      <tp t="s">
        <v>#N/A N/A</v>
        <stp/>
        <stp>BDP|6302659262643357284</stp>
        <tr r="B654" s="2"/>
      </tp>
      <tp t="s">
        <v>#N/A N/A</v>
        <stp/>
        <stp>BDP|6969466569865101686</stp>
        <tr r="I4653" s="2"/>
      </tp>
      <tp t="s">
        <v>#N/A N/A</v>
        <stp/>
        <stp>BDP|7248460008436070239</stp>
        <tr r="I4296" s="2"/>
      </tp>
      <tp t="s">
        <v>#N/A N/A</v>
        <stp/>
        <stp>BDP|3733038230033233499</stp>
        <tr r="G417" s="2"/>
      </tp>
      <tp t="s">
        <v>#N/A N/A</v>
        <stp/>
        <stp>BDP|2750689525545193441</stp>
        <tr r="I1976" s="2"/>
      </tp>
      <tp t="s">
        <v>#N/A N/A</v>
        <stp/>
        <stp>BDP|2840517254026224301</stp>
        <tr r="B3416" s="2"/>
      </tp>
      <tp t="s">
        <v>#N/A N/A</v>
        <stp/>
        <stp>BDP|7946519891889453520</stp>
        <tr r="B4073" s="2"/>
      </tp>
      <tp t="s">
        <v>#N/A N/A</v>
        <stp/>
        <stp>BDP|4440048568764293152</stp>
        <tr r="F3860" s="2"/>
      </tp>
      <tp t="s">
        <v>#N/A N/A</v>
        <stp/>
        <stp>BDP|8073491052157114956</stp>
        <tr r="H2638" s="2"/>
      </tp>
      <tp t="s">
        <v>#N/A N/A</v>
        <stp/>
        <stp>BDP|8474853642595933652</stp>
        <tr r="B2977" s="2"/>
      </tp>
      <tp t="s">
        <v>#N/A N/A</v>
        <stp/>
        <stp>BDP|3190346938577635349</stp>
        <tr r="C3916" s="2"/>
      </tp>
      <tp t="s">
        <v>#N/A N/A</v>
        <stp/>
        <stp>BDP|4860004219805987771</stp>
        <tr r="G4482" s="2"/>
      </tp>
      <tp t="s">
        <v>#N/A N/A</v>
        <stp/>
        <stp>BDP|8243730220778810261</stp>
        <tr r="G2888" s="2"/>
      </tp>
      <tp t="s">
        <v>#N/A N/A</v>
        <stp/>
        <stp>BDP|4036284092470666836</stp>
        <tr r="B1410" s="2"/>
      </tp>
      <tp t="s">
        <v>#N/A N/A</v>
        <stp/>
        <stp>BDP|7832796174695399599</stp>
        <tr r="D4229" s="2"/>
      </tp>
      <tp t="s">
        <v>#N/A N/A</v>
        <stp/>
        <stp>BDP|5298136388618330359</stp>
        <tr r="I3387" s="2"/>
      </tp>
      <tp t="s">
        <v>#N/A N/A</v>
        <stp/>
        <stp>BDP|4944216046563316624</stp>
        <tr r="A2602" s="2"/>
      </tp>
      <tp t="s">
        <v>#N/A N/A</v>
        <stp/>
        <stp>BDP|5199320794488071088</stp>
        <tr r="A2928" s="2"/>
      </tp>
      <tp t="s">
        <v>#N/A N/A</v>
        <stp/>
        <stp>BDP|9956860421634870096</stp>
        <tr r="G4936" s="2"/>
      </tp>
      <tp t="s">
        <v>#N/A N/A</v>
        <stp/>
        <stp>BDP|6747857490365566584</stp>
        <tr r="G4414" s="2"/>
      </tp>
      <tp t="s">
        <v>#N/A N/A</v>
        <stp/>
        <stp>BDP|6963910596135452457</stp>
        <tr r="G906" s="2"/>
      </tp>
      <tp t="s">
        <v>#N/A N/A</v>
        <stp/>
        <stp>BDP|7104143057521427591</stp>
        <tr r="A3937" s="2"/>
      </tp>
      <tp t="s">
        <v>#N/A N/A</v>
        <stp/>
        <stp>BDP|5811674701667932385</stp>
        <tr r="C467" s="2"/>
      </tp>
      <tp t="s">
        <v>#N/A N/A</v>
        <stp/>
        <stp>BDP|2387676543177122099</stp>
        <tr r="F3726" s="2"/>
      </tp>
      <tp t="s">
        <v>#N/A N/A</v>
        <stp/>
        <stp>BDP|4553861760455540890</stp>
        <tr r="A2153" s="2"/>
      </tp>
      <tp t="s">
        <v>#N/A N/A</v>
        <stp/>
        <stp>BDP|6476880210490014836</stp>
        <tr r="G4167" s="2"/>
      </tp>
      <tp t="s">
        <v>#N/A N/A</v>
        <stp/>
        <stp>BDP|6440145273680440787</stp>
        <tr r="D4631" s="2"/>
      </tp>
      <tp t="s">
        <v>#N/A N/A</v>
        <stp/>
        <stp>BDP|3258868423098823608</stp>
        <tr r="D4553" s="2"/>
      </tp>
      <tp t="s">
        <v>#N/A N/A</v>
        <stp/>
        <stp>BDP|8108801052886576499</stp>
        <tr r="C1530" s="2"/>
      </tp>
      <tp t="s">
        <v>#N/A N/A</v>
        <stp/>
        <stp>BDP|8901901946481136311</stp>
        <tr r="H63" s="2"/>
      </tp>
      <tp t="s">
        <v>#N/A N/A</v>
        <stp/>
        <stp>BDP|4630628078473580160</stp>
        <tr r="A643" s="2"/>
      </tp>
      <tp t="s">
        <v>#N/A N/A</v>
        <stp/>
        <stp>BDP|4674749564990841214</stp>
        <tr r="F1052" s="2"/>
      </tp>
      <tp t="s">
        <v>#N/A N/A</v>
        <stp/>
        <stp>BDP|8531898647450307379</stp>
        <tr r="D2726" s="2"/>
      </tp>
      <tp t="s">
        <v>#N/A N/A</v>
        <stp/>
        <stp>BDP|8562997644915779709</stp>
        <tr r="B936" s="2"/>
      </tp>
      <tp t="s">
        <v>#N/A N/A</v>
        <stp/>
        <stp>BDP|1646024023974189097</stp>
        <tr r="F1891" s="2"/>
      </tp>
      <tp t="s">
        <v>#N/A N/A</v>
        <stp/>
        <stp>BDP|1736570820030715184</stp>
        <tr r="B2668" s="2"/>
      </tp>
      <tp t="s">
        <v>#N/A N/A</v>
        <stp/>
        <stp>BDP|5831596465260165198</stp>
        <tr r="B4645" s="2"/>
      </tp>
      <tp t="s">
        <v>#N/A N/A</v>
        <stp/>
        <stp>BDP|3063197800401741428</stp>
        <tr r="H2131" s="2"/>
      </tp>
      <tp t="s">
        <v>#N/A N/A</v>
        <stp/>
        <stp>BDP|4164686265715999696</stp>
        <tr r="G2072" s="2"/>
      </tp>
      <tp t="s">
        <v>#N/A N/A</v>
        <stp/>
        <stp>BDP|1613518179747109336</stp>
        <tr r="B2891" s="2"/>
      </tp>
      <tp t="s">
        <v>#N/A N/A</v>
        <stp/>
        <stp>BDP|3553059949842646238</stp>
        <tr r="D3891" s="2"/>
      </tp>
      <tp t="s">
        <v>#N/A N/A</v>
        <stp/>
        <stp>BDP|2097445246457912272</stp>
        <tr r="C3072" s="2"/>
      </tp>
      <tp t="s">
        <v>#N/A N/A</v>
        <stp/>
        <stp>BDP|2285354510380315785</stp>
        <tr r="G4570" s="2"/>
      </tp>
      <tp t="s">
        <v>#N/A N/A</v>
        <stp/>
        <stp>BDP|8303476883582298191</stp>
        <tr r="D4891" s="2"/>
      </tp>
      <tp t="s">
        <v>#N/A N/A</v>
        <stp/>
        <stp>BDP|4653179158132221575</stp>
        <tr r="B2654" s="2"/>
      </tp>
      <tp t="s">
        <v>#N/A N/A</v>
        <stp/>
        <stp>BDP|6600479657371921132</stp>
        <tr r="G4934" s="2"/>
      </tp>
      <tp t="s">
        <v>#N/A N/A</v>
        <stp/>
        <stp>BDP|2320593616203015208</stp>
        <tr r="C2902" s="2"/>
      </tp>
      <tp t="s">
        <v>#N/A N/A</v>
        <stp/>
        <stp>BDP|9218629498495616427</stp>
        <tr r="G3057" s="2"/>
      </tp>
      <tp t="s">
        <v>#N/A N/A</v>
        <stp/>
        <stp>BDP|6241098276213739567</stp>
        <tr r="B3174" s="2"/>
      </tp>
      <tp t="s">
        <v>#N/A N/A</v>
        <stp/>
        <stp>BDP|1073347853996943620</stp>
        <tr r="H3857" s="2"/>
      </tp>
      <tp t="s">
        <v>#N/A N/A</v>
        <stp/>
        <stp>BDP|6494824652104061887</stp>
        <tr r="A4258" s="2"/>
      </tp>
      <tp t="s">
        <v>#N/A N/A</v>
        <stp/>
        <stp>BDP|1744297370903209007</stp>
        <tr r="C1037" s="2"/>
      </tp>
      <tp t="s">
        <v>#N/A N/A</v>
        <stp/>
        <stp>BDP|2018327261936920660</stp>
        <tr r="I4421" s="2"/>
      </tp>
      <tp t="s">
        <v>#N/A N/A</v>
        <stp/>
        <stp>BDP|6979858919938939008</stp>
        <tr r="C4252" s="2"/>
      </tp>
      <tp t="s">
        <v>#N/A N/A</v>
        <stp/>
        <stp>BDP|3358864045761828948</stp>
        <tr r="H3214" s="2"/>
      </tp>
      <tp t="s">
        <v>#N/A N/A</v>
        <stp/>
        <stp>BDP|7033490273170265348</stp>
        <tr r="G687" s="2"/>
      </tp>
      <tp t="s">
        <v>#N/A N/A</v>
        <stp/>
        <stp>BDP|8959627450188698416</stp>
        <tr r="A3684" s="2"/>
      </tp>
      <tp t="s">
        <v>#N/A N/A</v>
        <stp/>
        <stp>BDP|2688596064154325241</stp>
        <tr r="G2278" s="2"/>
      </tp>
      <tp t="s">
        <v>#N/A N/A</v>
        <stp/>
        <stp>BDP|9221439704259138386</stp>
        <tr r="A102" s="2"/>
      </tp>
      <tp t="s">
        <v>#N/A N/A</v>
        <stp/>
        <stp>BDP|1035481024291299126</stp>
        <tr r="H2868" s="2"/>
      </tp>
      <tp t="s">
        <v>#N/A N/A</v>
        <stp/>
        <stp>BDP|9871617297438097922</stp>
        <tr r="G3128" s="2"/>
      </tp>
      <tp t="s">
        <v>#N/A N/A</v>
        <stp/>
        <stp>BDP|1279038066589200995</stp>
        <tr r="D1543" s="2"/>
      </tp>
      <tp t="s">
        <v>#N/A N/A</v>
        <stp/>
        <stp>BDP|4853419167094378514</stp>
        <tr r="C1822" s="2"/>
      </tp>
      <tp t="s">
        <v>#N/A N/A</v>
        <stp/>
        <stp>BDP|5003052718114846798</stp>
        <tr r="I1205" s="2"/>
      </tp>
      <tp t="s">
        <v>#N/A N/A</v>
        <stp/>
        <stp>BDP|6933537813900241576</stp>
        <tr r="H2893" s="2"/>
      </tp>
      <tp t="s">
        <v>#N/A N/A</v>
        <stp/>
        <stp>BDP|1968120555072581071</stp>
        <tr r="F1872" s="2"/>
      </tp>
      <tp t="s">
        <v>#N/A N/A</v>
        <stp/>
        <stp>BDP|8033270738576288811</stp>
        <tr r="C978" s="2"/>
      </tp>
      <tp t="s">
        <v>#N/A N/A</v>
        <stp/>
        <stp>BDP|5317638558722524312</stp>
        <tr r="G1487" s="2"/>
      </tp>
      <tp t="s">
        <v>#N/A N/A</v>
        <stp/>
        <stp>BDP|9645244988432723618</stp>
        <tr r="I3603" s="2"/>
      </tp>
      <tp t="s">
        <v>#N/A N/A</v>
        <stp/>
        <stp>BDP|1890710506699692858</stp>
        <tr r="A1399" s="2"/>
      </tp>
      <tp t="s">
        <v>#N/A N/A</v>
        <stp/>
        <stp>BDP|9950593596480352299</stp>
        <tr r="C4880" s="2"/>
      </tp>
      <tp t="s">
        <v>#N/A N/A</v>
        <stp/>
        <stp>BDP|8658909621323834732</stp>
        <tr r="B4356" s="2"/>
      </tp>
      <tp t="s">
        <v>#N/A N/A</v>
        <stp/>
        <stp>BDP|5916078312730791376</stp>
        <tr r="D3732" s="2"/>
      </tp>
      <tp t="s">
        <v>#N/A N/A</v>
        <stp/>
        <stp>BDP|7393760047643670089</stp>
        <tr r="I3394" s="2"/>
      </tp>
      <tp t="s">
        <v>#N/A N/A</v>
        <stp/>
        <stp>BDP|1474221208643473766</stp>
        <tr r="B13" s="2"/>
      </tp>
      <tp t="s">
        <v>#N/A N/A</v>
        <stp/>
        <stp>BDP|9844600281328737825</stp>
        <tr r="B1980" s="2"/>
      </tp>
      <tp t="s">
        <v>#N/A N/A</v>
        <stp/>
        <stp>BDP|1572131068754528572</stp>
        <tr r="D4073" s="2"/>
      </tp>
      <tp t="s">
        <v>#N/A N/A</v>
        <stp/>
        <stp>BDP|3436358819877278164</stp>
        <tr r="I4353" s="2"/>
      </tp>
      <tp t="s">
        <v>#N/A N/A</v>
        <stp/>
        <stp>BDP|8375484495116018423</stp>
        <tr r="A4676" s="2"/>
      </tp>
      <tp t="s">
        <v>#N/A N/A</v>
        <stp/>
        <stp>BDP|8639512810629955221</stp>
        <tr r="F4682" s="2"/>
      </tp>
      <tp t="s">
        <v>#N/A N/A</v>
        <stp/>
        <stp>BDP|1072935736129046594</stp>
        <tr r="D3844" s="2"/>
      </tp>
      <tp t="s">
        <v>#N/A N/A</v>
        <stp/>
        <stp>BDP|2887380764806128690</stp>
        <tr r="A3494" s="2"/>
      </tp>
      <tp t="s">
        <v>#N/A N/A</v>
        <stp/>
        <stp>BDP|6514480226793745400</stp>
        <tr r="I3962" s="2"/>
      </tp>
      <tp t="s">
        <v>#N/A N/A</v>
        <stp/>
        <stp>BDP|4667062751673872550</stp>
        <tr r="B3322" s="2"/>
      </tp>
      <tp t="s">
        <v>#N/A N/A</v>
        <stp/>
        <stp>BDP|5013832048236365842</stp>
        <tr r="G3786" s="2"/>
      </tp>
      <tp t="s">
        <v>#N/A N/A</v>
        <stp/>
        <stp>BDP|4075253014332927240</stp>
        <tr r="A1322" s="2"/>
      </tp>
      <tp t="s">
        <v>#N/A N/A</v>
        <stp/>
        <stp>BDP|5990319407766133721</stp>
        <tr r="D4569" s="2"/>
      </tp>
      <tp t="s">
        <v>#N/A N/A</v>
        <stp/>
        <stp>BDP|2346273973258204890</stp>
        <tr r="G981" s="2"/>
      </tp>
      <tp t="s">
        <v>#N/A N/A</v>
        <stp/>
        <stp>BDP|3713999190857548371</stp>
        <tr r="F485" s="2"/>
      </tp>
      <tp t="s">
        <v>#N/A N/A</v>
        <stp/>
        <stp>BDP|5288596302575785226</stp>
        <tr r="C3250" s="2"/>
      </tp>
      <tp t="s">
        <v>#N/A N/A</v>
        <stp/>
        <stp>BDP|3974238494417465869</stp>
        <tr r="G2910" s="2"/>
      </tp>
      <tp t="s">
        <v>#N/A N/A</v>
        <stp/>
        <stp>BDP|8760471758326627822</stp>
        <tr r="F3885" s="2"/>
      </tp>
      <tp t="s">
        <v>#N/A N/A</v>
        <stp/>
        <stp>BDP|1432273987064163892</stp>
        <tr r="A661" s="2"/>
      </tp>
      <tp t="s">
        <v>#N/A N/A</v>
        <stp/>
        <stp>BDP|1584904577870719891</stp>
        <tr r="B45" s="2"/>
      </tp>
      <tp t="s">
        <v>#N/A N/A</v>
        <stp/>
        <stp>BDP|4108184665066737273</stp>
        <tr r="I334" s="2"/>
      </tp>
      <tp t="s">
        <v>#N/A N/A</v>
        <stp/>
        <stp>BDP|7852364997819291374</stp>
        <tr r="C1652" s="2"/>
      </tp>
      <tp t="s">
        <v>#N/A N/A</v>
        <stp/>
        <stp>BDP|3131125658605642513</stp>
        <tr r="F4954" s="2"/>
      </tp>
      <tp t="s">
        <v>#N/A N/A</v>
        <stp/>
        <stp>BDP|7178868529692089826</stp>
        <tr r="G4889" s="2"/>
      </tp>
      <tp t="s">
        <v>#N/A N/A</v>
        <stp/>
        <stp>BDP|9501766970166664896</stp>
        <tr r="A1631" s="2"/>
      </tp>
      <tp t="s">
        <v>#N/A N/A</v>
        <stp/>
        <stp>BDP|5935505345212541156</stp>
        <tr r="A3954" s="2"/>
      </tp>
      <tp t="s">
        <v>#N/A N/A</v>
        <stp/>
        <stp>BDP|2108255268150957197</stp>
        <tr r="G78" s="2"/>
      </tp>
      <tp t="s">
        <v>#N/A N/A</v>
        <stp/>
        <stp>BDP|2888842893307568369</stp>
        <tr r="G2758" s="2"/>
      </tp>
      <tp t="s">
        <v>#N/A N/A</v>
        <stp/>
        <stp>BDP|5937091454824114382</stp>
        <tr r="B1850" s="2"/>
      </tp>
      <tp t="s">
        <v>#N/A N/A</v>
        <stp/>
        <stp>BDP|5231446775039793895</stp>
        <tr r="B1332" s="2"/>
      </tp>
      <tp t="s">
        <v>#N/A N/A</v>
        <stp/>
        <stp>BDP|7137043705310830059</stp>
        <tr r="I965" s="2"/>
      </tp>
      <tp t="s">
        <v>#N/A N/A</v>
        <stp/>
        <stp>BDP|9304092264870123821</stp>
        <tr r="F3179" s="2"/>
      </tp>
      <tp t="s">
        <v>#N/A N/A</v>
        <stp/>
        <stp>BDP|2558625547277897052</stp>
        <tr r="A1301" s="2"/>
      </tp>
      <tp t="s">
        <v>#N/A N/A</v>
        <stp/>
        <stp>BDP|4026388339793517095</stp>
        <tr r="H1546" s="2"/>
      </tp>
      <tp t="s">
        <v>#N/A N/A</v>
        <stp/>
        <stp>BDP|2039685864300044519</stp>
        <tr r="G4309" s="2"/>
      </tp>
      <tp t="s">
        <v>#N/A N/A</v>
        <stp/>
        <stp>BDP|5681837533969364088</stp>
        <tr r="A4760" s="2"/>
      </tp>
      <tp t="s">
        <v>#N/A N/A</v>
        <stp/>
        <stp>BDP|4323583226621774578</stp>
        <tr r="A2384" s="2"/>
      </tp>
      <tp t="s">
        <v>#N/A N/A</v>
        <stp/>
        <stp>BDP|6737259927398097988</stp>
        <tr r="B3580" s="2"/>
      </tp>
      <tp t="s">
        <v>#N/A N/A</v>
        <stp/>
        <stp>BDP|4884009310800326263</stp>
        <tr r="A157" s="2"/>
      </tp>
      <tp t="s">
        <v>#N/A N/A</v>
        <stp/>
        <stp>BDP|5451101589302678968</stp>
        <tr r="I2889" s="2"/>
      </tp>
      <tp t="s">
        <v>#N/A N/A</v>
        <stp/>
        <stp>BDP|5699054194108940330</stp>
        <tr r="D3321" s="2"/>
      </tp>
      <tp t="s">
        <v>#N/A N/A</v>
        <stp/>
        <stp>BDP|1394097620706228253</stp>
        <tr r="A4589" s="2"/>
      </tp>
      <tp t="s">
        <v>#N/A N/A</v>
        <stp/>
        <stp>BDP|5376425671862893358</stp>
        <tr r="C2163" s="2"/>
      </tp>
      <tp t="s">
        <v>#N/A N/A</v>
        <stp/>
        <stp>BDP|7036739187186908900</stp>
        <tr r="G2509" s="2"/>
      </tp>
      <tp t="s">
        <v>#N/A N/A</v>
        <stp/>
        <stp>BDP|5244372110540111099</stp>
        <tr r="D218" s="2"/>
      </tp>
      <tp t="s">
        <v>#N/A N/A</v>
        <stp/>
        <stp>BDP|5008754409011170408</stp>
        <tr r="C3067" s="2"/>
      </tp>
      <tp t="s">
        <v>#N/A N/A</v>
        <stp/>
        <stp>BDP|6612193805728495837</stp>
        <tr r="H1852" s="2"/>
      </tp>
      <tp t="s">
        <v>#N/A N/A</v>
        <stp/>
        <stp>BDP|7236199590400243840</stp>
        <tr r="I4121" s="2"/>
      </tp>
      <tp t="s">
        <v>#N/A N/A</v>
        <stp/>
        <stp>BDP|5895369551341387511</stp>
        <tr r="C1510" s="2"/>
      </tp>
      <tp t="s">
        <v>#N/A N/A</v>
        <stp/>
        <stp>BDP|8490985117783237442</stp>
        <tr r="C1114" s="2"/>
      </tp>
      <tp t="s">
        <v>#N/A N/A</v>
        <stp/>
        <stp>BDP|6555576172076968548</stp>
        <tr r="H1914" s="2"/>
      </tp>
      <tp t="s">
        <v>#N/A N/A</v>
        <stp/>
        <stp>BDP|9593970601836942179</stp>
        <tr r="I2144" s="2"/>
      </tp>
      <tp t="s">
        <v>#N/A N/A</v>
        <stp/>
        <stp>BDP|1974413764375391122</stp>
        <tr r="I4478" s="2"/>
      </tp>
      <tp t="s">
        <v>#N/A N/A</v>
        <stp/>
        <stp>BDP|9580153239174020844</stp>
        <tr r="G4878" s="2"/>
      </tp>
      <tp t="s">
        <v>#N/A N/A</v>
        <stp/>
        <stp>BDP|4032443966107888675</stp>
        <tr r="D79" s="2"/>
      </tp>
      <tp t="s">
        <v>#N/A N/A</v>
        <stp/>
        <stp>BDP|5763747771580700288</stp>
        <tr r="C1483" s="2"/>
      </tp>
      <tp t="s">
        <v>#N/A N/A</v>
        <stp/>
        <stp>BDP|9550961027983834612</stp>
        <tr r="A3730" s="2"/>
      </tp>
      <tp t="s">
        <v>#N/A N/A</v>
        <stp/>
        <stp>BDP|6469797804182686424</stp>
        <tr r="C3092" s="2"/>
      </tp>
      <tp t="s">
        <v>#N/A N/A</v>
        <stp/>
        <stp>BDP|5410175691108730289</stp>
        <tr r="A1517" s="2"/>
      </tp>
      <tp t="s">
        <v>#N/A N/A</v>
        <stp/>
        <stp>BDP|9849037702888430607</stp>
        <tr r="C139" s="2"/>
      </tp>
      <tp t="s">
        <v>#N/A N/A</v>
        <stp/>
        <stp>BDP|8745996536794425118</stp>
        <tr r="F3269" s="2"/>
      </tp>
      <tp t="s">
        <v>#N/A N/A</v>
        <stp/>
        <stp>BDP|1858980859402189856</stp>
        <tr r="H4635" s="2"/>
      </tp>
      <tp t="s">
        <v>#N/A N/A</v>
        <stp/>
        <stp>BDP|7536338579677220301</stp>
        <tr r="B1492" s="2"/>
      </tp>
      <tp t="s">
        <v>#N/A N/A</v>
        <stp/>
        <stp>BDP|1541147702983858461</stp>
        <tr r="G1449" s="2"/>
      </tp>
      <tp t="s">
        <v>#N/A N/A</v>
        <stp/>
        <stp>BDP|5696348715868856822</stp>
        <tr r="H4929" s="2"/>
      </tp>
      <tp t="s">
        <v>#N/A N/A</v>
        <stp/>
        <stp>BDP|9425050484710824606</stp>
        <tr r="F858" s="2"/>
      </tp>
      <tp t="s">
        <v>#N/A N/A</v>
        <stp/>
        <stp>BDP|2151738731556795790</stp>
        <tr r="H78" s="2"/>
      </tp>
      <tp t="s">
        <v>#N/A N/A</v>
        <stp/>
        <stp>BDP|6936345210501854287</stp>
        <tr r="F2070" s="2"/>
      </tp>
      <tp t="s">
        <v>#N/A N/A</v>
        <stp/>
        <stp>BDP|4829215637994478678</stp>
        <tr r="C561" s="2"/>
      </tp>
      <tp t="s">
        <v>#N/A N/A</v>
        <stp/>
        <stp>BDP|4955250902259417877</stp>
        <tr r="B4735" s="2"/>
      </tp>
      <tp t="s">
        <v>#N/A N/A</v>
        <stp/>
        <stp>BDP|9444216051299953004</stp>
        <tr r="B242" s="2"/>
      </tp>
      <tp t="s">
        <v>#N/A N/A</v>
        <stp/>
        <stp>BDP|1201606424511251396</stp>
        <tr r="G3015" s="2"/>
      </tp>
      <tp t="s">
        <v>#N/A N/A</v>
        <stp/>
        <stp>BDP|1507555332949985964</stp>
        <tr r="B2848" s="2"/>
      </tp>
      <tp t="s">
        <v>#N/A N/A</v>
        <stp/>
        <stp>BDP|3831436286659601163</stp>
        <tr r="C4581" s="2"/>
      </tp>
      <tp t="s">
        <v>#N/A N/A</v>
        <stp/>
        <stp>BDP|1368048809466787042</stp>
        <tr r="C2511" s="2"/>
      </tp>
      <tp t="s">
        <v>#N/A N/A</v>
        <stp/>
        <stp>BDP|9921524887190151302</stp>
        <tr r="B3820" s="2"/>
      </tp>
      <tp t="s">
        <v>#N/A N/A</v>
        <stp/>
        <stp>BDP|9732424460714024882</stp>
        <tr r="C1508" s="2"/>
      </tp>
      <tp t="s">
        <v>#N/A N/A</v>
        <stp/>
        <stp>BDP|7179362228662224301</stp>
        <tr r="A2975" s="2"/>
      </tp>
      <tp t="s">
        <v>#N/A N/A</v>
        <stp/>
        <stp>BDP|7170874139763164831</stp>
        <tr r="G1551" s="2"/>
      </tp>
      <tp t="s">
        <v>#N/A N/A</v>
        <stp/>
        <stp>BDP|6758159808247648719</stp>
        <tr r="G2211" s="2"/>
      </tp>
      <tp t="s">
        <v>#N/A N/A</v>
        <stp/>
        <stp>BDP|2261889863739027249</stp>
        <tr r="F883" s="2"/>
      </tp>
      <tp t="s">
        <v>#N/A N/A</v>
        <stp/>
        <stp>BDP|5327320338016535413</stp>
        <tr r="A1790" s="2"/>
      </tp>
      <tp t="s">
        <v>#N/A N/A</v>
        <stp/>
        <stp>BDP|9638056938584719913</stp>
        <tr r="F4935" s="2"/>
      </tp>
      <tp t="s">
        <v>#N/A N/A</v>
        <stp/>
        <stp>BDP|1512580037681059170</stp>
        <tr r="F3366" s="2"/>
      </tp>
      <tp t="s">
        <v>#N/A N/A</v>
        <stp/>
        <stp>BDP|6333226193999997367</stp>
        <tr r="D3591" s="2"/>
      </tp>
      <tp t="s">
        <v>#N/A N/A</v>
        <stp/>
        <stp>BDP|5920434677999146819</stp>
        <tr r="A2248" s="2"/>
      </tp>
      <tp t="s">
        <v>#N/A N/A</v>
        <stp/>
        <stp>BDP|5524691302054118020</stp>
        <tr r="C381" s="2"/>
      </tp>
      <tp t="s">
        <v>#N/A N/A</v>
        <stp/>
        <stp>BDP|9866241497186751311</stp>
        <tr r="B3426" s="2"/>
      </tp>
      <tp t="s">
        <v>#N/A N/A</v>
        <stp/>
        <stp>BDP|9352844533623047696</stp>
        <tr r="G4842" s="2"/>
      </tp>
      <tp t="s">
        <v>#N/A N/A</v>
        <stp/>
        <stp>BDP|2518119162600391282</stp>
        <tr r="F4473" s="2"/>
      </tp>
      <tp t="s">
        <v>#N/A N/A</v>
        <stp/>
        <stp>BDP|3583129619422162627</stp>
        <tr r="F4549" s="2"/>
      </tp>
      <tp t="s">
        <v>#N/A N/A</v>
        <stp/>
        <stp>BDP|7636205042435010397</stp>
        <tr r="H1758" s="2"/>
      </tp>
      <tp t="s">
        <v>#N/A N/A</v>
        <stp/>
        <stp>BDP|3533647733779739884</stp>
        <tr r="G3407" s="2"/>
      </tp>
      <tp t="s">
        <v>#N/A N/A</v>
        <stp/>
        <stp>BDP|6674281378144378084</stp>
        <tr r="C3287" s="2"/>
      </tp>
      <tp t="s">
        <v>#N/A N/A</v>
        <stp/>
        <stp>BDP|3735760552016664083</stp>
        <tr r="A3361" s="2"/>
      </tp>
      <tp t="s">
        <v>#N/A N/A</v>
        <stp/>
        <stp>BDP|5808880038389165043</stp>
        <tr r="A2090" s="2"/>
      </tp>
      <tp t="s">
        <v>#N/A N/A</v>
        <stp/>
        <stp>BDP|1662329250312027298</stp>
        <tr r="I2951" s="2"/>
      </tp>
      <tp t="s">
        <v>#N/A N/A</v>
        <stp/>
        <stp>BDP|8068610583441828076</stp>
        <tr r="F2216" s="2"/>
      </tp>
      <tp t="s">
        <v>#N/A N/A</v>
        <stp/>
        <stp>BDP|3561395843702020120</stp>
        <tr r="B1857" s="2"/>
      </tp>
      <tp t="s">
        <v>#N/A N/A</v>
        <stp/>
        <stp>BDP|4871756903714072037</stp>
        <tr r="F4429" s="2"/>
      </tp>
      <tp t="s">
        <v>#N/A N/A</v>
        <stp/>
        <stp>BDP|2887516747751885548</stp>
        <tr r="A2912" s="2"/>
      </tp>
      <tp t="s">
        <v>#N/A N/A</v>
        <stp/>
        <stp>BDP|8737876630282669648</stp>
        <tr r="D4758" s="2"/>
      </tp>
      <tp t="s">
        <v>#N/A N/A</v>
        <stp/>
        <stp>BDP|9681034634169431477</stp>
        <tr r="I417" s="2"/>
      </tp>
      <tp t="s">
        <v>#N/A N/A</v>
        <stp/>
        <stp>BDP|3192210172452158311</stp>
        <tr r="B1277" s="2"/>
      </tp>
      <tp t="s">
        <v>#N/A N/A</v>
        <stp/>
        <stp>BDP|9995011483651962700</stp>
        <tr r="C2968" s="2"/>
      </tp>
      <tp t="s">
        <v>#N/A N/A</v>
        <stp/>
        <stp>BDP|6587036026317066423</stp>
        <tr r="F1907" s="2"/>
      </tp>
      <tp t="s">
        <v>#N/A N/A</v>
        <stp/>
        <stp>BDP|6071554293945156857</stp>
        <tr r="D4124" s="2"/>
      </tp>
      <tp t="s">
        <v>#N/A N/A</v>
        <stp/>
        <stp>BDP|1262106223393295612</stp>
        <tr r="I3849" s="2"/>
      </tp>
      <tp t="s">
        <v>#N/A N/A</v>
        <stp/>
        <stp>BDP|5083445671327737606</stp>
        <tr r="A737" s="2"/>
      </tp>
      <tp t="s">
        <v>#N/A N/A</v>
        <stp/>
        <stp>BDP|7837799795697115976</stp>
        <tr r="D803" s="2"/>
      </tp>
      <tp t="s">
        <v>#N/A N/A</v>
        <stp/>
        <stp>BDP|4877036729254808588</stp>
        <tr r="F2477" s="2"/>
      </tp>
      <tp t="s">
        <v>#N/A N/A</v>
        <stp/>
        <stp>BDP|8140952830323572639</stp>
        <tr r="H1820" s="2"/>
      </tp>
      <tp t="s">
        <v>#N/A N/A</v>
        <stp/>
        <stp>BDP|2343468272514630230</stp>
        <tr r="C227" s="2"/>
      </tp>
      <tp t="s">
        <v>#N/A N/A</v>
        <stp/>
        <stp>BDP|3107763727800180139</stp>
        <tr r="A336" s="2"/>
      </tp>
      <tp t="s">
        <v>#N/A N/A</v>
        <stp/>
        <stp>BDP|4689657044212719326</stp>
        <tr r="B3540" s="2"/>
      </tp>
      <tp t="s">
        <v>#N/A N/A</v>
        <stp/>
        <stp>BDP|4042839076434372844</stp>
        <tr r="C2545" s="2"/>
      </tp>
      <tp t="s">
        <v>#N/A N/A</v>
        <stp/>
        <stp>BDP|4366640332985430336</stp>
        <tr r="B4175" s="2"/>
      </tp>
      <tp t="s">
        <v>#N/A N/A</v>
        <stp/>
        <stp>BDP|9344243936238780747</stp>
        <tr r="A3892" s="2"/>
      </tp>
      <tp t="s">
        <v>#N/A N/A</v>
        <stp/>
        <stp>BDP|6442464633563486570</stp>
        <tr r="G4704" s="2"/>
      </tp>
      <tp t="s">
        <v>#N/A N/A</v>
        <stp/>
        <stp>BDP|9142351793410491415</stp>
        <tr r="B2453" s="2"/>
      </tp>
      <tp t="s">
        <v>#N/A N/A</v>
        <stp/>
        <stp>BDP|2717001914115749168</stp>
        <tr r="H3115" s="2"/>
      </tp>
      <tp t="s">
        <v>#N/A N/A</v>
        <stp/>
        <stp>BDP|6695068213649825998</stp>
        <tr r="G1844" s="2"/>
      </tp>
      <tp t="s">
        <v>#N/A N/A</v>
        <stp/>
        <stp>BDP|9173608188471923124</stp>
        <tr r="F2901" s="2"/>
      </tp>
      <tp t="s">
        <v>#N/A N/A</v>
        <stp/>
        <stp>BDP|5632160224352249349</stp>
        <tr r="G1299" s="2"/>
      </tp>
      <tp t="s">
        <v>#N/A N/A</v>
        <stp/>
        <stp>BDP|1473140165954228551</stp>
        <tr r="D4438" s="2"/>
      </tp>
      <tp t="s">
        <v>#N/A N/A</v>
        <stp/>
        <stp>BDP|6091515844002746205</stp>
        <tr r="I3883" s="2"/>
      </tp>
      <tp t="s">
        <v>#N/A N/A</v>
        <stp/>
        <stp>BDP|5916706448598790946</stp>
        <tr r="G1870" s="2"/>
      </tp>
      <tp t="s">
        <v>#N/A N/A</v>
        <stp/>
        <stp>BDP|5684175140462077532</stp>
        <tr r="F1534" s="2"/>
      </tp>
      <tp t="s">
        <v>#N/A N/A</v>
        <stp/>
        <stp>BDP|8816086183822775564</stp>
        <tr r="G4739" s="2"/>
      </tp>
      <tp t="s">
        <v>#N/A N/A</v>
        <stp/>
        <stp>BDP|1434595072225807158</stp>
        <tr r="D4657" s="2"/>
      </tp>
      <tp t="s">
        <v>#N/A N/A</v>
        <stp/>
        <stp>BDP|1067459872096255376</stp>
        <tr r="F3492" s="2"/>
      </tp>
      <tp t="s">
        <v>#N/A N/A</v>
        <stp/>
        <stp>BDP|9901802545526739498</stp>
        <tr r="H4164" s="2"/>
      </tp>
      <tp t="s">
        <v>#N/A N/A</v>
        <stp/>
        <stp>BDP|8978170893937737082</stp>
        <tr r="G4734" s="2"/>
      </tp>
      <tp t="s">
        <v>#N/A N/A</v>
        <stp/>
        <stp>BDP|9156960801743554418</stp>
        <tr r="C296" s="2"/>
      </tp>
      <tp t="s">
        <v>#N/A N/A</v>
        <stp/>
        <stp>BDP|4365186293283385895</stp>
        <tr r="I4719" s="2"/>
      </tp>
      <tp t="s">
        <v>#N/A N/A</v>
        <stp/>
        <stp>BDP|9124635394921244064</stp>
        <tr r="H1069" s="2"/>
      </tp>
      <tp t="s">
        <v>#N/A N/A</v>
        <stp/>
        <stp>BDP|2082757134447065633</stp>
        <tr r="H3982" s="2"/>
      </tp>
      <tp t="s">
        <v>#N/A N/A</v>
        <stp/>
        <stp>BDP|9072185149842135927</stp>
        <tr r="I2096" s="2"/>
      </tp>
      <tp t="s">
        <v>#N/A N/A</v>
        <stp/>
        <stp>BDP|5763567925172660708</stp>
        <tr r="H2133" s="2"/>
      </tp>
      <tp t="s">
        <v>#N/A N/A</v>
        <stp/>
        <stp>BDP|6866234618926627478</stp>
        <tr r="I1973" s="2"/>
      </tp>
      <tp t="s">
        <v>#N/A N/A</v>
        <stp/>
        <stp>BDP|3010080640038243884</stp>
        <tr r="I990" s="2"/>
      </tp>
      <tp t="s">
        <v>#N/A N/A</v>
        <stp/>
        <stp>BDP|7826409731564371388</stp>
        <tr r="H4443" s="2"/>
      </tp>
      <tp t="s">
        <v>#N/A N/A</v>
        <stp/>
        <stp>BDP|2264036256924684430</stp>
        <tr r="H2148" s="2"/>
      </tp>
      <tp t="s">
        <v>#N/A N/A</v>
        <stp/>
        <stp>BDP|6480619435455730157</stp>
        <tr r="I2934" s="2"/>
      </tp>
      <tp t="s">
        <v>#N/A N/A</v>
        <stp/>
        <stp>BDP|6872551173705532693</stp>
        <tr r="C3440" s="2"/>
      </tp>
      <tp t="s">
        <v>#N/A N/A</v>
        <stp/>
        <stp>BDP|8213621482341920090</stp>
        <tr r="B4794" s="2"/>
      </tp>
      <tp t="s">
        <v>#N/A N/A</v>
        <stp/>
        <stp>BDP|8418384591152634796</stp>
        <tr r="C4489" s="2"/>
      </tp>
      <tp t="s">
        <v>#N/A N/A</v>
        <stp/>
        <stp>BDP|3074217843022537052</stp>
        <tr r="F1126" s="2"/>
      </tp>
      <tp t="s">
        <v>#N/A N/A</v>
        <stp/>
        <stp>BDP|9704279595841385449</stp>
        <tr r="A4303" s="2"/>
      </tp>
      <tp t="s">
        <v>#N/A N/A</v>
        <stp/>
        <stp>BDP|5358066550495567221</stp>
        <tr r="G2544" s="2"/>
      </tp>
      <tp t="s">
        <v>#N/A N/A</v>
        <stp/>
        <stp>BDP|1466026865518541841</stp>
        <tr r="I712" s="2"/>
      </tp>
      <tp t="s">
        <v>#N/A N/A</v>
        <stp/>
        <stp>BDP|6237931294166279754</stp>
        <tr r="I332" s="2"/>
      </tp>
      <tp t="s">
        <v>#N/A N/A</v>
        <stp/>
        <stp>BDP|3232874583023014745</stp>
        <tr r="C4905" s="2"/>
      </tp>
      <tp t="s">
        <v>#N/A N/A</v>
        <stp/>
        <stp>BDP|2645862207025217874</stp>
        <tr r="G4663" s="2"/>
      </tp>
      <tp t="s">
        <v>#N/A N/A</v>
        <stp/>
        <stp>BDP|1648323346253211227</stp>
        <tr r="D125" s="2"/>
      </tp>
      <tp t="s">
        <v>#N/A N/A</v>
        <stp/>
        <stp>BDP|4711787969760235261</stp>
        <tr r="A1755" s="2"/>
      </tp>
      <tp t="s">
        <v>#N/A N/A</v>
        <stp/>
        <stp>BDP|2683266114470207648</stp>
        <tr r="B2935" s="2"/>
      </tp>
      <tp t="s">
        <v>#N/A N/A</v>
        <stp/>
        <stp>BDP|1742226382049549504</stp>
        <tr r="I1422" s="2"/>
      </tp>
      <tp t="s">
        <v>#N/A N/A</v>
        <stp/>
        <stp>BDP|7228649600810162657</stp>
        <tr r="A1957" s="2"/>
      </tp>
      <tp t="s">
        <v>#N/A N/A</v>
        <stp/>
        <stp>BDP|1457235977343084029</stp>
        <tr r="B685" s="2"/>
      </tp>
      <tp t="s">
        <v>#N/A N/A</v>
        <stp/>
        <stp>BDP|4628198078362334768</stp>
        <tr r="A4007" s="2"/>
      </tp>
      <tp t="s">
        <v>#N/A N/A</v>
        <stp/>
        <stp>BDP|4836996045197375951</stp>
        <tr r="B2739" s="2"/>
      </tp>
      <tp t="s">
        <v>#N/A N/A</v>
        <stp/>
        <stp>BDP|6984059253370865451</stp>
        <tr r="C4882" s="2"/>
      </tp>
      <tp t="s">
        <v>#N/A N/A</v>
        <stp/>
        <stp>BDP|3337477913783756223</stp>
        <tr r="G4507" s="2"/>
      </tp>
      <tp t="s">
        <v>#N/A N/A</v>
        <stp/>
        <stp>BDP|1268282512243938630</stp>
        <tr r="C4432" s="2"/>
      </tp>
      <tp t="s">
        <v>#N/A N/A</v>
        <stp/>
        <stp>BDP|3177702416132441015</stp>
        <tr r="G2901" s="2"/>
      </tp>
      <tp t="s">
        <v>#N/A N/A</v>
        <stp/>
        <stp>BDP|8131033788914158399</stp>
        <tr r="A1385" s="2"/>
      </tp>
      <tp t="s">
        <v>#N/A N/A</v>
        <stp/>
        <stp>BDP|8743338867799860399</stp>
        <tr r="A4606" s="2"/>
      </tp>
      <tp t="s">
        <v>#N/A N/A</v>
        <stp/>
        <stp>BDP|6749428311871525532</stp>
        <tr r="G1114" s="2"/>
      </tp>
      <tp t="s">
        <v>#N/A N/A</v>
        <stp/>
        <stp>BDP|8005874833344711012</stp>
        <tr r="F4111" s="2"/>
      </tp>
      <tp t="s">
        <v>#N/A N/A</v>
        <stp/>
        <stp>BDP|8263767497977691676</stp>
        <tr r="F3790" s="2"/>
      </tp>
      <tp t="s">
        <v>#N/A N/A</v>
        <stp/>
        <stp>BDP|8318607522648332304</stp>
        <tr r="F3205" s="2"/>
      </tp>
      <tp t="s">
        <v>#N/A N/A</v>
        <stp/>
        <stp>BDP|3146234369017821714</stp>
        <tr r="C1862" s="2"/>
      </tp>
      <tp t="s">
        <v>#N/A N/A</v>
        <stp/>
        <stp>BDP|5142306702174620577</stp>
        <tr r="C188" s="2"/>
      </tp>
      <tp t="s">
        <v>#N/A N/A</v>
        <stp/>
        <stp>BDP|6261426652992283227</stp>
        <tr r="B3248" s="2"/>
      </tp>
      <tp t="s">
        <v>#N/A N/A</v>
        <stp/>
        <stp>BDP|1509489067650918407</stp>
        <tr r="F4606" s="2"/>
      </tp>
      <tp t="s">
        <v>#N/A N/A</v>
        <stp/>
        <stp>BDP|7976261829892620235</stp>
        <tr r="F1318" s="2"/>
      </tp>
      <tp t="s">
        <v>#N/A N/A</v>
        <stp/>
        <stp>BDP|8271826020976207311</stp>
        <tr r="C2107" s="2"/>
      </tp>
      <tp t="s">
        <v>#N/A N/A</v>
        <stp/>
        <stp>BDP|1442958037428352464</stp>
        <tr r="C950" s="2"/>
      </tp>
      <tp t="s">
        <v>#N/A N/A</v>
        <stp/>
        <stp>BDP|8647338088303953772</stp>
        <tr r="C4831" s="2"/>
      </tp>
      <tp t="s">
        <v>#N/A N/A</v>
        <stp/>
        <stp>BDP|1425711211562390247</stp>
        <tr r="H3291" s="2"/>
      </tp>
      <tp t="s">
        <v>#N/A N/A</v>
        <stp/>
        <stp>BDP|9562642657365493816</stp>
        <tr r="A4014" s="2"/>
      </tp>
      <tp t="s">
        <v>#N/A N/A</v>
        <stp/>
        <stp>BDP|7940108619495002530</stp>
        <tr r="B1701" s="2"/>
      </tp>
      <tp t="s">
        <v>#N/A N/A</v>
        <stp/>
        <stp>BDP|2702358223785456162</stp>
        <tr r="G969" s="2"/>
      </tp>
      <tp t="s">
        <v>#N/A N/A</v>
        <stp/>
        <stp>BDP|7392587409896971389</stp>
        <tr r="G3039" s="2"/>
      </tp>
      <tp t="s">
        <v>#N/A N/A</v>
        <stp/>
        <stp>BDP|4625548616682143560</stp>
        <tr r="I3966" s="2"/>
      </tp>
      <tp t="s">
        <v>#N/A N/A</v>
        <stp/>
        <stp>BDP|7293546092168155460</stp>
        <tr r="B3009" s="2"/>
      </tp>
      <tp t="s">
        <v>#N/A N/A</v>
        <stp/>
        <stp>BDP|1164557876211492551</stp>
        <tr r="A4105" s="2"/>
      </tp>
      <tp t="s">
        <v>#N/A N/A</v>
        <stp/>
        <stp>BDP|5392434794126456933</stp>
        <tr r="G2351" s="2"/>
      </tp>
      <tp t="s">
        <v>#N/A N/A</v>
        <stp/>
        <stp>BDP|7500444050826463760</stp>
        <tr r="G1107" s="2"/>
      </tp>
      <tp t="s">
        <v>#N/A N/A</v>
        <stp/>
        <stp>BDP|7594205104336407465</stp>
        <tr r="G1046" s="2"/>
      </tp>
      <tp t="s">
        <v>#N/A N/A</v>
        <stp/>
        <stp>BDP|6364398149343913596</stp>
        <tr r="B3241" s="2"/>
      </tp>
      <tp t="s">
        <v>#N/A N/A</v>
        <stp/>
        <stp>BDP|8446551507738013259</stp>
        <tr r="D4874" s="2"/>
      </tp>
      <tp t="s">
        <v>#N/A N/A</v>
        <stp/>
        <stp>BDP|6365224602941209221</stp>
        <tr r="F290" s="2"/>
      </tp>
      <tp t="s">
        <v>#N/A N/A</v>
        <stp/>
        <stp>BDP|3902765745595194283</stp>
        <tr r="C110" s="2"/>
      </tp>
      <tp t="s">
        <v>#N/A N/A</v>
        <stp/>
        <stp>BDP|6044649965317246600</stp>
        <tr r="D3533" s="2"/>
      </tp>
      <tp t="s">
        <v>#N/A N/A</v>
        <stp/>
        <stp>BDP|4446741651055687440</stp>
        <tr r="D4721" s="2"/>
      </tp>
      <tp t="s">
        <v>#N/A N/A</v>
        <stp/>
        <stp>BDP|9163178286073539460</stp>
        <tr r="A2904" s="2"/>
      </tp>
      <tp t="s">
        <v>#N/A N/A</v>
        <stp/>
        <stp>BDP|1694011512433698408</stp>
        <tr r="B3191" s="2"/>
      </tp>
      <tp t="s">
        <v>#N/A N/A</v>
        <stp/>
        <stp>BDP|5806739038055476342</stp>
        <tr r="A1146" s="2"/>
      </tp>
      <tp t="s">
        <v>#N/A N/A</v>
        <stp/>
        <stp>BDP|4437679062823463068</stp>
        <tr r="C3600" s="2"/>
      </tp>
      <tp t="s">
        <v>#N/A N/A</v>
        <stp/>
        <stp>BDP|4661769503776735277</stp>
        <tr r="A4798" s="2"/>
      </tp>
      <tp t="s">
        <v>#N/A N/A</v>
        <stp/>
        <stp>BDP|3693242276019641813</stp>
        <tr r="F1636" s="2"/>
      </tp>
      <tp t="s">
        <v>#N/A N/A</v>
        <stp/>
        <stp>BDP|8033549787003346132</stp>
        <tr r="B155" s="2"/>
      </tp>
      <tp t="s">
        <v>#N/A N/A</v>
        <stp/>
        <stp>BDP|6284452579741888359</stp>
        <tr r="C1442" s="2"/>
      </tp>
      <tp t="s">
        <v>#N/A N/A</v>
        <stp/>
        <stp>BDP|6418616027946373325</stp>
        <tr r="A4593" s="2"/>
      </tp>
      <tp t="s">
        <v>#N/A N/A</v>
        <stp/>
        <stp>BDP|6239236761846673356</stp>
        <tr r="C620" s="2"/>
      </tp>
      <tp t="s">
        <v>#N/A N/A</v>
        <stp/>
        <stp>BDP|7656471156990277166</stp>
        <tr r="I4903" s="2"/>
      </tp>
      <tp t="s">
        <v>#N/A N/A</v>
        <stp/>
        <stp>BDP|1813978690016914057</stp>
        <tr r="G3476" s="2"/>
      </tp>
      <tp t="s">
        <v>#N/A N/A</v>
        <stp/>
        <stp>BDP|1535476464846578205</stp>
        <tr r="C2804" s="2"/>
      </tp>
      <tp t="s">
        <v>#N/A N/A</v>
        <stp/>
        <stp>BDP|7937780520981764453</stp>
        <tr r="B573" s="2"/>
      </tp>
      <tp t="s">
        <v>#N/A N/A</v>
        <stp/>
        <stp>BDP|2155517659292262789</stp>
        <tr r="D4656" s="2"/>
      </tp>
      <tp t="s">
        <v>#N/A N/A</v>
        <stp/>
        <stp>BDP|7205259140961087746</stp>
        <tr r="H1224" s="2"/>
      </tp>
      <tp t="s">
        <v>#N/A N/A</v>
        <stp/>
        <stp>BDP|1567728626617236405</stp>
        <tr r="H2071" s="2"/>
      </tp>
      <tp t="s">
        <v>#N/A N/A</v>
        <stp/>
        <stp>BDP|2293086015710553493</stp>
        <tr r="H4755" s="2"/>
      </tp>
      <tp t="s">
        <v>#N/A N/A</v>
        <stp/>
        <stp>BDP|4661007998323589984</stp>
        <tr r="B550" s="2"/>
      </tp>
      <tp t="s">
        <v>#N/A N/A</v>
        <stp/>
        <stp>BDP|3900992016778489413</stp>
        <tr r="C4715" s="2"/>
      </tp>
      <tp t="s">
        <v>#N/A N/A</v>
        <stp/>
        <stp>BDP|4573591339841771418</stp>
        <tr r="C4514" s="2"/>
      </tp>
      <tp t="s">
        <v>#N/A N/A</v>
        <stp/>
        <stp>BDP|2447007014140075434</stp>
        <tr r="H456" s="2"/>
      </tp>
      <tp t="s">
        <v>#N/A N/A</v>
        <stp/>
        <stp>BDP|2531674101410366334</stp>
        <tr r="D560" s="2"/>
      </tp>
      <tp t="s">
        <v>#N/A N/A</v>
        <stp/>
        <stp>BDP|4464568456007170468</stp>
        <tr r="I4643" s="2"/>
      </tp>
      <tp t="s">
        <v>#N/A N/A</v>
        <stp/>
        <stp>BDP|8723167345312573820</stp>
        <tr r="A1520" s="2"/>
      </tp>
      <tp t="s">
        <v>#N/A N/A</v>
        <stp/>
        <stp>BDP|1561239404516127209</stp>
        <tr r="D751" s="2"/>
      </tp>
      <tp t="s">
        <v>#N/A N/A</v>
        <stp/>
        <stp>BDP|2003357555987294416</stp>
        <tr r="F634" s="2"/>
      </tp>
      <tp t="s">
        <v>#N/A N/A</v>
        <stp/>
        <stp>BDP|9409758695563083374</stp>
        <tr r="H1745" s="2"/>
      </tp>
      <tp t="s">
        <v>#N/A N/A</v>
        <stp/>
        <stp>BDP|3123683779257555266</stp>
        <tr r="A3939" s="2"/>
      </tp>
      <tp t="s">
        <v>#N/A N/A</v>
        <stp/>
        <stp>BDP|4562173224532205270</stp>
        <tr r="C3613" s="2"/>
      </tp>
      <tp t="s">
        <v>#N/A N/A</v>
        <stp/>
        <stp>BDP|4036260534347746564</stp>
        <tr r="I3246" s="2"/>
      </tp>
      <tp t="s">
        <v>#N/A N/A</v>
        <stp/>
        <stp>BDP|8327415520458276134</stp>
        <tr r="C2099" s="2"/>
      </tp>
      <tp t="s">
        <v>#N/A N/A</v>
        <stp/>
        <stp>BDP|2099998299266751346</stp>
        <tr r="G1033" s="2"/>
      </tp>
      <tp t="s">
        <v>#N/A N/A</v>
        <stp/>
        <stp>BDP|1319406433932186326</stp>
        <tr r="B1425" s="2"/>
      </tp>
      <tp t="s">
        <v>#N/A N/A</v>
        <stp/>
        <stp>BDP|6154072017295746551</stp>
        <tr r="A3104" s="2"/>
      </tp>
      <tp t="s">
        <v>#N/A N/A</v>
        <stp/>
        <stp>BDP|2128214681889092624</stp>
        <tr r="D2095" s="2"/>
      </tp>
      <tp t="s">
        <v>#N/A N/A</v>
        <stp/>
        <stp>BDP|6037837842105335815</stp>
        <tr r="D4233" s="2"/>
      </tp>
      <tp t="s">
        <v>#N/A N/A</v>
        <stp/>
        <stp>BDP|8958733440224944803</stp>
        <tr r="A4272" s="2"/>
      </tp>
      <tp t="s">
        <v>#N/A N/A</v>
        <stp/>
        <stp>BDP|8737505072594365956</stp>
        <tr r="C4133" s="2"/>
      </tp>
      <tp t="s">
        <v>#N/A N/A</v>
        <stp/>
        <stp>BDP|1082667180810173842</stp>
        <tr r="C292" s="2"/>
      </tp>
      <tp t="s">
        <v>#N/A N/A</v>
        <stp/>
        <stp>BDP|8069978017570790740</stp>
        <tr r="I742" s="2"/>
      </tp>
      <tp t="s">
        <v>#N/A N/A</v>
        <stp/>
        <stp>BDP|6412436014555998199</stp>
        <tr r="I3388" s="2"/>
      </tp>
      <tp t="s">
        <v>#N/A N/A</v>
        <stp/>
        <stp>BDP|2435432713795572523</stp>
        <tr r="B398" s="2"/>
      </tp>
      <tp t="s">
        <v>#N/A N/A</v>
        <stp/>
        <stp>BDP|4837921685140872241</stp>
        <tr r="D1613" s="2"/>
      </tp>
      <tp t="s">
        <v>#N/A N/A</v>
        <stp/>
        <stp>BDP|2138337423591638547</stp>
        <tr r="I829" s="2"/>
      </tp>
      <tp t="s">
        <v>#N/A N/A</v>
        <stp/>
        <stp>BDP|6653406101976498306</stp>
        <tr r="B1249" s="2"/>
      </tp>
      <tp t="s">
        <v>#N/A N/A</v>
        <stp/>
        <stp>BDP|2252046310796468216</stp>
        <tr r="G3834" s="2"/>
      </tp>
      <tp t="s">
        <v>#N/A N/A</v>
        <stp/>
        <stp>BDP|5923285353003941687</stp>
        <tr r="D3713" s="2"/>
      </tp>
      <tp t="s">
        <v>#N/A N/A</v>
        <stp/>
        <stp>BDP|5383135211256638448</stp>
        <tr r="H4501" s="2"/>
      </tp>
      <tp t="s">
        <v>#N/A N/A</v>
        <stp/>
        <stp>BDP|8868548111968765395</stp>
        <tr r="C2523" s="2"/>
      </tp>
      <tp t="s">
        <v>#N/A N/A</v>
        <stp/>
        <stp>BDP|9432085099610408724</stp>
        <tr r="B4170" s="2"/>
      </tp>
      <tp t="s">
        <v>#N/A N/A</v>
        <stp/>
        <stp>BDP|5427130422614006563</stp>
        <tr r="H1920" s="2"/>
      </tp>
      <tp t="s">
        <v>#N/A N/A</v>
        <stp/>
        <stp>BDP|6591249132705914591</stp>
        <tr r="C2659" s="2"/>
      </tp>
      <tp t="s">
        <v>#N/A N/A</v>
        <stp/>
        <stp>BDP|5873177442831693686</stp>
        <tr r="C1842" s="2"/>
      </tp>
      <tp t="s">
        <v>#N/A N/A</v>
        <stp/>
        <stp>BDP|5913288087801601936</stp>
        <tr r="H4482" s="2"/>
      </tp>
      <tp t="s">
        <v>#N/A N/A</v>
        <stp/>
        <stp>BDP|8345024771298539066</stp>
        <tr r="A3672" s="2"/>
      </tp>
      <tp t="s">
        <v>#N/A N/A</v>
        <stp/>
        <stp>BDP|5372384209841349028</stp>
        <tr r="D3573" s="2"/>
      </tp>
      <tp t="s">
        <v>#N/A N/A</v>
        <stp/>
        <stp>BDP|2524523570653273466</stp>
        <tr r="B3940" s="2"/>
      </tp>
      <tp t="s">
        <v>#N/A N/A</v>
        <stp/>
        <stp>BDP|7130946454509708556</stp>
        <tr r="B4310" s="2"/>
      </tp>
      <tp t="s">
        <v>#N/A N/A</v>
        <stp/>
        <stp>BDP|2225930987466124242</stp>
        <tr r="A2237" s="2"/>
      </tp>
      <tp t="s">
        <v>#N/A N/A</v>
        <stp/>
        <stp>BDP|1305907486661428625</stp>
        <tr r="I3265" s="2"/>
      </tp>
      <tp t="s">
        <v>#N/A N/A</v>
        <stp/>
        <stp>BDP|3371672592073568805</stp>
        <tr r="B266" s="2"/>
      </tp>
      <tp t="s">
        <v>#N/A N/A</v>
        <stp/>
        <stp>BDP|6720814720808553332</stp>
        <tr r="C4106" s="2"/>
      </tp>
      <tp t="s">
        <v>#N/A N/A</v>
        <stp/>
        <stp>BDP|3103138206107617221</stp>
        <tr r="I1655" s="2"/>
      </tp>
      <tp t="s">
        <v>#N/A N/A</v>
        <stp/>
        <stp>BDP|5796726646628495979</stp>
        <tr r="F18" s="2"/>
      </tp>
      <tp t="s">
        <v>#N/A N/A</v>
        <stp/>
        <stp>BDP|6320957084446284600</stp>
        <tr r="G4905" s="2"/>
      </tp>
      <tp t="s">
        <v>#N/A N/A</v>
        <stp/>
        <stp>BDP|3123569359386884269</stp>
        <tr r="I2362" s="2"/>
      </tp>
      <tp t="s">
        <v>#N/A N/A</v>
        <stp/>
        <stp>BDP|8309833511645546348</stp>
        <tr r="G1857" s="2"/>
      </tp>
      <tp t="s">
        <v>#N/A N/A</v>
        <stp/>
        <stp>BDP|3258416024164194662</stp>
        <tr r="I3993" s="2"/>
      </tp>
      <tp t="s">
        <v>#N/A N/A</v>
        <stp/>
        <stp>BDP|3384547613320052041</stp>
        <tr r="B3799" s="2"/>
      </tp>
      <tp t="s">
        <v>#N/A N/A</v>
        <stp/>
        <stp>BDP|6361281769936749352</stp>
        <tr r="B3812" s="2"/>
      </tp>
      <tp t="s">
        <v>#N/A N/A</v>
        <stp/>
        <stp>BDP|7134934703269748069</stp>
        <tr r="B4867" s="2"/>
      </tp>
      <tp t="s">
        <v>#N/A N/A</v>
        <stp/>
        <stp>BDP|1052569167341828495</stp>
        <tr r="I1777" s="2"/>
      </tp>
      <tp t="s">
        <v>#N/A N/A</v>
        <stp/>
        <stp>BDP|3391042269150679285</stp>
        <tr r="B3404" s="2"/>
      </tp>
      <tp t="s">
        <v>#N/A N/A</v>
        <stp/>
        <stp>BDP|4503646800866075311</stp>
        <tr r="C651" s="2"/>
      </tp>
      <tp t="s">
        <v>#N/A N/A</v>
        <stp/>
        <stp>BDP|2864649008120443301</stp>
        <tr r="D2022" s="2"/>
      </tp>
      <tp t="s">
        <v>#N/A N/A</v>
        <stp/>
        <stp>BDP|1095306365411240274</stp>
        <tr r="F1134" s="2"/>
      </tp>
      <tp t="s">
        <v>#N/A N/A</v>
        <stp/>
        <stp>BDP|4880689211121627579</stp>
        <tr r="D2753" s="2"/>
      </tp>
      <tp t="s">
        <v>#N/A N/A</v>
        <stp/>
        <stp>BDP|4146947071444550919</stp>
        <tr r="G3465" s="2"/>
      </tp>
      <tp t="s">
        <v>#N/A N/A</v>
        <stp/>
        <stp>BDP|3958894466528672208</stp>
        <tr r="I3261" s="2"/>
      </tp>
      <tp t="s">
        <v>#N/A N/A</v>
        <stp/>
        <stp>BDP|2693022910716646223</stp>
        <tr r="D2879" s="2"/>
      </tp>
      <tp t="s">
        <v>#N/A N/A</v>
        <stp/>
        <stp>BDP|4687253400323429271</stp>
        <tr r="C1711" s="2"/>
      </tp>
      <tp t="s">
        <v>#N/A N/A</v>
        <stp/>
        <stp>BDP|9685906907714919382</stp>
        <tr r="D4138" s="2"/>
      </tp>
      <tp t="s">
        <v>#N/A N/A</v>
        <stp/>
        <stp>BDP|1722162956344709609</stp>
        <tr r="B1032" s="2"/>
      </tp>
      <tp t="s">
        <v>#N/A N/A</v>
        <stp/>
        <stp>BDP|4416113087759560379</stp>
        <tr r="C2056" s="2"/>
      </tp>
      <tp t="s">
        <v>#N/A N/A</v>
        <stp/>
        <stp>BDP|4169948334569523043</stp>
        <tr r="G3092" s="2"/>
      </tp>
      <tp t="s">
        <v>#N/A N/A</v>
        <stp/>
        <stp>BDP|1290111539883385792</stp>
        <tr r="A2813" s="2"/>
      </tp>
      <tp t="s">
        <v>#N/A N/A</v>
        <stp/>
        <stp>BDP|5746454560569591971</stp>
        <tr r="G4759" s="2"/>
      </tp>
      <tp t="s">
        <v>#N/A N/A</v>
        <stp/>
        <stp>BDP|7412052716770290150</stp>
        <tr r="B1158" s="2"/>
      </tp>
      <tp t="s">
        <v>#N/A N/A</v>
        <stp/>
        <stp>BDP|6443406240645289461</stp>
        <tr r="I2466" s="2"/>
      </tp>
      <tp t="s">
        <v>#N/A N/A</v>
        <stp/>
        <stp>BDP|4035554261533289367</stp>
        <tr r="D4975" s="2"/>
      </tp>
      <tp t="s">
        <v>#N/A N/A</v>
        <stp/>
        <stp>BDP|7216752885719681641</stp>
        <tr r="A326" s="2"/>
      </tp>
      <tp t="s">
        <v>#N/A N/A</v>
        <stp/>
        <stp>BDP|3868487517513014278</stp>
        <tr r="G88" s="2"/>
      </tp>
      <tp t="s">
        <v>#N/A N/A</v>
        <stp/>
        <stp>BDP|8457135937745493843</stp>
        <tr r="I194" s="2"/>
      </tp>
      <tp t="s">
        <v>#N/A N/A</v>
        <stp/>
        <stp>BDP|1043079868125633592</stp>
        <tr r="A4700" s="2"/>
      </tp>
      <tp t="s">
        <v>#N/A N/A</v>
        <stp/>
        <stp>BDP|8195070594172131437</stp>
        <tr r="C3832" s="2"/>
      </tp>
      <tp t="s">
        <v>#N/A N/A</v>
        <stp/>
        <stp>BDP|3233327415270780622</stp>
        <tr r="D3727" s="2"/>
      </tp>
      <tp t="s">
        <v>#N/A N/A</v>
        <stp/>
        <stp>BDP|1247015723271294526</stp>
        <tr r="D189" s="2"/>
      </tp>
      <tp t="s">
        <v>#N/A N/A</v>
        <stp/>
        <stp>BDP|1701665266847408131</stp>
        <tr r="B1829" s="2"/>
      </tp>
      <tp t="s">
        <v>#N/A N/A</v>
        <stp/>
        <stp>BDP|7284777634692324627</stp>
        <tr r="D3575" s="2"/>
      </tp>
      <tp t="s">
        <v>#N/A N/A</v>
        <stp/>
        <stp>BDP|3892293062018529864</stp>
        <tr r="D4472" s="2"/>
      </tp>
      <tp t="s">
        <v>#N/A N/A</v>
        <stp/>
        <stp>BDP|4340773354582590357</stp>
        <tr r="D2924" s="2"/>
      </tp>
      <tp t="s">
        <v>#N/A N/A</v>
        <stp/>
        <stp>BDP|4749680704873282698</stp>
        <tr r="D1928" s="2"/>
      </tp>
      <tp t="s">
        <v>#N/A N/A</v>
        <stp/>
        <stp>BDP|6267412925826278144</stp>
        <tr r="C4759" s="2"/>
      </tp>
      <tp t="s">
        <v>#N/A N/A</v>
        <stp/>
        <stp>BDP|5717504344957374404</stp>
        <tr r="I1429" s="2"/>
      </tp>
      <tp t="s">
        <v>#N/A N/A</v>
        <stp/>
        <stp>BDP|8274078081422113555</stp>
        <tr r="B3607" s="2"/>
      </tp>
      <tp t="s">
        <v>#N/A N/A</v>
        <stp/>
        <stp>BDP|7659507355799785942</stp>
        <tr r="H2359" s="2"/>
      </tp>
      <tp t="s">
        <v>#N/A N/A</v>
        <stp/>
        <stp>BDP|3091276144437560562</stp>
        <tr r="D1694" s="2"/>
      </tp>
      <tp t="s">
        <v>#N/A N/A</v>
        <stp/>
        <stp>BDP|7527523591079666508</stp>
        <tr r="I2247" s="2"/>
      </tp>
      <tp t="s">
        <v>#N/A N/A</v>
        <stp/>
        <stp>BDP|5781894041397653995</stp>
        <tr r="A2409" s="2"/>
      </tp>
      <tp t="s">
        <v>#N/A N/A</v>
        <stp/>
        <stp>BDP|4208140074885534075</stp>
        <tr r="B4487" s="2"/>
      </tp>
      <tp t="s">
        <v>#N/A N/A</v>
        <stp/>
        <stp>BDP|7511924435869054326</stp>
        <tr r="H4985" s="2"/>
      </tp>
      <tp t="s">
        <v>#N/A N/A</v>
        <stp/>
        <stp>BDP|4659965984297799535</stp>
        <tr r="G2950" s="2"/>
      </tp>
      <tp t="s">
        <v>#N/A N/A</v>
        <stp/>
        <stp>BDP|8193764934499723245</stp>
        <tr r="C144" s="2"/>
      </tp>
      <tp t="s">
        <v>#N/A N/A</v>
        <stp/>
        <stp>BDP|3636103731973105567</stp>
        <tr r="C1452" s="2"/>
      </tp>
      <tp t="s">
        <v>#N/A N/A</v>
        <stp/>
        <stp>BDP|9061258652821598821</stp>
        <tr r="H2547" s="2"/>
      </tp>
      <tp t="s">
        <v>#N/A N/A</v>
        <stp/>
        <stp>BDP|8745670789721199084</stp>
        <tr r="I4293" s="2"/>
      </tp>
      <tp t="s">
        <v>#N/A N/A</v>
        <stp/>
        <stp>BDP|4134770457376993788</stp>
        <tr r="D2785" s="2"/>
      </tp>
      <tp t="s">
        <v>#N/A N/A</v>
        <stp/>
        <stp>BDP|1539078640164239608</stp>
        <tr r="F4469" s="2"/>
      </tp>
      <tp t="s">
        <v>#N/A N/A</v>
        <stp/>
        <stp>BDP|2533693752337845166</stp>
        <tr r="G341" s="2"/>
      </tp>
      <tp t="s">
        <v>#N/A N/A</v>
        <stp/>
        <stp>BDP|9221122063848106129</stp>
        <tr r="C774" s="2"/>
      </tp>
      <tp t="s">
        <v>#N/A N/A</v>
        <stp/>
        <stp>BDP|1277452667682704672</stp>
        <tr r="B4882" s="2"/>
      </tp>
      <tp t="s">
        <v>#N/A N/A</v>
        <stp/>
        <stp>BDP|5322302015092383259</stp>
        <tr r="H3403" s="2"/>
      </tp>
      <tp t="s">
        <v>#N/A N/A</v>
        <stp/>
        <stp>BDP|8281201963918803391</stp>
        <tr r="G2218" s="2"/>
      </tp>
      <tp t="s">
        <v>#N/A N/A</v>
        <stp/>
        <stp>BDP|7384749004335373205</stp>
        <tr r="A4524" s="2"/>
      </tp>
      <tp t="s">
        <v>#N/A N/A</v>
        <stp/>
        <stp>BDP|8394952794906607942</stp>
        <tr r="F1731" s="2"/>
      </tp>
      <tp t="s">
        <v>#N/A N/A</v>
        <stp/>
        <stp>BDP|1237387249464586568</stp>
        <tr r="F1405" s="2"/>
      </tp>
      <tp t="s">
        <v>#N/A N/A</v>
        <stp/>
        <stp>BDP|3680428605711540143</stp>
        <tr r="G2702" s="2"/>
      </tp>
      <tp t="s">
        <v>#N/A N/A</v>
        <stp/>
        <stp>BDP|4284849580617710416</stp>
        <tr r="A4550" s="2"/>
      </tp>
      <tp t="s">
        <v>#N/A N/A</v>
        <stp/>
        <stp>BDP|2620036342896085774</stp>
        <tr r="H3839" s="2"/>
      </tp>
      <tp t="s">
        <v>#N/A N/A</v>
        <stp/>
        <stp>BDP|7806392573317538372</stp>
        <tr r="I253" s="2"/>
      </tp>
      <tp t="s">
        <v>#N/A N/A</v>
        <stp/>
        <stp>BDP|1077205360652505057</stp>
        <tr r="D4981" s="2"/>
      </tp>
      <tp t="s">
        <v>#N/A N/A</v>
        <stp/>
        <stp>BDP|3692743629413258298</stp>
        <tr r="I478" s="2"/>
      </tp>
      <tp t="s">
        <v>#N/A N/A</v>
        <stp/>
        <stp>BDP|4676439539381483586</stp>
        <tr r="I3391" s="2"/>
      </tp>
      <tp t="s">
        <v>#N/A N/A</v>
        <stp/>
        <stp>BDP|3712064232713618450</stp>
        <tr r="C2763" s="2"/>
      </tp>
      <tp t="s">
        <v>#N/A N/A</v>
        <stp/>
        <stp>BDP|6502611315184623271</stp>
        <tr r="H3888" s="2"/>
      </tp>
      <tp t="s">
        <v>#N/A N/A</v>
        <stp/>
        <stp>BDP|9845017698403406455</stp>
        <tr r="D1191" s="2"/>
      </tp>
      <tp t="s">
        <v>#N/A N/A</v>
        <stp/>
        <stp>BDP|5469762065560379344</stp>
        <tr r="B707" s="2"/>
      </tp>
      <tp t="s">
        <v>#N/A N/A</v>
        <stp/>
        <stp>BDP|7669001246783222720</stp>
        <tr r="F1078" s="2"/>
      </tp>
      <tp t="s">
        <v>#N/A N/A</v>
        <stp/>
        <stp>BDP|7710008117071627069</stp>
        <tr r="B400" s="2"/>
      </tp>
      <tp t="s">
        <v>#N/A N/A</v>
        <stp/>
        <stp>BDP|6003083448532259721</stp>
        <tr r="B575" s="2"/>
      </tp>
      <tp t="s">
        <v>#N/A N/A</v>
        <stp/>
        <stp>BDP|3433609376860648544</stp>
        <tr r="I2122" s="2"/>
      </tp>
      <tp t="s">
        <v>#N/A N/A</v>
        <stp/>
        <stp>BDP|7056124860770143730</stp>
        <tr r="A4035" s="2"/>
      </tp>
      <tp t="s">
        <v>#N/A N/A</v>
        <stp/>
        <stp>BDP|3874388556334211648</stp>
        <tr r="H1921" s="2"/>
      </tp>
      <tp t="s">
        <v>#N/A N/A</v>
        <stp/>
        <stp>BDP|9718931888366529994</stp>
        <tr r="A706" s="2"/>
      </tp>
      <tp t="s">
        <v>#N/A N/A</v>
        <stp/>
        <stp>BDP|4000120798772339991</stp>
        <tr r="D4771" s="2"/>
      </tp>
      <tp t="s">
        <v>#N/A N/A</v>
        <stp/>
        <stp>BDP|2004755835606727774</stp>
        <tr r="C3531" s="2"/>
      </tp>
      <tp t="s">
        <v>#N/A N/A</v>
        <stp/>
        <stp>BDP|2835463852011418585</stp>
        <tr r="G1118" s="2"/>
      </tp>
      <tp t="s">
        <v>#N/A N/A</v>
        <stp/>
        <stp>BDP|9369652591509518824</stp>
        <tr r="C2102" s="2"/>
      </tp>
      <tp t="s">
        <v>#N/A N/A</v>
        <stp/>
        <stp>BDP|4743701023131670727</stp>
        <tr r="C280" s="2"/>
      </tp>
      <tp t="s">
        <v>#N/A N/A</v>
        <stp/>
        <stp>BDP|5784461459001981215</stp>
        <tr r="F886" s="2"/>
      </tp>
      <tp t="s">
        <v>#N/A N/A</v>
        <stp/>
        <stp>BDP|7361703937085261167</stp>
        <tr r="D4638" s="2"/>
      </tp>
      <tp t="s">
        <v>#N/A N/A</v>
        <stp/>
        <stp>BDP|1201937185847628029</stp>
        <tr r="D2232" s="2"/>
      </tp>
      <tp t="s">
        <v>#N/A N/A</v>
        <stp/>
        <stp>BDP|3198298327647844377</stp>
        <tr r="I1342" s="2"/>
      </tp>
      <tp t="s">
        <v>#N/A N/A</v>
        <stp/>
        <stp>BDP|2822857344341950804</stp>
        <tr r="H1226" s="2"/>
      </tp>
      <tp t="s">
        <v>#N/A N/A</v>
        <stp/>
        <stp>BDP|9317293391454376186</stp>
        <tr r="H2348" s="2"/>
      </tp>
      <tp t="s">
        <v>#N/A N/A</v>
        <stp/>
        <stp>BDP|5322540720213316646</stp>
        <tr r="I4274" s="2"/>
      </tp>
      <tp t="s">
        <v>#N/A N/A</v>
        <stp/>
        <stp>BDP|7278327634713333373</stp>
        <tr r="C1388" s="2"/>
      </tp>
      <tp t="s">
        <v>#N/A N/A</v>
        <stp/>
        <stp>BDP|3913841889860483407</stp>
        <tr r="D1153" s="2"/>
      </tp>
      <tp t="s">
        <v>#N/A N/A</v>
        <stp/>
        <stp>BDP|4328036199272101881</stp>
        <tr r="I3105" s="2"/>
      </tp>
      <tp t="s">
        <v>#N/A N/A</v>
        <stp/>
        <stp>BDP|4408520044635784759</stp>
        <tr r="G4866" s="2"/>
      </tp>
      <tp t="s">
        <v>#N/A N/A</v>
        <stp/>
        <stp>BDP|5970152219994732628</stp>
        <tr r="D3146" s="2"/>
      </tp>
      <tp t="s">
        <v>#N/A N/A</v>
        <stp/>
        <stp>BDP|5853127412462985018</stp>
        <tr r="B2563" s="2"/>
      </tp>
      <tp t="s">
        <v>#N/A N/A</v>
        <stp/>
        <stp>BDP|5464137540221711604</stp>
        <tr r="C611" s="2"/>
      </tp>
      <tp t="s">
        <v>#N/A N/A</v>
        <stp/>
        <stp>BDP|1708258475830452333</stp>
        <tr r="G4974" s="2"/>
      </tp>
      <tp t="s">
        <v>#N/A N/A</v>
        <stp/>
        <stp>BDP|7408289190913445882</stp>
        <tr r="A4627" s="2"/>
      </tp>
      <tp t="s">
        <v>#N/A N/A</v>
        <stp/>
        <stp>BDP|1557441824252021252</stp>
        <tr r="H127" s="2"/>
      </tp>
      <tp t="s">
        <v>#N/A N/A</v>
        <stp/>
        <stp>BDP|7313256331734158563</stp>
        <tr r="D1582" s="2"/>
      </tp>
      <tp t="s">
        <v>#N/A N/A</v>
        <stp/>
        <stp>BDP|9114366561569023279</stp>
        <tr r="B2062" s="2"/>
      </tp>
      <tp t="s">
        <v>#N/A N/A</v>
        <stp/>
        <stp>BDP|9394725662226537974</stp>
        <tr r="B2970" s="2"/>
      </tp>
      <tp t="s">
        <v>#N/A N/A</v>
        <stp/>
        <stp>BDP|3885142342063963265</stp>
        <tr r="H1142" s="2"/>
      </tp>
      <tp t="s">
        <v>#N/A N/A</v>
        <stp/>
        <stp>BDP|2334598953356035382</stp>
        <tr r="D372" s="2"/>
      </tp>
      <tp t="s">
        <v>#N/A N/A</v>
        <stp/>
        <stp>BDP|9069810473620392100</stp>
        <tr r="F838" s="2"/>
      </tp>
      <tp t="s">
        <v>#N/A N/A</v>
        <stp/>
        <stp>BDP|7287300907622047143</stp>
        <tr r="B1816" s="2"/>
      </tp>
      <tp t="s">
        <v>#N/A N/A</v>
        <stp/>
        <stp>BDP|4832561531843606682</stp>
        <tr r="C4761" s="2"/>
      </tp>
      <tp t="s">
        <v>#N/A N/A</v>
        <stp/>
        <stp>BDP|9483917203122325544</stp>
        <tr r="C267" s="2"/>
      </tp>
      <tp t="s">
        <v>#N/A N/A</v>
        <stp/>
        <stp>BDP|9255345750410592825</stp>
        <tr r="B2394" s="2"/>
      </tp>
      <tp t="s">
        <v>#N/A N/A</v>
        <stp/>
        <stp>BDP|8592052027595058860</stp>
        <tr r="A3547" s="2"/>
      </tp>
      <tp t="s">
        <v>#N/A N/A</v>
        <stp/>
        <stp>BDP|7121233603222193010</stp>
        <tr r="B2311" s="2"/>
      </tp>
      <tp t="s">
        <v>#N/A N/A</v>
        <stp/>
        <stp>BDP|3730960160992769976</stp>
        <tr r="G4093" s="2"/>
      </tp>
      <tp t="s">
        <v>#N/A N/A</v>
        <stp/>
        <stp>BDP|5813934071909870531</stp>
        <tr r="G559" s="2"/>
      </tp>
      <tp t="s">
        <v>#N/A N/A</v>
        <stp/>
        <stp>BDP|9261416294594593736</stp>
        <tr r="G4403" s="2"/>
      </tp>
      <tp t="s">
        <v>#N/A N/A</v>
        <stp/>
        <stp>BDP|6430359142336738050</stp>
        <tr r="G790" s="2"/>
      </tp>
      <tp t="s">
        <v>#N/A N/A</v>
        <stp/>
        <stp>BDP|5724103537722737268</stp>
        <tr r="A2704" s="2"/>
      </tp>
      <tp t="s">
        <v>#N/A N/A</v>
        <stp/>
        <stp>BDP|6764257550882719445</stp>
        <tr r="D1245" s="2"/>
      </tp>
      <tp t="s">
        <v>#N/A N/A</v>
        <stp/>
        <stp>BDP|2755366941634793661</stp>
        <tr r="B3966" s="2"/>
      </tp>
      <tp t="s">
        <v>#N/A N/A</v>
        <stp/>
        <stp>BDP|4659707447531497143</stp>
        <tr r="C3426" s="2"/>
      </tp>
      <tp t="s">
        <v>#N/A N/A</v>
        <stp/>
        <stp>BDP|4198505851032218130</stp>
        <tr r="D1760" s="2"/>
      </tp>
      <tp t="s">
        <v>#N/A N/A</v>
        <stp/>
        <stp>BDP|8570230177133936999</stp>
        <tr r="I2781" s="2"/>
      </tp>
      <tp t="s">
        <v>#N/A N/A</v>
        <stp/>
        <stp>BDP|2052573877220218739</stp>
        <tr r="D355" s="2"/>
      </tp>
      <tp t="s">
        <v>#N/A N/A</v>
        <stp/>
        <stp>BDP|4110095263840297589</stp>
        <tr r="H1027" s="2"/>
      </tp>
      <tp t="s">
        <v>#N/A N/A</v>
        <stp/>
        <stp>BDP|2843218819340103603</stp>
        <tr r="A1187" s="2"/>
      </tp>
      <tp t="s">
        <v>#N/A N/A</v>
        <stp/>
        <stp>BDP|4715752451162295304</stp>
        <tr r="C4289" s="2"/>
      </tp>
      <tp t="s">
        <v>#N/A N/A</v>
        <stp/>
        <stp>BDP|7977511349718676969</stp>
        <tr r="A1826" s="2"/>
      </tp>
      <tp t="s">
        <v>#N/A N/A</v>
        <stp/>
        <stp>BDP|7456061000295296510</stp>
        <tr r="G343" s="2"/>
      </tp>
      <tp t="s">
        <v>#N/A N/A</v>
        <stp/>
        <stp>BDP|1532760525157788405</stp>
        <tr r="B2841" s="2"/>
      </tp>
      <tp t="s">
        <v>#N/A N/A</v>
        <stp/>
        <stp>BDP|9136661650498603509</stp>
        <tr r="H1444" s="2"/>
      </tp>
      <tp t="s">
        <v>#N/A N/A</v>
        <stp/>
        <stp>BDP|4944977793575914659</stp>
        <tr r="B510" s="2"/>
      </tp>
      <tp t="s">
        <v>#N/A N/A</v>
        <stp/>
        <stp>BDP|1403410715040661378</stp>
        <tr r="B2759" s="2"/>
      </tp>
      <tp t="s">
        <v>#N/A N/A</v>
        <stp/>
        <stp>BDP|3494172852873189315</stp>
        <tr r="F2380" s="2"/>
      </tp>
      <tp t="s">
        <v>#N/A N/A</v>
        <stp/>
        <stp>BDP|2609258145301177262</stp>
        <tr r="A153" s="2"/>
      </tp>
      <tp t="s">
        <v>#N/A N/A</v>
        <stp/>
        <stp>BDP|7879214107730892273</stp>
        <tr r="I246" s="2"/>
      </tp>
      <tp t="s">
        <v>#N/A N/A</v>
        <stp/>
        <stp>BDP|3740267574338602921</stp>
        <tr r="I1150" s="2"/>
      </tp>
      <tp t="s">
        <v>#N/A N/A</v>
        <stp/>
        <stp>BDP|6600065575503000541</stp>
        <tr r="H3534" s="2"/>
      </tp>
      <tp t="s">
        <v>#N/A N/A</v>
        <stp/>
        <stp>BDP|6155902347279657511</stp>
        <tr r="F2998" s="2"/>
      </tp>
      <tp t="s">
        <v>#N/A N/A</v>
        <stp/>
        <stp>BDP|4354627539250024693</stp>
        <tr r="C1576" s="2"/>
      </tp>
      <tp t="s">
        <v>#N/A N/A</v>
        <stp/>
        <stp>BDP|1099757104428186913</stp>
        <tr r="H4493" s="2"/>
      </tp>
      <tp t="s">
        <v>#N/A N/A</v>
        <stp/>
        <stp>BDP|8018875107084618374</stp>
        <tr r="G1715" s="2"/>
      </tp>
      <tp t="s">
        <v>#N/A N/A</v>
        <stp/>
        <stp>BDP|4475545736210119560</stp>
        <tr r="B3636" s="2"/>
      </tp>
      <tp t="s">
        <v>#N/A N/A</v>
        <stp/>
        <stp>BDP|2329201766860723138</stp>
        <tr r="C4800" s="2"/>
      </tp>
      <tp t="s">
        <v>#N/A N/A</v>
        <stp/>
        <stp>BDP|4067097225863908248</stp>
        <tr r="F2644" s="2"/>
      </tp>
      <tp t="s">
        <v>#N/A N/A</v>
        <stp/>
        <stp>BDP|1146104481729835694</stp>
        <tr r="A2199" s="2"/>
      </tp>
      <tp t="s">
        <v>#N/A N/A</v>
        <stp/>
        <stp>BDP|2910112798109031411</stp>
        <tr r="A399" s="2"/>
      </tp>
      <tp t="s">
        <v>#N/A N/A</v>
        <stp/>
        <stp>BDP|6612647400741155624</stp>
        <tr r="D3878" s="2"/>
      </tp>
      <tp t="s">
        <v>#N/A N/A</v>
        <stp/>
        <stp>BDP|4154150461553504710</stp>
        <tr r="A1538" s="2"/>
      </tp>
      <tp t="s">
        <v>#N/A N/A</v>
        <stp/>
        <stp>BDP|8252875266158094928</stp>
        <tr r="G1138" s="2"/>
      </tp>
      <tp t="s">
        <v>#N/A N/A</v>
        <stp/>
        <stp>BDP|1940718878465391321</stp>
        <tr r="H3694" s="2"/>
      </tp>
      <tp t="s">
        <v>#N/A N/A</v>
        <stp/>
        <stp>BDP|1001542760101232473</stp>
        <tr r="B4299" s="2"/>
      </tp>
      <tp t="s">
        <v>#N/A N/A</v>
        <stp/>
        <stp>BDP|4045234369514845332</stp>
        <tr r="A4052" s="2"/>
      </tp>
      <tp t="s">
        <v>#N/A N/A</v>
        <stp/>
        <stp>BDP|2540290608566168144</stp>
        <tr r="D2147" s="2"/>
      </tp>
      <tp t="s">
        <v>#N/A N/A</v>
        <stp/>
        <stp>BDP|1283868926494548863</stp>
        <tr r="H2970" s="2"/>
      </tp>
      <tp t="s">
        <v>#N/A N/A</v>
        <stp/>
        <stp>BDP|3608356142083305034</stp>
        <tr r="C4827" s="2"/>
      </tp>
      <tp t="s">
        <v>#N/A N/A</v>
        <stp/>
        <stp>BDP|6767766973693149220</stp>
        <tr r="C2850" s="2"/>
      </tp>
      <tp t="s">
        <v>#N/A N/A</v>
        <stp/>
        <stp>BDP|2894594807042673218</stp>
        <tr r="C4658" s="2"/>
      </tp>
      <tp t="s">
        <v>#N/A N/A</v>
        <stp/>
        <stp>BDP|7608429825197648169</stp>
        <tr r="G4081" s="2"/>
      </tp>
      <tp t="s">
        <v>#N/A N/A</v>
        <stp/>
        <stp>BDP|9707795420462944960</stp>
        <tr r="I2869" s="2"/>
      </tp>
      <tp t="s">
        <v>#N/A N/A</v>
        <stp/>
        <stp>BDP|7277746877248167810</stp>
        <tr r="A2875" s="2"/>
      </tp>
      <tp t="s">
        <v>#N/A N/A</v>
        <stp/>
        <stp>BDP|3359138671815329733</stp>
        <tr r="B4222" s="2"/>
      </tp>
      <tp t="s">
        <v>#N/A N/A</v>
        <stp/>
        <stp>BDP|9052685400041035997</stp>
        <tr r="G4432" s="2"/>
      </tp>
      <tp t="s">
        <v>#N/A N/A</v>
        <stp/>
        <stp>BDP|3690704335435580575</stp>
        <tr r="G286" s="2"/>
      </tp>
      <tp t="s">
        <v>#N/A N/A</v>
        <stp/>
        <stp>BDP|8072577228121961973</stp>
        <tr r="F3752" s="2"/>
      </tp>
      <tp t="s">
        <v>#N/A N/A</v>
        <stp/>
        <stp>BDP|1489159556460426223</stp>
        <tr r="B2319" s="2"/>
      </tp>
      <tp t="s">
        <v>#N/A N/A</v>
        <stp/>
        <stp>BDP|3054970933907313969</stp>
        <tr r="A4461" s="2"/>
      </tp>
      <tp t="s">
        <v>#N/A N/A</v>
        <stp/>
        <stp>BDP|4703257247364218161</stp>
        <tr r="D3676" s="2"/>
      </tp>
      <tp t="s">
        <v>#N/A N/A</v>
        <stp/>
        <stp>BDP|8345585880177822526</stp>
        <tr r="H3781" s="2"/>
      </tp>
      <tp t="s">
        <v>#N/A N/A</v>
        <stp/>
        <stp>BDP|9378955874108529865</stp>
        <tr r="A3549" s="2"/>
      </tp>
      <tp t="s">
        <v>#N/A N/A</v>
        <stp/>
        <stp>BDP|4017149801892712036</stp>
        <tr r="I2172" s="2"/>
      </tp>
      <tp t="s">
        <v>#N/A N/A</v>
        <stp/>
        <stp>BDP|4112888949776319928</stp>
        <tr r="F91" s="2"/>
      </tp>
      <tp t="s">
        <v>#N/A N/A</v>
        <stp/>
        <stp>BDP|5891429756017555482</stp>
        <tr r="B4213" s="2"/>
      </tp>
      <tp t="s">
        <v>#N/A N/A</v>
        <stp/>
        <stp>BDP|4631240104998057978</stp>
        <tr r="G1718" s="2"/>
      </tp>
      <tp t="s">
        <v>#N/A N/A</v>
        <stp/>
        <stp>BDP|7239142520535440637</stp>
        <tr r="A4153" s="2"/>
      </tp>
      <tp t="s">
        <v>#N/A N/A</v>
        <stp/>
        <stp>BDP|5470429697729792676</stp>
        <tr r="B602" s="2"/>
      </tp>
      <tp t="s">
        <v>#N/A N/A</v>
        <stp/>
        <stp>BDP|8546654344275004854</stp>
        <tr r="B3678" s="2"/>
      </tp>
      <tp t="s">
        <v>#N/A N/A</v>
        <stp/>
        <stp>BDP|9452070672789732077</stp>
        <tr r="C4471" s="2"/>
      </tp>
      <tp t="s">
        <v>#N/A N/A</v>
        <stp/>
        <stp>BDP|3347718602463452024</stp>
        <tr r="G3971" s="2"/>
      </tp>
      <tp t="s">
        <v>#N/A N/A</v>
        <stp/>
        <stp>BDP|3451215541640676248</stp>
        <tr r="B3884" s="2"/>
      </tp>
      <tp t="s">
        <v>#N/A N/A</v>
        <stp/>
        <stp>BDP|1312473700473163139</stp>
        <tr r="H202" s="2"/>
      </tp>
      <tp t="s">
        <v>#N/A N/A</v>
        <stp/>
        <stp>BDP|1786215598389066481</stp>
        <tr r="F3441" s="2"/>
      </tp>
      <tp t="s">
        <v>#N/A N/A</v>
        <stp/>
        <stp>BDP|1658617674356394161</stp>
        <tr r="D3711" s="2"/>
      </tp>
      <tp t="s">
        <v>#N/A N/A</v>
        <stp/>
        <stp>BDP|2873576960400948609</stp>
        <tr r="B3759" s="2"/>
      </tp>
      <tp t="s">
        <v>#N/A N/A</v>
        <stp/>
        <stp>BDP|8713449603759012266</stp>
        <tr r="B2620" s="2"/>
      </tp>
      <tp t="s">
        <v>#N/A N/A</v>
        <stp/>
        <stp>BDP|2099409440261788412</stp>
        <tr r="B1874" s="2"/>
      </tp>
      <tp t="s">
        <v>#N/A N/A</v>
        <stp/>
        <stp>BDP|5679757610225621138</stp>
        <tr r="G2068" s="2"/>
      </tp>
      <tp t="s">
        <v>#N/A N/A</v>
        <stp/>
        <stp>BDP|1885786701189003877</stp>
        <tr r="G4606" s="2"/>
      </tp>
      <tp t="s">
        <v>#N/A N/A</v>
        <stp/>
        <stp>BDP|5105400932307486213</stp>
        <tr r="A1447" s="2"/>
      </tp>
      <tp t="s">
        <v>#N/A N/A</v>
        <stp/>
        <stp>BDP|7207628776630435146</stp>
        <tr r="H3865" s="2"/>
      </tp>
      <tp t="s">
        <v>#N/A N/A</v>
        <stp/>
        <stp>BDP|8734411913349097332</stp>
        <tr r="F1229" s="2"/>
      </tp>
      <tp t="s">
        <v>#N/A N/A</v>
        <stp/>
        <stp>BDP|6396503817767361211</stp>
        <tr r="C3525" s="2"/>
      </tp>
      <tp t="s">
        <v>#N/A N/A</v>
        <stp/>
        <stp>BDP|1795127023153250627</stp>
        <tr r="G4359" s="2"/>
      </tp>
      <tp t="s">
        <v>#N/A N/A</v>
        <stp/>
        <stp>BDP|7094561939657853116</stp>
        <tr r="A2955" s="2"/>
      </tp>
      <tp t="s">
        <v>#N/A N/A</v>
        <stp/>
        <stp>BDP|3207227787306390821</stp>
        <tr r="A3933" s="2"/>
      </tp>
      <tp t="s">
        <v>#N/A N/A</v>
        <stp/>
        <stp>BDP|7096427616326752354</stp>
        <tr r="D3" s="2"/>
      </tp>
      <tp t="s">
        <v>#N/A N/A</v>
        <stp/>
        <stp>BDP|7053838480391412113</stp>
        <tr r="A1027" s="2"/>
      </tp>
      <tp t="s">
        <v>#N/A N/A</v>
        <stp/>
        <stp>BDP|5280382374670189698</stp>
        <tr r="I4902" s="2"/>
      </tp>
      <tp t="s">
        <v>#N/A N/A</v>
        <stp/>
        <stp>BDP|3963145862984819717</stp>
        <tr r="G879" s="2"/>
      </tp>
      <tp t="s">
        <v>#N/A N/A</v>
        <stp/>
        <stp>BDP|9311361364909275251</stp>
        <tr r="H207" s="2"/>
      </tp>
      <tp t="s">
        <v>#N/A N/A</v>
        <stp/>
        <stp>BDP|5298317081618248163</stp>
        <tr r="H2018" s="2"/>
      </tp>
      <tp t="s">
        <v>#N/A N/A</v>
        <stp/>
        <stp>BDP|3499276857355309613</stp>
        <tr r="I201" s="2"/>
      </tp>
      <tp t="s">
        <v>#N/A N/A</v>
        <stp/>
        <stp>BDP|1047558846977296073</stp>
        <tr r="G1637" s="2"/>
      </tp>
      <tp t="s">
        <v>#N/A N/A</v>
        <stp/>
        <stp>BDP|2298978682734483051</stp>
        <tr r="G116" s="2"/>
      </tp>
      <tp t="s">
        <v>#N/A N/A</v>
        <stp/>
        <stp>BDP|5783163607686072505</stp>
        <tr r="D4088" s="2"/>
      </tp>
      <tp t="s">
        <v>#N/A N/A</v>
        <stp/>
        <stp>BDP|9066761992922204201</stp>
        <tr r="B773" s="2"/>
      </tp>
      <tp t="s">
        <v>#N/A N/A</v>
        <stp/>
        <stp>BDP|2424793318840628354</stp>
        <tr r="B4196" s="2"/>
      </tp>
      <tp t="s">
        <v>#N/A N/A</v>
        <stp/>
        <stp>BDP|5642286568953237526</stp>
        <tr r="I3228" s="2"/>
      </tp>
      <tp t="s">
        <v>#N/A N/A</v>
        <stp/>
        <stp>BDP|6605995497002987373</stp>
        <tr r="I3860" s="2"/>
      </tp>
      <tp t="s">
        <v>#N/A N/A</v>
        <stp/>
        <stp>BDP|8656326540448408069</stp>
        <tr r="G795" s="2"/>
      </tp>
      <tp t="s">
        <v>#N/A N/A</v>
        <stp/>
        <stp>BDP|5783654164040652268</stp>
        <tr r="G109" s="2"/>
      </tp>
      <tp t="s">
        <v>#N/A N/A</v>
        <stp/>
        <stp>BDP|9116709205198310119</stp>
        <tr r="C1171" s="2"/>
      </tp>
      <tp t="s">
        <v>#N/A N/A</v>
        <stp/>
        <stp>BDP|5329673245401615115</stp>
        <tr r="B2745" s="2"/>
      </tp>
      <tp t="s">
        <v>#N/A N/A</v>
        <stp/>
        <stp>BDP|7479052557132240721</stp>
        <tr r="A4761" s="2"/>
      </tp>
      <tp t="s">
        <v>#N/A N/A</v>
        <stp/>
        <stp>BDP|5820604725092814436</stp>
        <tr r="G2591" s="2"/>
      </tp>
      <tp t="s">
        <v>#N/A N/A</v>
        <stp/>
        <stp>BDP|6208170524875011778</stp>
        <tr r="I1648" s="2"/>
      </tp>
      <tp t="s">
        <v>#N/A N/A</v>
        <stp/>
        <stp>BDP|1142084998898593721</stp>
        <tr r="G96" s="2"/>
      </tp>
      <tp t="s">
        <v>#N/A N/A</v>
        <stp/>
        <stp>BDP|2086378627643778711</stp>
        <tr r="A3837" s="2"/>
      </tp>
      <tp t="s">
        <v>#N/A N/A</v>
        <stp/>
        <stp>BDP|7119762953597057523</stp>
        <tr r="B332" s="2"/>
      </tp>
      <tp t="s">
        <v>#N/A N/A</v>
        <stp/>
        <stp>BDP|9679101687293308444</stp>
        <tr r="F3889" s="2"/>
      </tp>
      <tp t="s">
        <v>#N/A N/A</v>
        <stp/>
        <stp>BDP|9211628382161585113</stp>
        <tr r="D3163" s="2"/>
      </tp>
      <tp t="s">
        <v>#N/A N/A</v>
        <stp/>
        <stp>BDP|8122114800448032662</stp>
        <tr r="H1769" s="2"/>
      </tp>
      <tp t="s">
        <v>#N/A N/A</v>
        <stp/>
        <stp>BDP|1516526444357728025</stp>
        <tr r="B256" s="2"/>
      </tp>
      <tp t="s">
        <v>#N/A N/A</v>
        <stp/>
        <stp>BDP|9101029202909264754</stp>
        <tr r="D3812" s="2"/>
      </tp>
      <tp t="s">
        <v>#N/A N/A</v>
        <stp/>
        <stp>BDP|6042421449216855750</stp>
        <tr r="H3007" s="2"/>
      </tp>
      <tp t="s">
        <v>#N/A N/A</v>
        <stp/>
        <stp>BDP|8535962338775833057</stp>
        <tr r="D4490" s="2"/>
      </tp>
      <tp t="s">
        <v>#N/A N/A</v>
        <stp/>
        <stp>BDP|5402197707360560390</stp>
        <tr r="F2870" s="2"/>
      </tp>
      <tp t="s">
        <v>#N/A N/A</v>
        <stp/>
        <stp>BDP|6277228667521280430</stp>
        <tr r="A862" s="2"/>
      </tp>
      <tp t="s">
        <v>#N/A N/A</v>
        <stp/>
        <stp>BDP|9053341593435129100</stp>
        <tr r="B1048" s="2"/>
      </tp>
      <tp t="s">
        <v>#N/A N/A</v>
        <stp/>
        <stp>BDP|9834795075007228906</stp>
        <tr r="G2797" s="2"/>
      </tp>
      <tp t="s">
        <v>#N/A N/A</v>
        <stp/>
        <stp>BDP|1061327453569578921</stp>
        <tr r="G4983" s="2"/>
      </tp>
      <tp t="s">
        <v>#N/A N/A</v>
        <stp/>
        <stp>BDP|8869885103155238274</stp>
        <tr r="G783" s="2"/>
      </tp>
      <tp t="s">
        <v>#N/A N/A</v>
        <stp/>
        <stp>BDP|3057400770816596131</stp>
        <tr r="A2330" s="2"/>
      </tp>
      <tp t="s">
        <v>#N/A N/A</v>
        <stp/>
        <stp>BDP|9722302905999482404</stp>
        <tr r="G1862" s="2"/>
      </tp>
      <tp t="s">
        <v>#N/A N/A</v>
        <stp/>
        <stp>BDP|6446233126062110363</stp>
        <tr r="A4559" s="2"/>
      </tp>
      <tp t="s">
        <v>#N/A N/A</v>
        <stp/>
        <stp>BDP|6219838152855061952</stp>
        <tr r="A1752" s="2"/>
      </tp>
      <tp t="s">
        <v>#N/A N/A</v>
        <stp/>
        <stp>BDP|2548969841119505118</stp>
        <tr r="F646" s="2"/>
      </tp>
      <tp t="s">
        <v>#N/A N/A</v>
        <stp/>
        <stp>BDP|6631034043626216324</stp>
        <tr r="C2466" s="2"/>
      </tp>
      <tp t="s">
        <v>#N/A N/A</v>
        <stp/>
        <stp>BDP|2752460930555029776</stp>
        <tr r="G3519" s="2"/>
      </tp>
      <tp t="s">
        <v>#N/A N/A</v>
        <stp/>
        <stp>BDP|1078433810944685731</stp>
        <tr r="A3393" s="2"/>
      </tp>
      <tp t="s">
        <v>#N/A N/A</v>
        <stp/>
        <stp>BDP|6206450321936044109</stp>
        <tr r="B4745" s="2"/>
      </tp>
      <tp t="s">
        <v>#N/A N/A</v>
        <stp/>
        <stp>BDP|9463736613798353016</stp>
        <tr r="A3356" s="2"/>
      </tp>
      <tp t="s">
        <v>#N/A N/A</v>
        <stp/>
        <stp>BDP|2715037751333240316</stp>
        <tr r="B3872" s="2"/>
      </tp>
      <tp t="s">
        <v>#N/A N/A</v>
        <stp/>
        <stp>BDP|6744001116514416436</stp>
        <tr r="I1262" s="2"/>
      </tp>
      <tp t="s">
        <v>#N/A N/A</v>
        <stp/>
        <stp>BDP|1743129641826714553</stp>
        <tr r="H4212" s="2"/>
      </tp>
      <tp t="s">
        <v>#N/A N/A</v>
        <stp/>
        <stp>BDP|2918067686248806573</stp>
        <tr r="I2056" s="2"/>
      </tp>
      <tp t="s">
        <v>#N/A N/A</v>
        <stp/>
        <stp>BDP|4961783376324558744</stp>
        <tr r="B2103" s="2"/>
      </tp>
      <tp t="s">
        <v>#N/A N/A</v>
        <stp/>
        <stp>BDP|6765073916517857782</stp>
        <tr r="A2893" s="2"/>
      </tp>
      <tp t="s">
        <v>#N/A N/A</v>
        <stp/>
        <stp>BDP|3194492607301899116</stp>
        <tr r="I118" s="2"/>
      </tp>
      <tp t="s">
        <v>#N/A N/A</v>
        <stp/>
        <stp>BDP|1598760503517788612</stp>
        <tr r="D4886" s="2"/>
      </tp>
      <tp t="s">
        <v>#N/A N/A</v>
        <stp/>
        <stp>BDP|2627640548132955550</stp>
        <tr r="B4585" s="2"/>
      </tp>
      <tp t="s">
        <v>#N/A N/A</v>
        <stp/>
        <stp>BDP|9131440919693900833</stp>
        <tr r="A4580" s="2"/>
      </tp>
      <tp t="s">
        <v>#N/A N/A</v>
        <stp/>
        <stp>BDP|4250901955097045809</stp>
        <tr r="G1802" s="2"/>
      </tp>
      <tp t="s">
        <v>#N/A N/A</v>
        <stp/>
        <stp>BDP|3574718667680090549</stp>
        <tr r="D4327" s="2"/>
      </tp>
      <tp t="s">
        <v>#N/A N/A</v>
        <stp/>
        <stp>BDP|5257288281288537095</stp>
        <tr r="B4652" s="2"/>
      </tp>
      <tp t="s">
        <v>#N/A N/A</v>
        <stp/>
        <stp>BDP|6628762895976530972</stp>
        <tr r="I3582" s="2"/>
      </tp>
      <tp t="s">
        <v>#N/A N/A</v>
        <stp/>
        <stp>BDP|5378825672889447406</stp>
        <tr r="I3367" s="2"/>
      </tp>
      <tp t="s">
        <v>#N/A N/A</v>
        <stp/>
        <stp>BDP|2241218261449274877</stp>
        <tr r="H1513" s="2"/>
      </tp>
      <tp t="s">
        <v>#N/A N/A</v>
        <stp/>
        <stp>BDP|5324839186360628272</stp>
        <tr r="I863" s="2"/>
      </tp>
      <tp t="s">
        <v>#N/A N/A</v>
        <stp/>
        <stp>BDP|5968579101320160792</stp>
        <tr r="B2830" s="2"/>
      </tp>
      <tp t="s">
        <v>#N/A N/A</v>
        <stp/>
        <stp>BDP|3392866783414760066</stp>
        <tr r="A443" s="2"/>
      </tp>
      <tp t="s">
        <v>#N/A N/A</v>
        <stp/>
        <stp>BDP|3919899042579364160</stp>
        <tr r="G3133" s="2"/>
      </tp>
      <tp t="s">
        <v>#N/A N/A</v>
        <stp/>
        <stp>BDP|2119803494326534279</stp>
        <tr r="B191" s="2"/>
      </tp>
      <tp t="s">
        <v>#N/A N/A</v>
        <stp/>
        <stp>BDP|2133241800881035623</stp>
        <tr r="F3712" s="2"/>
      </tp>
      <tp t="s">
        <v>#N/A N/A</v>
        <stp/>
        <stp>BDP|7486124089711111890</stp>
        <tr r="A1183" s="2"/>
      </tp>
      <tp t="s">
        <v>#N/A N/A</v>
        <stp/>
        <stp>BDP|6731628877824418418</stp>
        <tr r="D1233" s="2"/>
      </tp>
      <tp t="s">
        <v>#N/A N/A</v>
        <stp/>
        <stp>BDP|1220568515566527430</stp>
        <tr r="C2871" s="2"/>
      </tp>
      <tp t="s">
        <v>#N/A N/A</v>
        <stp/>
        <stp>BDP|1635661800490023079</stp>
        <tr r="C4646" s="2"/>
      </tp>
      <tp t="s">
        <v>#N/A N/A</v>
        <stp/>
        <stp>BDP|5044319391088458035</stp>
        <tr r="A2234" s="2"/>
      </tp>
      <tp t="s">
        <v>#N/A N/A</v>
        <stp/>
        <stp>BDP|4762226676701534719</stp>
        <tr r="C4929" s="2"/>
      </tp>
      <tp t="s">
        <v>#N/A N/A</v>
        <stp/>
        <stp>BDP|1556373382959552427</stp>
        <tr r="D807" s="2"/>
      </tp>
      <tp t="s">
        <v>#N/A N/A</v>
        <stp/>
        <stp>BDP|6967953920098295291</stp>
        <tr r="C695" s="2"/>
      </tp>
      <tp t="s">
        <v>#N/A N/A</v>
        <stp/>
        <stp>BDP|9094612758294709994</stp>
        <tr r="H2404" s="2"/>
      </tp>
      <tp t="s">
        <v>#N/A N/A</v>
        <stp/>
        <stp>BDP|2407325951080593350</stp>
        <tr r="H1890" s="2"/>
      </tp>
      <tp t="s">
        <v>#N/A N/A</v>
        <stp/>
        <stp>BDP|5394862925090675810</stp>
        <tr r="I3199" s="2"/>
      </tp>
      <tp t="s">
        <v>#N/A N/A</v>
        <stp/>
        <stp>BDP|2308506531296609538</stp>
        <tr r="C3663" s="2"/>
      </tp>
      <tp t="s">
        <v>#N/A N/A</v>
        <stp/>
        <stp>BDP|6925027725367899413</stp>
        <tr r="G2876" s="2"/>
      </tp>
      <tp t="s">
        <v>#N/A N/A</v>
        <stp/>
        <stp>BDP|2761583419892322323</stp>
        <tr r="I3875" s="2"/>
      </tp>
      <tp t="s">
        <v>#N/A N/A</v>
        <stp/>
        <stp>BDP|3133469508314119494</stp>
        <tr r="F792" s="2"/>
      </tp>
      <tp t="s">
        <v>#N/A N/A</v>
        <stp/>
        <stp>BDP|6649027322857961481</stp>
        <tr r="C4839" s="2"/>
      </tp>
      <tp t="s">
        <v>#N/A N/A</v>
        <stp/>
        <stp>BDP|8553838323697711256</stp>
        <tr r="C3029" s="2"/>
      </tp>
      <tp t="s">
        <v>#N/A N/A</v>
        <stp/>
        <stp>BDP|7622629034514217150</stp>
        <tr r="H2268" s="2"/>
      </tp>
      <tp t="s">
        <v>#N/A N/A</v>
        <stp/>
        <stp>BDP|5858482838875832073</stp>
        <tr r="I2003" s="2"/>
      </tp>
      <tp t="s">
        <v>#N/A N/A</v>
        <stp/>
        <stp>BDP|5208244970263481451</stp>
        <tr r="H2010" s="2"/>
      </tp>
      <tp t="s">
        <v>#N/A N/A</v>
        <stp/>
        <stp>BDP|9432885262867970706</stp>
        <tr r="G2599" s="2"/>
      </tp>
      <tp t="s">
        <v>#N/A N/A</v>
        <stp/>
        <stp>BDP|7108294674076890332</stp>
        <tr r="A2817" s="2"/>
      </tp>
      <tp t="s">
        <v>#N/A N/A</v>
        <stp/>
        <stp>BDP|5973162769936661374</stp>
        <tr r="H439" s="2"/>
      </tp>
      <tp t="s">
        <v>#N/A N/A</v>
        <stp/>
        <stp>BDP|6605174846597664369</stp>
        <tr r="D200" s="2"/>
      </tp>
      <tp t="s">
        <v>#N/A N/A</v>
        <stp/>
        <stp>BDP|4881484307355554254</stp>
        <tr r="A723" s="2"/>
      </tp>
      <tp t="s">
        <v>#N/A N/A</v>
        <stp/>
        <stp>BDP|5107768649055057493</stp>
        <tr r="F2465" s="2"/>
      </tp>
      <tp t="s">
        <v>#N/A N/A</v>
        <stp/>
        <stp>BDP|5376661976806611521</stp>
        <tr r="D2199" s="2"/>
      </tp>
      <tp t="s">
        <v>#N/A N/A</v>
        <stp/>
        <stp>BDP|5059261354484757124</stp>
        <tr r="D4142" s="2"/>
      </tp>
      <tp t="s">
        <v>#N/A N/A</v>
        <stp/>
        <stp>BDP|6343923397515546447</stp>
        <tr r="B4287" s="2"/>
      </tp>
      <tp t="s">
        <v>#N/A N/A</v>
        <stp/>
        <stp>BDP|7257223586263976982</stp>
        <tr r="I2557" s="2"/>
      </tp>
      <tp t="s">
        <v>#N/A N/A</v>
        <stp/>
        <stp>BDP|5809535319146613034</stp>
        <tr r="C2213" s="2"/>
      </tp>
      <tp t="s">
        <v>#N/A N/A</v>
        <stp/>
        <stp>BDP|1805576278711589558</stp>
        <tr r="I3229" s="2"/>
      </tp>
      <tp t="s">
        <v>#N/A N/A</v>
        <stp/>
        <stp>BDP|8998987178125964478</stp>
        <tr r="I3039" s="2"/>
      </tp>
      <tp t="s">
        <v>#N/A N/A</v>
        <stp/>
        <stp>BDP|3550017621662729457</stp>
        <tr r="D1971" s="2"/>
      </tp>
      <tp t="s">
        <v>#N/A N/A</v>
        <stp/>
        <stp>BDP|7314710095879198711</stp>
        <tr r="D3115" s="2"/>
      </tp>
      <tp t="s">
        <v>#N/A N/A</v>
        <stp/>
        <stp>BDP|1229422845103245505</stp>
        <tr r="D654" s="2"/>
      </tp>
      <tp t="s">
        <v>#N/A N/A</v>
        <stp/>
        <stp>BDP|3383349161041150004</stp>
        <tr r="C3474" s="2"/>
      </tp>
      <tp t="s">
        <v>#N/A N/A</v>
        <stp/>
        <stp>BDP|1129741734382774017</stp>
        <tr r="G3473" s="2"/>
      </tp>
      <tp t="s">
        <v>#N/A N/A</v>
        <stp/>
        <stp>BDP|5503945836718841086</stp>
        <tr r="F2227" s="2"/>
      </tp>
      <tp t="s">
        <v>#N/A N/A</v>
        <stp/>
        <stp>BDP|8639753042774765811</stp>
        <tr r="G468" s="2"/>
      </tp>
      <tp t="s">
        <v>#N/A N/A</v>
        <stp/>
        <stp>BDP|1060240649753867324</stp>
        <tr r="G124" s="2"/>
      </tp>
      <tp t="s">
        <v>#N/A N/A</v>
        <stp/>
        <stp>BDP|4366064462220226521</stp>
        <tr r="B640" s="2"/>
      </tp>
      <tp t="s">
        <v>#N/A N/A</v>
        <stp/>
        <stp>BDP|8462594506168570297</stp>
        <tr r="H1249" s="2"/>
      </tp>
      <tp t="s">
        <v>#N/A N/A</v>
        <stp/>
        <stp>BDP|3459404730897095433</stp>
        <tr r="C290" s="2"/>
      </tp>
      <tp t="s">
        <v>#N/A N/A</v>
        <stp/>
        <stp>BDP|1611187531273160791</stp>
        <tr r="B2616" s="2"/>
      </tp>
      <tp t="s">
        <v>#N/A N/A</v>
        <stp/>
        <stp>BDP|7402005451121159432</stp>
        <tr r="F4349" s="2"/>
      </tp>
      <tp t="s">
        <v>#N/A N/A</v>
        <stp/>
        <stp>BDP|3950181855411301103</stp>
        <tr r="C3031" s="2"/>
      </tp>
      <tp t="s">
        <v>#N/A N/A</v>
        <stp/>
        <stp>BDP|1054967049438011385</stp>
        <tr r="C4423" s="2"/>
      </tp>
      <tp t="s">
        <v>#N/A N/A</v>
        <stp/>
        <stp>BDP|1315502088838491380</stp>
        <tr r="G2808" s="2"/>
      </tp>
      <tp t="s">
        <v>#N/A N/A</v>
        <stp/>
        <stp>BDP|5852768408067487257</stp>
        <tr r="B2541" s="2"/>
      </tp>
      <tp t="s">
        <v>#N/A N/A</v>
        <stp/>
        <stp>BDP|1926106244065363690</stp>
        <tr r="C2792" s="2"/>
      </tp>
      <tp t="s">
        <v>#N/A N/A</v>
        <stp/>
        <stp>BDP|3378464963374456250</stp>
        <tr r="F4865" s="2"/>
      </tp>
      <tp t="s">
        <v>#N/A N/A</v>
        <stp/>
        <stp>BDP|5502133091413641966</stp>
        <tr r="A708" s="2"/>
      </tp>
      <tp t="s">
        <v>#N/A N/A</v>
        <stp/>
        <stp>BDP|2028284663541452083</stp>
        <tr r="F4863" s="2"/>
      </tp>
      <tp t="s">
        <v>#N/A N/A</v>
        <stp/>
        <stp>BDP|1137251612595173005</stp>
        <tr r="H2062" s="2"/>
      </tp>
      <tp t="s">
        <v>#N/A N/A</v>
        <stp/>
        <stp>BDP|5656215261373046513</stp>
        <tr r="H1941" s="2"/>
      </tp>
      <tp t="s">
        <v>#N/A N/A</v>
        <stp/>
        <stp>BDP|4173039594983168905</stp>
        <tr r="A1163" s="2"/>
      </tp>
      <tp t="s">
        <v>#N/A N/A</v>
        <stp/>
        <stp>BDP|4443371349872411698</stp>
        <tr r="D3244" s="2"/>
      </tp>
      <tp t="s">
        <v>#N/A N/A</v>
        <stp/>
        <stp>BDP|6061249726863526201</stp>
        <tr r="F1848" s="2"/>
      </tp>
      <tp t="s">
        <v>#N/A N/A</v>
        <stp/>
        <stp>BDP|6038505214125259016</stp>
        <tr r="H524" s="2"/>
      </tp>
      <tp t="s">
        <v>#N/A N/A</v>
        <stp/>
        <stp>BDP|6041680530087822372</stp>
        <tr r="C1369" s="2"/>
      </tp>
      <tp t="s">
        <v>#N/A N/A</v>
        <stp/>
        <stp>BDP|6762406017110359440</stp>
        <tr r="G2560" s="2"/>
      </tp>
      <tp t="s">
        <v>#N/A N/A</v>
        <stp/>
        <stp>BDP|2211236560977001669</stp>
        <tr r="G1109" s="2"/>
      </tp>
      <tp t="s">
        <v>#N/A N/A</v>
        <stp/>
        <stp>BDP|1462097266166815646</stp>
        <tr r="H1847" s="2"/>
      </tp>
      <tp t="s">
        <v>#N/A N/A</v>
        <stp/>
        <stp>BDP|3948080045419613956</stp>
        <tr r="F2722" s="2"/>
      </tp>
      <tp t="s">
        <v>#N/A N/A</v>
        <stp/>
        <stp>BDP|7748623647741430314</stp>
        <tr r="G1333" s="2"/>
      </tp>
      <tp t="s">
        <v>#N/A N/A</v>
        <stp/>
        <stp>BDP|4296036052405787335</stp>
        <tr r="F232" s="2"/>
      </tp>
      <tp t="s">
        <v>#N/A N/A</v>
        <stp/>
        <stp>BDP|2544403240374142136</stp>
        <tr r="I4904" s="2"/>
      </tp>
      <tp t="s">
        <v>#N/A N/A</v>
        <stp/>
        <stp>BDP|7339595150736926645</stp>
        <tr r="B4235" s="2"/>
      </tp>
      <tp t="s">
        <v>#N/A N/A</v>
        <stp/>
        <stp>BDP|4210759174012255154</stp>
        <tr r="G3274" s="2"/>
      </tp>
      <tp t="s">
        <v>#N/A N/A</v>
        <stp/>
        <stp>BDP|2155922102049380566</stp>
        <tr r="C2810" s="2"/>
      </tp>
      <tp t="s">
        <v>#N/A N/A</v>
        <stp/>
        <stp>BDP|6544069790711543927</stp>
        <tr r="G2231" s="2"/>
      </tp>
      <tp t="s">
        <v>#N/A N/A</v>
        <stp/>
        <stp>BDP|6129500882725441938</stp>
        <tr r="B1524" s="2"/>
      </tp>
      <tp t="s">
        <v>#N/A N/A</v>
        <stp/>
        <stp>BDP|1447518064151518405</stp>
        <tr r="B777" s="2"/>
      </tp>
      <tp t="s">
        <v>#N/A N/A</v>
        <stp/>
        <stp>BDP|8462550760968077453</stp>
        <tr r="B89" s="2"/>
      </tp>
      <tp t="s">
        <v>#N/A N/A</v>
        <stp/>
        <stp>BDP|9275859321657507373</stp>
        <tr r="C4534" s="2"/>
      </tp>
      <tp t="s">
        <v>#N/A N/A</v>
        <stp/>
        <stp>BDP|5575472293748306769</stp>
        <tr r="I1522" s="2"/>
      </tp>
      <tp t="s">
        <v>#N/A N/A</v>
        <stp/>
        <stp>BDP|7855796650472058059</stp>
        <tr r="A944" s="2"/>
      </tp>
      <tp t="s">
        <v>#N/A N/A</v>
        <stp/>
        <stp>BDP|1345368735385467302</stp>
        <tr r="G2251" s="2"/>
      </tp>
      <tp t="s">
        <v>#N/A N/A</v>
        <stp/>
        <stp>BDP|2041578815062131374</stp>
        <tr r="A734" s="2"/>
      </tp>
      <tp t="s">
        <v>#N/A N/A</v>
        <stp/>
        <stp>BDP|6750858186000948192</stp>
        <tr r="C2805" s="2"/>
      </tp>
      <tp t="s">
        <v>#N/A N/A</v>
        <stp/>
        <stp>BDP|4601437195076453808</stp>
        <tr r="A4769" s="2"/>
      </tp>
      <tp t="s">
        <v>#N/A N/A</v>
        <stp/>
        <stp>BDP|9080772584135593428</stp>
        <tr r="C142" s="2"/>
      </tp>
      <tp t="s">
        <v>#N/A N/A</v>
        <stp/>
        <stp>BDP|5473503906597199072</stp>
        <tr r="B2156" s="2"/>
      </tp>
      <tp t="s">
        <v>#N/A N/A</v>
        <stp/>
        <stp>BDP|2646641592038686220</stp>
        <tr r="I3095" s="2"/>
      </tp>
      <tp t="s">
        <v>#N/A N/A</v>
        <stp/>
        <stp>BDP|6226541744889618907</stp>
        <tr r="I4661" s="2"/>
      </tp>
      <tp t="s">
        <v>#N/A N/A</v>
        <stp/>
        <stp>BDP|1146768760165145224</stp>
        <tr r="B750" s="2"/>
      </tp>
      <tp t="s">
        <v>#N/A N/A</v>
        <stp/>
        <stp>BDP|9022538084580228310</stp>
        <tr r="G2958" s="2"/>
      </tp>
      <tp t="s">
        <v>#N/A N/A</v>
        <stp/>
        <stp>BDP|5921676100994243084</stp>
        <tr r="A1812" s="2"/>
      </tp>
      <tp t="s">
        <v>#N/A N/A</v>
        <stp/>
        <stp>BDP|2886436179781654701</stp>
        <tr r="I3814" s="2"/>
      </tp>
      <tp t="s">
        <v>#N/A N/A</v>
        <stp/>
        <stp>BDP|9577045277871279800</stp>
        <tr r="A473" s="2"/>
      </tp>
      <tp t="s">
        <v>#N/A N/A</v>
        <stp/>
        <stp>BDP|6684622634334324077</stp>
        <tr r="A2965" s="2"/>
      </tp>
      <tp t="s">
        <v>#N/A N/A</v>
        <stp/>
        <stp>BDP|7429486058965673466</stp>
        <tr r="B4637" s="2"/>
      </tp>
      <tp t="s">
        <v>#N/A N/A</v>
        <stp/>
        <stp>BDP|1414394978154605678</stp>
        <tr r="C543" s="2"/>
      </tp>
      <tp t="s">
        <v>#N/A N/A</v>
        <stp/>
        <stp>BDP|9320909190799660716</stp>
        <tr r="F1036" s="2"/>
      </tp>
      <tp t="s">
        <v>#N/A N/A</v>
        <stp/>
        <stp>BDP|9990637688991637108</stp>
        <tr r="B3061" s="2"/>
      </tp>
      <tp t="s">
        <v>#N/A N/A</v>
        <stp/>
        <stp>BDP|7670471012502689717</stp>
        <tr r="D2621" s="2"/>
      </tp>
      <tp t="s">
        <v>#N/A N/A</v>
        <stp/>
        <stp>BDP|9890480328760480889</stp>
        <tr r="F3338" s="2"/>
      </tp>
      <tp t="s">
        <v>#N/A N/A</v>
        <stp/>
        <stp>BDP|4862770150439297894</stp>
        <tr r="C1702" s="2"/>
      </tp>
      <tp t="s">
        <v>#N/A N/A</v>
        <stp/>
        <stp>BDP|7446918659369016581</stp>
        <tr r="B1028" s="2"/>
      </tp>
      <tp t="s">
        <v>#N/A N/A</v>
        <stp/>
        <stp>BDP|8686964850177159457</stp>
        <tr r="F2779" s="2"/>
      </tp>
      <tp t="s">
        <v>#N/A N/A</v>
        <stp/>
        <stp>BDP|9050421526678980095</stp>
        <tr r="G1354" s="2"/>
      </tp>
      <tp t="s">
        <v>#N/A N/A</v>
        <stp/>
        <stp>BDP|2677879504008701561</stp>
        <tr r="A3690" s="2"/>
      </tp>
      <tp t="s">
        <v>#N/A N/A</v>
        <stp/>
        <stp>BDP|5687504548892222189</stp>
        <tr r="H2738" s="2"/>
      </tp>
      <tp t="s">
        <v>#N/A N/A</v>
        <stp/>
        <stp>BDP|1409342292768096463</stp>
        <tr r="F1526" s="2"/>
      </tp>
      <tp t="s">
        <v>#N/A N/A</v>
        <stp/>
        <stp>BDP|2610599276803994447</stp>
        <tr r="D4135" s="2"/>
      </tp>
      <tp t="s">
        <v>#N/A N/A</v>
        <stp/>
        <stp>BDP|6881911599618165957</stp>
        <tr r="H4653" s="2"/>
      </tp>
      <tp t="s">
        <v>#N/A N/A</v>
        <stp/>
        <stp>BDP|5452648710440220565</stp>
        <tr r="D1173" s="2"/>
      </tp>
      <tp t="s">
        <v>#N/A N/A</v>
        <stp/>
        <stp>BDP|5612063120419791931</stp>
        <tr r="C1958" s="2"/>
      </tp>
      <tp t="s">
        <v>#N/A N/A</v>
        <stp/>
        <stp>BDP|2113149424725428313</stp>
        <tr r="F2817" s="2"/>
      </tp>
      <tp t="s">
        <v>#N/A N/A</v>
        <stp/>
        <stp>BDP|3999696728509553991</stp>
        <tr r="I729" s="2"/>
      </tp>
      <tp t="s">
        <v>#N/A N/A</v>
        <stp/>
        <stp>BDP|8160694079687725928</stp>
        <tr r="I3928" s="2"/>
      </tp>
      <tp t="s">
        <v>#N/A N/A</v>
        <stp/>
        <stp>BDP|1079718346042136722</stp>
        <tr r="D1618" s="2"/>
      </tp>
      <tp t="s">
        <v>#N/A N/A</v>
        <stp/>
        <stp>BDP|2177973956620308973</stp>
        <tr r="G3611" s="2"/>
      </tp>
      <tp t="s">
        <v>#N/A N/A</v>
        <stp/>
        <stp>BDP|5336052057566404115</stp>
        <tr r="C298" s="2"/>
      </tp>
      <tp t="s">
        <v>#N/A N/A</v>
        <stp/>
        <stp>BDP|1066511647745483269</stp>
        <tr r="H255" s="2"/>
      </tp>
      <tp t="s">
        <v>#N/A N/A</v>
        <stp/>
        <stp>BDP|6791370022376496622</stp>
        <tr r="D3601" s="2"/>
      </tp>
      <tp t="s">
        <v>#N/A N/A</v>
        <stp/>
        <stp>BDP|7407864552819783435</stp>
        <tr r="D1823" s="2"/>
      </tp>
      <tp t="s">
        <v>#N/A N/A</v>
        <stp/>
        <stp>BDP|3670556920966610518</stp>
        <tr r="A3515" s="2"/>
      </tp>
      <tp t="s">
        <v>#N/A N/A</v>
        <stp/>
        <stp>BDP|3996276263428099893</stp>
        <tr r="A1775" s="2"/>
      </tp>
      <tp t="s">
        <v>#N/A N/A</v>
        <stp/>
        <stp>BDP|4475446256484670643</stp>
        <tr r="I2649" s="2"/>
      </tp>
      <tp t="s">
        <v>#N/A N/A</v>
        <stp/>
        <stp>BDP|9938729699878351856</stp>
        <tr r="I1659" s="2"/>
      </tp>
      <tp t="s">
        <v>#N/A N/A</v>
        <stp/>
        <stp>BDP|9928928381547865868</stp>
        <tr r="A3715" s="2"/>
      </tp>
      <tp t="s">
        <v>#N/A N/A</v>
        <stp/>
        <stp>BDP|1193181417937993138</stp>
        <tr r="C478" s="2"/>
      </tp>
      <tp t="s">
        <v>#N/A N/A</v>
        <stp/>
        <stp>BDP|7086659557533370053</stp>
        <tr r="C4445" s="2"/>
      </tp>
      <tp t="s">
        <v>#N/A N/A</v>
        <stp/>
        <stp>BDP|1091687029633318169</stp>
        <tr r="C4550" s="2"/>
      </tp>
      <tp t="s">
        <v>#N/A N/A</v>
        <stp/>
        <stp>BDP|8404754510279465013</stp>
        <tr r="B888" s="2"/>
      </tp>
      <tp t="s">
        <v>#N/A N/A</v>
        <stp/>
        <stp>BDP|4706707847314215466</stp>
        <tr r="H553" s="2"/>
      </tp>
      <tp t="s">
        <v>#N/A N/A</v>
        <stp/>
        <stp>BDP|5060085563921693591</stp>
        <tr r="A3375" s="2"/>
      </tp>
      <tp t="s">
        <v>#N/A N/A</v>
        <stp/>
        <stp>BDP|8727324734128647731</stp>
        <tr r="D3337" s="2"/>
      </tp>
      <tp t="s">
        <v>#N/A N/A</v>
        <stp/>
        <stp>BDP|6582757597279787647</stp>
        <tr r="A4737" s="2"/>
      </tp>
      <tp t="s">
        <v>#N/A N/A</v>
        <stp/>
        <stp>BDP|4855367645525913164</stp>
        <tr r="D3772" s="2"/>
      </tp>
      <tp t="s">
        <v>#N/A N/A</v>
        <stp/>
        <stp>BDP|6386009947323076607</stp>
        <tr r="A4217" s="2"/>
      </tp>
      <tp t="s">
        <v>#N/A N/A</v>
        <stp/>
        <stp>BDP|1604306348260867127</stp>
        <tr r="A1837" s="2"/>
      </tp>
      <tp t="s">
        <v>#N/A N/A</v>
        <stp/>
        <stp>BDP|4363848208462371988</stp>
        <tr r="C4361" s="2"/>
      </tp>
      <tp t="s">
        <v>#N/A N/A</v>
        <stp/>
        <stp>BDP|1317807297051907693</stp>
        <tr r="C2405" s="2"/>
      </tp>
      <tp t="s">
        <v>#N/A N/A</v>
        <stp/>
        <stp>BDP|5594768728670705782</stp>
        <tr r="F4846" s="2"/>
      </tp>
      <tp t="s">
        <v>#N/A N/A</v>
        <stp/>
        <stp>BDP|1322527964973911688</stp>
        <tr r="A4825" s="2"/>
      </tp>
      <tp t="s">
        <v>#N/A N/A</v>
        <stp/>
        <stp>BDP|9626680863018950602</stp>
        <tr r="G4490" s="2"/>
      </tp>
      <tp t="s">
        <v>#N/A N/A</v>
        <stp/>
        <stp>BDP|8327062782514327303</stp>
        <tr r="A4888" s="2"/>
      </tp>
      <tp t="s">
        <v>#N/A N/A</v>
        <stp/>
        <stp>BDP|9423891585868586697</stp>
        <tr r="D2897" s="2"/>
      </tp>
      <tp t="s">
        <v>#N/A N/A</v>
        <stp/>
        <stp>BDP|5715094742110844604</stp>
        <tr r="H4190" s="2"/>
      </tp>
      <tp t="s">
        <v>#N/A N/A</v>
        <stp/>
        <stp>BDP|1375223314025656075</stp>
        <tr r="D4903" s="2"/>
      </tp>
      <tp t="s">
        <v>#N/A N/A</v>
        <stp/>
        <stp>BDP|2238368346577082562</stp>
        <tr r="D1798" s="2"/>
      </tp>
      <tp t="s">
        <v>#N/A N/A</v>
        <stp/>
        <stp>BDP|5892370798088257018</stp>
        <tr r="C1520" s="2"/>
      </tp>
      <tp t="s">
        <v>#N/A N/A</v>
        <stp/>
        <stp>BDP|3168805110564654937</stp>
        <tr r="D3688" s="2"/>
      </tp>
      <tp t="s">
        <v>#N/A N/A</v>
        <stp/>
        <stp>BDP|1345353513052480658</stp>
        <tr r="G1997" s="2"/>
      </tp>
      <tp t="s">
        <v>#N/A N/A</v>
        <stp/>
        <stp>BDP|5137644881165948995</stp>
        <tr r="B4176" s="2"/>
      </tp>
      <tp t="s">
        <v>#N/A N/A</v>
        <stp/>
        <stp>BDP|2696735700567868598</stp>
        <tr r="I423" s="2"/>
      </tp>
      <tp t="s">
        <v>#N/A N/A</v>
        <stp/>
        <stp>BDP|1335365315540528416</stp>
        <tr r="A1161" s="2"/>
      </tp>
      <tp t="s">
        <v>#N/A N/A</v>
        <stp/>
        <stp>BDP|2720271173737234751</stp>
        <tr r="D3624" s="2"/>
      </tp>
      <tp t="s">
        <v>#N/A N/A</v>
        <stp/>
        <stp>BDP|3961945076273800977</stp>
        <tr r="C3919" s="2"/>
      </tp>
      <tp t="s">
        <v>#N/A N/A</v>
        <stp/>
        <stp>BDP|8200915274525637455</stp>
        <tr r="D4547" s="2"/>
      </tp>
      <tp t="s">
        <v>#N/A N/A</v>
        <stp/>
        <stp>BDP|5056909575445403941</stp>
        <tr r="G3141" s="2"/>
      </tp>
      <tp t="s">
        <v>#N/A N/A</v>
        <stp/>
        <stp>BDP|6547768767632831290</stp>
        <tr r="I3943" s="2"/>
      </tp>
      <tp t="s">
        <v>#N/A N/A</v>
        <stp/>
        <stp>BDP|1302108261983407238</stp>
        <tr r="D2813" s="2"/>
      </tp>
      <tp t="s">
        <v>#N/A N/A</v>
        <stp/>
        <stp>BDP|8566524334761796814</stp>
        <tr r="C4415" s="2"/>
      </tp>
      <tp t="s">
        <v>#N/A N/A</v>
        <stp/>
        <stp>BDP|5999707206394905135</stp>
        <tr r="A1076" s="2"/>
      </tp>
      <tp t="s">
        <v>#N/A N/A</v>
        <stp/>
        <stp>BDP|5560029851704359305</stp>
        <tr r="A618" s="2"/>
      </tp>
      <tp t="s">
        <v>#N/A N/A</v>
        <stp/>
        <stp>BDP|8168755392979050837</stp>
        <tr r="B1428" s="2"/>
      </tp>
      <tp t="s">
        <v>#N/A N/A</v>
        <stp/>
        <stp>BDP|2391168076202129179</stp>
        <tr r="A266" s="2"/>
      </tp>
      <tp t="s">
        <v>#N/A N/A</v>
        <stp/>
        <stp>BDP|6328227206977536477</stp>
        <tr r="C1154" s="2"/>
      </tp>
      <tp t="s">
        <v>#N/A N/A</v>
        <stp/>
        <stp>BDP|8241877444871469205</stp>
        <tr r="H310" s="2"/>
      </tp>
      <tp t="s">
        <v>#N/A N/A</v>
        <stp/>
        <stp>BDP|3029200970936424712</stp>
        <tr r="C3896" s="2"/>
      </tp>
      <tp t="s">
        <v>#N/A N/A</v>
        <stp/>
        <stp>BDP|4395365246710151475</stp>
        <tr r="H1629" s="2"/>
      </tp>
      <tp t="s">
        <v>#N/A N/A</v>
        <stp/>
        <stp>BDP|4751770829895432385</stp>
        <tr r="G623" s="2"/>
      </tp>
      <tp t="s">
        <v>#N/A N/A</v>
        <stp/>
        <stp>BDP|5992688203866132260</stp>
        <tr r="A3390" s="2"/>
      </tp>
      <tp t="s">
        <v>#N/A N/A</v>
        <stp/>
        <stp>BDP|6623908885479428926</stp>
        <tr r="G4007" s="2"/>
      </tp>
      <tp t="s">
        <v>#N/A N/A</v>
        <stp/>
        <stp>BDP|2248341143903558153</stp>
        <tr r="D4254" s="2"/>
      </tp>
      <tp t="s">
        <v>#N/A N/A</v>
        <stp/>
        <stp>BDP|7722714375984254440</stp>
        <tr r="H1915" s="2"/>
      </tp>
      <tp t="s">
        <v>#N/A N/A</v>
        <stp/>
        <stp>BDP|6192125056482964794</stp>
        <tr r="C3270" s="2"/>
      </tp>
      <tp t="s">
        <v>#N/A N/A</v>
        <stp/>
        <stp>BDP|2458406981800379936</stp>
        <tr r="A2500" s="2"/>
      </tp>
      <tp t="s">
        <v>#N/A N/A</v>
        <stp/>
        <stp>BDP|7369976843428089526</stp>
        <tr r="D2135" s="2"/>
      </tp>
      <tp t="s">
        <v>#N/A N/A</v>
        <stp/>
        <stp>BDP|9007996156731994335</stp>
        <tr r="A4410" s="2"/>
      </tp>
      <tp t="s">
        <v>#N/A N/A</v>
        <stp/>
        <stp>BDP|1195343503111353403</stp>
        <tr r="A2227" s="2"/>
      </tp>
      <tp t="s">
        <v>#N/A N/A</v>
        <stp/>
        <stp>BDP|1528734225526486526</stp>
        <tr r="F4775" s="2"/>
      </tp>
      <tp t="s">
        <v>#N/A N/A</v>
        <stp/>
        <stp>BDP|5206109933475770537</stp>
        <tr r="H4" s="2"/>
      </tp>
      <tp t="s">
        <v>#N/A N/A</v>
        <stp/>
        <stp>BDP|2149370253811303231</stp>
        <tr r="C4287" s="2"/>
      </tp>
      <tp t="s">
        <v>#N/A N/A</v>
        <stp/>
        <stp>BDP|1106764335284297652</stp>
        <tr r="B3083" s="2"/>
      </tp>
      <tp t="s">
        <v>#N/A N/A</v>
        <stp/>
        <stp>BDP|9894734969158572726</stp>
        <tr r="H602" s="2"/>
      </tp>
      <tp t="s">
        <v>#N/A N/A</v>
        <stp/>
        <stp>BDP|8264905936774993181</stp>
        <tr r="B1350" s="2"/>
      </tp>
      <tp t="s">
        <v>#N/A N/A</v>
        <stp/>
        <stp>BDP|9004190926054382994</stp>
        <tr r="A1714" s="2"/>
      </tp>
      <tp t="s">
        <v>#N/A N/A</v>
        <stp/>
        <stp>BDP|4168636504475081030</stp>
        <tr r="C660" s="2"/>
      </tp>
      <tp t="s">
        <v>#N/A N/A</v>
        <stp/>
        <stp>BDP|8674943782948123640</stp>
        <tr r="H4181" s="2"/>
      </tp>
      <tp t="s">
        <v>#N/A N/A</v>
        <stp/>
        <stp>BDP|6140618073864131478</stp>
        <tr r="A4274" s="2"/>
      </tp>
      <tp t="s">
        <v>#N/A N/A</v>
        <stp/>
        <stp>BDP|2908098414253704765</stp>
        <tr r="B1455" s="2"/>
      </tp>
      <tp t="s">
        <v>#N/A N/A</v>
        <stp/>
        <stp>BDP|3496986408254933980</stp>
        <tr r="F2014" s="2"/>
      </tp>
      <tp t="s">
        <v>#N/A N/A</v>
        <stp/>
        <stp>BDP|7956185703663090271</stp>
        <tr r="A564" s="2"/>
      </tp>
      <tp t="s">
        <v>#N/A N/A</v>
        <stp/>
        <stp>BDP|8491100170208740161</stp>
        <tr r="D4034" s="2"/>
      </tp>
      <tp t="s">
        <v>#N/A N/A</v>
        <stp/>
        <stp>BDP|6419411456962438224</stp>
        <tr r="D3412" s="2"/>
      </tp>
      <tp t="s">
        <v>#N/A N/A</v>
        <stp/>
        <stp>BDP|6786080986509973054</stp>
        <tr r="B2477" s="2"/>
      </tp>
      <tp t="s">
        <v>#N/A N/A</v>
        <stp/>
        <stp>BDP|3509299436413711682</stp>
        <tr r="A2538" s="2"/>
      </tp>
      <tp t="s">
        <v>#N/A N/A</v>
        <stp/>
        <stp>BDP|4281098039415305545</stp>
        <tr r="G2640" s="2"/>
      </tp>
      <tp t="s">
        <v>#N/A N/A</v>
        <stp/>
        <stp>BDP|1274365174213263177</stp>
        <tr r="G3687" s="2"/>
      </tp>
      <tp t="s">
        <v>#N/A N/A</v>
        <stp/>
        <stp>BDP|6048478950748182832</stp>
        <tr r="A1185" s="2"/>
      </tp>
      <tp t="s">
        <v>#N/A N/A</v>
        <stp/>
        <stp>BDP|6316709922183314779</stp>
        <tr r="F2721" s="2"/>
      </tp>
      <tp t="s">
        <v>#N/A N/A</v>
        <stp/>
        <stp>BDP|6400181018614942582</stp>
        <tr r="G4099" s="2"/>
      </tp>
      <tp t="s">
        <v>#N/A N/A</v>
        <stp/>
        <stp>BDP|4771191910082209197</stp>
        <tr r="B3748" s="2"/>
      </tp>
      <tp t="s">
        <v>#N/A N/A</v>
        <stp/>
        <stp>BDP|2769370964333366323</stp>
        <tr r="C2710" s="2"/>
      </tp>
      <tp t="s">
        <v>#N/A N/A</v>
        <stp/>
        <stp>BDP|8300902774732342311</stp>
        <tr r="I1381" s="2"/>
      </tp>
      <tp t="s">
        <v>#N/A N/A</v>
        <stp/>
        <stp>BDP|6440970340275716917</stp>
        <tr r="A1260" s="2"/>
      </tp>
      <tp t="s">
        <v>#N/A N/A</v>
        <stp/>
        <stp>BDP|5575817959408923716</stp>
        <tr r="G718" s="2"/>
      </tp>
      <tp t="s">
        <v>#N/A N/A</v>
        <stp/>
        <stp>BDP|5337192237763158393</stp>
        <tr r="D1283" s="2"/>
      </tp>
      <tp t="s">
        <v>#N/A N/A</v>
        <stp/>
        <stp>BDP|2967288013970116665</stp>
        <tr r="A4172" s="2"/>
      </tp>
      <tp t="s">
        <v>#N/A N/A</v>
        <stp/>
        <stp>BDP|1007617565456476057</stp>
        <tr r="A1597" s="2"/>
      </tp>
      <tp t="s">
        <v>#N/A N/A</v>
        <stp/>
        <stp>BDP|4496510136960549537</stp>
        <tr r="I4964" s="2"/>
      </tp>
      <tp t="s">
        <v>#N/A N/A</v>
        <stp/>
        <stp>BDP|6197103870940202760</stp>
        <tr r="G3162" s="2"/>
      </tp>
      <tp t="s">
        <v>#N/A N/A</v>
        <stp/>
        <stp>BDP|5026474677085443411</stp>
        <tr r="D4164" s="2"/>
      </tp>
      <tp t="s">
        <v>#N/A N/A</v>
        <stp/>
        <stp>BDP|8235115080227402126</stp>
        <tr r="G2840" s="2"/>
      </tp>
      <tp t="s">
        <v>#N/A N/A</v>
        <stp/>
        <stp>BDP|9362720069217436895</stp>
        <tr r="G2245" s="2"/>
      </tp>
      <tp t="s">
        <v>#N/A N/A</v>
        <stp/>
        <stp>BDP|6822327147304125296</stp>
        <tr r="I2694" s="2"/>
      </tp>
      <tp t="s">
        <v>#N/A N/A</v>
        <stp/>
        <stp>BDP|3749506737257607532</stp>
        <tr r="D3197" s="2"/>
      </tp>
      <tp t="s">
        <v>#N/A N/A</v>
        <stp/>
        <stp>BDP|1959076662648162881</stp>
        <tr r="D3441" s="2"/>
      </tp>
      <tp t="s">
        <v>#N/A N/A</v>
        <stp/>
        <stp>BDP|5299453981926118820</stp>
        <tr r="I2596" s="2"/>
      </tp>
      <tp t="s">
        <v>#N/A N/A</v>
        <stp/>
        <stp>BDP|4859811949577712825</stp>
        <tr r="C2854" s="2"/>
      </tp>
      <tp t="s">
        <v>#N/A N/A</v>
        <stp/>
        <stp>BDP|4833433239442392648</stp>
        <tr r="B1471" s="2"/>
      </tp>
      <tp t="s">
        <v>#N/A N/A</v>
        <stp/>
        <stp>BDP|5962175426548805953</stp>
        <tr r="I2767" s="2"/>
      </tp>
      <tp t="s">
        <v>#N/A N/A</v>
        <stp/>
        <stp>BDP|1659677016089713856</stp>
        <tr r="F759" s="2"/>
      </tp>
      <tp t="s">
        <v>#N/A N/A</v>
        <stp/>
        <stp>BDP|1517227864140637201</stp>
        <tr r="C3452" s="2"/>
      </tp>
      <tp t="s">
        <v>#N/A N/A</v>
        <stp/>
        <stp>BDP|4522036121091707051</stp>
        <tr r="H3630" s="2"/>
      </tp>
      <tp t="s">
        <v>#N/A N/A</v>
        <stp/>
        <stp>BDP|4358900891084546724</stp>
        <tr r="F1292" s="2"/>
      </tp>
      <tp t="s">
        <v>#N/A N/A</v>
        <stp/>
        <stp>BDP|4752860884531716274</stp>
        <tr r="B4373" s="2"/>
      </tp>
      <tp t="s">
        <v>#N/A N/A</v>
        <stp/>
        <stp>BDP|8686879861149142841</stp>
        <tr r="H1702" s="2"/>
      </tp>
      <tp t="s">
        <v>#N/A N/A</v>
        <stp/>
        <stp>BDP|2982819488243076650</stp>
        <tr r="H3637" s="2"/>
      </tp>
      <tp t="s">
        <v>#N/A N/A</v>
        <stp/>
        <stp>BDP|4625662677567261507</stp>
        <tr r="B264" s="2"/>
      </tp>
      <tp t="s">
        <v>#N/A N/A</v>
        <stp/>
        <stp>BDP|4640812329880299993</stp>
        <tr r="C3230" s="2"/>
      </tp>
      <tp t="s">
        <v>#N/A N/A</v>
        <stp/>
        <stp>BDP|8927321690171605486</stp>
        <tr r="C4017" s="2"/>
      </tp>
      <tp t="s">
        <v>#N/A N/A</v>
        <stp/>
        <stp>BDP|1367804967490011810</stp>
        <tr r="G136" s="2"/>
      </tp>
      <tp t="s">
        <v>#N/A N/A</v>
        <stp/>
        <stp>BDP|5210731327946561168</stp>
        <tr r="D3778" s="2"/>
      </tp>
      <tp t="s">
        <v>#N/A N/A</v>
        <stp/>
        <stp>BDP|1084391279850734225</stp>
        <tr r="G4669" s="2"/>
      </tp>
      <tp t="s">
        <v>#N/A N/A</v>
        <stp/>
        <stp>BDP|4643832129721912807</stp>
        <tr r="F2425" s="2"/>
      </tp>
      <tp t="s">
        <v>#N/A N/A</v>
        <stp/>
        <stp>BDP|3612701730195103526</stp>
        <tr r="D4946" s="2"/>
      </tp>
      <tp t="s">
        <v>#N/A N/A</v>
        <stp/>
        <stp>BDP|5346167456592702411</stp>
        <tr r="B4509" s="2"/>
      </tp>
      <tp t="s">
        <v>#N/A N/A</v>
        <stp/>
        <stp>BDP|9762034992235611256</stp>
        <tr r="A3003" s="2"/>
      </tp>
      <tp t="s">
        <v>#N/A N/A</v>
        <stp/>
        <stp>BDP|2314635805675800685</stp>
        <tr r="I3809" s="2"/>
      </tp>
      <tp t="s">
        <v>#N/A N/A</v>
        <stp/>
        <stp>BDP|6370565882648469464</stp>
        <tr r="C1139" s="2"/>
      </tp>
      <tp t="s">
        <v>#N/A N/A</v>
        <stp/>
        <stp>BDP|3216723362677014273</stp>
        <tr r="C1075" s="2"/>
      </tp>
      <tp t="s">
        <v>#N/A N/A</v>
        <stp/>
        <stp>BDP|6749471329842928559</stp>
        <tr r="G2315" s="2"/>
      </tp>
      <tp t="s">
        <v>#N/A N/A</v>
        <stp/>
        <stp>BDP|3536538166065586205</stp>
        <tr r="I454" s="2"/>
      </tp>
      <tp t="s">
        <v>#N/A N/A</v>
        <stp/>
        <stp>BDP|5329800261494122862</stp>
        <tr r="I909" s="2"/>
      </tp>
      <tp t="s">
        <v>#N/A N/A</v>
        <stp/>
        <stp>BDP|7151702760668540913</stp>
        <tr r="B2646" s="2"/>
      </tp>
      <tp t="s">
        <v>#N/A N/A</v>
        <stp/>
        <stp>BDP|1577145034036615265</stp>
        <tr r="B1498" s="2"/>
      </tp>
      <tp t="s">
        <v>#N/A N/A</v>
        <stp/>
        <stp>BDP|3701512573422715471</stp>
        <tr r="I4128" s="2"/>
      </tp>
      <tp t="s">
        <v>#N/A N/A</v>
        <stp/>
        <stp>BDP|9867083553738168372</stp>
        <tr r="H3997" s="2"/>
      </tp>
      <tp t="s">
        <v>#N/A N/A</v>
        <stp/>
        <stp>BDP|4349330001063455307</stp>
        <tr r="B2588" s="2"/>
      </tp>
      <tp t="s">
        <v>#N/A N/A</v>
        <stp/>
        <stp>BDP|3130514123877863310</stp>
        <tr r="A3948" s="2"/>
      </tp>
      <tp t="s">
        <v>#N/A N/A</v>
        <stp/>
        <stp>BDP|2231719350255098598</stp>
        <tr r="I2496" s="2"/>
      </tp>
      <tp t="s">
        <v>#N/A N/A</v>
        <stp/>
        <stp>BDP|9377840733047682587</stp>
        <tr r="F599" s="2"/>
      </tp>
      <tp t="s">
        <v>#N/A N/A</v>
        <stp/>
        <stp>BDP|1300282425695185454</stp>
        <tr r="H4466" s="2"/>
      </tp>
      <tp t="s">
        <v>#N/A N/A</v>
        <stp/>
        <stp>BDP|6163886006136189841</stp>
        <tr r="G554" s="2"/>
      </tp>
      <tp t="s">
        <v>#N/A N/A</v>
        <stp/>
        <stp>BDP|4752548700765095498</stp>
        <tr r="G2022" s="2"/>
      </tp>
      <tp t="s">
        <v>#N/A N/A</v>
        <stp/>
        <stp>BDP|6875309403474981189</stp>
        <tr r="G2852" s="2"/>
      </tp>
      <tp t="s">
        <v>#N/A N/A</v>
        <stp/>
        <stp>BDP|6272608259662345726</stp>
        <tr r="I707" s="2"/>
      </tp>
      <tp t="s">
        <v>#N/A N/A</v>
        <stp/>
        <stp>BDP|2635556018272346429</stp>
        <tr r="A1469" s="2"/>
      </tp>
      <tp t="s">
        <v>#N/A N/A</v>
        <stp/>
        <stp>BDP|9815918590778103124</stp>
        <tr r="F4938" s="2"/>
      </tp>
      <tp t="s">
        <v>#N/A N/A</v>
        <stp/>
        <stp>BDP|9194096285724417533</stp>
        <tr r="H47" s="2"/>
      </tp>
      <tp t="s">
        <v>#N/A N/A</v>
        <stp/>
        <stp>BDP|7129100419976206101</stp>
        <tr r="A4987" s="2"/>
      </tp>
      <tp t="s">
        <v>#N/A N/A</v>
        <stp/>
        <stp>BDP|8787960418555259512</stp>
        <tr r="B4868" s="2"/>
      </tp>
      <tp t="s">
        <v>#N/A N/A</v>
        <stp/>
        <stp>BDP|3561156157181921649</stp>
        <tr r="B4976" s="2"/>
      </tp>
      <tp t="s">
        <v>#N/A N/A</v>
        <stp/>
        <stp>BDP|7682286165090241330</stp>
        <tr r="H696" s="2"/>
      </tp>
      <tp t="s">
        <v>#N/A N/A</v>
        <stp/>
        <stp>BDP|3836855497927715573</stp>
        <tr r="F745" s="2"/>
      </tp>
      <tp t="s">
        <v>#N/A N/A</v>
        <stp/>
        <stp>BDP|8155037079539734669</stp>
        <tr r="A1782" s="2"/>
      </tp>
      <tp t="s">
        <v>#N/A N/A</v>
        <stp/>
        <stp>BDP|3920429972743651354</stp>
        <tr r="A3704" s="2"/>
      </tp>
      <tp t="s">
        <v>#N/A N/A</v>
        <stp/>
        <stp>BDP|6798211045617863715</stp>
        <tr r="C1609" s="2"/>
      </tp>
      <tp t="s">
        <v>#N/A N/A</v>
        <stp/>
        <stp>BDP|7525918089075568321</stp>
        <tr r="I813" s="2"/>
      </tp>
      <tp t="s">
        <v>#N/A N/A</v>
        <stp/>
        <stp>BDP|1376144439412195152</stp>
        <tr r="F1814" s="2"/>
      </tp>
      <tp t="s">
        <v>#N/A N/A</v>
        <stp/>
        <stp>BDP|3860207005419310848</stp>
        <tr r="I542" s="2"/>
      </tp>
      <tp t="s">
        <v>#N/A N/A</v>
        <stp/>
        <stp>BDP|5200182046820303056</stp>
        <tr r="B871" s="2"/>
      </tp>
      <tp t="s">
        <v>#N/A N/A</v>
        <stp/>
        <stp>BDP|5433196440639495936</stp>
        <tr r="I3025" s="2"/>
      </tp>
      <tp t="s">
        <v>#N/A N/A</v>
        <stp/>
        <stp>BDP|2841154842737238078</stp>
        <tr r="H1962" s="2"/>
      </tp>
      <tp t="s">
        <v>#N/A N/A</v>
        <stp/>
        <stp>BDP|1531195169002694490</stp>
        <tr r="D4060" s="2"/>
      </tp>
      <tp t="s">
        <v>#N/A N/A</v>
        <stp/>
        <stp>BDP|8646289181664124646</stp>
        <tr r="G904" s="2"/>
      </tp>
      <tp t="s">
        <v>#N/A N/A</v>
        <stp/>
        <stp>BDP|1943323277961068467</stp>
        <tr r="A675" s="2"/>
      </tp>
      <tp t="s">
        <v>#N/A N/A</v>
        <stp/>
        <stp>BDP|2611572549895167632</stp>
        <tr r="D3576" s="2"/>
      </tp>
      <tp t="s">
        <v>#N/A N/A</v>
        <stp/>
        <stp>BDP|2841258221492351052</stp>
        <tr r="B2405" s="2"/>
      </tp>
      <tp t="s">
        <v>#N/A N/A</v>
        <stp/>
        <stp>BDP|6732779076314918257</stp>
        <tr r="B4977" s="2"/>
      </tp>
      <tp t="s">
        <v>#N/A N/A</v>
        <stp/>
        <stp>BDP|8740790543279704208</stp>
        <tr r="D3886" s="2"/>
      </tp>
      <tp t="s">
        <v>#N/A N/A</v>
        <stp/>
        <stp>BDP|7183199019922266590</stp>
        <tr r="C4141" s="2"/>
      </tp>
      <tp t="s">
        <v>#N/A N/A</v>
        <stp/>
        <stp>BDP|4040437018472286331</stp>
        <tr r="A1435" s="2"/>
      </tp>
      <tp t="s">
        <v>#N/A N/A</v>
        <stp/>
        <stp>BDP|2048777696434880831</stp>
        <tr r="A4070" s="2"/>
      </tp>
      <tp t="s">
        <v>#N/A N/A</v>
        <stp/>
        <stp>BDP|4912508780108448172</stp>
        <tr r="A3868" s="2"/>
      </tp>
      <tp t="s">
        <v>#N/A N/A</v>
        <stp/>
        <stp>BDP|4860931928828035792</stp>
        <tr r="B4683" s="2"/>
      </tp>
      <tp t="s">
        <v>#N/A N/A</v>
        <stp/>
        <stp>BDP|9633681761999703025</stp>
        <tr r="D2921" s="2"/>
      </tp>
      <tp t="s">
        <v>#N/A N/A</v>
        <stp/>
        <stp>BDP|6898522452772422460</stp>
        <tr r="B4855" s="2"/>
      </tp>
      <tp t="s">
        <v>#N/A N/A</v>
        <stp/>
        <stp>BDP|7495181954246733557</stp>
        <tr r="H1773" s="2"/>
      </tp>
      <tp t="s">
        <v>#N/A N/A</v>
        <stp/>
        <stp>BDP|5257831685430966577</stp>
        <tr r="H2661" s="2"/>
      </tp>
      <tp t="s">
        <v>#N/A N/A</v>
        <stp/>
        <stp>BDP|6236160202133905453</stp>
        <tr r="D4435" s="2"/>
      </tp>
      <tp t="s">
        <v>#N/A N/A</v>
        <stp/>
        <stp>BDP|1068439609027581256</stp>
        <tr r="I4184" s="2"/>
      </tp>
      <tp t="s">
        <v>#N/A N/A</v>
        <stp/>
        <stp>BDP|4702152676364737692</stp>
        <tr r="F762" s="2"/>
      </tp>
      <tp t="s">
        <v>#N/A N/A</v>
        <stp/>
        <stp>BDP|8956676341963186942</stp>
        <tr r="B3186" s="2"/>
      </tp>
      <tp t="s">
        <v>#N/A N/A</v>
        <stp/>
        <stp>BDP|5376706928100528042</stp>
        <tr r="H2215" s="2"/>
      </tp>
      <tp t="s">
        <v>#N/A N/A</v>
        <stp/>
        <stp>BDP|3116132233756333787</stp>
        <tr r="G4528" s="2"/>
      </tp>
      <tp t="s">
        <v>#N/A N/A</v>
        <stp/>
        <stp>BDP|4976361621706512310</stp>
        <tr r="G4852" s="2"/>
      </tp>
      <tp t="s">
        <v>#N/A N/A</v>
        <stp/>
        <stp>BDP|4441510538090110265</stp>
        <tr r="I4466" s="2"/>
      </tp>
      <tp t="s">
        <v>#N/A N/A</v>
        <stp/>
        <stp>BDP|4968422870080865792</stp>
        <tr r="D4922" s="2"/>
      </tp>
      <tp t="s">
        <v>#N/A N/A</v>
        <stp/>
        <stp>BDP|8667883912047013664</stp>
        <tr r="F3236" s="2"/>
      </tp>
      <tp t="s">
        <v>#N/A N/A</v>
        <stp/>
        <stp>BDP|2492339180211419893</stp>
        <tr r="B1064" s="2"/>
      </tp>
      <tp t="s">
        <v>#N/A N/A</v>
        <stp/>
        <stp>BDP|9756487421337054847</stp>
        <tr r="D2964" s="2"/>
      </tp>
      <tp t="s">
        <v>#N/A N/A</v>
        <stp/>
        <stp>BDP|5869056963507113457</stp>
        <tr r="I2389" s="2"/>
      </tp>
      <tp t="s">
        <v>#N/A N/A</v>
        <stp/>
        <stp>BDP|6714488212340195361</stp>
        <tr r="I808" s="2"/>
      </tp>
      <tp t="s">
        <v>#N/A N/A</v>
        <stp/>
        <stp>BDP|9331675791355933364</stp>
        <tr r="F2341" s="2"/>
      </tp>
      <tp t="s">
        <v>#N/A N/A</v>
        <stp/>
        <stp>BDP|1595070059854533040</stp>
        <tr r="F2656" s="2"/>
      </tp>
      <tp t="s">
        <v>#N/A N/A</v>
        <stp/>
        <stp>BDP|1658293875794455046</stp>
        <tr r="H3755" s="2"/>
      </tp>
      <tp t="s">
        <v>#N/A N/A</v>
        <stp/>
        <stp>BDP|8005158986334182581</stp>
        <tr r="A4896" s="2"/>
      </tp>
      <tp t="s">
        <v>#N/A N/A</v>
        <stp/>
        <stp>BDP|2791273716918988959</stp>
        <tr r="C2860" s="2"/>
      </tp>
      <tp t="s">
        <v>#N/A N/A</v>
        <stp/>
        <stp>BDP|1599940748909027530</stp>
        <tr r="G2575" s="2"/>
      </tp>
      <tp t="s">
        <v>#N/A N/A</v>
        <stp/>
        <stp>BDP|3333045939118134851</stp>
        <tr r="G3747" s="2"/>
      </tp>
      <tp t="s">
        <v>#N/A N/A</v>
        <stp/>
        <stp>BDP|3231271179732747415</stp>
        <tr r="B417" s="2"/>
      </tp>
      <tp t="s">
        <v>#N/A N/A</v>
        <stp/>
        <stp>BDP|1421024532162975074</stp>
        <tr r="F2016" s="2"/>
      </tp>
      <tp t="s">
        <v>#N/A N/A</v>
        <stp/>
        <stp>BDP|5815896691625373192</stp>
        <tr r="H959" s="2"/>
      </tp>
      <tp t="s">
        <v>#N/A N/A</v>
        <stp/>
        <stp>BDP|7662974858418306302</stp>
        <tr r="B2582" s="2"/>
      </tp>
      <tp t="s">
        <v>#N/A N/A</v>
        <stp/>
        <stp>BDP|6842483138168603941</stp>
        <tr r="F369" s="2"/>
      </tp>
      <tp t="s">
        <v>#N/A N/A</v>
        <stp/>
        <stp>BDP|3486356410705385486</stp>
        <tr r="C1645" s="2"/>
      </tp>
      <tp t="s">
        <v>#N/A N/A</v>
        <stp/>
        <stp>BDP|4234054704701012596</stp>
        <tr r="I2471" s="2"/>
      </tp>
      <tp t="s">
        <v>#N/A N/A</v>
        <stp/>
        <stp>BDP|6913611215227130666</stp>
        <tr r="A2431" s="2"/>
      </tp>
      <tp t="s">
        <v>#N/A N/A</v>
        <stp/>
        <stp>BDP|7456909139465168869</stp>
        <tr r="A2421" s="2"/>
      </tp>
      <tp t="s">
        <v>#N/A N/A</v>
        <stp/>
        <stp>BDP|3000283995338331044</stp>
        <tr r="I2834" s="2"/>
      </tp>
      <tp t="s">
        <v>#N/A N/A</v>
        <stp/>
        <stp>BDP|1224489675336467418</stp>
        <tr r="B2632" s="2"/>
      </tp>
      <tp t="s">
        <v>#N/A N/A</v>
        <stp/>
        <stp>BDP|2756849180864147686</stp>
        <tr r="C2522" s="2"/>
      </tp>
      <tp t="s">
        <v>#N/A N/A</v>
        <stp/>
        <stp>BDP|5667062458537230704</stp>
        <tr r="A3599" s="2"/>
      </tp>
      <tp t="s">
        <v>#N/A N/A</v>
        <stp/>
        <stp>BDP|7158496515095347741</stp>
        <tr r="C4920" s="2"/>
      </tp>
      <tp t="s">
        <v>#N/A N/A</v>
        <stp/>
        <stp>BDP|5911295600457379091</stp>
        <tr r="D584" s="2"/>
      </tp>
      <tp t="s">
        <v>#N/A N/A</v>
        <stp/>
        <stp>BDP|9663795220008528418</stp>
        <tr r="D3206" s="2"/>
      </tp>
      <tp t="s">
        <v>#N/A N/A</v>
        <stp/>
        <stp>BDP|6552939939649154556</stp>
        <tr r="I3822" s="2"/>
      </tp>
      <tp t="s">
        <v>#N/A N/A</v>
        <stp/>
        <stp>BDP|7900235551153485344</stp>
        <tr r="C1952" s="2"/>
      </tp>
      <tp t="s">
        <v>#N/A N/A</v>
        <stp/>
        <stp>BDP|5059283647666607528</stp>
        <tr r="I2832" s="2"/>
      </tp>
      <tp t="s">
        <v>#N/A N/A</v>
        <stp/>
        <stp>BDP|6852542636925579541</stp>
        <tr r="D878" s="2"/>
      </tp>
      <tp t="s">
        <v>#N/A N/A</v>
        <stp/>
        <stp>BDP|1181704350720836323</stp>
        <tr r="C4687" s="2"/>
      </tp>
      <tp t="s">
        <v>#N/A N/A</v>
        <stp/>
        <stp>BDP|7856609093801777978</stp>
        <tr r="H2080" s="2"/>
      </tp>
      <tp t="s">
        <v>#N/A N/A</v>
        <stp/>
        <stp>BDP|5111201722162028788</stp>
        <tr r="I1886" s="2"/>
      </tp>
      <tp t="s">
        <v>#N/A N/A</v>
        <stp/>
        <stp>BDP|8640573396643995752</stp>
        <tr r="D3137" s="2"/>
      </tp>
      <tp t="s">
        <v>#N/A N/A</v>
        <stp/>
        <stp>BDP|3096244740255849071</stp>
        <tr r="A4720" s="2"/>
      </tp>
      <tp t="s">
        <v>#N/A N/A</v>
        <stp/>
        <stp>BDP|9555887403173062258</stp>
        <tr r="D3398" s="2"/>
      </tp>
      <tp t="s">
        <v>#N/A N/A</v>
        <stp/>
        <stp>BDP|6814736624807402402</stp>
        <tr r="G912" s="2"/>
      </tp>
      <tp t="s">
        <v>#N/A N/A</v>
        <stp/>
        <stp>BDP|6844772855805230130</stp>
        <tr r="F3735" s="2"/>
      </tp>
      <tp t="s">
        <v>#N/A N/A</v>
        <stp/>
        <stp>BDP|6065478538450738134</stp>
        <tr r="A4207" s="2"/>
      </tp>
      <tp t="s">
        <v>#N/A N/A</v>
        <stp/>
        <stp>BDP|5447517418912258342</stp>
        <tr r="C3406" s="2"/>
      </tp>
      <tp t="s">
        <v>#N/A N/A</v>
        <stp/>
        <stp>BDP|9387616797806635089</stp>
        <tr r="G4731" s="2"/>
      </tp>
      <tp t="s">
        <v>#N/A N/A</v>
        <stp/>
        <stp>BDP|4612642629453430348</stp>
        <tr r="C4996" s="2"/>
      </tp>
      <tp t="s">
        <v>#N/A N/A</v>
        <stp/>
        <stp>BDP|1588228443281696697</stp>
        <tr r="D408" s="2"/>
      </tp>
      <tp t="s">
        <v>#N/A N/A</v>
        <stp/>
        <stp>BDP|7867864091146471008</stp>
        <tr r="G2425" s="2"/>
      </tp>
      <tp t="s">
        <v>#N/A N/A</v>
        <stp/>
        <stp>BDP|3747728336172870506</stp>
        <tr r="F2004" s="2"/>
      </tp>
      <tp t="s">
        <v>#N/A N/A</v>
        <stp/>
        <stp>BDP|5978383609163597560</stp>
        <tr r="I2367" s="2"/>
      </tp>
      <tp t="s">
        <v>#N/A N/A</v>
        <stp/>
        <stp>BDP|6902035659142880103</stp>
        <tr r="F4627" s="2"/>
      </tp>
      <tp t="s">
        <v>#N/A N/A</v>
        <stp/>
        <stp>BDP|9225732146749880340</stp>
        <tr r="A3649" s="2"/>
      </tp>
      <tp t="s">
        <v>#N/A N/A</v>
        <stp/>
        <stp>BDP|1879728804300500603</stp>
        <tr r="F3599" s="2"/>
      </tp>
      <tp t="s">
        <v>#N/A N/A</v>
        <stp/>
        <stp>BDP|6531214748248383842</stp>
        <tr r="B4799" s="2"/>
      </tp>
      <tp t="s">
        <v>#N/A N/A</v>
        <stp/>
        <stp>BDP|5977458176405845390</stp>
        <tr r="G1471" s="2"/>
      </tp>
      <tp t="s">
        <v>#N/A N/A</v>
        <stp/>
        <stp>BDP|1250234975057777389</stp>
        <tr r="B1000" s="2"/>
      </tp>
      <tp t="s">
        <v>#N/A N/A</v>
        <stp/>
        <stp>BDP|2329493435084773138</stp>
        <tr r="C1531" s="2"/>
      </tp>
      <tp t="s">
        <v>#N/A N/A</v>
        <stp/>
        <stp>BDP|3052514728415487163</stp>
        <tr r="C1737" s="2"/>
      </tp>
      <tp t="s">
        <v>#N/A N/A</v>
        <stp/>
        <stp>BDP|9716833518084155469</stp>
        <tr r="B3531" s="2"/>
      </tp>
      <tp t="s">
        <v>#N/A N/A</v>
        <stp/>
        <stp>BDP|2392786027504649310</stp>
        <tr r="D3041" s="2"/>
      </tp>
      <tp t="s">
        <v>#N/A N/A</v>
        <stp/>
        <stp>BDP|1571574158663433257</stp>
        <tr r="D796" s="2"/>
      </tp>
      <tp t="s">
        <v>#N/A N/A</v>
        <stp/>
        <stp>BDP|1883821035379795332</stp>
        <tr r="F1421" s="2"/>
      </tp>
      <tp t="s">
        <v>#N/A N/A</v>
        <stp/>
        <stp>BDP|3639607368582580108</stp>
        <tr r="B2591" s="2"/>
      </tp>
      <tp t="s">
        <v>#N/A N/A</v>
        <stp/>
        <stp>BDP|8945420670899046209</stp>
        <tr r="B157" s="2"/>
      </tp>
      <tp t="s">
        <v>#N/A N/A</v>
        <stp/>
        <stp>BDP|8024472482185617181</stp>
        <tr r="A693" s="2"/>
      </tp>
      <tp t="s">
        <v>#N/A N/A</v>
        <stp/>
        <stp>BDP|9009248467949872407</stp>
        <tr r="C3978" s="2"/>
      </tp>
      <tp t="s">
        <v>#N/A N/A</v>
        <stp/>
        <stp>BDP|8207110688608144912</stp>
        <tr r="F3038" s="2"/>
      </tp>
      <tp t="s">
        <v>#N/A N/A</v>
        <stp/>
        <stp>BDP|6546275439831587651</stp>
        <tr r="D4728" s="2"/>
      </tp>
      <tp t="s">
        <v>#N/A N/A</v>
        <stp/>
        <stp>BDP|9018972315385805410</stp>
        <tr r="A1909" s="2"/>
      </tp>
      <tp t="s">
        <v>#N/A N/A</v>
        <stp/>
        <stp>BDP|7089197216841058642</stp>
        <tr r="C2678" s="2"/>
      </tp>
      <tp t="s">
        <v>#N/A N/A</v>
        <stp/>
        <stp>BDP|4226075037116142181</stp>
        <tr r="D2599" s="2"/>
      </tp>
      <tp t="s">
        <v>#N/A N/A</v>
        <stp/>
        <stp>BDP|7990554767141666569</stp>
        <tr r="B662" s="2"/>
      </tp>
      <tp t="s">
        <v>#N/A N/A</v>
        <stp/>
        <stp>BDP|1084071333765789785</stp>
        <tr r="H2454" s="2"/>
      </tp>
      <tp t="s">
        <v>#N/A N/A</v>
        <stp/>
        <stp>BDP|4687128918574240052</stp>
        <tr r="A2935" s="2"/>
      </tp>
      <tp t="s">
        <v>#N/A N/A</v>
        <stp/>
        <stp>BDP|4671485108759403997</stp>
        <tr r="G1251" s="2"/>
      </tp>
      <tp t="s">
        <v>#N/A N/A</v>
        <stp/>
        <stp>BDP|9130330708802600879</stp>
        <tr r="D2393" s="2"/>
      </tp>
      <tp t="s">
        <v>#N/A N/A</v>
        <stp/>
        <stp>BDP|3832237030636993499</stp>
        <tr r="I1195" s="2"/>
      </tp>
      <tp t="s">
        <v>#N/A N/A</v>
        <stp/>
        <stp>BDP|7329913439695866883</stp>
        <tr r="H1479" s="2"/>
      </tp>
      <tp t="s">
        <v>#N/A N/A</v>
        <stp/>
        <stp>BDP|6515760586671909875</stp>
        <tr r="H4558" s="2"/>
      </tp>
      <tp t="s">
        <v>#N/A N/A</v>
        <stp/>
        <stp>BDP|4134365510511554793</stp>
        <tr r="A4277" s="2"/>
      </tp>
      <tp t="s">
        <v>#N/A N/A</v>
        <stp/>
        <stp>BDP|4376415559667711270</stp>
        <tr r="B4578" s="2"/>
      </tp>
      <tp t="s">
        <v>#N/A N/A</v>
        <stp/>
        <stp>BDP|2928604431043278414</stp>
        <tr r="C2485" s="2"/>
      </tp>
      <tp t="s">
        <v>#N/A N/A</v>
        <stp/>
        <stp>BDP|7233996729438144480</stp>
        <tr r="A262" s="2"/>
      </tp>
      <tp t="s">
        <v>#N/A N/A</v>
        <stp/>
        <stp>BDP|1633681279737566797</stp>
        <tr r="A2487" s="2"/>
      </tp>
      <tp t="s">
        <v>#N/A N/A</v>
        <stp/>
        <stp>BDP|5392481616884368452</stp>
        <tr r="C2788" s="2"/>
      </tp>
      <tp t="s">
        <v>#N/A N/A</v>
        <stp/>
        <stp>BDP|1945764217441376607</stp>
        <tr r="H957" s="2"/>
      </tp>
      <tp t="s">
        <v>#N/A N/A</v>
        <stp/>
        <stp>BDP|8384544385764076198</stp>
        <tr r="D4174" s="2"/>
      </tp>
      <tp t="s">
        <v>#N/A N/A</v>
        <stp/>
        <stp>BDP|4591517712627854759</stp>
        <tr r="I811" s="2"/>
      </tp>
      <tp t="s">
        <v>#N/A N/A</v>
        <stp/>
        <stp>BDP|2614263110158871930</stp>
        <tr r="F39" s="2"/>
      </tp>
      <tp t="s">
        <v>#N/A N/A</v>
        <stp/>
        <stp>BDP|3670386837922282104</stp>
        <tr r="D977" s="2"/>
      </tp>
      <tp t="s">
        <v>#N/A N/A</v>
        <stp/>
        <stp>BDP|9075559344918351095</stp>
        <tr r="C3693" s="2"/>
      </tp>
      <tp t="s">
        <v>#N/A N/A</v>
        <stp/>
        <stp>BDP|9525760140119145390</stp>
        <tr r="A1544" s="2"/>
      </tp>
      <tp t="s">
        <v>#N/A N/A</v>
        <stp/>
        <stp>BDP|8783279086203801154</stp>
        <tr r="H324" s="2"/>
      </tp>
      <tp t="s">
        <v>#N/A N/A</v>
        <stp/>
        <stp>BDP|4522775022069879837</stp>
        <tr r="C4021" s="2"/>
      </tp>
      <tp t="s">
        <v>#N/A N/A</v>
        <stp/>
        <stp>BDP|7987560087903478971</stp>
        <tr r="B4534" s="2"/>
      </tp>
      <tp t="s">
        <v>#N/A N/A</v>
        <stp/>
        <stp>BDP|5373358273276722799</stp>
        <tr r="A1244" s="2"/>
      </tp>
      <tp t="s">
        <v>#N/A N/A</v>
        <stp/>
        <stp>BDP|3706269726830464381</stp>
        <tr r="B201" s="2"/>
      </tp>
      <tp t="s">
        <v>#N/A N/A</v>
        <stp/>
        <stp>BDP|5024788652415712269</stp>
        <tr r="I456" s="2"/>
      </tp>
      <tp t="s">
        <v>#N/A N/A</v>
        <stp/>
        <stp>BDP|4903515214375479537</stp>
        <tr r="C3570" s="2"/>
      </tp>
      <tp t="s">
        <v>#N/A N/A</v>
        <stp/>
        <stp>BDP|1168503011152345786</stp>
        <tr r="I2890" s="2"/>
      </tp>
      <tp t="s">
        <v>#N/A N/A</v>
        <stp/>
        <stp>BDP|4991005957948005953</stp>
        <tr r="B1638" s="2"/>
      </tp>
      <tp t="s">
        <v>#N/A N/A</v>
        <stp/>
        <stp>BDP|6592380456069176927</stp>
        <tr r="A4587" s="2"/>
      </tp>
      <tp t="s">
        <v>#N/A N/A</v>
        <stp/>
        <stp>BDP|6590710749636344362</stp>
        <tr r="A1240" s="2"/>
      </tp>
      <tp t="s">
        <v>#N/A N/A</v>
        <stp/>
        <stp>BDP|3412565800826259080</stp>
        <tr r="I1742" s="2"/>
      </tp>
      <tp t="s">
        <v>#N/A N/A</v>
        <stp/>
        <stp>BDP|1452034788228038179</stp>
        <tr r="F1202" s="2"/>
      </tp>
      <tp t="s">
        <v>#N/A N/A</v>
        <stp/>
        <stp>BDP|2611177419986149413</stp>
        <tr r="A2188" s="2"/>
      </tp>
      <tp t="s">
        <v>#N/A N/A</v>
        <stp/>
        <stp>BDP|4187327266883488297</stp>
        <tr r="A552" s="2"/>
      </tp>
      <tp t="s">
        <v>#N/A N/A</v>
        <stp/>
        <stp>BDP|8967524060042036939</stp>
        <tr r="H2812" s="2"/>
      </tp>
      <tp t="s">
        <v>#N/A N/A</v>
        <stp/>
        <stp>BDP|9875654581962541516</stp>
        <tr r="D703" s="2"/>
      </tp>
      <tp t="s">
        <v>#N/A N/A</v>
        <stp/>
        <stp>BDP|6030155399828373671</stp>
        <tr r="B3455" s="2"/>
      </tp>
      <tp t="s">
        <v>#N/A N/A</v>
        <stp/>
        <stp>BDP|8686996303134548513</stp>
        <tr r="F3203" s="2"/>
      </tp>
      <tp t="s">
        <v>#N/A N/A</v>
        <stp/>
        <stp>BDP|9997304672685506863</stp>
        <tr r="D2184" s="2"/>
      </tp>
      <tp t="s">
        <v>#N/A N/A</v>
        <stp/>
        <stp>BDP|3661383874221683644</stp>
        <tr r="C3118" s="2"/>
      </tp>
      <tp t="s">
        <v>#N/A N/A</v>
        <stp/>
        <stp>BDP|1804679541771451221</stp>
        <tr r="I3854" s="2"/>
      </tp>
      <tp t="s">
        <v>#N/A N/A</v>
        <stp/>
        <stp>BDP|1816668142983028048</stp>
        <tr r="D3214" s="2"/>
      </tp>
      <tp t="s">
        <v>#N/A N/A</v>
        <stp/>
        <stp>BDP|3196763557402922316</stp>
        <tr r="F4853" s="2"/>
      </tp>
      <tp t="s">
        <v>#N/A N/A</v>
        <stp/>
        <stp>BDP|4791234408607569117</stp>
        <tr r="F2684" s="2"/>
      </tp>
      <tp t="s">
        <v>#N/A N/A</v>
        <stp/>
        <stp>BDP|7046883763160049938</stp>
        <tr r="D4628" s="2"/>
      </tp>
      <tp t="s">
        <v>#N/A N/A</v>
        <stp/>
        <stp>BDP|7566642758307159308</stp>
        <tr r="C3505" s="2"/>
      </tp>
      <tp t="s">
        <v>#N/A N/A</v>
        <stp/>
        <stp>BDP|6298141753545970740</stp>
        <tr r="B3924" s="2"/>
      </tp>
      <tp t="s">
        <v>#N/A N/A</v>
        <stp/>
        <stp>BDP|6832889506246938871</stp>
        <tr r="G3149" s="2"/>
      </tp>
      <tp t="s">
        <v>#N/A N/A</v>
        <stp/>
        <stp>BDP|3899732259581946037</stp>
        <tr r="F3996" s="2"/>
      </tp>
      <tp t="s">
        <v>#N/A N/A</v>
        <stp/>
        <stp>BDP|9957856637507697552</stp>
        <tr r="H3586" s="2"/>
      </tp>
      <tp t="s">
        <v>#N/A N/A</v>
        <stp/>
        <stp>BDP|2579879034430718996</stp>
        <tr r="F963" s="2"/>
      </tp>
      <tp t="s">
        <v>#N/A N/A</v>
        <stp/>
        <stp>BDP|1679189606997992792</stp>
        <tr r="H165" s="2"/>
      </tp>
      <tp t="s">
        <v>#N/A N/A</v>
        <stp/>
        <stp>BDP|3730058178372422666</stp>
        <tr r="C402" s="2"/>
      </tp>
      <tp t="s">
        <v>#N/A N/A</v>
        <stp/>
        <stp>BDP|5823525224903054167</stp>
        <tr r="D4648" s="2"/>
      </tp>
      <tp t="s">
        <v>#N/A N/A</v>
        <stp/>
        <stp>BDP|7854588842106979037</stp>
        <tr r="G4907" s="2"/>
      </tp>
      <tp t="s">
        <v>#N/A N/A</v>
        <stp/>
        <stp>BDP|8852939052062351625</stp>
        <tr r="I3060" s="2"/>
      </tp>
      <tp t="s">
        <v>#N/A N/A</v>
        <stp/>
        <stp>BDP|9083214655096509893</stp>
        <tr r="A3189" s="2"/>
      </tp>
      <tp t="s">
        <v>#N/A N/A</v>
        <stp/>
        <stp>BDP|6865100572209727959</stp>
        <tr r="F323" s="2"/>
      </tp>
      <tp t="s">
        <v>#N/A N/A</v>
        <stp/>
        <stp>BDP|9854823595908126062</stp>
        <tr r="C1997" s="2"/>
      </tp>
      <tp t="s">
        <v>#N/A N/A</v>
        <stp/>
        <stp>BDP|8123787451923709973</stp>
        <tr r="B3275" s="2"/>
      </tp>
      <tp t="s">
        <v>#N/A N/A</v>
        <stp/>
        <stp>BDP|8996364647178609763</stp>
        <tr r="C4580" s="2"/>
      </tp>
      <tp t="s">
        <v>#N/A N/A</v>
        <stp/>
        <stp>BDP|4120429247644859047</stp>
        <tr r="D724" s="2"/>
      </tp>
      <tp t="s">
        <v>#N/A N/A</v>
        <stp/>
        <stp>BDP|6848824890386057129</stp>
        <tr r="D253" s="2"/>
      </tp>
      <tp t="s">
        <v>#N/A N/A</v>
        <stp/>
        <stp>BDP|8254569647290931922</stp>
        <tr r="I4615" s="2"/>
      </tp>
      <tp t="s">
        <v>#N/A N/A</v>
        <stp/>
        <stp>BDP|2885329734492637008</stp>
        <tr r="I635" s="2"/>
      </tp>
      <tp t="s">
        <v>#N/A N/A</v>
        <stp/>
        <stp>BDP|4798363225102434786</stp>
        <tr r="I171" s="2"/>
      </tp>
      <tp t="s">
        <v>#N/A N/A</v>
        <stp/>
        <stp>BDP|2870426687229112743</stp>
        <tr r="F2258" s="2"/>
      </tp>
      <tp t="s">
        <v>#N/A N/A</v>
        <stp/>
        <stp>BDP|4843952753668715010</stp>
        <tr r="A4548" s="2"/>
      </tp>
      <tp t="s">
        <v>#N/A N/A</v>
        <stp/>
        <stp>BDP|3944122303340953291</stp>
        <tr r="G1662" s="2"/>
      </tp>
      <tp t="s">
        <v>#N/A N/A</v>
        <stp/>
        <stp>BDP|5020508208154996493</stp>
        <tr r="G593" s="2"/>
      </tp>
      <tp t="s">
        <v>#N/A N/A</v>
        <stp/>
        <stp>BDP|3168584086318144664</stp>
        <tr r="A1554" s="2"/>
      </tp>
      <tp t="s">
        <v>#N/A N/A</v>
        <stp/>
        <stp>BDP|3944451948180568393</stp>
        <tr r="G4670" s="2"/>
      </tp>
      <tp t="s">
        <v>#N/A N/A</v>
        <stp/>
        <stp>BDP|5929790110063941017</stp>
        <tr r="A2969" s="2"/>
      </tp>
      <tp t="s">
        <v>#N/A N/A</v>
        <stp/>
        <stp>BDP|1570586330597713024</stp>
        <tr r="B1190" s="2"/>
      </tp>
      <tp t="s">
        <v>#N/A N/A</v>
        <stp/>
        <stp>BDP|3338061934288808810</stp>
        <tr r="F2303" s="2"/>
      </tp>
      <tp t="s">
        <v>#N/A N/A</v>
        <stp/>
        <stp>BDP|2796198453001039752</stp>
        <tr r="I165" s="2"/>
      </tp>
      <tp t="s">
        <v>#N/A N/A</v>
        <stp/>
        <stp>BDP|9782043651704960839</stp>
        <tr r="C3984" s="2"/>
      </tp>
      <tp t="s">
        <v>#N/A N/A</v>
        <stp/>
        <stp>BDP|6780786772833064553</stp>
        <tr r="D3493" s="2"/>
      </tp>
      <tp t="s">
        <v>#N/A N/A</v>
        <stp/>
        <stp>BDP|5711734228618211861</stp>
        <tr r="A1464" s="2"/>
      </tp>
      <tp t="s">
        <v>#N/A N/A</v>
        <stp/>
        <stp>BDP|9103915778053122414</stp>
        <tr r="I4424" s="2"/>
      </tp>
      <tp t="s">
        <v>#N/A N/A</v>
        <stp/>
        <stp>BDP|4116183527076558134</stp>
        <tr r="D3799" s="2"/>
      </tp>
      <tp t="s">
        <v>#N/A N/A</v>
        <stp/>
        <stp>BDP|6916262182389433510</stp>
        <tr r="I4691" s="2"/>
      </tp>
      <tp t="s">
        <v>#N/A N/A</v>
        <stp/>
        <stp>BDP|6228393364932788102</stp>
        <tr r="F1531" s="2"/>
      </tp>
      <tp t="s">
        <v>#N/A N/A</v>
        <stp/>
        <stp>BDP|3601088613200786220</stp>
        <tr r="B4744" s="2"/>
      </tp>
      <tp t="s">
        <v>#N/A N/A</v>
        <stp/>
        <stp>BDP|6178152179663443315</stp>
        <tr r="B1942" s="2"/>
      </tp>
      <tp t="s">
        <v>#N/A N/A</v>
        <stp/>
        <stp>BDP|6723379848469850888</stp>
        <tr r="A1432" s="2"/>
      </tp>
      <tp t="s">
        <v>#N/A N/A</v>
        <stp/>
        <stp>BDP|7265663200294836546</stp>
        <tr r="B312" s="2"/>
      </tp>
      <tp t="s">
        <v>#N/A N/A</v>
        <stp/>
        <stp>BDP|5433435220536746582</stp>
        <tr r="C2374" s="2"/>
      </tp>
      <tp t="s">
        <v>#N/A N/A</v>
        <stp/>
        <stp>BDP|6866292857897683681</stp>
        <tr r="G4467" s="2"/>
      </tp>
      <tp t="s">
        <v>#N/A N/A</v>
        <stp/>
        <stp>BDP|1637405002234902151</stp>
        <tr r="A3541" s="2"/>
      </tp>
      <tp t="s">
        <v>#N/A N/A</v>
        <stp/>
        <stp>BDP|4124718064957416287</stp>
        <tr r="B2528" s="2"/>
      </tp>
      <tp t="s">
        <v>#N/A N/A</v>
        <stp/>
        <stp>BDP|1014161373044902345</stp>
        <tr r="I2474" s="2"/>
      </tp>
      <tp t="s">
        <v>#N/A N/A</v>
        <stp/>
        <stp>BDP|5173661874465876130</stp>
        <tr r="C2449" s="2"/>
      </tp>
      <tp t="s">
        <v>#N/A N/A</v>
        <stp/>
        <stp>BDP|2091158092223817976</stp>
        <tr r="H2452" s="2"/>
      </tp>
      <tp t="s">
        <v>#N/A N/A</v>
        <stp/>
        <stp>BDP|7869074972214515405</stp>
        <tr r="A3794" s="2"/>
      </tp>
      <tp t="s">
        <v>#N/A N/A</v>
        <stp/>
        <stp>BDP|6897628656084669123</stp>
        <tr r="D332" s="2"/>
      </tp>
      <tp t="s">
        <v>#N/A N/A</v>
        <stp/>
        <stp>BDP|7829656662173518420</stp>
        <tr r="A1131" s="2"/>
      </tp>
      <tp t="s">
        <v>#N/A N/A</v>
        <stp/>
        <stp>BDP|8210126793749961922</stp>
        <tr r="B2719" s="2"/>
      </tp>
      <tp t="s">
        <v>#N/A N/A</v>
        <stp/>
        <stp>BDP|3719509306943063593</stp>
        <tr r="B4922" s="2"/>
      </tp>
      <tp t="s">
        <v>#N/A N/A</v>
        <stp/>
        <stp>BDP|9680251629371788856</stp>
        <tr r="D3230" s="2"/>
      </tp>
      <tp t="s">
        <v>#N/A N/A</v>
        <stp/>
        <stp>BDP|6042148924306880303</stp>
        <tr r="F3438" s="2"/>
      </tp>
      <tp t="s">
        <v>#N/A N/A</v>
        <stp/>
        <stp>BDP|4826020050113207204</stp>
        <tr r="I4959" s="2"/>
      </tp>
      <tp t="s">
        <v>#N/A N/A</v>
        <stp/>
        <stp>BDP|4531392714326655060</stp>
        <tr r="C4585" s="2"/>
      </tp>
      <tp t="s">
        <v>#N/A N/A</v>
        <stp/>
        <stp>BDP|2621041053847186084</stp>
        <tr r="G2228" s="2"/>
      </tp>
      <tp t="s">
        <v>#N/A N/A</v>
        <stp/>
        <stp>BDP|1269506147215835556</stp>
        <tr r="D197" s="2"/>
      </tp>
      <tp t="s">
        <v>#N/A N/A</v>
        <stp/>
        <stp>BDP|6591638944701395598</stp>
        <tr r="H159" s="2"/>
      </tp>
      <tp t="s">
        <v>#N/A N/A</v>
        <stp/>
        <stp>BDP|8220731888745101203</stp>
        <tr r="C2690" s="2"/>
      </tp>
      <tp t="s">
        <v>#N/A N/A</v>
        <stp/>
        <stp>BDP|9008990146143657713</stp>
        <tr r="B3874" s="2"/>
      </tp>
      <tp t="s">
        <v>#N/A N/A</v>
        <stp/>
        <stp>BDP|2610310282759850055</stp>
        <tr r="I2523" s="2"/>
      </tp>
      <tp t="s">
        <v>#N/A N/A</v>
        <stp/>
        <stp>BDP|3615884394570301216</stp>
        <tr r="I2895" s="2"/>
      </tp>
      <tp t="s">
        <v>#N/A N/A</v>
        <stp/>
        <stp>BDP|3633676705963480682</stp>
        <tr r="H4069" s="2"/>
      </tp>
      <tp t="s">
        <v>#N/A N/A</v>
        <stp/>
        <stp>BDP|2605444563789026997</stp>
        <tr r="G3729" s="2"/>
      </tp>
      <tp t="s">
        <v>#N/A N/A</v>
        <stp/>
        <stp>BDP|3848421651050144227</stp>
        <tr r="A2793" s="2"/>
      </tp>
      <tp t="s">
        <v>#N/A N/A</v>
        <stp/>
        <stp>BDP|5814530671707328012</stp>
        <tr r="D3129" s="2"/>
      </tp>
      <tp t="s">
        <v>#N/A N/A</v>
        <stp/>
        <stp>BDP|7747595113986685536</stp>
        <tr r="C4044" s="2"/>
      </tp>
      <tp t="s">
        <v>#N/A N/A</v>
        <stp/>
        <stp>BDP|4290021473561947230</stp>
        <tr r="D614" s="2"/>
      </tp>
      <tp t="s">
        <v>#N/A N/A</v>
        <stp/>
        <stp>BDP|2035462741174918678</stp>
        <tr r="G1945" s="2"/>
      </tp>
      <tp t="s">
        <v>#N/A N/A</v>
        <stp/>
        <stp>BDP|3361932236699894072</stp>
        <tr r="C3399" s="2"/>
      </tp>
      <tp t="s">
        <v>#N/A N/A</v>
        <stp/>
        <stp>BDP|2108583071502262239</stp>
        <tr r="B4666" s="2"/>
      </tp>
      <tp t="s">
        <v>#N/A N/A</v>
        <stp/>
        <stp>BDP|8694193533353095958</stp>
        <tr r="H3251" s="2"/>
      </tp>
      <tp t="s">
        <v>#N/A N/A</v>
        <stp/>
        <stp>BDP|8142398541427667866</stp>
        <tr r="F2059" s="2"/>
      </tp>
      <tp t="s">
        <v>#N/A N/A</v>
        <stp/>
        <stp>BDP|6899860423919301578</stp>
        <tr r="A52" s="2"/>
      </tp>
      <tp t="s">
        <v>#N/A N/A</v>
        <stp/>
        <stp>BDP|4063429555124734196</stp>
        <tr r="A3422" s="2"/>
      </tp>
      <tp t="s">
        <v>#N/A N/A</v>
        <stp/>
        <stp>BDP|3315382236114384771</stp>
        <tr r="G1678" s="2"/>
      </tp>
      <tp t="s">
        <v>#N/A N/A</v>
        <stp/>
        <stp>BDP|1869708453967688444</stp>
        <tr r="D1900" s="2"/>
      </tp>
      <tp t="s">
        <v>#N/A N/A</v>
        <stp/>
        <stp>BDP|1382830025462569991</stp>
        <tr r="C4436" s="2"/>
      </tp>
      <tp t="s">
        <v>#N/A N/A</v>
        <stp/>
        <stp>BDP|4152306968979421843</stp>
        <tr r="I4750" s="2"/>
      </tp>
      <tp t="s">
        <v>#N/A N/A</v>
        <stp/>
        <stp>BDP|5180590916309317841</stp>
        <tr r="B480" s="2"/>
      </tp>
      <tp t="s">
        <v>#N/A N/A</v>
        <stp/>
        <stp>BDP|3394797376456308561</stp>
        <tr r="C1076" s="2"/>
      </tp>
      <tp t="s">
        <v>#N/A N/A</v>
        <stp/>
        <stp>BDP|3567299164954088315</stp>
        <tr r="A1997" s="2"/>
      </tp>
      <tp t="s">
        <v>#N/A N/A</v>
        <stp/>
        <stp>BDP|1331698512382168404</stp>
        <tr r="I2755" s="2"/>
      </tp>
      <tp t="s">
        <v>#N/A N/A</v>
        <stp/>
        <stp>BDP|3944756511104586111</stp>
        <tr r="C154" s="2"/>
      </tp>
      <tp t="s">
        <v>#N/A N/A</v>
        <stp/>
        <stp>BDP|4922858173923681801</stp>
        <tr r="I3092" s="2"/>
      </tp>
      <tp t="s">
        <v>#N/A N/A</v>
        <stp/>
        <stp>BDP|3437354890180159999</stp>
        <tr r="G1595" s="2"/>
      </tp>
      <tp t="s">
        <v>#N/A N/A</v>
        <stp/>
        <stp>BDP|2160684835070306768</stp>
        <tr r="F1190" s="2"/>
      </tp>
      <tp t="s">
        <v>#N/A N/A</v>
        <stp/>
        <stp>BDP|6405878997030506782</stp>
        <tr r="F419" s="2"/>
      </tp>
      <tp t="s">
        <v>#N/A N/A</v>
        <stp/>
        <stp>BDP|8959908281380447957</stp>
        <tr r="B1085" s="2"/>
      </tp>
      <tp t="s">
        <v>#N/A N/A</v>
        <stp/>
        <stp>BDP|5965349541363413110</stp>
        <tr r="I4715" s="2"/>
      </tp>
      <tp t="s">
        <v>#N/A N/A</v>
        <stp/>
        <stp>BDP|3216443004380388784</stp>
        <tr r="C2711" s="2"/>
      </tp>
      <tp t="s">
        <v>#N/A N/A</v>
        <stp/>
        <stp>BDP|4207038058518844984</stp>
        <tr r="G2381" s="2"/>
      </tp>
      <tp t="s">
        <v>#N/A N/A</v>
        <stp/>
        <stp>BDP|8291717923518945502</stp>
        <tr r="B1534" s="2"/>
      </tp>
      <tp t="s">
        <v>#N/A N/A</v>
        <stp/>
        <stp>BDP|8530008518439048046</stp>
        <tr r="F818" s="2"/>
      </tp>
      <tp t="s">
        <v>#N/A N/A</v>
        <stp/>
        <stp>BDP|4754712177741059588</stp>
        <tr r="G1418" s="2"/>
      </tp>
      <tp t="s">
        <v>#N/A N/A</v>
        <stp/>
        <stp>BDP|6901729948605872025</stp>
        <tr r="H4026" s="2"/>
      </tp>
      <tp t="s">
        <v>#N/A N/A</v>
        <stp/>
        <stp>BDP|1920608195066532805</stp>
        <tr r="F3511" s="2"/>
      </tp>
      <tp t="s">
        <v>#N/A N/A</v>
        <stp/>
        <stp>BDP|6615528618477782529</stp>
        <tr r="C1129" s="2"/>
      </tp>
      <tp t="s">
        <v>#N/A N/A</v>
        <stp/>
        <stp>BDP|7607549696279421295</stp>
        <tr r="A1480" s="2"/>
      </tp>
      <tp t="s">
        <v>#N/A N/A</v>
        <stp/>
        <stp>BDP|1693599116813132617</stp>
        <tr r="F1483" s="2"/>
      </tp>
      <tp t="s">
        <v>#N/A N/A</v>
        <stp/>
        <stp>BDP|2959613705624747038</stp>
        <tr r="H4793" s="2"/>
      </tp>
      <tp t="s">
        <v>#N/A N/A</v>
        <stp/>
        <stp>BDP|9786651751718317290</stp>
        <tr r="A983" s="2"/>
      </tp>
      <tp t="s">
        <v>#N/A N/A</v>
        <stp/>
        <stp>BDP|2093222218638760944</stp>
        <tr r="F2353" s="2"/>
      </tp>
      <tp t="s">
        <v>#N/A N/A</v>
        <stp/>
        <stp>BDP|2194250322032937065</stp>
        <tr r="H3237" s="2"/>
      </tp>
      <tp t="s">
        <v>#N/A N/A</v>
        <stp/>
        <stp>BDP|8839071970266765919</stp>
        <tr r="C2313" s="2"/>
      </tp>
      <tp t="s">
        <v>#N/A N/A</v>
        <stp/>
        <stp>BDP|2641768596695721986</stp>
        <tr r="H3064" s="2"/>
      </tp>
      <tp t="s">
        <v>#N/A N/A</v>
        <stp/>
        <stp>BDP|5110113406353888777</stp>
        <tr r="I4499" s="2"/>
      </tp>
      <tp t="s">
        <v>#N/A N/A</v>
        <stp/>
        <stp>BDP|6665713713841545188</stp>
        <tr r="I1157" s="2"/>
      </tp>
      <tp t="s">
        <v>#N/A N/A</v>
        <stp/>
        <stp>BDP|7766041458843565178</stp>
        <tr r="B3530" s="2"/>
      </tp>
      <tp t="s">
        <v>#N/A N/A</v>
        <stp/>
        <stp>BDP|6942069850341082267</stp>
        <tr r="A2574" s="2"/>
      </tp>
      <tp t="s">
        <v>#N/A N/A</v>
        <stp/>
        <stp>BDP|6955441506696000423</stp>
        <tr r="C4628" s="2"/>
      </tp>
      <tp t="s">
        <v>#N/A N/A</v>
        <stp/>
        <stp>BDP|4324736842340926725</stp>
        <tr r="A4539" s="2"/>
      </tp>
      <tp t="s">
        <v>#N/A N/A</v>
        <stp/>
        <stp>BDP|9189513492370898532</stp>
        <tr r="C1482" s="2"/>
      </tp>
      <tp t="s">
        <v>#N/A N/A</v>
        <stp/>
        <stp>BDP|7859063429126965372</stp>
        <tr r="D4193" s="2"/>
      </tp>
      <tp t="s">
        <v>#N/A N/A</v>
        <stp/>
        <stp>BDP|9723926238326216564</stp>
        <tr r="F591" s="2"/>
      </tp>
      <tp t="s">
        <v>#N/A N/A</v>
        <stp/>
        <stp>BDP|1881836541079245418</stp>
        <tr r="I2119" s="2"/>
      </tp>
      <tp t="s">
        <v>#N/A N/A</v>
        <stp/>
        <stp>BDP|7466196161176477614</stp>
        <tr r="C4624" s="2"/>
      </tp>
      <tp t="s">
        <v>#N/A N/A</v>
        <stp/>
        <stp>BDP|8635997602671766036</stp>
        <tr r="C3094" s="2"/>
      </tp>
      <tp t="s">
        <v>#N/A N/A</v>
        <stp/>
        <stp>BDP|4486589304477901687</stp>
        <tr r="A3151" s="2"/>
      </tp>
      <tp t="s">
        <v>#N/A N/A</v>
        <stp/>
        <stp>BDP|6302521782462838924</stp>
        <tr r="G2370" s="2"/>
      </tp>
      <tp t="s">
        <v>#N/A N/A</v>
        <stp/>
        <stp>BDP|2807011438527913610</stp>
        <tr r="C4863" s="2"/>
      </tp>
      <tp t="s">
        <v>#N/A N/A</v>
        <stp/>
        <stp>BDP|1328873168469232673</stp>
        <tr r="C1538" s="2"/>
      </tp>
      <tp t="s">
        <v>#N/A N/A</v>
        <stp/>
        <stp>BDP|2832774450335208541</stp>
        <tr r="C2096" s="2"/>
      </tp>
      <tp t="s">
        <v>#N/A N/A</v>
        <stp/>
        <stp>BDP|1214727163481873120</stp>
        <tr r="G4209" s="2"/>
      </tp>
      <tp t="s">
        <v>#N/A N/A</v>
        <stp/>
        <stp>BDP|9269984942585660174</stp>
        <tr r="D3491" s="2"/>
      </tp>
      <tp t="s">
        <v>#N/A N/A</v>
        <stp/>
        <stp>BDP|9934547335587066812</stp>
        <tr r="H1580" s="2"/>
      </tp>
      <tp t="s">
        <v>#N/A N/A</v>
        <stp/>
        <stp>BDP|6137541070401520590</stp>
        <tr r="B3764" s="2"/>
      </tp>
      <tp t="s">
        <v>#N/A N/A</v>
        <stp/>
        <stp>BDP|6409276859548344903</stp>
        <tr r="H1422" s="2"/>
      </tp>
      <tp t="s">
        <v>#N/A N/A</v>
        <stp/>
        <stp>BDP|7090660654462212698</stp>
        <tr r="C846" s="2"/>
      </tp>
      <tp t="s">
        <v>#N/A N/A</v>
        <stp/>
        <stp>BDP|9546149398904228522</stp>
        <tr r="A3757" s="2"/>
      </tp>
      <tp t="s">
        <v>#N/A N/A</v>
        <stp/>
        <stp>BDP|8518790210607735920</stp>
        <tr r="F4687" s="2"/>
      </tp>
      <tp t="s">
        <v>#N/A N/A</v>
        <stp/>
        <stp>BDP|3810367315401638045</stp>
        <tr r="D3198" s="2"/>
      </tp>
      <tp t="s">
        <v>#N/A N/A</v>
        <stp/>
        <stp>BDP|2069268325986856425</stp>
        <tr r="A4030" s="2"/>
      </tp>
      <tp t="s">
        <v>#N/A N/A</v>
        <stp/>
        <stp>BDP|7375312947197554796</stp>
        <tr r="B2521" s="2"/>
      </tp>
      <tp t="s">
        <v>#N/A N/A</v>
        <stp/>
        <stp>BDP|4894807123477541979</stp>
        <tr r="B894" s="2"/>
      </tp>
      <tp t="s">
        <v>#N/A N/A</v>
        <stp/>
        <stp>BDP|7350756216179858810</stp>
        <tr r="F2689" s="2"/>
      </tp>
      <tp t="s">
        <v>#N/A N/A</v>
        <stp/>
        <stp>BDP|4755780227551406056</stp>
        <tr r="A4347" s="2"/>
      </tp>
      <tp t="s">
        <v>#N/A N/A</v>
        <stp/>
        <stp>BDP|6145385141276235736</stp>
        <tr r="D1988" s="2"/>
      </tp>
      <tp t="s">
        <v>#N/A N/A</v>
        <stp/>
        <stp>BDP|2554590125664054100</stp>
        <tr r="C1409" s="2"/>
      </tp>
      <tp t="s">
        <v>#N/A N/A</v>
        <stp/>
        <stp>BDP|9529107721728543280</stp>
        <tr r="C3756" s="2"/>
      </tp>
      <tp t="s">
        <v>#N/A N/A</v>
        <stp/>
        <stp>BDP|9246436930949051788</stp>
        <tr r="F2581" s="2"/>
      </tp>
      <tp t="s">
        <v>#N/A N/A</v>
        <stp/>
        <stp>BDP|5886709524664373419</stp>
        <tr r="C4105" s="2"/>
      </tp>
      <tp t="s">
        <v>#N/A N/A</v>
        <stp/>
        <stp>BDP|9994981368781739705</stp>
        <tr r="C647" s="2"/>
      </tp>
      <tp t="s">
        <v>#N/A N/A</v>
        <stp/>
        <stp>BDP|5465009878782485069</stp>
        <tr r="B1923" s="2"/>
      </tp>
      <tp t="s">
        <v>#N/A N/A</v>
        <stp/>
        <stp>BDP|5427099062571628275</stp>
        <tr r="G516" s="2"/>
      </tp>
      <tp t="s">
        <v>#N/A N/A</v>
        <stp/>
        <stp>BDP|1356182069874418287</stp>
        <tr r="B2715" s="2"/>
      </tp>
      <tp t="s">
        <v>#N/A N/A</v>
        <stp/>
        <stp>BDP|9518994411252362308</stp>
        <tr r="D1201" s="2"/>
      </tp>
      <tp t="s">
        <v>#N/A N/A</v>
        <stp/>
        <stp>BDP|3591507477547475684</stp>
        <tr r="I2868" s="2"/>
      </tp>
      <tp t="s">
        <v>#N/A N/A</v>
        <stp/>
        <stp>BDP|2384931668545156871</stp>
        <tr r="H4865" s="2"/>
      </tp>
      <tp t="s">
        <v>#N/A N/A</v>
        <stp/>
        <stp>BDP|8250322084305343698</stp>
        <tr r="C1950" s="2"/>
      </tp>
      <tp t="s">
        <v>#N/A N/A</v>
        <stp/>
        <stp>BDP|8537696685955647310</stp>
        <tr r="G1942" s="2"/>
      </tp>
      <tp t="s">
        <v>#N/A N/A</v>
        <stp/>
        <stp>BDP|9051969800621877105</stp>
        <tr r="C2508" s="2"/>
      </tp>
      <tp t="s">
        <v>#N/A N/A</v>
        <stp/>
        <stp>BDP|1388635756347113597</stp>
        <tr r="B2832" s="2"/>
      </tp>
      <tp t="s">
        <v>#N/A N/A</v>
        <stp/>
        <stp>BDP|8188148689900016120</stp>
        <tr r="C4917" s="2"/>
      </tp>
      <tp t="s">
        <v>#N/A N/A</v>
        <stp/>
        <stp>BDP|2351509908836052159</stp>
        <tr r="D3613" s="2"/>
      </tp>
      <tp t="s">
        <v>#N/A N/A</v>
        <stp/>
        <stp>BDP|3494735378450067315</stp>
        <tr r="C1500" s="2"/>
      </tp>
      <tp t="s">
        <v>#N/A N/A</v>
        <stp/>
        <stp>BDP|2182426858290150342</stp>
        <tr r="D1839" s="2"/>
      </tp>
      <tp t="s">
        <v>#N/A N/A</v>
        <stp/>
        <stp>BDP|7533682900903506263</stp>
        <tr r="H3084" s="2"/>
      </tp>
      <tp t="s">
        <v>#N/A N/A</v>
        <stp/>
        <stp>BDP|6409989612637102914</stp>
        <tr r="D2647" s="2"/>
      </tp>
      <tp t="s">
        <v>#N/A N/A</v>
        <stp/>
        <stp>BDP|3219468025142808772</stp>
        <tr r="I3739" s="2"/>
      </tp>
      <tp t="s">
        <v>#N/A N/A</v>
        <stp/>
        <stp>BDP|4354553839245368728</stp>
        <tr r="A3873" s="2"/>
      </tp>
      <tp t="s">
        <v>#N/A N/A</v>
        <stp/>
        <stp>BDP|4482882518105257884</stp>
        <tr r="I1278" s="2"/>
      </tp>
      <tp t="s">
        <v>#N/A N/A</v>
        <stp/>
        <stp>BDP|3830108313013581009</stp>
        <tr r="H2662" s="2"/>
      </tp>
      <tp t="s">
        <v>#N/A N/A</v>
        <stp/>
        <stp>BDP|2543553861724635599</stp>
        <tr r="A2916" s="2"/>
      </tp>
      <tp t="s">
        <v>#N/A N/A</v>
        <stp/>
        <stp>BDP|3473566815801077694</stp>
        <tr r="C4403" s="2"/>
      </tp>
      <tp t="s">
        <v>#N/A N/A</v>
        <stp/>
        <stp>BDP|4331502802540791187</stp>
        <tr r="F917" s="2"/>
      </tp>
      <tp t="s">
        <v>#N/A N/A</v>
        <stp/>
        <stp>BDP|5485193191509179433</stp>
        <tr r="I3565" s="2"/>
      </tp>
      <tp t="s">
        <v>#N/A N/A</v>
        <stp/>
        <stp>BDP|6435343814414261088</stp>
        <tr r="A1880" s="2"/>
      </tp>
      <tp t="s">
        <v>#N/A N/A</v>
        <stp/>
        <stp>BDP|2328020466634867018</stp>
        <tr r="F3908" s="2"/>
      </tp>
      <tp t="s">
        <v>#N/A N/A</v>
        <stp/>
        <stp>BDP|9278652440448930308</stp>
        <tr r="D2292" s="2"/>
      </tp>
      <tp t="s">
        <v>#N/A N/A</v>
        <stp/>
        <stp>BDP|7946798759413639611</stp>
        <tr r="I4670" s="2"/>
      </tp>
      <tp t="s">
        <v>#N/A N/A</v>
        <stp/>
        <stp>BDP|3554435611702948409</stp>
        <tr r="F1876" s="2"/>
      </tp>
      <tp t="s">
        <v>#N/A N/A</v>
        <stp/>
        <stp>BDP|2243402175955162484</stp>
        <tr r="G1335" s="2"/>
      </tp>
      <tp t="s">
        <v>#N/A N/A</v>
        <stp/>
        <stp>BDP|5604288974178769832</stp>
        <tr r="H178" s="2"/>
      </tp>
      <tp t="s">
        <v>#N/A N/A</v>
        <stp/>
        <stp>BDP|1717339808454461667</stp>
        <tr r="D555" s="2"/>
      </tp>
      <tp t="s">
        <v>#N/A N/A</v>
        <stp/>
        <stp>BDP|9541258595747823535</stp>
        <tr r="G4106" s="2"/>
      </tp>
      <tp t="s">
        <v>#N/A N/A</v>
        <stp/>
        <stp>BDP|5270056409863076601</stp>
        <tr r="D1658" s="2"/>
      </tp>
      <tp t="s">
        <v>#N/A N/A</v>
        <stp/>
        <stp>BDP|8486396625278452126</stp>
        <tr r="H4163" s="2"/>
      </tp>
      <tp t="s">
        <v>#N/A N/A</v>
        <stp/>
        <stp>BDP|9712931421466236498</stp>
        <tr r="G3378" s="2"/>
      </tp>
      <tp t="s">
        <v>#N/A N/A</v>
        <stp/>
        <stp>BDP|5016499381519173075</stp>
        <tr r="D3374" s="2"/>
      </tp>
      <tp t="s">
        <v>#N/A N/A</v>
        <stp/>
        <stp>BDP|5493081804750729512</stp>
        <tr r="H2409" s="2"/>
      </tp>
      <tp t="s">
        <v>#N/A N/A</v>
        <stp/>
        <stp>BDP|6567672778213586411</stp>
        <tr r="C1921" s="2"/>
      </tp>
      <tp t="s">
        <v>#N/A N/A</v>
        <stp/>
        <stp>BDP|9512797036984749934</stp>
        <tr r="F1369" s="2"/>
      </tp>
      <tp t="s">
        <v>#N/A N/A</v>
        <stp/>
        <stp>BDP|6386488458312958549</stp>
        <tr r="D3476" s="2"/>
      </tp>
      <tp t="s">
        <v>#N/A N/A</v>
        <stp/>
        <stp>BDP|7144983267530250829</stp>
        <tr r="G3217" s="2"/>
      </tp>
      <tp t="s">
        <v>#N/A N/A</v>
        <stp/>
        <stp>BDP|5769948613415806864</stp>
        <tr r="D530" s="2"/>
      </tp>
      <tp t="s">
        <v>#N/A N/A</v>
        <stp/>
        <stp>BDP|9148979608445972590</stp>
        <tr r="C3949" s="2"/>
      </tp>
      <tp t="s">
        <v>#N/A N/A</v>
        <stp/>
        <stp>BDP|1618831876547556981</stp>
        <tr r="I3192" s="2"/>
      </tp>
      <tp t="s">
        <v>#N/A N/A</v>
        <stp/>
        <stp>BDP|3522150325438261891</stp>
        <tr r="A2263" s="2"/>
      </tp>
      <tp t="s">
        <v>#N/A N/A</v>
        <stp/>
        <stp>BDP|1179493400183749610</stp>
        <tr r="I4605" s="2"/>
      </tp>
      <tp t="s">
        <v>#N/A N/A</v>
        <stp/>
        <stp>BDP|6933127649305559693</stp>
        <tr r="A4966" s="2"/>
      </tp>
      <tp t="s">
        <v>#N/A N/A</v>
        <stp/>
        <stp>BDP|5522303265009664987</stp>
        <tr r="G1259" s="2"/>
      </tp>
      <tp t="s">
        <v>#N/A N/A</v>
        <stp/>
        <stp>BDP|9775287780454107704</stp>
        <tr r="H2303" s="2"/>
      </tp>
      <tp t="s">
        <v>#N/A N/A</v>
        <stp/>
        <stp>BDP|5898372391817723871</stp>
        <tr r="G1941" s="2"/>
      </tp>
      <tp t="s">
        <v>#N/A N/A</v>
        <stp/>
        <stp>BDP|2034592744095620653</stp>
        <tr r="I2235" s="2"/>
      </tp>
      <tp t="s">
        <v>#N/A N/A</v>
        <stp/>
        <stp>BDP|2576711399495366904</stp>
        <tr r="I2748" s="2"/>
      </tp>
      <tp t="s">
        <v>#N/A N/A</v>
        <stp/>
        <stp>BDP|8799274377898909505</stp>
        <tr r="F3878" s="2"/>
      </tp>
      <tp t="s">
        <v>#N/A N/A</v>
        <stp/>
        <stp>BDP|4117126076777957526</stp>
        <tr r="G4643" s="2"/>
      </tp>
      <tp t="s">
        <v>#N/A N/A</v>
        <stp/>
        <stp>BDP|4779349218331589706</stp>
        <tr r="H85" s="2"/>
      </tp>
      <tp t="s">
        <v>#N/A N/A</v>
        <stp/>
        <stp>BDP|4808604573890175548</stp>
        <tr r="A4823" s="2"/>
      </tp>
      <tp t="s">
        <v>#N/A N/A</v>
        <stp/>
        <stp>BDP|7628831011417234987</stp>
        <tr r="B745" s="2"/>
      </tp>
      <tp t="s">
        <v>#N/A N/A</v>
        <stp/>
        <stp>BDP|1670146907088808832</stp>
        <tr r="A3156" s="2"/>
      </tp>
      <tp t="s">
        <v>#N/A N/A</v>
        <stp/>
        <stp>BDP|6029067263141364181</stp>
        <tr r="I4414" s="2"/>
      </tp>
      <tp t="s">
        <v>#N/A N/A</v>
        <stp/>
        <stp>BDP|6632703068356663167</stp>
        <tr r="H3143" s="2"/>
      </tp>
      <tp t="s">
        <v>#N/A N/A</v>
        <stp/>
        <stp>BDP|1496098783620016904</stp>
        <tr r="H3067" s="2"/>
      </tp>
      <tp t="s">
        <v>#N/A N/A</v>
        <stp/>
        <stp>BDP|2662355249672702737</stp>
        <tr r="B4379" s="2"/>
      </tp>
      <tp t="s">
        <v>#N/A N/A</v>
        <stp/>
        <stp>BDP|7701267140282754382</stp>
        <tr r="I4799" s="2"/>
      </tp>
      <tp t="s">
        <v>#N/A N/A</v>
        <stp/>
        <stp>BDP|7177435418392605023</stp>
        <tr r="A2158" s="2"/>
      </tp>
      <tp t="s">
        <v>#N/A N/A</v>
        <stp/>
        <stp>BDP|7907544103592306033</stp>
        <tr r="I1634" s="2"/>
      </tp>
      <tp t="s">
        <v>#N/A N/A</v>
        <stp/>
        <stp>BDP|1316788982817505923</stp>
        <tr r="G4843" s="2"/>
      </tp>
      <tp t="s">
        <v>#N/A N/A</v>
        <stp/>
        <stp>BDP|6983369431097968192</stp>
        <tr r="G934" s="2"/>
      </tp>
      <tp t="s">
        <v>#N/A N/A</v>
        <stp/>
        <stp>BDP|1819017052065758126</stp>
        <tr r="F3994" s="2"/>
      </tp>
      <tp t="s">
        <v>#N/A N/A</v>
        <stp/>
        <stp>BDP|2433864534309986019</stp>
        <tr r="B717" s="2"/>
      </tp>
      <tp t="s">
        <v>#N/A N/A</v>
        <stp/>
        <stp>BDP|7231989108576836849</stp>
        <tr r="B12" s="2"/>
      </tp>
      <tp t="s">
        <v>#N/A N/A</v>
        <stp/>
        <stp>BDP|4713614832020315191</stp>
        <tr r="H2183" s="2"/>
      </tp>
      <tp t="s">
        <v>#N/A N/A</v>
        <stp/>
        <stp>BDP|6033448819674383700</stp>
        <tr r="F219" s="2"/>
      </tp>
      <tp t="s">
        <v>#N/A N/A</v>
        <stp/>
        <stp>BDP|5806897775302205880</stp>
        <tr r="D1076" s="2"/>
      </tp>
      <tp t="s">
        <v>#N/A N/A</v>
        <stp/>
        <stp>BDP|8624846204798029885</stp>
        <tr r="H1182" s="2"/>
      </tp>
      <tp t="s">
        <v>#N/A N/A</v>
        <stp/>
        <stp>BDP|7261670751644965032</stp>
        <tr r="A4342" s="2"/>
      </tp>
      <tp t="s">
        <v>#N/A N/A</v>
        <stp/>
        <stp>BDP|8395875377856962146</stp>
        <tr r="I3881" s="2"/>
      </tp>
      <tp t="s">
        <v>#N/A N/A</v>
        <stp/>
        <stp>BDP|5156367668102132204</stp>
        <tr r="G2291" s="2"/>
      </tp>
      <tp t="s">
        <v>#N/A N/A</v>
        <stp/>
        <stp>BDP|6575357166411967216</stp>
        <tr r="I2802" s="2"/>
      </tp>
      <tp t="s">
        <v>#N/A N/A</v>
        <stp/>
        <stp>BDP|5948743407674148651</stp>
        <tr r="D1357" s="2"/>
      </tp>
      <tp t="s">
        <v>#N/A N/A</v>
        <stp/>
        <stp>BDP|7005572166197760381</stp>
        <tr r="C3540" s="2"/>
      </tp>
      <tp t="s">
        <v>#N/A N/A</v>
        <stp/>
        <stp>BDP|9009780445209770341</stp>
        <tr r="G2526" s="2"/>
      </tp>
      <tp t="s">
        <v>#N/A N/A</v>
        <stp/>
        <stp>BDP|1877668558350018289</stp>
        <tr r="B840" s="2"/>
      </tp>
      <tp t="s">
        <v>#N/A N/A</v>
        <stp/>
        <stp>BDP|1389629555200216286</stp>
        <tr r="C4540" s="2"/>
      </tp>
      <tp t="s">
        <v>#N/A N/A</v>
        <stp/>
        <stp>BDP|2349093622371473127</stp>
        <tr r="C795" s="2"/>
      </tp>
      <tp t="s">
        <v>#N/A N/A</v>
        <stp/>
        <stp>BDP|5605577680459973163</stp>
        <tr r="I4656" s="2"/>
      </tp>
      <tp t="s">
        <v>#N/A N/A</v>
        <stp/>
        <stp>BDP|2489825311589892216</stp>
        <tr r="A3667" s="2"/>
      </tp>
      <tp t="s">
        <v>#N/A N/A</v>
        <stp/>
        <stp>BDP|8154992786268426140</stp>
        <tr r="G1111" s="2"/>
      </tp>
      <tp t="s">
        <v>#N/A N/A</v>
        <stp/>
        <stp>BDP|3540525284668819651</stp>
        <tr r="F1005" s="2"/>
      </tp>
      <tp t="s">
        <v>#N/A N/A</v>
        <stp/>
        <stp>BDP|1562757346046061481</stp>
        <tr r="D3565" s="2"/>
      </tp>
      <tp t="s">
        <v>#N/A N/A</v>
        <stp/>
        <stp>BDP|1192386022805667537</stp>
        <tr r="F1963" s="2"/>
      </tp>
      <tp t="s">
        <v>#N/A N/A</v>
        <stp/>
        <stp>BDP|4596268346620219290</stp>
        <tr r="A4372" s="2"/>
      </tp>
      <tp t="s">
        <v>#N/A N/A</v>
        <stp/>
        <stp>BDP|9435343557579019692</stp>
        <tr r="C127" s="2"/>
      </tp>
      <tp t="s">
        <v>#N/A N/A</v>
        <stp/>
        <stp>BDP|3356495823071466430</stp>
        <tr r="G3195" s="2"/>
      </tp>
      <tp t="s">
        <v>#N/A N/A</v>
        <stp/>
        <stp>BDP|2724584733097270307</stp>
        <tr r="I162" s="2"/>
      </tp>
      <tp t="s">
        <v>#N/A N/A</v>
        <stp/>
        <stp>BDP|6687055530130832546</stp>
        <tr r="A3558" s="2"/>
      </tp>
      <tp t="s">
        <v>#N/A N/A</v>
        <stp/>
        <stp>BDP|2453089806514436613</stp>
        <tr r="A3505" s="2"/>
      </tp>
      <tp t="s">
        <v>#N/A N/A</v>
        <stp/>
        <stp>BDP|2141296668492690496</stp>
        <tr r="G4453" s="2"/>
      </tp>
      <tp t="s">
        <v>#N/A N/A</v>
        <stp/>
        <stp>BDP|8978686296001984610</stp>
        <tr r="D4440" s="2"/>
      </tp>
      <tp t="s">
        <v>#N/A N/A</v>
        <stp/>
        <stp>BDP|6410102096898951647</stp>
        <tr r="F3803" s="2"/>
      </tp>
      <tp t="s">
        <v>#N/A N/A</v>
        <stp/>
        <stp>BDP|4837086113590994550</stp>
        <tr r="G3322" s="2"/>
      </tp>
      <tp t="s">
        <v>#N/A N/A</v>
        <stp/>
        <stp>BDP|6654627443916947217</stp>
        <tr r="F4038" s="2"/>
      </tp>
      <tp t="s">
        <v>#N/A N/A</v>
        <stp/>
        <stp>BDP|9150887856551496546</stp>
        <tr r="B3871" s="2"/>
      </tp>
      <tp t="s">
        <v>#N/A N/A</v>
        <stp/>
        <stp>BDP|1712193341225726179</stp>
        <tr r="C1453" s="2"/>
      </tp>
      <tp t="s">
        <v>#N/A N/A</v>
        <stp/>
        <stp>BDP|4730585274865646321</stp>
        <tr r="B2741" s="2"/>
      </tp>
      <tp t="s">
        <v>#N/A N/A</v>
        <stp/>
        <stp>BDP|4498192016300544416</stp>
        <tr r="I1487" s="2"/>
      </tp>
      <tp t="s">
        <v>#N/A N/A</v>
        <stp/>
        <stp>BDP|4564799567540359575</stp>
        <tr r="G493" s="2"/>
      </tp>
      <tp t="s">
        <v>#N/A N/A</v>
        <stp/>
        <stp>BDP|6354959888645794269</stp>
        <tr r="D1879" s="2"/>
      </tp>
      <tp t="s">
        <v>#N/A N/A</v>
        <stp/>
        <stp>BDP|2522082997308310368</stp>
        <tr r="C3655" s="2"/>
      </tp>
      <tp t="s">
        <v>#N/A N/A</v>
        <stp/>
        <stp>BDP|9318860223511070299</stp>
        <tr r="F804" s="2"/>
      </tp>
      <tp t="s">
        <v>#N/A N/A</v>
        <stp/>
        <stp>BDP|4599102298478219403</stp>
        <tr r="D770" s="2"/>
      </tp>
      <tp t="s">
        <v>#N/A N/A</v>
        <stp/>
        <stp>BDP|5555672603704856769</stp>
        <tr r="B1009" s="2"/>
      </tp>
      <tp t="s">
        <v>#N/A N/A</v>
        <stp/>
        <stp>BDP|4303410454902971702</stp>
        <tr r="I3106" s="2"/>
      </tp>
      <tp t="s">
        <v>#N/A N/A</v>
        <stp/>
        <stp>BDP|4473548651732851661</stp>
        <tr r="I2667" s="2"/>
      </tp>
      <tp t="s">
        <v>#N/A N/A</v>
        <stp/>
        <stp>BDP|6684213469321875393</stp>
        <tr r="A4949" s="2"/>
      </tp>
      <tp t="s">
        <v>#N/A N/A</v>
        <stp/>
        <stp>BDP|3438094513080595242</stp>
        <tr r="D4037" s="2"/>
      </tp>
      <tp t="s">
        <v>#N/A N/A</v>
        <stp/>
        <stp>BDP|7763105774507834649</stp>
        <tr r="D4225" s="2"/>
      </tp>
      <tp t="s">
        <v>#N/A N/A</v>
        <stp/>
        <stp>BDP|5633684366177184262</stp>
        <tr r="D520" s="2"/>
      </tp>
      <tp t="s">
        <v>#N/A N/A</v>
        <stp/>
        <stp>BDP|7389540558467046004</stp>
        <tr r="H3837" s="2"/>
      </tp>
      <tp t="s">
        <v>#N/A N/A</v>
        <stp/>
        <stp>BDP|2803325937670592276</stp>
        <tr r="F3727" s="2"/>
      </tp>
      <tp t="s">
        <v>#N/A N/A</v>
        <stp/>
        <stp>BDP|1236105871056883142</stp>
        <tr r="H4289" s="2"/>
      </tp>
      <tp t="s">
        <v>#N/A N/A</v>
        <stp/>
        <stp>BDP|6373934424884224995</stp>
        <tr r="G3797" s="2"/>
      </tp>
      <tp t="s">
        <v>#N/A N/A</v>
        <stp/>
        <stp>BDP|4249091765995262735</stp>
        <tr r="D2788" s="2"/>
      </tp>
      <tp t="s">
        <v>#N/A N/A</v>
        <stp/>
        <stp>BDP|3919242804203787216</stp>
        <tr r="C120" s="2"/>
      </tp>
      <tp t="s">
        <v>#N/A N/A</v>
        <stp/>
        <stp>BDP|6491388453857121714</stp>
        <tr r="G3466" s="2"/>
      </tp>
      <tp t="s">
        <v>#N/A N/A</v>
        <stp/>
        <stp>BDP|6601329369905593676</stp>
        <tr r="C1816" s="2"/>
      </tp>
      <tp t="s">
        <v>#N/A N/A</v>
        <stp/>
        <stp>BDP|9572210247279482683</stp>
        <tr r="F4077" s="2"/>
      </tp>
      <tp t="s">
        <v>#N/A N/A</v>
        <stp/>
        <stp>BDP|4523655388318696213</stp>
        <tr r="C2332" s="2"/>
      </tp>
      <tp t="s">
        <v>#N/A N/A</v>
        <stp/>
        <stp>BDP|2707348983141943863</stp>
        <tr r="D2348" s="2"/>
      </tp>
      <tp t="s">
        <v>#N/A N/A</v>
        <stp/>
        <stp>BDP|2007584653896349479</stp>
        <tr r="G2298" s="2"/>
      </tp>
      <tp t="s">
        <v>#N/A N/A</v>
        <stp/>
        <stp>BDP|3855774131923295430</stp>
        <tr r="D3311" s="2"/>
      </tp>
      <tp t="s">
        <v>#N/A N/A</v>
        <stp/>
        <stp>BDP|7142013914324315284</stp>
        <tr r="A1963" s="2"/>
      </tp>
      <tp t="s">
        <v>#N/A N/A</v>
        <stp/>
        <stp>BDP|6883256881909533565</stp>
        <tr r="G2563" s="2"/>
      </tp>
      <tp t="s">
        <v>#N/A N/A</v>
        <stp/>
        <stp>BDP|8511809040656281286</stp>
        <tr r="B1404" s="2"/>
      </tp>
      <tp t="s">
        <v>#N/A N/A</v>
        <stp/>
        <stp>BDP|6969793269670371754</stp>
        <tr r="A1948" s="2"/>
      </tp>
      <tp t="s">
        <v>#N/A N/A</v>
        <stp/>
        <stp>BDP|5144401912073550390</stp>
        <tr r="C1188" s="2"/>
      </tp>
      <tp t="s">
        <v>#N/A N/A</v>
        <stp/>
        <stp>BDP|1911169632860357316</stp>
        <tr r="D3327" s="2"/>
      </tp>
      <tp t="s">
        <v>#N/A N/A</v>
        <stp/>
        <stp>BDP|1407317237709814852</stp>
        <tr r="I1608" s="2"/>
      </tp>
      <tp t="s">
        <v>#N/A N/A</v>
        <stp/>
        <stp>BDP|8750846716262353397</stp>
        <tr r="I3442" s="2"/>
      </tp>
      <tp t="s">
        <v>#N/A N/A</v>
        <stp/>
        <stp>BDP|8828542463518062300</stp>
        <tr r="C59" s="2"/>
      </tp>
      <tp t="s">
        <v>#N/A N/A</v>
        <stp/>
        <stp>BDP|2636582063820520179</stp>
        <tr r="A2473" s="2"/>
      </tp>
      <tp t="s">
        <v>#N/A N/A</v>
        <stp/>
        <stp>BDP|9166184546935104919</stp>
        <tr r="G1888" s="2"/>
      </tp>
      <tp t="s">
        <v>#N/A N/A</v>
        <stp/>
        <stp>BDP|7094282222551456619</stp>
        <tr r="H4998" s="2"/>
      </tp>
      <tp t="s">
        <v>#N/A N/A</v>
        <stp/>
        <stp>BDP|8182873239856614560</stp>
        <tr r="B11" s="2"/>
      </tp>
      <tp t="s">
        <v>#N/A N/A</v>
        <stp/>
        <stp>BDP|8859481988055274151</stp>
        <tr r="B3116" s="2"/>
      </tp>
      <tp t="s">
        <v>#N/A N/A</v>
        <stp/>
        <stp>BDP|2245178806061997257</stp>
        <tr r="I1155" s="2"/>
      </tp>
      <tp t="s">
        <v>#N/A N/A</v>
        <stp/>
        <stp>BDP|4004784206376461554</stp>
        <tr r="F1512" s="2"/>
      </tp>
      <tp t="s">
        <v>#N/A N/A</v>
        <stp/>
        <stp>BDP|1483635265876462797</stp>
        <tr r="F926" s="2"/>
      </tp>
      <tp t="s">
        <v>#N/A N/A</v>
        <stp/>
        <stp>BDP|4331521467021068690</stp>
        <tr r="H2292" s="2"/>
      </tp>
      <tp t="s">
        <v>#N/A N/A</v>
        <stp/>
        <stp>BDP|2096169688238126307</stp>
        <tr r="F1909" s="2"/>
      </tp>
      <tp t="s">
        <v>#N/A N/A</v>
        <stp/>
        <stp>BDP|1706264450847696182</stp>
        <tr r="D2819" s="2"/>
      </tp>
      <tp t="s">
        <v>#N/A N/A</v>
        <stp/>
        <stp>BDP|7027688564311472679</stp>
        <tr r="B3632" s="2"/>
      </tp>
      <tp t="s">
        <v>#N/A N/A</v>
        <stp/>
        <stp>BDP|2935084207641040392</stp>
        <tr r="I1582" s="2"/>
      </tp>
      <tp t="s">
        <v>#N/A N/A</v>
        <stp/>
        <stp>BDP|6304666239326177525</stp>
        <tr r="G8" s="2"/>
      </tp>
      <tp t="s">
        <v>#N/A N/A</v>
        <stp/>
        <stp>BDP|5975305004501359715</stp>
        <tr r="G4578" s="2"/>
      </tp>
      <tp t="s">
        <v>#N/A N/A</v>
        <stp/>
        <stp>BDP|3209830816768901211</stp>
        <tr r="B4997" s="2"/>
      </tp>
      <tp t="s">
        <v>#N/A N/A</v>
        <stp/>
        <stp>BDP|4344117753020911074</stp>
        <tr r="I4919" s="2"/>
      </tp>
      <tp t="s">
        <v>#N/A N/A</v>
        <stp/>
        <stp>BDP|7650479475660842438</stp>
        <tr r="G3663" s="2"/>
      </tp>
      <tp t="s">
        <v>#N/A N/A</v>
        <stp/>
        <stp>BDP|1087916286607864708</stp>
        <tr r="F4409" s="2"/>
      </tp>
      <tp t="s">
        <v>#N/A N/A</v>
        <stp/>
        <stp>BDP|8683613416569983670</stp>
        <tr r="H2288" s="2"/>
      </tp>
      <tp t="s">
        <v>#N/A N/A</v>
        <stp/>
        <stp>BDP|1145520019241512401</stp>
        <tr r="I3026" s="2"/>
      </tp>
      <tp t="s">
        <v>#N/A N/A</v>
        <stp/>
        <stp>BDP|7179881087530441751</stp>
        <tr r="B270" s="2"/>
      </tp>
      <tp t="s">
        <v>#N/A N/A</v>
        <stp/>
        <stp>BDP|5648283075939741903</stp>
        <tr r="A3443" s="2"/>
      </tp>
      <tp t="s">
        <v>#N/A N/A</v>
        <stp/>
        <stp>BDP|4874203779381987047</stp>
        <tr r="G4968" s="2"/>
      </tp>
      <tp t="s">
        <v>#N/A N/A</v>
        <stp/>
        <stp>BDP|1085773902022825411</stp>
        <tr r="B2000" s="2"/>
      </tp>
      <tp t="s">
        <v>#N/A N/A</v>
        <stp/>
        <stp>BDP|2345834767778993425</stp>
        <tr r="G2683" s="2"/>
      </tp>
      <tp t="s">
        <v>#N/A N/A</v>
        <stp/>
        <stp>BDP|4503341419172020449</stp>
        <tr r="D665" s="2"/>
      </tp>
      <tp t="s">
        <v>#N/A N/A</v>
        <stp/>
        <stp>BDP|4606208927467419396</stp>
        <tr r="D4436" s="2"/>
      </tp>
      <tp t="s">
        <v>#N/A N/A</v>
        <stp/>
        <stp>BDP|9241428322626761997</stp>
        <tr r="G291" s="2"/>
      </tp>
      <tp t="s">
        <v>#N/A N/A</v>
        <stp/>
        <stp>BDP|3915959632149779055</stp>
        <tr r="I2445" s="2"/>
      </tp>
      <tp t="s">
        <v>#N/A N/A</v>
        <stp/>
        <stp>BDP|4848771421094460569</stp>
        <tr r="B4150" s="2"/>
      </tp>
      <tp t="s">
        <v>#N/A N/A</v>
        <stp/>
        <stp>BDP|5601130747667996775</stp>
        <tr r="A4178" s="2"/>
      </tp>
      <tp t="s">
        <v>#N/A N/A</v>
        <stp/>
        <stp>BDP|3711382187998124052</stp>
        <tr r="G4961" s="2"/>
      </tp>
      <tp t="s">
        <v>#N/A N/A</v>
        <stp/>
        <stp>BDP|5187382269327959756</stp>
        <tr r="C2512" s="2"/>
      </tp>
      <tp t="s">
        <v>#N/A N/A</v>
        <stp/>
        <stp>BDP|2382622260791836354</stp>
        <tr r="H336" s="2"/>
      </tp>
      <tp t="s">
        <v>#N/A N/A</v>
        <stp/>
        <stp>BDP|5597220614280960667</stp>
        <tr r="F4852" s="2"/>
      </tp>
      <tp t="s">
        <v>#N/A N/A</v>
        <stp/>
        <stp>BDP|9643998520955201719</stp>
        <tr r="A1021" s="2"/>
      </tp>
      <tp t="s">
        <v>#N/A N/A</v>
        <stp/>
        <stp>BDP|4625146803761867459</stp>
        <tr r="G3820" s="2"/>
      </tp>
      <tp t="s">
        <v>#N/A N/A</v>
        <stp/>
        <stp>BDP|6856890168931508900</stp>
        <tr r="I933" s="2"/>
      </tp>
      <tp t="s">
        <v>#N/A N/A</v>
        <stp/>
        <stp>BDP|1968109654426217336</stp>
        <tr r="H998" s="2"/>
      </tp>
      <tp t="s">
        <v>#N/A N/A</v>
        <stp/>
        <stp>BDP|2512498476159707817</stp>
        <tr r="C3719" s="2"/>
      </tp>
      <tp t="s">
        <v>#N/A N/A</v>
        <stp/>
        <stp>BDP|2404002704573813149</stp>
        <tr r="H2314" s="2"/>
      </tp>
      <tp t="s">
        <v>#N/A N/A</v>
        <stp/>
        <stp>BDP|1726573110510835548</stp>
        <tr r="B2465" s="2"/>
      </tp>
      <tp t="s">
        <v>#N/A N/A</v>
        <stp/>
        <stp>BDP|4479213468859065915</stp>
        <tr r="C293" s="2"/>
      </tp>
      <tp t="s">
        <v>#N/A N/A</v>
        <stp/>
        <stp>BDP|8368998138066912470</stp>
        <tr r="F372" s="2"/>
      </tp>
      <tp t="s">
        <v>#N/A N/A</v>
        <stp/>
        <stp>BDP|3983335202590106057</stp>
        <tr r="B4365" s="2"/>
      </tp>
      <tp t="s">
        <v>#N/A N/A</v>
        <stp/>
        <stp>BDP|4050898584882625678</stp>
        <tr r="G3293" s="2"/>
      </tp>
      <tp t="s">
        <v>#N/A N/A</v>
        <stp/>
        <stp>BDP|6733304425480645788</stp>
        <tr r="B3382" s="2"/>
      </tp>
      <tp t="s">
        <v>#N/A N/A</v>
        <stp/>
        <stp>BDP|6989601711200565112</stp>
        <tr r="C3639" s="2"/>
      </tp>
      <tp t="s">
        <v>#N/A N/A</v>
        <stp/>
        <stp>BDP|4220661098553512859</stp>
        <tr r="F2429" s="2"/>
      </tp>
      <tp t="s">
        <v>#N/A N/A</v>
        <stp/>
        <stp>BDP|7210764958401868489</stp>
        <tr r="D1744" s="2"/>
      </tp>
      <tp t="s">
        <v>#N/A N/A</v>
        <stp/>
        <stp>BDP|4042727620421705099</stp>
        <tr r="A1390" s="2"/>
      </tp>
      <tp t="s">
        <v>#N/A N/A</v>
        <stp/>
        <stp>BDP|7802802322484291941</stp>
        <tr r="H4749" s="2"/>
      </tp>
      <tp t="s">
        <v>#N/A N/A</v>
        <stp/>
        <stp>BDP|6668437088948766260</stp>
        <tr r="G1300" s="2"/>
      </tp>
      <tp t="s">
        <v>#N/A N/A</v>
        <stp/>
        <stp>BDP|8873929896929219127</stp>
        <tr r="D1884" s="2"/>
      </tp>
      <tp t="s">
        <v>#N/A N/A</v>
        <stp/>
        <stp>BDP|3735343928176008470</stp>
        <tr r="I2416" s="2"/>
      </tp>
      <tp t="s">
        <v>#N/A N/A</v>
        <stp/>
        <stp>BDP|7136260099014674845</stp>
        <tr r="A47" s="2"/>
      </tp>
      <tp t="s">
        <v>#N/A N/A</v>
        <stp/>
        <stp>BDP|7798397035710507728</stp>
        <tr r="H4741" s="2"/>
      </tp>
      <tp t="s">
        <v>#N/A N/A</v>
        <stp/>
        <stp>BDP|6539823579740731955</stp>
        <tr r="A146" s="2"/>
      </tp>
      <tp t="s">
        <v>#N/A N/A</v>
        <stp/>
        <stp>BDP|2002332304268243994</stp>
        <tr r="A1893" s="2"/>
      </tp>
      <tp t="s">
        <v>#N/A N/A</v>
        <stp/>
        <stp>BDP|3068081953196334045</stp>
        <tr r="D1623" s="2"/>
      </tp>
      <tp t="s">
        <v>#N/A N/A</v>
        <stp/>
        <stp>BDP|5358628979802033645</stp>
        <tr r="G3125" s="2"/>
      </tp>
      <tp t="s">
        <v>#N/A N/A</v>
        <stp/>
        <stp>BDP|6011029422846943257</stp>
        <tr r="F1259" s="2"/>
      </tp>
      <tp t="s">
        <v>#N/A N/A</v>
        <stp/>
        <stp>BDP|8173081939628924351</stp>
        <tr r="A926" s="2"/>
      </tp>
      <tp t="s">
        <v>#N/A N/A</v>
        <stp/>
        <stp>BDP|7558180981697325932</stp>
        <tr r="A4636" s="2"/>
      </tp>
      <tp t="s">
        <v>#N/A N/A</v>
        <stp/>
        <stp>BDP|8592559239967688932</stp>
        <tr r="A4585" s="2"/>
      </tp>
      <tp t="s">
        <v>#N/A N/A</v>
        <stp/>
        <stp>BDP|8587311508488672369</stp>
        <tr r="B3527" s="2"/>
      </tp>
      <tp t="s">
        <v>#N/A N/A</v>
        <stp/>
        <stp>BDP|1466159725937172593</stp>
        <tr r="I350" s="2"/>
      </tp>
      <tp t="s">
        <v>#N/A N/A</v>
        <stp/>
        <stp>BDP|5168106891269847444</stp>
        <tr r="D4815" s="2"/>
      </tp>
      <tp t="s">
        <v>#N/A N/A</v>
        <stp/>
        <stp>BDP|5290113758734577528</stp>
        <tr r="F728" s="2"/>
      </tp>
      <tp t="s">
        <v>#N/A N/A</v>
        <stp/>
        <stp>BDP|6162227917496801307</stp>
        <tr r="G2545" s="2"/>
      </tp>
      <tp t="s">
        <v>#N/A N/A</v>
        <stp/>
        <stp>BDP|7730771138096645524</stp>
        <tr r="G4086" s="2"/>
      </tp>
      <tp t="s">
        <v>#N/A N/A</v>
        <stp/>
        <stp>BDP|6863413502285020777</stp>
        <tr r="D2995" s="2"/>
      </tp>
      <tp t="s">
        <v>#N/A N/A</v>
        <stp/>
        <stp>BDP|8153820017683051284</stp>
        <tr r="D1596" s="2"/>
      </tp>
      <tp t="s">
        <v>#N/A N/A</v>
        <stp/>
        <stp>BDP|8532961570722830473</stp>
        <tr r="D3171" s="2"/>
      </tp>
      <tp t="s">
        <v>#N/A N/A</v>
        <stp/>
        <stp>BDP|3834800775125368921</stp>
        <tr r="G3732" s="2"/>
      </tp>
      <tp t="s">
        <v>#N/A N/A</v>
        <stp/>
        <stp>BDP|2804131935545722553</stp>
        <tr r="I1348" s="2"/>
      </tp>
      <tp t="s">
        <v>#N/A N/A</v>
        <stp/>
        <stp>BDP|3196388576773135421</stp>
        <tr r="I2962" s="2"/>
      </tp>
      <tp t="s">
        <v>#N/A N/A</v>
        <stp/>
        <stp>BDP|6922818648709516398</stp>
        <tr r="A4675" s="2"/>
      </tp>
      <tp t="s">
        <v>#N/A N/A</v>
        <stp/>
        <stp>BDP|6699695055962493728</stp>
        <tr r="I4473" s="2"/>
      </tp>
      <tp t="s">
        <v>#N/A N/A</v>
        <stp/>
        <stp>BDP|7751941999864596331</stp>
        <tr r="I3430" s="2"/>
      </tp>
      <tp t="s">
        <v>#N/A N/A</v>
        <stp/>
        <stp>BDP|5036481082178001164</stp>
        <tr r="F712" s="2"/>
      </tp>
      <tp t="s">
        <v>#N/A N/A</v>
        <stp/>
        <stp>BDP|9572803211947024788</stp>
        <tr r="C3632" s="2"/>
      </tp>
      <tp t="s">
        <v>#N/A N/A</v>
        <stp/>
        <stp>BDP|2468645408276025244</stp>
        <tr r="G772" s="2"/>
      </tp>
      <tp t="s">
        <v>#N/A N/A</v>
        <stp/>
        <stp>BDP|4117495910082378374</stp>
        <tr r="H3232" s="2"/>
      </tp>
      <tp t="s">
        <v>#N/A N/A</v>
        <stp/>
        <stp>BDP|4669409795821922862</stp>
        <tr r="C1614" s="2"/>
      </tp>
      <tp t="s">
        <v>#N/A N/A</v>
        <stp/>
        <stp>BDP|2552368677996915012</stp>
        <tr r="H3042" s="2"/>
      </tp>
      <tp t="s">
        <v>#N/A N/A</v>
        <stp/>
        <stp>BDP|8618271681154823644</stp>
        <tr r="G4724" s="2"/>
      </tp>
      <tp t="s">
        <v>#N/A N/A</v>
        <stp/>
        <stp>BDP|1792011811118262898</stp>
        <tr r="A3000" s="2"/>
      </tp>
      <tp t="s">
        <v>#N/A N/A</v>
        <stp/>
        <stp>BDP|3839012824194671570</stp>
        <tr r="B2143" s="2"/>
      </tp>
      <tp t="s">
        <v>#N/A N/A</v>
        <stp/>
        <stp>BDP|1871031794639022134</stp>
        <tr r="H3044" s="2"/>
      </tp>
      <tp t="s">
        <v>#N/A N/A</v>
        <stp/>
        <stp>BDP|9930808325061982295</stp>
        <tr r="A3160" s="2"/>
      </tp>
      <tp t="s">
        <v>#N/A N/A</v>
        <stp/>
        <stp>BDP|7802432302464336763</stp>
        <tr r="D4634" s="2"/>
      </tp>
      <tp t="s">
        <v>#N/A N/A</v>
        <stp/>
        <stp>BDP|5526699923289174828</stp>
        <tr r="A2731" s="2"/>
      </tp>
      <tp t="s">
        <v>#N/A N/A</v>
        <stp/>
        <stp>BDP|8008150606529953066</stp>
        <tr r="C2938" s="2"/>
      </tp>
      <tp t="s">
        <v>#N/A N/A</v>
        <stp/>
        <stp>BDP|2829169138381395188</stp>
        <tr r="H2188" s="2"/>
      </tp>
      <tp t="s">
        <v>#N/A N/A</v>
        <stp/>
        <stp>BDP|3822588168017252776</stp>
        <tr r="H3476" s="2"/>
      </tp>
      <tp t="s">
        <v>#N/A N/A</v>
        <stp/>
        <stp>BDP|5115093546567497677</stp>
        <tr r="A2065" s="2"/>
      </tp>
      <tp t="s">
        <v>#N/A N/A</v>
        <stp/>
        <stp>BDP|1825852592837437763</stp>
        <tr r="H2301" s="2"/>
      </tp>
      <tp t="s">
        <v>#N/A N/A</v>
        <stp/>
        <stp>BDP|3596184441130444650</stp>
        <tr r="A749" s="2"/>
      </tp>
      <tp t="s">
        <v>#N/A N/A</v>
        <stp/>
        <stp>BDP|8128444869093766968</stp>
        <tr r="F3760" s="2"/>
      </tp>
      <tp t="s">
        <v>#N/A N/A</v>
        <stp/>
        <stp>BDP|9260961675194485386</stp>
        <tr r="B2159" s="2"/>
      </tp>
      <tp t="s">
        <v>#N/A N/A</v>
        <stp/>
        <stp>BDP|1576441214850117494</stp>
        <tr r="G1371" s="2"/>
      </tp>
      <tp t="s">
        <v>#N/A N/A</v>
        <stp/>
        <stp>BDP|6281674771602875516</stp>
        <tr r="F3724" s="2"/>
      </tp>
      <tp t="s">
        <v>#N/A N/A</v>
        <stp/>
        <stp>BDP|6178985182666062169</stp>
        <tr r="D1889" s="2"/>
      </tp>
      <tp t="s">
        <v>#N/A N/A</v>
        <stp/>
        <stp>BDP|4604807601094243888</stp>
        <tr r="C785" s="2"/>
      </tp>
      <tp t="s">
        <v>#N/A N/A</v>
        <stp/>
        <stp>BDP|1030280386722788947</stp>
        <tr r="I2418" s="2"/>
      </tp>
      <tp t="s">
        <v>#N/A N/A</v>
        <stp/>
        <stp>BDP|3576289266654668305</stp>
        <tr r="B2332" s="2"/>
      </tp>
      <tp t="s">
        <v>#N/A N/A</v>
        <stp/>
        <stp>BDP|4250119627464839310</stp>
        <tr r="B2697" s="2"/>
      </tp>
      <tp t="s">
        <v>#N/A N/A</v>
        <stp/>
        <stp>BDP|6403166935874274082</stp>
        <tr r="A2314" s="2"/>
      </tp>
      <tp t="s">
        <v>#N/A N/A</v>
        <stp/>
        <stp>BDP|2675525861011016088</stp>
        <tr r="B4052" s="2"/>
      </tp>
      <tp t="s">
        <v>#N/A N/A</v>
        <stp/>
        <stp>BDP|4405779024713940230</stp>
        <tr r="I1322" s="2"/>
      </tp>
      <tp t="s">
        <v>#N/A N/A</v>
        <stp/>
        <stp>BDP|1086792912195026263</stp>
        <tr r="B4555" s="2"/>
      </tp>
      <tp t="s">
        <v>#N/A N/A</v>
        <stp/>
        <stp>BDP|2797304094960873869</stp>
        <tr r="A2013" s="2"/>
      </tp>
      <tp t="s">
        <v>#N/A N/A</v>
        <stp/>
        <stp>BDP|7339130610576547188</stp>
        <tr r="H1963" s="2"/>
      </tp>
      <tp t="s">
        <v>#N/A N/A</v>
        <stp/>
        <stp>BDP|3014308262286676096</stp>
        <tr r="D1958" s="2"/>
      </tp>
      <tp t="s">
        <v>#N/A N/A</v>
        <stp/>
        <stp>BDP|2134987345256888994</stp>
        <tr r="G3504" s="2"/>
      </tp>
      <tp t="s">
        <v>#N/A N/A</v>
        <stp/>
        <stp>BDP|5972114619241887444</stp>
        <tr r="F2969" s="2"/>
      </tp>
      <tp t="s">
        <v>#N/A N/A</v>
        <stp/>
        <stp>BDP|9764280447896258976</stp>
        <tr r="C1543" s="2"/>
      </tp>
      <tp t="s">
        <v>#N/A N/A</v>
        <stp/>
        <stp>BDP|8355694938868709584</stp>
        <tr r="G4529" s="2"/>
      </tp>
      <tp t="s">
        <v>#N/A N/A</v>
        <stp/>
        <stp>BDP|1306491244983321207</stp>
        <tr r="D1116" s="2"/>
      </tp>
      <tp t="s">
        <v>#N/A N/A</v>
        <stp/>
        <stp>BDP|9950038846379846497</stp>
        <tr r="F4194" s="2"/>
      </tp>
      <tp t="s">
        <v>#N/A N/A</v>
        <stp/>
        <stp>BDP|7381694246155910080</stp>
        <tr r="I1454" s="2"/>
      </tp>
      <tp t="s">
        <v>#N/A N/A</v>
        <stp/>
        <stp>BDP|9536443365938860313</stp>
        <tr r="C631" s="2"/>
      </tp>
      <tp t="s">
        <v>#N/A N/A</v>
        <stp/>
        <stp>BDP|2930609150858474909</stp>
        <tr r="B631" s="2"/>
      </tp>
      <tp t="s">
        <v>#N/A N/A</v>
        <stp/>
        <stp>BDP|5421955579629597204</stp>
        <tr r="H796" s="2"/>
      </tp>
      <tp t="s">
        <v>#N/A N/A</v>
        <stp/>
        <stp>BDP|6000497430061523019</stp>
        <tr r="C218" s="2"/>
      </tp>
      <tp t="s">
        <v>#N/A N/A</v>
        <stp/>
        <stp>BDP|2995208864914203224</stp>
        <tr r="A3829" s="2"/>
      </tp>
      <tp t="s">
        <v>#N/A N/A</v>
        <stp/>
        <stp>BDP|6579426434115984474</stp>
        <tr r="A4049" s="2"/>
      </tp>
      <tp t="s">
        <v>#N/A N/A</v>
        <stp/>
        <stp>BDP|1296675872677333795</stp>
        <tr r="C3641" s="2"/>
      </tp>
      <tp t="s">
        <v>#N/A N/A</v>
        <stp/>
        <stp>BDP|7117710526965344783</stp>
        <tr r="H511" s="2"/>
      </tp>
      <tp t="s">
        <v>#N/A N/A</v>
        <stp/>
        <stp>BDP|7714539119034447743</stp>
        <tr r="H706" s="2"/>
      </tp>
      <tp t="s">
        <v>#N/A N/A</v>
        <stp/>
        <stp>BDP|4486173754789337990</stp>
        <tr r="I1570" s="2"/>
      </tp>
      <tp t="s">
        <v>#N/A N/A</v>
        <stp/>
        <stp>BDP|6407543255974819204</stp>
        <tr r="H3914" s="2"/>
      </tp>
      <tp t="s">
        <v>#N/A N/A</v>
        <stp/>
        <stp>BDP|7476052003225681291</stp>
        <tr r="F2714" s="2"/>
      </tp>
      <tp t="s">
        <v>#N/A N/A</v>
        <stp/>
        <stp>BDP|2915421425006461278</stp>
        <tr r="I4276" s="2"/>
      </tp>
      <tp t="s">
        <v>#N/A N/A</v>
        <stp/>
        <stp>BDP|6827779674414663207</stp>
        <tr r="H4759" s="2"/>
      </tp>
      <tp t="s">
        <v>#N/A N/A</v>
        <stp/>
        <stp>BDP|4917931150580593822</stp>
        <tr r="D392" s="2"/>
      </tp>
      <tp t="s">
        <v>#N/A N/A</v>
        <stp/>
        <stp>BDP|7110641799499833199</stp>
        <tr r="C97" s="2"/>
      </tp>
      <tp t="s">
        <v>#N/A N/A</v>
        <stp/>
        <stp>BDP|3026844330329960102</stp>
        <tr r="I3007" s="2"/>
      </tp>
      <tp t="s">
        <v>#N/A N/A</v>
        <stp/>
        <stp>BDP|7294949378040074936</stp>
        <tr r="D3409" s="2"/>
      </tp>
      <tp t="s">
        <v>#N/A N/A</v>
        <stp/>
        <stp>BDP|6117142444133960055</stp>
        <tr r="A1117" s="2"/>
      </tp>
      <tp t="s">
        <v>#N/A N/A</v>
        <stp/>
        <stp>BDP|7968582981588563286</stp>
        <tr r="H2011" s="2"/>
      </tp>
      <tp t="s">
        <v>#N/A N/A</v>
        <stp/>
        <stp>BDP|7393368466602802067</stp>
        <tr r="C3935" s="2"/>
      </tp>
      <tp t="s">
        <v>#N/A N/A</v>
        <stp/>
        <stp>BDP|2872563207051269662</stp>
        <tr r="D1101" s="2"/>
      </tp>
      <tp t="s">
        <v>#N/A N/A</v>
        <stp/>
        <stp>BDP|2930060752181805682</stp>
        <tr r="B3712" s="2"/>
      </tp>
      <tp t="s">
        <v>#N/A N/A</v>
        <stp/>
        <stp>BDP|4029140405217936253</stp>
        <tr r="D1502" s="2"/>
      </tp>
      <tp t="s">
        <v>#N/A N/A</v>
        <stp/>
        <stp>BDP|9566707677668854171</stp>
        <tr r="A2724" s="2"/>
      </tp>
      <tp t="s">
        <v>#N/A N/A</v>
        <stp/>
        <stp>BDP|2222912711499853372</stp>
        <tr r="I4675" s="2"/>
      </tp>
      <tp t="s">
        <v>#N/A N/A</v>
        <stp/>
        <stp>BDP|6469190957207027574</stp>
        <tr r="B4002" s="2"/>
      </tp>
      <tp t="s">
        <v>#N/A N/A</v>
        <stp/>
        <stp>BDP|2468259979054494314</stp>
        <tr r="F2952" s="2"/>
      </tp>
      <tp t="s">
        <v>#N/A N/A</v>
        <stp/>
        <stp>BDP|5262792552633754435</stp>
        <tr r="H3258" s="2"/>
      </tp>
      <tp t="s">
        <v>#N/A N/A</v>
        <stp/>
        <stp>BDP|5561532068175716346</stp>
        <tr r="D2641" s="2"/>
      </tp>
      <tp t="s">
        <v>#N/A N/A</v>
        <stp/>
        <stp>BDP|1264077341486133384</stp>
        <tr r="A1731" s="2"/>
      </tp>
      <tp t="s">
        <v>#N/A N/A</v>
        <stp/>
        <stp>BDP|5963836240360728903</stp>
        <tr r="B2454" s="2"/>
      </tp>
      <tp t="s">
        <v>#N/A N/A</v>
        <stp/>
        <stp>BDP|9061254169645973886</stp>
        <tr r="A1910" s="2"/>
      </tp>
      <tp t="s">
        <v>#N/A N/A</v>
        <stp/>
        <stp>BDP|3605526842735812735</stp>
        <tr r="G3475" s="2"/>
      </tp>
      <tp t="s">
        <v>#N/A N/A</v>
        <stp/>
        <stp>BDP|9843002097682216204</stp>
        <tr r="D3582" s="2"/>
      </tp>
      <tp t="s">
        <v>#N/A N/A</v>
        <stp/>
        <stp>BDP|9518397682722205014</stp>
        <tr r="I351" s="2"/>
      </tp>
      <tp t="s">
        <v>#N/A N/A</v>
        <stp/>
        <stp>BDP|3778746325897849138</stp>
        <tr r="A2508" s="2"/>
      </tp>
      <tp t="s">
        <v>#N/A N/A</v>
        <stp/>
        <stp>BDP|7844633349270906561</stp>
        <tr r="C1987" s="2"/>
      </tp>
      <tp t="s">
        <v>#N/A N/A</v>
        <stp/>
        <stp>BDP|9175300324380008880</stp>
        <tr r="B2702" s="2"/>
      </tp>
      <tp t="s">
        <v>#N/A N/A</v>
        <stp/>
        <stp>BDP|9846118522802685808</stp>
        <tr r="F4333" s="2"/>
      </tp>
      <tp t="s">
        <v>#N/A N/A</v>
        <stp/>
        <stp>BDP|2249010358290364754</stp>
        <tr r="D4851" s="2"/>
      </tp>
      <tp t="s">
        <v>#N/A N/A</v>
        <stp/>
        <stp>BDP|9004016692078875866</stp>
        <tr r="H852" s="2"/>
      </tp>
      <tp t="s">
        <v>#N/A N/A</v>
        <stp/>
        <stp>BDP|1692673368829172852</stp>
        <tr r="B1930" s="2"/>
      </tp>
      <tp t="s">
        <v>#N/A N/A</v>
        <stp/>
        <stp>BDP|9074987672146769100</stp>
        <tr r="A2070" s="2"/>
      </tp>
      <tp t="s">
        <v>#N/A N/A</v>
        <stp/>
        <stp>BDP|6433361828652026571</stp>
        <tr r="D3895" s="2"/>
      </tp>
      <tp t="s">
        <v>#N/A N/A</v>
        <stp/>
        <stp>BDP|6592761944581388492</stp>
        <tr r="F3200" s="2"/>
      </tp>
      <tp t="s">
        <v>#N/A N/A</v>
        <stp/>
        <stp>BDP|7557273657171086189</stp>
        <tr r="B1725" s="2"/>
      </tp>
      <tp t="s">
        <v>#N/A N/A</v>
        <stp/>
        <stp>BDP|5092361608254483274</stp>
        <tr r="I302" s="2"/>
      </tp>
      <tp t="s">
        <v>#N/A N/A</v>
        <stp/>
        <stp>BDP|2387198044516555166</stp>
        <tr r="A1050" s="2"/>
      </tp>
      <tp t="s">
        <v>#N/A N/A</v>
        <stp/>
        <stp>BDP|5000325076476904707</stp>
        <tr r="G4463" s="2"/>
      </tp>
      <tp t="s">
        <v>#N/A N/A</v>
        <stp/>
        <stp>BDP|8733973153587842367</stp>
        <tr r="B3785" s="2"/>
      </tp>
      <tp t="s">
        <v>#N/A N/A</v>
        <stp/>
        <stp>BDP|1131603773099836975</stp>
        <tr r="C2350" s="2"/>
      </tp>
      <tp t="s">
        <v>#N/A N/A</v>
        <stp/>
        <stp>BDP|3829283477825108340</stp>
        <tr r="F1886" s="2"/>
      </tp>
      <tp t="s">
        <v>#N/A N/A</v>
        <stp/>
        <stp>BDP|2315798531001813711</stp>
        <tr r="I1432" s="2"/>
      </tp>
      <tp t="s">
        <v>#N/A N/A</v>
        <stp/>
        <stp>BDP|2081252183350605821</stp>
        <tr r="D350" s="2"/>
      </tp>
      <tp t="s">
        <v>#N/A N/A</v>
        <stp/>
        <stp>BDP|6341485005766987456</stp>
        <tr r="B3542" s="2"/>
      </tp>
      <tp t="s">
        <v>#N/A N/A</v>
        <stp/>
        <stp>BDP|8288207392422119132</stp>
        <tr r="F2387" s="2"/>
      </tp>
      <tp t="s">
        <v>#N/A N/A</v>
        <stp/>
        <stp>BDP|2160898127001550983</stp>
        <tr r="H3061" s="2"/>
      </tp>
      <tp t="s">
        <v>#N/A N/A</v>
        <stp/>
        <stp>BDP|2432779169107040487</stp>
        <tr r="H1932" s="2"/>
      </tp>
      <tp t="s">
        <v>#N/A N/A</v>
        <stp/>
        <stp>BDP|4370651770725419008</stp>
        <tr r="I3708" s="2"/>
      </tp>
      <tp t="s">
        <v>#N/A N/A</v>
        <stp/>
        <stp>BDP|4677319920506733320</stp>
        <tr r="H3974" s="2"/>
      </tp>
      <tp t="s">
        <v>#N/A N/A</v>
        <stp/>
        <stp>BDP|1107865185988557951</stp>
        <tr r="H1693" s="2"/>
      </tp>
      <tp t="s">
        <v>#N/A N/A</v>
        <stp/>
        <stp>BDP|2399452333825607018</stp>
        <tr r="I501" s="2"/>
      </tp>
      <tp t="s">
        <v>#N/A N/A</v>
        <stp/>
        <stp>BDP|9772504286981401571</stp>
        <tr r="I993" s="2"/>
      </tp>
      <tp t="s">
        <v>#N/A N/A</v>
        <stp/>
        <stp>BDP|7129755129852619094</stp>
        <tr r="F1457" s="2"/>
      </tp>
      <tp t="s">
        <v>#N/A N/A</v>
        <stp/>
        <stp>BDP|6141119530404741057</stp>
        <tr r="C745" s="2"/>
      </tp>
      <tp t="s">
        <v>#N/A N/A</v>
        <stp/>
        <stp>BDP|7134670056356624248</stp>
        <tr r="C2756" s="2"/>
      </tp>
      <tp t="s">
        <v>#N/A N/A</v>
        <stp/>
        <stp>BDP|5487930190763747621</stp>
        <tr r="F1828" s="2"/>
      </tp>
      <tp t="s">
        <v>#N/A N/A</v>
        <stp/>
        <stp>BDP|4042778966232715745</stp>
        <tr r="D4969" s="2"/>
      </tp>
      <tp t="s">
        <v>#N/A N/A</v>
        <stp/>
        <stp>BDP|7339581109824835683</stp>
        <tr r="A628" s="2"/>
      </tp>
      <tp t="s">
        <v>#N/A N/A</v>
        <stp/>
        <stp>BDP|2295022923607746763</stp>
        <tr r="H2778" s="2"/>
      </tp>
      <tp t="s">
        <v>#N/A N/A</v>
        <stp/>
        <stp>BDP|5405024841935425415</stp>
        <tr r="G4999" s="2"/>
      </tp>
      <tp t="s">
        <v>#N/A N/A</v>
        <stp/>
        <stp>BDP|5840659611576974472</stp>
        <tr r="H516" s="2"/>
      </tp>
      <tp t="s">
        <v>#N/A N/A</v>
        <stp/>
        <stp>BDP|8981332690586979415</stp>
        <tr r="I3845" s="2"/>
      </tp>
      <tp t="s">
        <v>#N/A N/A</v>
        <stp/>
        <stp>BDP|1122914391187336609</stp>
        <tr r="A2461" s="2"/>
      </tp>
      <tp t="s">
        <v>#N/A N/A</v>
        <stp/>
        <stp>BDP|2080804765115329942</stp>
        <tr r="H3741" s="2"/>
      </tp>
      <tp t="s">
        <v>#N/A N/A</v>
        <stp/>
        <stp>BDP|9039859039451605383</stp>
        <tr r="B4119" s="2"/>
      </tp>
      <tp t="s">
        <v>#N/A N/A</v>
        <stp/>
        <stp>BDP|8673060334073181873</stp>
        <tr r="D4843" s="2"/>
      </tp>
      <tp t="s">
        <v>#N/A N/A</v>
        <stp/>
        <stp>BDP|9343173312219490000</stp>
        <tr r="H3576" s="2"/>
      </tp>
      <tp t="s">
        <v>#N/A N/A</v>
        <stp/>
        <stp>BDP|4941050219497194265</stp>
        <tr r="D3701" s="2"/>
      </tp>
      <tp t="s">
        <v>#N/A N/A</v>
        <stp/>
        <stp>BDP|4888891436556340964</stp>
        <tr r="D1724" s="2"/>
      </tp>
      <tp t="s">
        <v>#N/A N/A</v>
        <stp/>
        <stp>BDP|1029164206684389414</stp>
        <tr r="F136" s="2"/>
      </tp>
      <tp t="s">
        <v>#N/A N/A</v>
        <stp/>
        <stp>BDP|6558846763030087807</stp>
        <tr r="F2508" s="2"/>
      </tp>
      <tp t="s">
        <v>#N/A N/A</v>
        <stp/>
        <stp>BDP|1161502466140424218</stp>
        <tr r="A4490" s="2"/>
      </tp>
      <tp t="s">
        <v>#N/A N/A</v>
        <stp/>
        <stp>BDP|7196422721556995798</stp>
        <tr r="C4042" s="2"/>
      </tp>
      <tp t="s">
        <v>#N/A N/A</v>
        <stp/>
        <stp>BDP|2964181244001118669</stp>
        <tr r="I2025" s="2"/>
      </tp>
      <tp t="s">
        <v>#N/A N/A</v>
        <stp/>
        <stp>BDP|4026209431987285215</stp>
        <tr r="C1312" s="2"/>
      </tp>
      <tp t="s">
        <v>#N/A N/A</v>
        <stp/>
        <stp>BDP|9380956073807588021</stp>
        <tr r="I3062" s="2"/>
      </tp>
      <tp t="s">
        <v>#N/A N/A</v>
        <stp/>
        <stp>BDP|7641065325633484631</stp>
        <tr r="A819" s="2"/>
      </tp>
      <tp t="s">
        <v>#N/A N/A</v>
        <stp/>
        <stp>BDP|5381652239278974841</stp>
        <tr r="F4681" s="2"/>
      </tp>
      <tp t="s">
        <v>#N/A N/A</v>
        <stp/>
        <stp>BDP|4683702456390672640</stp>
        <tr r="C2042" s="2"/>
      </tp>
      <tp t="s">
        <v>#N/A N/A</v>
        <stp/>
        <stp>BDP|5432268220715657068</stp>
        <tr r="H3390" s="2"/>
      </tp>
      <tp t="s">
        <v>#N/A N/A</v>
        <stp/>
        <stp>BDP|5447005243050446114</stp>
        <tr r="H4343" s="2"/>
      </tp>
      <tp t="s">
        <v>#N/A N/A</v>
        <stp/>
        <stp>BDP|4054381219540340604</stp>
        <tr r="B1389" s="2"/>
      </tp>
      <tp t="s">
        <v>#N/A N/A</v>
        <stp/>
        <stp>BDP|3271850403368640301</stp>
        <tr r="G2499" s="2"/>
      </tp>
      <tp t="s">
        <v>#N/A N/A</v>
        <stp/>
        <stp>BDP|4977448511397958678</stp>
        <tr r="A1840" s="2"/>
      </tp>
      <tp t="s">
        <v>#N/A N/A</v>
        <stp/>
        <stp>BDP|4746067610533218616</stp>
        <tr r="I4263" s="2"/>
      </tp>
      <tp t="s">
        <v>#N/A N/A</v>
        <stp/>
        <stp>BDP|9179973545425085119</stp>
        <tr r="C1450" s="2"/>
      </tp>
      <tp t="s">
        <v>#N/A N/A</v>
        <stp/>
        <stp>BDP|3124238706607756619</stp>
        <tr r="I2222" s="2"/>
      </tp>
      <tp t="s">
        <v>#N/A N/A</v>
        <stp/>
        <stp>BDP|4376772496302047802</stp>
        <tr r="C1848" s="2"/>
      </tp>
      <tp t="s">
        <v>#N/A N/A</v>
        <stp/>
        <stp>BDP|4530563714240271075</stp>
        <tr r="F4023" s="2"/>
      </tp>
      <tp t="s">
        <v>#N/A N/A</v>
        <stp/>
        <stp>BDP|1523026409482923352</stp>
        <tr r="H3922" s="2"/>
      </tp>
      <tp t="s">
        <v>#N/A N/A</v>
        <stp/>
        <stp>BDP|2149343023000274360</stp>
        <tr r="I4794" s="2"/>
      </tp>
      <tp t="s">
        <v>#N/A N/A</v>
        <stp/>
        <stp>BDP|2663024635442529364</stp>
        <tr r="D2381" s="2"/>
      </tp>
      <tp t="s">
        <v>#N/A N/A</v>
        <stp/>
        <stp>BDP|8445225710902296962</stp>
        <tr r="D1163" s="2"/>
      </tp>
      <tp t="s">
        <v>#N/A N/A</v>
        <stp/>
        <stp>BDP|9167111382454635463</stp>
        <tr r="H1302" s="2"/>
      </tp>
      <tp t="s">
        <v>#N/A N/A</v>
        <stp/>
        <stp>BDP|3332036397638122242</stp>
        <tr r="I2388" s="2"/>
      </tp>
      <tp t="s">
        <v>#N/A N/A</v>
        <stp/>
        <stp>BDP|6747056273037045635</stp>
        <tr r="F2931" s="2"/>
      </tp>
      <tp t="s">
        <v>#N/A N/A</v>
        <stp/>
        <stp>BDP|4547650220744721453</stp>
        <tr r="A408" s="2"/>
      </tp>
      <tp t="s">
        <v>#N/A N/A</v>
        <stp/>
        <stp>BDP|4458545389520808937</stp>
        <tr r="G3736" s="2"/>
      </tp>
      <tp t="s">
        <v>#N/A N/A</v>
        <stp/>
        <stp>BDP|5157187225161781799</stp>
        <tr r="G2387" s="2"/>
      </tp>
      <tp t="s">
        <v>#N/A N/A</v>
        <stp/>
        <stp>BDP|1950794897128669734</stp>
        <tr r="A4615" s="2"/>
      </tp>
      <tp t="s">
        <v>#N/A N/A</v>
        <stp/>
        <stp>BDP|8542822877283361410</stp>
        <tr r="A4774" s="2"/>
      </tp>
      <tp t="s">
        <v>#N/A N/A</v>
        <stp/>
        <stp>BDP|8400185190247719794</stp>
        <tr r="I4965" s="2"/>
      </tp>
      <tp t="s">
        <v>#N/A N/A</v>
        <stp/>
        <stp>BDP|4263891392521969426</stp>
        <tr r="D2767" s="2"/>
      </tp>
      <tp t="s">
        <v>#N/A N/A</v>
        <stp/>
        <stp>BDP|3325146370414763123</stp>
        <tr r="D2817" s="2"/>
      </tp>
      <tp t="s">
        <v>#N/A N/A</v>
        <stp/>
        <stp>BDP|2053312766351557604</stp>
        <tr r="I2065" s="2"/>
      </tp>
      <tp t="s">
        <v>#N/A N/A</v>
        <stp/>
        <stp>BDP|4690050675104644729</stp>
        <tr r="B715" s="2"/>
      </tp>
      <tp t="s">
        <v>#N/A N/A</v>
        <stp/>
        <stp>BDP|7875514038942098336</stp>
        <tr r="A4100" s="2"/>
      </tp>
      <tp t="s">
        <v>#N/A N/A</v>
        <stp/>
        <stp>BDP|6733663292229966080</stp>
        <tr r="I4331" s="2"/>
      </tp>
      <tp t="s">
        <v>#N/A N/A</v>
        <stp/>
        <stp>BDP|2750749557210198073</stp>
        <tr r="F4923" s="2"/>
      </tp>
      <tp t="s">
        <v>#N/A N/A</v>
        <stp/>
        <stp>BDP|1445515837452221523</stp>
        <tr r="H4232" s="2"/>
      </tp>
      <tp t="s">
        <v>#N/A N/A</v>
        <stp/>
        <stp>BDP|3129336751680402555</stp>
        <tr r="F4515" s="2"/>
      </tp>
      <tp t="s">
        <v>#N/A N/A</v>
        <stp/>
        <stp>BDP|4047458019905660484</stp>
        <tr r="I2644" s="2"/>
      </tp>
      <tp t="s">
        <v>#N/A N/A</v>
        <stp/>
        <stp>BDP|5265501727787448533</stp>
        <tr r="F332" s="2"/>
      </tp>
      <tp t="s">
        <v>#N/A N/A</v>
        <stp/>
        <stp>BDP|3552272080558664163</stp>
        <tr r="D3392" s="2"/>
      </tp>
      <tp t="s">
        <v>#N/A N/A</v>
        <stp/>
        <stp>BDP|5942499821901665255</stp>
        <tr r="G288" s="2"/>
      </tp>
      <tp t="s">
        <v>#N/A N/A</v>
        <stp/>
        <stp>BDP|5665108498948430582</stp>
        <tr r="B2417" s="2"/>
      </tp>
      <tp t="s">
        <v>#N/A N/A</v>
        <stp/>
        <stp>BDP|3742319275802546547</stp>
        <tr r="I3050" s="2"/>
      </tp>
      <tp t="s">
        <v>#N/A N/A</v>
        <stp/>
        <stp>BDP|8660326322688188158</stp>
        <tr r="F4781" s="2"/>
      </tp>
      <tp t="s">
        <v>#N/A N/A</v>
        <stp/>
        <stp>BDP|7132642299851878968</stp>
        <tr r="A2929" s="2"/>
      </tp>
      <tp t="s">
        <v>#N/A N/A</v>
        <stp/>
        <stp>BDP|8370719350323099902</stp>
        <tr r="B3567" s="2"/>
      </tp>
      <tp t="s">
        <v>#N/A N/A</v>
        <stp/>
        <stp>BDP|6696814570611626820</stp>
        <tr r="A1668" s="2"/>
      </tp>
      <tp t="s">
        <v>#N/A N/A</v>
        <stp/>
        <stp>BDP|2552773972877729545</stp>
        <tr r="B4531" s="2"/>
      </tp>
      <tp t="s">
        <v>#N/A N/A</v>
        <stp/>
        <stp>BDP|9431232592813780118</stp>
        <tr r="I1740" s="2"/>
      </tp>
      <tp t="s">
        <v>#N/A N/A</v>
        <stp/>
        <stp>BDP|6764756022946007530</stp>
        <tr r="C3002" s="2"/>
      </tp>
      <tp t="s">
        <v>#N/A N/A</v>
        <stp/>
        <stp>BDP|3594021562113440624</stp>
        <tr r="A1952" s="2"/>
      </tp>
      <tp t="s">
        <v>#N/A N/A</v>
        <stp/>
        <stp>BDP|8595173463507401867</stp>
        <tr r="A1793" s="2"/>
      </tp>
      <tp t="s">
        <v>#N/A N/A</v>
        <stp/>
        <stp>BDP|3693934337539780068</stp>
        <tr r="B3890" s="2"/>
      </tp>
      <tp t="s">
        <v>#N/A N/A</v>
        <stp/>
        <stp>BDP|2448727735673457548</stp>
        <tr r="H2957" s="2"/>
      </tp>
      <tp t="s">
        <v>#N/A N/A</v>
        <stp/>
        <stp>BDP|3968603602072093784</stp>
        <tr r="G2780" s="2"/>
      </tp>
      <tp t="s">
        <v>#N/A N/A</v>
        <stp/>
        <stp>BDP|3293317307469101961</stp>
        <tr r="G2535" s="2"/>
      </tp>
      <tp t="s">
        <v>#N/A N/A</v>
        <stp/>
        <stp>BDP|7305288032521970731</stp>
        <tr r="I1516" s="2"/>
      </tp>
      <tp t="s">
        <v>#N/A N/A</v>
        <stp/>
        <stp>BDP|1742679920610581568</stp>
        <tr r="I3179" s="2"/>
      </tp>
      <tp t="s">
        <v>#N/A N/A</v>
        <stp/>
        <stp>BDP|2737015704230594247</stp>
        <tr r="B1109" s="2"/>
      </tp>
      <tp t="s">
        <v>#N/A N/A</v>
        <stp/>
        <stp>BDP|8537168449739843412</stp>
        <tr r="G3424" s="2"/>
      </tp>
      <tp t="s">
        <v>#N/A N/A</v>
        <stp/>
        <stp>BDP|6880543907125046684</stp>
        <tr r="A4259" s="2"/>
      </tp>
      <tp t="s">
        <v>#N/A N/A</v>
        <stp/>
        <stp>BDP|4588169936947211144</stp>
        <tr r="I2777" s="2"/>
      </tp>
      <tp t="s">
        <v>#N/A N/A</v>
        <stp/>
        <stp>BDP|5463716785172741848</stp>
        <tr r="B4225" s="2"/>
      </tp>
      <tp t="s">
        <v>#N/A N/A</v>
        <stp/>
        <stp>BDP|1480815878119854764</stp>
        <tr r="D581" s="2"/>
      </tp>
      <tp t="s">
        <v>#N/A N/A</v>
        <stp/>
        <stp>BDP|5891744478184494138</stp>
        <tr r="A3966" s="2"/>
      </tp>
      <tp t="s">
        <v>#N/A N/A</v>
        <stp/>
        <stp>BDP|9311342905908022215</stp>
        <tr r="G1199" s="2"/>
      </tp>
      <tp t="s">
        <v>#N/A N/A</v>
        <stp/>
        <stp>BDP|3550502532581289466</stp>
        <tr r="A285" s="2"/>
      </tp>
      <tp t="s">
        <v>#N/A N/A</v>
        <stp/>
        <stp>BDP|5643805199042592694</stp>
        <tr r="H2380" s="2"/>
      </tp>
      <tp t="s">
        <v>#N/A N/A</v>
        <stp/>
        <stp>BDP|1330797718232335529</stp>
        <tr r="C4816" s="2"/>
      </tp>
      <tp t="s">
        <v>#N/A N/A</v>
        <stp/>
        <stp>BDP|7886879199152241478</stp>
        <tr r="H2216" s="2"/>
      </tp>
      <tp t="s">
        <v>#N/A N/A</v>
        <stp/>
        <stp>BDP|3975747858569385851</stp>
        <tr r="F3347" s="2"/>
      </tp>
      <tp t="s">
        <v>#N/A N/A</v>
        <stp/>
        <stp>BDP|5928878144048145182</stp>
        <tr r="D2945" s="2"/>
      </tp>
      <tp t="s">
        <v>#N/A N/A</v>
        <stp/>
        <stp>BDP|4506995688835669017</stp>
        <tr r="C3673" s="2"/>
      </tp>
      <tp t="s">
        <v>#N/A N/A</v>
        <stp/>
        <stp>BDP|7349705189998105087</stp>
        <tr r="A46" s="2"/>
      </tp>
      <tp t="s">
        <v>#N/A N/A</v>
        <stp/>
        <stp>BDP|8351073085303525378</stp>
        <tr r="C4152" s="2"/>
      </tp>
      <tp t="s">
        <v>#N/A N/A</v>
        <stp/>
        <stp>BDP|8426872780750310839</stp>
        <tr r="F2430" s="2"/>
      </tp>
      <tp t="s">
        <v>#N/A N/A</v>
        <stp/>
        <stp>BDP|1164998098193708240</stp>
        <tr r="D1114" s="2"/>
      </tp>
      <tp t="s">
        <v>#N/A N/A</v>
        <stp/>
        <stp>BDP|3059535650261789275</stp>
        <tr r="C1078" s="2"/>
      </tp>
      <tp t="s">
        <v>#N/A N/A</v>
        <stp/>
        <stp>BDP|6378148170710479000</stp>
        <tr r="H3035" s="2"/>
      </tp>
      <tp t="s">
        <v>#N/A N/A</v>
        <stp/>
        <stp>BDP|6620561127444607528</stp>
        <tr r="H4592" s="2"/>
      </tp>
      <tp t="s">
        <v>#N/A N/A</v>
        <stp/>
        <stp>BDP|5969546390940912977</stp>
        <tr r="A2968" s="2"/>
      </tp>
      <tp t="s">
        <v>#N/A N/A</v>
        <stp/>
        <stp>BDP|3320707465291417319</stp>
        <tr r="I161" s="2"/>
      </tp>
      <tp t="s">
        <v>#N/A N/A</v>
        <stp/>
        <stp>BDP|9222104216248034179</stp>
        <tr r="D4716" s="2"/>
      </tp>
      <tp t="s">
        <v>#N/A N/A</v>
        <stp/>
        <stp>BDP|4625105655130002008</stp>
        <tr r="D3507" s="2"/>
      </tp>
      <tp t="s">
        <v>#N/A N/A</v>
        <stp/>
        <stp>BDP|4580124630332706431</stp>
        <tr r="G3110" s="2"/>
      </tp>
      <tp t="s">
        <v>#N/A N/A</v>
        <stp/>
        <stp>BDP|7128734060245284332</stp>
        <tr r="I2194" s="2"/>
      </tp>
      <tp t="s">
        <v>#N/A N/A</v>
        <stp/>
        <stp>BDP|1894139515332949349</stp>
        <tr r="A3381" s="2"/>
      </tp>
      <tp t="s">
        <v>#N/A N/A</v>
        <stp/>
        <stp>BDP|1840194365606036074</stp>
        <tr r="B3024" s="2"/>
      </tp>
      <tp t="s">
        <v>#N/A N/A</v>
        <stp/>
        <stp>BDP|6881768028595729626</stp>
        <tr r="I4086" s="2"/>
      </tp>
      <tp t="s">
        <v>#N/A N/A</v>
        <stp/>
        <stp>BDP|6245542222858471938</stp>
        <tr r="H4172" s="2"/>
      </tp>
      <tp t="s">
        <v>#N/A N/A</v>
        <stp/>
        <stp>BDP|5673104975157362435</stp>
        <tr r="H2327" s="2"/>
      </tp>
      <tp t="s">
        <v>#N/A N/A</v>
        <stp/>
        <stp>BDP|9409068799054003489</stp>
        <tr r="A1836" s="2"/>
      </tp>
      <tp t="s">
        <v>#N/A N/A</v>
        <stp/>
        <stp>BDP|2302135546940159748</stp>
        <tr r="G2114" s="2"/>
      </tp>
      <tp t="s">
        <v>#N/A N/A</v>
        <stp/>
        <stp>BDP|7677258855664313469</stp>
        <tr r="F782" s="2"/>
      </tp>
      <tp t="s">
        <v>#N/A N/A</v>
        <stp/>
        <stp>BDP|7630248622763644458</stp>
        <tr r="I2828" s="2"/>
      </tp>
      <tp t="s">
        <v>#N/A N/A</v>
        <stp/>
        <stp>BDP|1450395651647777081</stp>
        <tr r="H3709" s="2"/>
      </tp>
      <tp t="s">
        <v>#N/A N/A</v>
        <stp/>
        <stp>BDP|4707317475682227223</stp>
        <tr r="B3973" s="2"/>
      </tp>
      <tp t="s">
        <v>#N/A N/A</v>
        <stp/>
        <stp>BDP|5524484819202442230</stp>
        <tr r="C4673" s="2"/>
      </tp>
      <tp t="s">
        <v>#N/A N/A</v>
        <stp/>
        <stp>BDP|3636969887901257366</stp>
        <tr r="D4403" s="2"/>
      </tp>
      <tp t="s">
        <v>#N/A N/A</v>
        <stp/>
        <stp>BDP|9091449915274514873</stp>
        <tr r="B1885" s="2"/>
      </tp>
      <tp t="s">
        <v>#N/A N/A</v>
        <stp/>
        <stp>BDP|2135561563508177963</stp>
        <tr r="H339" s="2"/>
      </tp>
      <tp t="s">
        <v>#N/A N/A</v>
        <stp/>
        <stp>BDP|6108565165345741061</stp>
        <tr r="B1086" s="2"/>
      </tp>
      <tp t="s">
        <v>#N/A N/A</v>
        <stp/>
        <stp>BDP|4977518519997665743</stp>
        <tr r="A1073" s="2"/>
      </tp>
      <tp t="s">
        <v>#N/A N/A</v>
        <stp/>
        <stp>BDP|7244085873426250683</stp>
        <tr r="F382" s="2"/>
      </tp>
      <tp t="s">
        <v>#N/A N/A</v>
        <stp/>
        <stp>BDP|9000387369558628443</stp>
        <tr r="F4718" s="2"/>
      </tp>
      <tp t="s">
        <v>#N/A N/A</v>
        <stp/>
        <stp>BDP|5849074164757919414</stp>
        <tr r="B1820" s="2"/>
      </tp>
      <tp t="s">
        <v>#N/A N/A</v>
        <stp/>
        <stp>BDP|8042964613149705913</stp>
        <tr r="C2393" s="2"/>
      </tp>
      <tp t="s">
        <v>#N/A N/A</v>
        <stp/>
        <stp>BDP|5912499994450688816</stp>
        <tr r="A1945" s="2"/>
      </tp>
      <tp t="s">
        <v>#N/A N/A</v>
        <stp/>
        <stp>BDP|1083577942619027969</stp>
        <tr r="A2164" s="2"/>
      </tp>
      <tp t="s">
        <v>#N/A N/A</v>
        <stp/>
        <stp>BDP|2222919836870443825</stp>
        <tr r="H559" s="2"/>
      </tp>
      <tp t="s">
        <v>#N/A N/A</v>
        <stp/>
        <stp>BDP|1072654921671074470</stp>
        <tr r="H3516" s="2"/>
      </tp>
      <tp t="s">
        <v>#N/A N/A</v>
        <stp/>
        <stp>BDP|9294979498440939972</stp>
        <tr r="D3818" s="2"/>
      </tp>
      <tp t="s">
        <v>#N/A N/A</v>
        <stp/>
        <stp>BDP|5024892977019506385</stp>
        <tr r="B4208" s="2"/>
      </tp>
      <tp t="s">
        <v>#N/A N/A</v>
        <stp/>
        <stp>BDP|5494976223867231910</stp>
        <tr r="H287" s="2"/>
      </tp>
      <tp t="s">
        <v>#N/A N/A</v>
        <stp/>
        <stp>BDP|8683743313637692940</stp>
        <tr r="B1058" s="2"/>
      </tp>
      <tp t="s">
        <v>#N/A N/A</v>
        <stp/>
        <stp>BDP|6658650827177545524</stp>
        <tr r="C2378" s="2"/>
      </tp>
      <tp t="s">
        <v>#N/A N/A</v>
        <stp/>
        <stp>BDP|6848186712734850294</stp>
        <tr r="I1897" s="2"/>
      </tp>
      <tp t="s">
        <v>#N/A N/A</v>
        <stp/>
        <stp>BDP|6571038245833929191</stp>
        <tr r="G499" s="2"/>
      </tp>
      <tp t="s">
        <v>#N/A N/A</v>
        <stp/>
        <stp>BDP|8449431747591533964</stp>
        <tr r="I1651" s="2"/>
      </tp>
      <tp t="s">
        <v>#N/A N/A</v>
        <stp/>
        <stp>BDP|6124365266017540474</stp>
        <tr r="H1880" s="2"/>
      </tp>
      <tp t="s">
        <v>#N/A N/A</v>
        <stp/>
        <stp>BDP|6632228847490284020</stp>
        <tr r="H3224" s="2"/>
      </tp>
      <tp t="s">
        <v>#N/A N/A</v>
        <stp/>
        <stp>BDP|5476052134510736614</stp>
        <tr r="F3171" s="2"/>
      </tp>
      <tp t="s">
        <v>#N/A N/A</v>
        <stp/>
        <stp>BDP|4426724042036608111</stp>
        <tr r="I1436" s="2"/>
      </tp>
      <tp t="s">
        <v>#N/A N/A</v>
        <stp/>
        <stp>BDP|6228195619336013012</stp>
        <tr r="H694" s="2"/>
      </tp>
      <tp t="s">
        <v>#N/A N/A</v>
        <stp/>
        <stp>BDP|5660222770193467334</stp>
        <tr r="I3896" s="2"/>
      </tp>
      <tp t="s">
        <v>#N/A N/A</v>
        <stp/>
        <stp>BDP|6239142927137037225</stp>
        <tr r="I2088" s="2"/>
      </tp>
      <tp t="s">
        <v>#N/A N/A</v>
        <stp/>
        <stp>BDP|9535337220159547107</stp>
        <tr r="H4835" s="2"/>
      </tp>
      <tp t="s">
        <v>#N/A N/A</v>
        <stp/>
        <stp>BDP|2161171079751566590</stp>
        <tr r="I2877" s="2"/>
      </tp>
      <tp t="s">
        <v>#N/A N/A</v>
        <stp/>
        <stp>BDP|3271761836035289238</stp>
        <tr r="F3641" s="2"/>
      </tp>
      <tp t="s">
        <v>#N/A N/A</v>
        <stp/>
        <stp>BDP|8176955657383627765</stp>
        <tr r="H1521" s="2"/>
      </tp>
      <tp t="s">
        <v>#N/A N/A</v>
        <stp/>
        <stp>BDP|6365576144573229411</stp>
        <tr r="F2560" s="2"/>
      </tp>
      <tp t="s">
        <v>#N/A N/A</v>
        <stp/>
        <stp>BDP|3781009993833080977</stp>
        <tr r="C2970" s="2"/>
      </tp>
      <tp t="s">
        <v>#N/A N/A</v>
        <stp/>
        <stp>BDP|1113141848961589588</stp>
        <tr r="G1356" s="2"/>
      </tp>
      <tp t="s">
        <v>#N/A N/A</v>
        <stp/>
        <stp>BDP|8295948621873213051</stp>
        <tr r="F4812" s="2"/>
      </tp>
      <tp t="s">
        <v>#N/A N/A</v>
        <stp/>
        <stp>BDP|9270502704318271448</stp>
        <tr r="D3983" s="2"/>
      </tp>
      <tp t="s">
        <v>#N/A N/A</v>
        <stp/>
        <stp>BDP|1082491329264154317</stp>
        <tr r="G1699" s="2"/>
      </tp>
      <tp t="s">
        <v>#N/A N/A</v>
        <stp/>
        <stp>BDP|2365600437104762338</stp>
        <tr r="C2806" s="2"/>
      </tp>
      <tp t="s">
        <v>#N/A N/A</v>
        <stp/>
        <stp>BDP|2454026543702742429</stp>
        <tr r="B125" s="2"/>
      </tp>
      <tp t="s">
        <v>#N/A N/A</v>
        <stp/>
        <stp>BDP|7014541823375688512</stp>
        <tr r="G3763" s="2"/>
      </tp>
      <tp t="s">
        <v>#N/A N/A</v>
        <stp/>
        <stp>BDP|3014032078595893136</stp>
        <tr r="H4952" s="2"/>
      </tp>
      <tp t="s">
        <v>#N/A N/A</v>
        <stp/>
        <stp>BDP|2283649270682176179</stp>
        <tr r="D55" s="2"/>
      </tp>
      <tp t="s">
        <v>#N/A N/A</v>
        <stp/>
        <stp>BDP|5028105004900143453</stp>
        <tr r="D3005" s="2"/>
      </tp>
      <tp t="s">
        <v>#N/A N/A</v>
        <stp/>
        <stp>BDP|6031328740248449964</stp>
        <tr r="C3126" s="2"/>
      </tp>
      <tp t="s">
        <v>#N/A N/A</v>
        <stp/>
        <stp>BDP|8626888545917289392</stp>
        <tr r="G449" s="2"/>
      </tp>
      <tp t="s">
        <v>#N/A N/A</v>
        <stp/>
        <stp>BDP|4164047222844080279</stp>
        <tr r="D2119" s="2"/>
      </tp>
      <tp t="s">
        <v>#N/A N/A</v>
        <stp/>
        <stp>BDP|7675682052344995054</stp>
        <tr r="H3742" s="2"/>
      </tp>
      <tp t="s">
        <v>#N/A N/A</v>
        <stp/>
        <stp>BDP|1208881589013589262</stp>
        <tr r="H3517" s="2"/>
      </tp>
      <tp t="s">
        <v>#N/A N/A</v>
        <stp/>
        <stp>BDP|9313464715919120515</stp>
        <tr r="B3181" s="2"/>
      </tp>
      <tp t="s">
        <v>#N/A N/A</v>
        <stp/>
        <stp>BDP|5894653103932980170</stp>
        <tr r="D2364" s="2"/>
      </tp>
      <tp t="s">
        <v>#N/A N/A</v>
        <stp/>
        <stp>BDP|7282825029748846515</stp>
        <tr r="F1598" s="2"/>
      </tp>
      <tp t="s">
        <v>#N/A N/A</v>
        <stp/>
        <stp>BDP|6055715660985027210</stp>
        <tr r="B3340" s="2"/>
      </tp>
      <tp t="s">
        <v>#N/A N/A</v>
        <stp/>
        <stp>BDP|9171318294477319471</stp>
        <tr r="F59" s="2"/>
      </tp>
      <tp t="s">
        <v>#N/A N/A</v>
        <stp/>
        <stp>BDP|5999113418147962297</stp>
        <tr r="C3865" s="2"/>
      </tp>
      <tp t="s">
        <v>#N/A N/A</v>
        <stp/>
        <stp>BDP|2699938830931354960</stp>
        <tr r="B149" s="2"/>
      </tp>
      <tp t="s">
        <v>#N/A N/A</v>
        <stp/>
        <stp>BDP|7436005516652087425</stp>
        <tr r="B3297" s="2"/>
      </tp>
      <tp t="s">
        <v>#N/A N/A</v>
        <stp/>
        <stp>BDP|8885413488244546040</stp>
        <tr r="H387" s="2"/>
      </tp>
      <tp t="s">
        <v>#N/A N/A</v>
        <stp/>
        <stp>BDP|6013407733686141729</stp>
        <tr r="F2438" s="2"/>
      </tp>
      <tp t="s">
        <v>#N/A N/A</v>
        <stp/>
        <stp>BDP|7333121606686796000</stp>
        <tr r="G1212" s="2"/>
      </tp>
      <tp t="s">
        <v>#N/A N/A</v>
        <stp/>
        <stp>BDP|2018445746824098629</stp>
        <tr r="I3282" s="2"/>
      </tp>
      <tp t="s">
        <v>#N/A N/A</v>
        <stp/>
        <stp>BDP|3878625937911805757</stp>
        <tr r="C161" s="2"/>
      </tp>
      <tp t="s">
        <v>#N/A N/A</v>
        <stp/>
        <stp>BDP|9286441592412164657</stp>
        <tr r="F4004" s="2"/>
      </tp>
      <tp t="s">
        <v>#N/A N/A</v>
        <stp/>
        <stp>BDP|3224456037314582053</stp>
        <tr r="I4112" s="2"/>
      </tp>
      <tp t="s">
        <v>#N/A N/A</v>
        <stp/>
        <stp>BDP|1308253564193679649</stp>
        <tr r="D3881" s="2"/>
      </tp>
      <tp t="s">
        <v>#N/A N/A</v>
        <stp/>
        <stp>BDP|9496307392104408723</stp>
        <tr r="H505" s="2"/>
      </tp>
      <tp t="s">
        <v>#N/A N/A</v>
        <stp/>
        <stp>BDP|6243529057541269752</stp>
        <tr r="B3881" s="2"/>
      </tp>
      <tp t="s">
        <v>#N/A N/A</v>
        <stp/>
        <stp>BDP|1549220673837746334</stp>
        <tr r="A4241" s="2"/>
      </tp>
      <tp t="s">
        <v>#N/A N/A</v>
        <stp/>
        <stp>BDP|1356476361953415014</stp>
        <tr r="I1836" s="2"/>
      </tp>
      <tp t="s">
        <v>#N/A N/A</v>
        <stp/>
        <stp>BDP|2169253056951049427</stp>
        <tr r="B574" s="2"/>
      </tp>
      <tp t="s">
        <v>#N/A N/A</v>
        <stp/>
        <stp>BDP|8958695173880516966</stp>
        <tr r="F4481" s="2"/>
      </tp>
      <tp t="s">
        <v>#N/A N/A</v>
        <stp/>
        <stp>BDP|2940794746948730915</stp>
        <tr r="C1344" s="2"/>
      </tp>
      <tp t="s">
        <v>#N/A N/A</v>
        <stp/>
        <stp>BDP|4032006624796584015</stp>
        <tr r="B4162" s="2"/>
      </tp>
      <tp t="s">
        <v>#N/A N/A</v>
        <stp/>
        <stp>BDP|5392642209656821561</stp>
        <tr r="B4459" s="2"/>
      </tp>
      <tp t="s">
        <v>#N/A N/A</v>
        <stp/>
        <stp>BDP|9576055699048041898</stp>
        <tr r="D4935" s="2"/>
      </tp>
      <tp t="s">
        <v>#N/A N/A</v>
        <stp/>
        <stp>BDP|1926183657842502737</stp>
        <tr r="A3012" s="2"/>
      </tp>
      <tp t="s">
        <v>#N/A N/A</v>
        <stp/>
        <stp>BDP|7115678105073601257</stp>
        <tr r="G3119" s="2"/>
      </tp>
      <tp t="s">
        <v>#N/A N/A</v>
        <stp/>
        <stp>BDP|5628415596301293933</stp>
        <tr r="C2218" s="2"/>
      </tp>
      <tp t="s">
        <v>#N/A N/A</v>
        <stp/>
        <stp>BDP|1173728256925388660</stp>
        <tr r="D501" s="2"/>
      </tp>
      <tp t="s">
        <v>#N/A N/A</v>
        <stp/>
        <stp>BDP|4785741342054908387</stp>
        <tr r="I1101" s="2"/>
      </tp>
      <tp t="s">
        <v>#N/A N/A</v>
        <stp/>
        <stp>BDP|7676351357270726137</stp>
        <tr r="B3335" s="2"/>
      </tp>
      <tp t="s">
        <v>#N/A N/A</v>
        <stp/>
        <stp>BDP|3594794353879717885</stp>
        <tr r="H1287" s="2"/>
      </tp>
      <tp t="s">
        <v>#N/A N/A</v>
        <stp/>
        <stp>BDP|1141870585948650959</stp>
        <tr r="H4120" s="2"/>
      </tp>
      <tp t="s">
        <v>#N/A N/A</v>
        <stp/>
        <stp>BDP|1201607437234155041</stp>
        <tr r="G1184" s="2"/>
      </tp>
      <tp t="s">
        <v>#N/A N/A</v>
        <stp/>
        <stp>BDP|6323987160910350988</stp>
        <tr r="F3515" s="2"/>
      </tp>
      <tp t="s">
        <v>#N/A N/A</v>
        <stp/>
        <stp>BDP|8434962365317663014</stp>
        <tr r="D1936" s="2"/>
      </tp>
      <tp t="s">
        <v>#N/A N/A</v>
        <stp/>
        <stp>BDP|1423317668140577483</stp>
        <tr r="A2874" s="2"/>
      </tp>
      <tp t="s">
        <v>#N/A N/A</v>
        <stp/>
        <stp>BDP|5870733761274812027</stp>
        <tr r="H278" s="2"/>
      </tp>
      <tp t="s">
        <v>#N/A N/A</v>
        <stp/>
        <stp>BDP|7428576904457416531</stp>
        <tr r="G2469" s="2"/>
      </tp>
      <tp t="s">
        <v>#N/A N/A</v>
        <stp/>
        <stp>BDP|3783632073252398041</stp>
        <tr r="D361" s="2"/>
      </tp>
      <tp t="s">
        <v>#N/A N/A</v>
        <stp/>
        <stp>BDP|4582679535400441132</stp>
        <tr r="C3202" s="2"/>
      </tp>
      <tp t="s">
        <v>#N/A N/A</v>
        <stp/>
        <stp>BDP|5559737933225505403</stp>
        <tr r="F2120" s="2"/>
      </tp>
      <tp t="s">
        <v>#N/A N/A</v>
        <stp/>
        <stp>BDP|3404508575838923981</stp>
        <tr r="D1771" s="2"/>
      </tp>
      <tp t="s">
        <v>#N/A N/A</v>
        <stp/>
        <stp>BDP|7173556737678579963</stp>
        <tr r="A217" s="2"/>
      </tp>
      <tp t="s">
        <v>#N/A N/A</v>
        <stp/>
        <stp>BDP|3274576163385389558</stp>
        <tr r="C4998" s="2"/>
      </tp>
      <tp t="s">
        <v>#N/A N/A</v>
        <stp/>
        <stp>BDP|5511642604024122743</stp>
        <tr r="C3106" s="2"/>
      </tp>
      <tp t="s">
        <v>#N/A N/A</v>
        <stp/>
        <stp>BDP|7874866999472774400</stp>
        <tr r="I3751" s="2"/>
      </tp>
      <tp t="s">
        <v>#N/A N/A</v>
        <stp/>
        <stp>BDP|6259857540308314242</stp>
        <tr r="G2791" s="2"/>
      </tp>
      <tp t="s">
        <v>#N/A N/A</v>
        <stp/>
        <stp>BDP|8158125586412626334</stp>
        <tr r="H155" s="2"/>
      </tp>
      <tp t="s">
        <v>#N/A N/A</v>
        <stp/>
        <stp>BDP|2056115239360149095</stp>
        <tr r="G2457" s="2"/>
      </tp>
      <tp t="s">
        <v>#N/A N/A</v>
        <stp/>
        <stp>BDP|6559883695574063387</stp>
        <tr r="G1764" s="2"/>
      </tp>
      <tp t="s">
        <v>#N/A N/A</v>
        <stp/>
        <stp>BDP|8110213004883713939</stp>
        <tr r="H3253" s="2"/>
      </tp>
      <tp t="s">
        <v>#N/A N/A</v>
        <stp/>
        <stp>BDP|6535579752976823084</stp>
        <tr r="F3928" s="2"/>
      </tp>
      <tp t="s">
        <v>#N/A N/A</v>
        <stp/>
        <stp>BDP|3365555268321635186</stp>
        <tr r="D3825" s="2"/>
      </tp>
      <tp t="s">
        <v>#N/A N/A</v>
        <stp/>
        <stp>BDP|7150708860823951585</stp>
        <tr r="A1567" s="2"/>
      </tp>
      <tp t="s">
        <v>#N/A N/A</v>
        <stp/>
        <stp>BDP|9932975778503610406</stp>
        <tr r="I4212" s="2"/>
      </tp>
      <tp t="s">
        <v>#N/A N/A</v>
        <stp/>
        <stp>BDP|1078905489258871813</stp>
        <tr r="C2611" s="2"/>
      </tp>
      <tp t="s">
        <v>#N/A N/A</v>
        <stp/>
        <stp>BDP|4964500293180364895</stp>
        <tr r="F1791" s="2"/>
      </tp>
      <tp t="s">
        <v>#N/A N/A</v>
        <stp/>
        <stp>BDP|4323381260477962626</stp>
        <tr r="B1488" s="2"/>
      </tp>
      <tp t="s">
        <v>#N/A N/A</v>
        <stp/>
        <stp>BDP|2105676759553862272</stp>
        <tr r="A2258" s="2"/>
      </tp>
      <tp t="s">
        <v>#N/A N/A</v>
        <stp/>
        <stp>BDP|8433025356244343937</stp>
        <tr r="D4987" s="2"/>
      </tp>
      <tp t="s">
        <v>#N/A N/A</v>
        <stp/>
        <stp>BDP|1651755156812580107</stp>
        <tr r="F4153" s="2"/>
      </tp>
      <tp t="s">
        <v>#N/A N/A</v>
        <stp/>
        <stp>BDP|6652175130177465350</stp>
        <tr r="H1706" s="2"/>
      </tp>
      <tp t="s">
        <v>#N/A N/A</v>
        <stp/>
        <stp>BDP|1345077224424738773</stp>
        <tr r="C3112" s="2"/>
      </tp>
      <tp t="s">
        <v>#N/A N/A</v>
        <stp/>
        <stp>BDP|7801265143306848754</stp>
        <tr r="D4445" s="2"/>
      </tp>
      <tp t="s">
        <v>#N/A N/A</v>
        <stp/>
        <stp>BDP|5000189201574961013</stp>
        <tr r="D4086" s="2"/>
      </tp>
      <tp t="s">
        <v>#N/A N/A</v>
        <stp/>
        <stp>BDP|7328946835534197921</stp>
        <tr r="C3434" s="2"/>
      </tp>
      <tp t="s">
        <v>#N/A N/A</v>
        <stp/>
        <stp>BDP|8464488380482548687</stp>
        <tr r="I4351" s="2"/>
      </tp>
      <tp t="s">
        <v>#N/A N/A</v>
        <stp/>
        <stp>BDP|8307888137075891658</stp>
        <tr r="C3373" s="2"/>
      </tp>
      <tp t="s">
        <v>#N/A N/A</v>
        <stp/>
        <stp>BDP|6903719389328633160</stp>
        <tr r="D1795" s="2"/>
      </tp>
      <tp t="s">
        <v>#N/A N/A</v>
        <stp/>
        <stp>BDP|7094343200515318167</stp>
        <tr r="G4449" s="2"/>
      </tp>
      <tp t="s">
        <v>#N/A N/A</v>
        <stp/>
        <stp>BDP|6174402587853752900</stp>
        <tr r="A3014" s="2"/>
      </tp>
      <tp t="s">
        <v>#N/A N/A</v>
        <stp/>
        <stp>BDP|3547310741902361673</stp>
        <tr r="A981" s="2"/>
      </tp>
      <tp t="s">
        <v>#N/A N/A</v>
        <stp/>
        <stp>BDP|9732610784515385206</stp>
        <tr r="I4738" s="2"/>
      </tp>
      <tp t="s">
        <v>#N/A N/A</v>
        <stp/>
        <stp>BDP|4353346182987507812</stp>
        <tr r="H1772" s="2"/>
      </tp>
      <tp t="s">
        <v>#N/A N/A</v>
        <stp/>
        <stp>BDP|7213626193819717155</stp>
        <tr r="G715" s="2"/>
      </tp>
      <tp t="s">
        <v>#N/A N/A</v>
        <stp/>
        <stp>BDP|1875350257734324389</stp>
        <tr r="C3096" s="2"/>
      </tp>
      <tp t="s">
        <v>#N/A N/A</v>
        <stp/>
        <stp>BDP|5552874223918051706</stp>
        <tr r="A1994" s="2"/>
      </tp>
      <tp t="s">
        <v>#N/A N/A</v>
        <stp/>
        <stp>BDP|6286876260931085944</stp>
        <tr r="D3894" s="2"/>
      </tp>
      <tp t="s">
        <v>#N/A N/A</v>
        <stp/>
        <stp>BDP|7254715269896830030</stp>
        <tr r="I2072" s="2"/>
      </tp>
      <tp t="s">
        <v>#N/A N/A</v>
        <stp/>
        <stp>BDP|5005880614695540989</stp>
        <tr r="G1073" s="2"/>
      </tp>
      <tp t="s">
        <v>#N/A N/A</v>
        <stp/>
        <stp>BDP|7174933366431580902</stp>
        <tr r="C988" s="2"/>
      </tp>
      <tp t="s">
        <v>#N/A N/A</v>
        <stp/>
        <stp>BDP|1541730170590339148</stp>
        <tr r="C2526" s="2"/>
      </tp>
      <tp t="s">
        <v>#N/A N/A</v>
        <stp/>
        <stp>BDP|2835097457842654513</stp>
        <tr r="I1614" s="2"/>
      </tp>
      <tp t="s">
        <v>#N/A N/A</v>
        <stp/>
        <stp>BDP|8120906053524721049</stp>
        <tr r="B1363" s="2"/>
      </tp>
      <tp t="s">
        <v>#N/A N/A</v>
        <stp/>
        <stp>BDP|8339921921985135602</stp>
        <tr r="D1178" s="2"/>
      </tp>
      <tp t="s">
        <v>#N/A N/A</v>
        <stp/>
        <stp>BDP|7093296398804589855</stp>
        <tr r="H951" s="2"/>
      </tp>
      <tp t="s">
        <v>#N/A N/A</v>
        <stp/>
        <stp>BDP|6523596566722392787</stp>
        <tr r="B4954" s="2"/>
      </tp>
      <tp t="s">
        <v>#N/A N/A</v>
        <stp/>
        <stp>BDP|3665728474624314724</stp>
        <tr r="I3116" s="2"/>
      </tp>
      <tp t="s">
        <v>#N/A N/A</v>
        <stp/>
        <stp>BDP|6423427791643487826</stp>
        <tr r="B2998" s="2"/>
      </tp>
      <tp t="s">
        <v>#N/A N/A</v>
        <stp/>
        <stp>BDP|5795500532872347178</stp>
        <tr r="H792" s="2"/>
      </tp>
      <tp t="s">
        <v>#N/A N/A</v>
        <stp/>
        <stp>BDP|5223419443572731760</stp>
        <tr r="C3331" s="2"/>
      </tp>
      <tp t="s">
        <v>#N/A N/A</v>
        <stp/>
        <stp>BDP|1969638138233408771</stp>
        <tr r="H3257" s="2"/>
      </tp>
      <tp t="s">
        <v>#N/A N/A</v>
        <stp/>
        <stp>BDP|2988664806546868202</stp>
        <tr r="C121" s="2"/>
      </tp>
      <tp t="s">
        <v>#N/A N/A</v>
        <stp/>
        <stp>BDP|4828866387335082182</stp>
        <tr r="B731" s="2"/>
      </tp>
      <tp t="s">
        <v>#N/A N/A</v>
        <stp/>
        <stp>BDP|8427659136945585836</stp>
        <tr r="G4773" s="2"/>
      </tp>
      <tp t="s">
        <v>#N/A N/A</v>
        <stp/>
        <stp>BDP|3645776950114691566</stp>
        <tr r="C2573" s="2"/>
      </tp>
      <tp t="s">
        <v>#N/A N/A</v>
        <stp/>
        <stp>BDP|2497714334686464041</stp>
        <tr r="B4785" s="2"/>
      </tp>
      <tp t="s">
        <v>#N/A N/A</v>
        <stp/>
        <stp>BDP|2687164220923323228</stp>
        <tr r="A3744" s="2"/>
      </tp>
      <tp t="s">
        <v>#N/A N/A</v>
        <stp/>
        <stp>BDP|4028535511350598062</stp>
        <tr r="F4397" s="2"/>
      </tp>
      <tp t="s">
        <v>#N/A N/A</v>
        <stp/>
        <stp>BDP|7387755001868731819</stp>
        <tr r="I3166" s="2"/>
      </tp>
      <tp t="s">
        <v>#N/A N/A</v>
        <stp/>
        <stp>BDP|9224772601409432718</stp>
        <tr r="D1768" s="2"/>
      </tp>
      <tp t="s">
        <v>#N/A N/A</v>
        <stp/>
        <stp>BDP|3916052245866030187</stp>
        <tr r="C434" s="2"/>
      </tp>
      <tp t="s">
        <v>#N/A N/A</v>
        <stp/>
        <stp>BDP|5489047411332210622</stp>
        <tr r="I1830" s="2"/>
      </tp>
      <tp t="s">
        <v>#N/A N/A</v>
        <stp/>
        <stp>BDP|1493895815750834817</stp>
        <tr r="I4553" s="2"/>
      </tp>
      <tp t="s">
        <v>#N/A N/A</v>
        <stp/>
        <stp>BDP|6740360665054039758</stp>
        <tr r="I2971" s="2"/>
      </tp>
      <tp t="s">
        <v>#N/A N/A</v>
        <stp/>
        <stp>BDP|3029627262942064115</stp>
        <tr r="I766" s="2"/>
      </tp>
      <tp t="s">
        <v>#N/A N/A</v>
        <stp/>
        <stp>BDP|6868966926948818516</stp>
        <tr r="C2734" s="2"/>
      </tp>
      <tp t="s">
        <v>#N/A N/A</v>
        <stp/>
        <stp>BDP|1121887436822779894</stp>
        <tr r="F1372" s="2"/>
      </tp>
      <tp t="s">
        <v>#N/A N/A</v>
        <stp/>
        <stp>BDP|5459690444064083383</stp>
        <tr r="H4838" s="2"/>
      </tp>
      <tp t="s">
        <v>#N/A N/A</v>
        <stp/>
        <stp>BDP|2161065227224135403</stp>
        <tr r="G3403" s="2"/>
      </tp>
      <tp t="s">
        <v>#N/A N/A</v>
        <stp/>
        <stp>BDP|6455188916495880330</stp>
        <tr r="D3283" s="2"/>
      </tp>
      <tp t="s">
        <v>#N/A N/A</v>
        <stp/>
        <stp>BDP|1852913879089000617</stp>
        <tr r="G3225" s="2"/>
      </tp>
      <tp t="s">
        <v>#N/A N/A</v>
        <stp/>
        <stp>BDP|5412076759731844135</stp>
        <tr r="H4472" s="2"/>
      </tp>
      <tp t="s">
        <v>#N/A N/A</v>
        <stp/>
        <stp>BDP|5768729905845549742</stp>
        <tr r="G419" s="2"/>
      </tp>
      <tp t="s">
        <v>#N/A N/A</v>
        <stp/>
        <stp>BDP|3050662870472038070</stp>
        <tr r="D3170" s="2"/>
      </tp>
      <tp t="s">
        <v>#N/A N/A</v>
        <stp/>
        <stp>BDP|3926377173683400483</stp>
        <tr r="I3320" s="2"/>
      </tp>
      <tp t="s">
        <v>#N/A N/A</v>
        <stp/>
        <stp>BDP|4089958070709506317</stp>
        <tr r="I2627" s="2"/>
      </tp>
      <tp t="s">
        <v>#N/A N/A</v>
        <stp/>
        <stp>BDP|6427071522623206726</stp>
        <tr r="D3915" s="2"/>
      </tp>
      <tp t="s">
        <v>#N/A N/A</v>
        <stp/>
        <stp>BDP|7332554512201220274</stp>
        <tr r="C4928" s="2"/>
      </tp>
      <tp t="s">
        <v>#N/A N/A</v>
        <stp/>
        <stp>BDP|8303449494151425469</stp>
        <tr r="C4568" s="2"/>
      </tp>
      <tp t="s">
        <v>#N/A N/A</v>
        <stp/>
        <stp>BDP|4624252497116431911</stp>
        <tr r="C3404" s="2"/>
      </tp>
      <tp t="s">
        <v>#N/A N/A</v>
        <stp/>
        <stp>BDP|2579317324057104403</stp>
        <tr r="F3225" s="2"/>
      </tp>
      <tp t="s">
        <v>#N/A N/A</v>
        <stp/>
        <stp>BDP|3841389994500285972</stp>
        <tr r="D1031" s="2"/>
      </tp>
      <tp t="s">
        <v>#N/A N/A</v>
        <stp/>
        <stp>BDP|3004503637132109770</stp>
        <tr r="H2828" s="2"/>
      </tp>
      <tp t="s">
        <v>#N/A N/A</v>
        <stp/>
        <stp>BDP|1748366117143797008</stp>
        <tr r="F3935" s="2"/>
      </tp>
      <tp t="s">
        <v>#N/A N/A</v>
        <stp/>
        <stp>BDP|1489606725354770178</stp>
        <tr r="B389" s="2"/>
      </tp>
      <tp t="s">
        <v>#N/A N/A</v>
        <stp/>
        <stp>BDP|9584222564565036829</stp>
        <tr r="G3143" s="2"/>
      </tp>
      <tp t="s">
        <v>#N/A N/A</v>
        <stp/>
        <stp>BDP|7422202802582550725</stp>
        <tr r="H1906" s="2"/>
      </tp>
      <tp t="s">
        <v>#N/A N/A</v>
        <stp/>
        <stp>BDP|1417639583788239779</stp>
        <tr r="A4678" s="2"/>
      </tp>
      <tp t="s">
        <v>#N/A N/A</v>
        <stp/>
        <stp>BDP|3614658604286676309</stp>
        <tr r="A2810" s="2"/>
      </tp>
      <tp t="s">
        <v>#N/A N/A</v>
        <stp/>
        <stp>BDP|4052344302363543422</stp>
        <tr r="C3415" s="2"/>
      </tp>
      <tp t="s">
        <v>#N/A N/A</v>
        <stp/>
        <stp>BDP|4514954683077610240</stp>
        <tr r="C2597" s="2"/>
      </tp>
      <tp t="s">
        <v>#N/A N/A</v>
        <stp/>
        <stp>BDP|7225737706445340551</stp>
        <tr r="G1264" s="2"/>
      </tp>
      <tp t="s">
        <v>#N/A N/A</v>
        <stp/>
        <stp>BDP|3478482067012279386</stp>
        <tr r="F3895" s="2"/>
      </tp>
      <tp t="s">
        <v>#N/A N/A</v>
        <stp/>
        <stp>BDP|7244925610277968881</stp>
        <tr r="I1299" s="2"/>
      </tp>
      <tp t="s">
        <v>#N/A N/A</v>
        <stp/>
        <stp>BDP|9716696868259393048</stp>
        <tr r="A2025" s="2"/>
      </tp>
      <tp t="s">
        <v>#N/A N/A</v>
        <stp/>
        <stp>BDP|7058977794621119632</stp>
        <tr r="H4053" s="2"/>
      </tp>
      <tp t="s">
        <v>#N/A N/A</v>
        <stp/>
        <stp>BDP|4000572307774522540</stp>
        <tr r="I47" s="2"/>
      </tp>
      <tp t="s">
        <v>#N/A N/A</v>
        <stp/>
        <stp>BDP|7418251001574648176</stp>
        <tr r="C3483" s="2"/>
      </tp>
      <tp t="s">
        <v>#N/A N/A</v>
        <stp/>
        <stp>BDP|3665720721552427406</stp>
        <tr r="A984" s="2"/>
      </tp>
      <tp t="s">
        <v>#N/A N/A</v>
        <stp/>
        <stp>BDP|7402358458638985911</stp>
        <tr r="F2257" s="2"/>
      </tp>
      <tp t="s">
        <v>#N/A N/A</v>
        <stp/>
        <stp>BDP|7424167531702710754</stp>
        <tr r="B4769" s="2"/>
      </tp>
      <tp t="s">
        <v>#N/A N/A</v>
        <stp/>
        <stp>BDP|3207637117106039272</stp>
        <tr r="C4724" s="2"/>
      </tp>
      <tp t="s">
        <v>#N/A N/A</v>
        <stp/>
        <stp>BDP|8001271475494603952</stp>
        <tr r="A1069" s="2"/>
      </tp>
      <tp t="s">
        <v>#N/A N/A</v>
        <stp/>
        <stp>BDP|2764974096347146563</stp>
        <tr r="F3959" s="2"/>
      </tp>
      <tp t="s">
        <v>#N/A N/A</v>
        <stp/>
        <stp>BDP|6907392043949645849</stp>
        <tr r="A423" s="2"/>
      </tp>
      <tp t="s">
        <v>#N/A N/A</v>
        <stp/>
        <stp>BDP|1674397160500955476</stp>
        <tr r="B743" s="2"/>
      </tp>
      <tp t="s">
        <v>#N/A N/A</v>
        <stp/>
        <stp>BDP|6624868215866470903</stp>
        <tr r="F2895" s="2"/>
      </tp>
      <tp t="s">
        <v>#N/A N/A</v>
        <stp/>
        <stp>BDP|4320373865157511657</stp>
        <tr r="B1938" s="2"/>
      </tp>
      <tp t="s">
        <v>#N/A N/A</v>
        <stp/>
        <stp>BDP|6748147446485639622</stp>
        <tr r="D919" s="2"/>
      </tp>
      <tp t="s">
        <v>#N/A N/A</v>
        <stp/>
        <stp>BDP|8758044679327341880</stp>
        <tr r="A556" s="2"/>
      </tp>
      <tp t="s">
        <v>#N/A N/A</v>
        <stp/>
        <stp>BDP|5491665512997799515</stp>
        <tr r="A4692" s="2"/>
      </tp>
      <tp t="s">
        <v>#N/A N/A</v>
        <stp/>
        <stp>BDP|6189700005244628541</stp>
        <tr r="H4602" s="2"/>
      </tp>
      <tp t="s">
        <v>#N/A N/A</v>
        <stp/>
        <stp>BDP|7194314147159050910</stp>
        <tr r="A136" s="2"/>
      </tp>
      <tp t="s">
        <v>#N/A N/A</v>
        <stp/>
        <stp>BDP|5908540758121715449</stp>
        <tr r="F279" s="2"/>
      </tp>
      <tp t="s">
        <v>#N/A N/A</v>
        <stp/>
        <stp>BDP|7078269923327449070</stp>
        <tr r="F1450" s="2"/>
      </tp>
      <tp t="s">
        <v>#N/A N/A</v>
        <stp/>
        <stp>BDP|3366816530118096040</stp>
        <tr r="A808" s="2"/>
      </tp>
      <tp t="s">
        <v>#N/A N/A</v>
        <stp/>
        <stp>BDP|6705498262124811020</stp>
        <tr r="D2944" s="2"/>
      </tp>
      <tp t="s">
        <v>#N/A N/A</v>
        <stp/>
        <stp>BDP|8923929318277500701</stp>
        <tr r="G2242" s="2"/>
      </tp>
      <tp t="s">
        <v>#N/A N/A</v>
        <stp/>
        <stp>BDP|8365804252251610419</stp>
        <tr r="F1951" s="2"/>
      </tp>
      <tp t="s">
        <v>#N/A N/A</v>
        <stp/>
        <stp>BDP|9620279003062633923</stp>
        <tr r="C3853" s="2"/>
      </tp>
      <tp t="s">
        <v>#N/A N/A</v>
        <stp/>
        <stp>BDP|1913548761754911634</stp>
        <tr r="B2885" s="2"/>
      </tp>
      <tp t="s">
        <v>#N/A N/A</v>
        <stp/>
        <stp>BDP|9145126384929015911</stp>
        <tr r="I4402" s="2"/>
      </tp>
      <tp t="s">
        <v>#N/A N/A</v>
        <stp/>
        <stp>BDP|6293250867187430520</stp>
        <tr r="F1805" s="2"/>
      </tp>
      <tp t="s">
        <v>#N/A N/A</v>
        <stp/>
        <stp>BDP|2012778490029868594</stp>
        <tr r="B4716" s="2"/>
      </tp>
      <tp t="s">
        <v>#N/A N/A</v>
        <stp/>
        <stp>BDP|1198059163775688275</stp>
        <tr r="H3550" s="2"/>
      </tp>
      <tp t="s">
        <v>#N/A N/A</v>
        <stp/>
        <stp>BDP|6094364647745256455</stp>
        <tr r="C2003" s="2"/>
      </tp>
      <tp t="s">
        <v>#N/A N/A</v>
        <stp/>
        <stp>BDP|8917264330838943104</stp>
        <tr r="G1004" s="2"/>
      </tp>
      <tp t="s">
        <v>#N/A N/A</v>
        <stp/>
        <stp>BDP|5538106863166483441</stp>
        <tr r="D2116" s="2"/>
      </tp>
      <tp t="s">
        <v>#N/A N/A</v>
        <stp/>
        <stp>BDP|5155526203917624705</stp>
        <tr r="F1398" s="2"/>
      </tp>
      <tp t="s">
        <v>#N/A N/A</v>
        <stp/>
        <stp>BDP|6103954823904529942</stp>
        <tr r="H1807" s="2"/>
      </tp>
      <tp t="s">
        <v>#N/A N/A</v>
        <stp/>
        <stp>BDP|3527492151517209598</stp>
        <tr r="I2541" s="2"/>
      </tp>
      <tp t="s">
        <v>#N/A N/A</v>
        <stp/>
        <stp>BDP|3524773476907619444</stp>
        <tr r="D1496" s="2"/>
      </tp>
      <tp t="s">
        <v>#N/A N/A</v>
        <stp/>
        <stp>BDP|4098410575304164331</stp>
        <tr r="H4444" s="2"/>
      </tp>
      <tp t="s">
        <v>#N/A N/A</v>
        <stp/>
        <stp>BDP|7853908369499239156</stp>
        <tr r="C1780" s="2"/>
      </tp>
      <tp t="s">
        <v>#N/A N/A</v>
        <stp/>
        <stp>BDP|8601741372969316155</stp>
        <tr r="B2119" s="2"/>
      </tp>
      <tp t="s">
        <v>#N/A N/A</v>
        <stp/>
        <stp>BDP|7365103640196589400</stp>
        <tr r="F3034" s="2"/>
      </tp>
      <tp t="s">
        <v>#N/A N/A</v>
        <stp/>
        <stp>BDP|5290445918266903612</stp>
        <tr r="D3263" s="2"/>
      </tp>
      <tp t="s">
        <v>#N/A N/A</v>
        <stp/>
        <stp>BDP|8757425960362075838</stp>
        <tr r="C4964" s="2"/>
      </tp>
      <tp t="s">
        <v>#N/A N/A</v>
        <stp/>
        <stp>BDP|2506980259889456761</stp>
        <tr r="A1753" s="2"/>
      </tp>
      <tp t="s">
        <v>#N/A N/A</v>
        <stp/>
        <stp>BDP|2378049380802709869</stp>
        <tr r="I4360" s="2"/>
      </tp>
      <tp t="s">
        <v>#N/A N/A</v>
        <stp/>
        <stp>BDP|4279725027878311924</stp>
        <tr r="C2030" s="2"/>
      </tp>
      <tp t="s">
        <v>#N/A N/A</v>
        <stp/>
        <stp>BDP|6604644636095024629</stp>
        <tr r="A3037" s="2"/>
      </tp>
      <tp t="s">
        <v>#N/A N/A</v>
        <stp/>
        <stp>BDP|1118836095474056419</stp>
        <tr r="B440" s="2"/>
      </tp>
      <tp t="s">
        <v>#N/A N/A</v>
        <stp/>
        <stp>BDP|6837308743226904747</stp>
        <tr r="B127" s="2"/>
      </tp>
      <tp t="s">
        <v>#N/A N/A</v>
        <stp/>
        <stp>BDP|1023072541064580156</stp>
        <tr r="H399" s="2"/>
      </tp>
      <tp t="s">
        <v>#N/A N/A</v>
        <stp/>
        <stp>BDP|2810408080318853661</stp>
        <tr r="I2291" s="2"/>
      </tp>
      <tp t="s">
        <v>#N/A N/A</v>
        <stp/>
        <stp>BDP|5034012485974004926</stp>
        <tr r="I3077" s="2"/>
      </tp>
      <tp t="s">
        <v>#N/A N/A</v>
        <stp/>
        <stp>BDP|6418174236850123421</stp>
        <tr r="B5001" s="2"/>
      </tp>
      <tp t="s">
        <v>#N/A N/A</v>
        <stp/>
        <stp>BDP|3516682754273688397</stp>
        <tr r="H684" s="2"/>
      </tp>
      <tp t="s">
        <v>#N/A N/A</v>
        <stp/>
        <stp>BDP|1486257684438236319</stp>
        <tr r="B3551" s="2"/>
      </tp>
      <tp t="s">
        <v>#N/A N/A</v>
        <stp/>
        <stp>BDP|3808992588191801372</stp>
        <tr r="I278" s="2"/>
      </tp>
      <tp t="s">
        <v>#N/A N/A</v>
        <stp/>
        <stp>BDP|3492575004072752468</stp>
        <tr r="I3297" s="2"/>
      </tp>
      <tp t="s">
        <v>#N/A N/A</v>
        <stp/>
        <stp>BDP|1362906665119067706</stp>
        <tr r="G1539" s="2"/>
      </tp>
      <tp t="s">
        <v>#N/A N/A</v>
        <stp/>
        <stp>BDP|6038217293425545815</stp>
        <tr r="C4710" s="2"/>
      </tp>
      <tp t="s">
        <v>#N/A N/A</v>
        <stp/>
        <stp>BDP|1759697959285803791</stp>
        <tr r="H1924" s="2"/>
      </tp>
      <tp t="s">
        <v>#N/A N/A</v>
        <stp/>
        <stp>BDP|3828829054786956819</stp>
        <tr r="B4965" s="2"/>
      </tp>
      <tp t="s">
        <v>#N/A N/A</v>
        <stp/>
        <stp>BDP|6074762614866787635</stp>
        <tr r="C2287" s="2"/>
      </tp>
      <tp t="s">
        <v>#N/A N/A</v>
        <stp/>
        <stp>BDP|8701714967410365946</stp>
        <tr r="G3173" s="2"/>
      </tp>
      <tp t="s">
        <v>#N/A N/A</v>
        <stp/>
        <stp>BDP|7074006030446648201</stp>
        <tr r="I3931" s="2"/>
      </tp>
      <tp t="s">
        <v>#N/A N/A</v>
        <stp/>
        <stp>BDP|7955044351960298281</stp>
        <tr r="I357" s="2"/>
      </tp>
      <tp t="s">
        <v>#N/A N/A</v>
        <stp/>
        <stp>BDP|3546517650356662545</stp>
        <tr r="H1780" s="2"/>
      </tp>
      <tp t="s">
        <v>#N/A N/A</v>
        <stp/>
        <stp>BDP|2316253411639671870</stp>
        <tr r="B2092" s="2"/>
      </tp>
      <tp t="s">
        <v>#N/A N/A</v>
        <stp/>
        <stp>BDP|4951383547460221323</stp>
        <tr r="B3793" s="2"/>
      </tp>
      <tp t="s">
        <v>#N/A N/A</v>
        <stp/>
        <stp>BDP|2548114724331720012</stp>
        <tr r="H95" s="2"/>
      </tp>
      <tp t="s">
        <v>#N/A N/A</v>
        <stp/>
        <stp>BDP|1623606950211775372</stp>
        <tr r="G1054" s="2"/>
      </tp>
      <tp t="s">
        <v>#N/A N/A</v>
        <stp/>
        <stp>BDP|6811113833451473582</stp>
        <tr r="A2749" s="2"/>
      </tp>
      <tp t="s">
        <v>#N/A N/A</v>
        <stp/>
        <stp>BDP|7415784358344758150</stp>
        <tr r="D2683" s="2"/>
      </tp>
      <tp t="s">
        <v>#N/A N/A</v>
        <stp/>
        <stp>BDP|9853090161196040963</stp>
        <tr r="G2598" s="2"/>
      </tp>
      <tp t="s">
        <v>#N/A N/A</v>
        <stp/>
        <stp>BDP|3543224414132150246</stp>
        <tr r="H1747" s="2"/>
      </tp>
      <tp t="s">
        <v>#N/A N/A</v>
        <stp/>
        <stp>BDP|3105219642266483301</stp>
        <tr r="A2213" s="2"/>
      </tp>
      <tp t="s">
        <v>#N/A N/A</v>
        <stp/>
        <stp>BDP|4412235336516567325</stp>
        <tr r="B3357" s="2"/>
      </tp>
      <tp t="s">
        <v>#N/A N/A</v>
        <stp/>
        <stp>BDP|6848122169365058452</stp>
        <tr r="C1792" s="2"/>
      </tp>
      <tp t="s">
        <v>#N/A N/A</v>
        <stp/>
        <stp>BDP|7476200461410044335</stp>
        <tr r="I823" s="2"/>
      </tp>
      <tp t="s">
        <v>#N/A N/A</v>
        <stp/>
        <stp>BDP|6635770351434609005</stp>
        <tr r="H3204" s="2"/>
      </tp>
      <tp t="s">
        <v>#N/A N/A</v>
        <stp/>
        <stp>BDP|4529459574961027622</stp>
        <tr r="H3547" s="2"/>
      </tp>
      <tp t="s">
        <v>#N/A N/A</v>
        <stp/>
        <stp>BDP|6412147507237539045</stp>
        <tr r="H3396" s="2"/>
      </tp>
      <tp t="s">
        <v>#N/A N/A</v>
        <stp/>
        <stp>BDP|2748702131716700073</stp>
        <tr r="C2661" s="2"/>
      </tp>
      <tp t="s">
        <v>#N/A N/A</v>
        <stp/>
        <stp>BDP|3143476332990680441</stp>
        <tr r="I792" s="2"/>
      </tp>
      <tp t="s">
        <v>#N/A N/A</v>
        <stp/>
        <stp>BDP|8138451003365077914</stp>
        <tr r="A68" s="2"/>
      </tp>
      <tp t="s">
        <v>#N/A N/A</v>
        <stp/>
        <stp>BDP|3769021925336675706</stp>
        <tr r="G3131" s="2"/>
      </tp>
      <tp t="s">
        <v>#N/A N/A</v>
        <stp/>
        <stp>BDP|2832268208076767678</stp>
        <tr r="A4062" s="2"/>
      </tp>
      <tp t="s">
        <v>#N/A N/A</v>
        <stp/>
        <stp>BDP|8073762872091660946</stp>
        <tr r="G3726" s="2"/>
      </tp>
      <tp t="s">
        <v>#N/A N/A</v>
        <stp/>
        <stp>BDP|5621026252111851185</stp>
        <tr r="C3436" s="2"/>
      </tp>
      <tp t="s">
        <v>#N/A N/A</v>
        <stp/>
        <stp>BDP|8154102125202509970</stp>
        <tr r="G337" s="2"/>
      </tp>
      <tp t="s">
        <v>#N/A N/A</v>
        <stp/>
        <stp>BDP|7768475392662610821</stp>
        <tr r="A4629" s="2"/>
      </tp>
      <tp t="s">
        <v>#N/A N/A</v>
        <stp/>
        <stp>BDP|2356042355160137751</stp>
        <tr r="C4532" s="2"/>
      </tp>
      <tp t="s">
        <v>#N/A N/A</v>
        <stp/>
        <stp>BDP|9471609151352003839</stp>
        <tr r="C754" s="2"/>
      </tp>
      <tp t="s">
        <v>#N/A N/A</v>
        <stp/>
        <stp>BDP|3899986746887836980</stp>
        <tr r="G4788" s="2"/>
      </tp>
      <tp t="s">
        <v>#N/A N/A</v>
        <stp/>
        <stp>BDP|4450690616207577484</stp>
        <tr r="B3592" s="2"/>
      </tp>
      <tp t="s">
        <v>#N/A N/A</v>
        <stp/>
        <stp>BDP|5920432670946443089</stp>
        <tr r="B899" s="2"/>
      </tp>
      <tp t="s">
        <v>#N/A N/A</v>
        <stp/>
        <stp>BDP|7130467204483578003</stp>
        <tr r="F2292" s="2"/>
      </tp>
      <tp t="s">
        <v>#N/A N/A</v>
        <stp/>
        <stp>BDP|3450757879064871761</stp>
        <tr r="D3596" s="2"/>
      </tp>
      <tp t="s">
        <v>#N/A N/A</v>
        <stp/>
        <stp>BDP|5083184032992522593</stp>
        <tr r="H2723" s="2"/>
      </tp>
      <tp t="s">
        <v>#N/A N/A</v>
        <stp/>
        <stp>BDP|4918491421395760702</stp>
        <tr r="C383" s="2"/>
      </tp>
      <tp t="s">
        <v>#N/A N/A</v>
        <stp/>
        <stp>BDP|4520507259224997039</stp>
        <tr r="F299" s="2"/>
      </tp>
      <tp t="s">
        <v>#N/A N/A</v>
        <stp/>
        <stp>BDP|7344007627973043628</stp>
        <tr r="C3740" s="2"/>
      </tp>
      <tp t="s">
        <v>#N/A N/A</v>
        <stp/>
        <stp>BDP|4598393826897805244</stp>
        <tr r="G2332" s="2"/>
      </tp>
      <tp t="s">
        <v>#N/A N/A</v>
        <stp/>
        <stp>BDP|2016504917440076610</stp>
        <tr r="G2060" s="2"/>
      </tp>
      <tp t="s">
        <v>#N/A N/A</v>
        <stp/>
        <stp>BDP|6473536860877863299</stp>
        <tr r="G85" s="2"/>
      </tp>
      <tp t="s">
        <v>#N/A N/A</v>
        <stp/>
        <stp>BDP|2684327803031518057</stp>
        <tr r="B1180" s="2"/>
      </tp>
      <tp t="s">
        <v>#N/A N/A</v>
        <stp/>
        <stp>BDP|9850551078918606344</stp>
        <tr r="D1490" s="2"/>
      </tp>
      <tp t="s">
        <v>#N/A N/A</v>
        <stp/>
        <stp>BDP|2140462937922377741</stp>
        <tr r="B3637" s="2"/>
      </tp>
      <tp t="s">
        <v>#N/A N/A</v>
        <stp/>
        <stp>BDP|5149360553500684350</stp>
        <tr r="F207" s="2"/>
      </tp>
      <tp t="s">
        <v>#N/A N/A</v>
        <stp/>
        <stp>BDP|9510554586104441058</stp>
        <tr r="I2725" s="2"/>
      </tp>
      <tp t="s">
        <v>#N/A N/A</v>
        <stp/>
        <stp>BDP|9674550825216958888</stp>
        <tr r="C1775" s="2"/>
      </tp>
      <tp t="s">
        <v>#N/A N/A</v>
        <stp/>
        <stp>BDP|1063079651562752667</stp>
        <tr r="D1710" s="2"/>
      </tp>
      <tp t="s">
        <v>#N/A N/A</v>
        <stp/>
        <stp>BDP|3516108691403312804</stp>
        <tr r="F1065" s="2"/>
      </tp>
      <tp t="s">
        <v>#N/A N/A</v>
        <stp/>
        <stp>BDP|5966603195239376388</stp>
        <tr r="C1675" s="2"/>
      </tp>
      <tp t="s">
        <v>#N/A N/A</v>
        <stp/>
        <stp>BDP|5237384552370798385</stp>
        <tr r="I4781" s="2"/>
      </tp>
      <tp t="s">
        <v>#N/A N/A</v>
        <stp/>
        <stp>BDP|7228461105665385655</stp>
        <tr r="I4916" s="2"/>
      </tp>
      <tp t="s">
        <v>#N/A N/A</v>
        <stp/>
        <stp>BDP|2330712161153739039</stp>
        <tr r="F2726" s="2"/>
      </tp>
      <tp t="s">
        <v>#N/A N/A</v>
        <stp/>
        <stp>BDP|5389757720684758466</stp>
        <tr r="C3075" s="2"/>
      </tp>
      <tp t="s">
        <v>#N/A N/A</v>
        <stp/>
        <stp>BDP|8503004983215993585</stp>
        <tr r="B290" s="2"/>
      </tp>
      <tp t="s">
        <v>#N/A N/A</v>
        <stp/>
        <stp>BDP|5098658670355410169</stp>
        <tr r="B4269" s="2"/>
      </tp>
      <tp t="s">
        <v>#N/A N/A</v>
        <stp/>
        <stp>BDP|6028183024353279698</stp>
        <tr r="D1342" s="2"/>
      </tp>
      <tp t="s">
        <v>#N/A N/A</v>
        <stp/>
        <stp>BDP|1193646544817222448</stp>
        <tr r="D3947" s="2"/>
      </tp>
      <tp t="s">
        <v>#N/A N/A</v>
        <stp/>
        <stp>BDP|4574516056004781024</stp>
        <tr r="I3535" s="2"/>
      </tp>
      <tp t="s">
        <v>#N/A N/A</v>
        <stp/>
        <stp>BDP|7768459232874091473</stp>
        <tr r="C4789" s="2"/>
      </tp>
      <tp t="s">
        <v>#N/A N/A</v>
        <stp/>
        <stp>BDP|8291004315311105812</stp>
        <tr r="G2267" s="2"/>
      </tp>
      <tp t="s">
        <v>#N/A N/A</v>
        <stp/>
        <stp>BDP|6267218562313234142</stp>
        <tr r="I3985" s="2"/>
      </tp>
      <tp t="s">
        <v>#N/A N/A</v>
        <stp/>
        <stp>BDP|4097452753162766760</stp>
        <tr r="H1819" s="2"/>
      </tp>
      <tp t="s">
        <v>#N/A N/A</v>
        <stp/>
        <stp>BDP|7495331826932690404</stp>
        <tr r="D531" s="2"/>
      </tp>
      <tp t="s">
        <v>#N/A N/A</v>
        <stp/>
        <stp>BDP|5314639230863359349</stp>
        <tr r="F2045" s="2"/>
      </tp>
      <tp t="s">
        <v>#N/A N/A</v>
        <stp/>
        <stp>BDP|8445945302339397864</stp>
        <tr r="B358" s="2"/>
      </tp>
      <tp t="s">
        <v>#N/A N/A</v>
        <stp/>
        <stp>BDP|5748684958295352338</stp>
        <tr r="G4184" s="2"/>
      </tp>
      <tp t="s">
        <v>#N/A N/A</v>
        <stp/>
        <stp>BDP|9239967670384513368</stp>
        <tr r="H162" s="2"/>
      </tp>
      <tp t="s">
        <v>#N/A N/A</v>
        <stp/>
        <stp>BDP|1066377042942707456</stp>
        <tr r="G4442" s="2"/>
      </tp>
      <tp t="s">
        <v>#N/A N/A</v>
        <stp/>
        <stp>BDP|4944285171891219056</stp>
        <tr r="I2133" s="2"/>
      </tp>
      <tp t="s">
        <v>#N/A N/A</v>
        <stp/>
        <stp>BDP|3807496495269732749</stp>
        <tr r="C380" s="2"/>
      </tp>
      <tp t="s">
        <v>#N/A N/A</v>
        <stp/>
        <stp>BDP|6553331497189588533</stp>
        <tr r="B4812" s="2"/>
      </tp>
      <tp t="s">
        <v>#N/A N/A</v>
        <stp/>
        <stp>BDP|9395938714249146829</stp>
        <tr r="C3558" s="2"/>
      </tp>
      <tp t="s">
        <v>#N/A N/A</v>
        <stp/>
        <stp>BDP|5406997890283327699</stp>
        <tr r="H4138" s="2"/>
      </tp>
      <tp t="s">
        <v>#N/A N/A</v>
        <stp/>
        <stp>BDP|3793192054187435097</stp>
        <tr r="H2122" s="2"/>
      </tp>
      <tp t="s">
        <v>#N/A N/A</v>
        <stp/>
        <stp>BDP|1407793518397273009</stp>
        <tr r="A2034" s="2"/>
      </tp>
      <tp t="s">
        <v>#N/A N/A</v>
        <stp/>
        <stp>BDP|6180481827215102585</stp>
        <tr r="F116" s="2"/>
      </tp>
      <tp t="s">
        <v>#N/A N/A</v>
        <stp/>
        <stp>BDP|7388306421725398361</stp>
        <tr r="I1944" s="2"/>
      </tp>
      <tp t="s">
        <v>#N/A N/A</v>
        <stp/>
        <stp>BDP|8520826850582090709</stp>
        <tr r="F2044" s="2"/>
      </tp>
      <tp t="s">
        <v>#N/A N/A</v>
        <stp/>
        <stp>BDP|3386529644731572370</stp>
        <tr r="F3657" s="2"/>
      </tp>
      <tp t="s">
        <v>#N/A N/A</v>
        <stp/>
        <stp>BDP|3227713072362633100</stp>
        <tr r="G4477" s="2"/>
      </tp>
      <tp t="s">
        <v>#N/A N/A</v>
        <stp/>
        <stp>BDP|6811503426150003192</stp>
        <tr r="I4415" s="2"/>
      </tp>
      <tp t="s">
        <v>#N/A N/A</v>
        <stp/>
        <stp>BDP|7336117535444069107</stp>
        <tr r="B1889" s="2"/>
      </tp>
      <tp t="s">
        <v>#N/A N/A</v>
        <stp/>
        <stp>BDP|9632342625590165813</stp>
        <tr r="D4151" s="2"/>
      </tp>
      <tp t="s">
        <v>#N/A N/A</v>
        <stp/>
        <stp>BDP|9950811749881355458</stp>
        <tr r="I794" s="2"/>
      </tp>
      <tp t="s">
        <v>#N/A N/A</v>
        <stp/>
        <stp>BDP|6564868495677583040</stp>
        <tr r="B1416" s="2"/>
      </tp>
      <tp t="s">
        <v>#N/A N/A</v>
        <stp/>
        <stp>BDP|8274722408529797689</stp>
        <tr r="D3273" s="2"/>
      </tp>
      <tp t="s">
        <v>#N/A N/A</v>
        <stp/>
        <stp>BDP|2867811182791948354</stp>
        <tr r="H1766" s="2"/>
      </tp>
      <tp t="s">
        <v>#N/A N/A</v>
        <stp/>
        <stp>BDP|6533776394400571846</stp>
        <tr r="H2539" s="2"/>
      </tp>
      <tp t="s">
        <v>#N/A N/A</v>
        <stp/>
        <stp>BDP|2522808482953971194</stp>
        <tr r="A2784" s="2"/>
      </tp>
      <tp t="s">
        <v>#N/A N/A</v>
        <stp/>
        <stp>BDP|4091133195269705568</stp>
        <tr r="F4657" s="2"/>
      </tp>
      <tp t="s">
        <v>#N/A N/A</v>
        <stp/>
        <stp>BDP|9411760246109110321</stp>
        <tr r="D1179" s="2"/>
      </tp>
      <tp t="s">
        <v>#N/A N/A</v>
        <stp/>
        <stp>BDP|7519556779306843360</stp>
        <tr r="A2673" s="2"/>
      </tp>
      <tp t="s">
        <v>#N/A N/A</v>
        <stp/>
        <stp>BDP|4237994541550983949</stp>
        <tr r="F3506" s="2"/>
      </tp>
      <tp t="s">
        <v>#N/A N/A</v>
        <stp/>
        <stp>BDP|7914246421476344184</stp>
        <tr r="D3348" s="2"/>
      </tp>
      <tp t="s">
        <v>#N/A N/A</v>
        <stp/>
        <stp>BDP|2616078293413088856</stp>
        <tr r="I4225" s="2"/>
      </tp>
      <tp t="s">
        <v>#N/A N/A</v>
        <stp/>
        <stp>BDP|9113202696033558155</stp>
        <tr r="G4647" s="2"/>
      </tp>
      <tp t="s">
        <v>#N/A N/A</v>
        <stp/>
        <stp>BDP|1781389588739638366</stp>
        <tr r="F4001" s="2"/>
      </tp>
      <tp t="s">
        <v>#N/A N/A</v>
        <stp/>
        <stp>BDP|4762314874015250574</stp>
        <tr r="G4568" s="2"/>
      </tp>
      <tp t="s">
        <v>#N/A N/A</v>
        <stp/>
        <stp>BDP|3842353833083047091</stp>
        <tr r="I3152" s="2"/>
      </tp>
      <tp t="s">
        <v>#N/A N/A</v>
        <stp/>
        <stp>BDP|6546527755425044351</stp>
        <tr r="A4590" s="2"/>
      </tp>
      <tp t="s">
        <v>#N/A N/A</v>
        <stp/>
        <stp>BDP|4944170376023615197</stp>
        <tr r="G3416" s="2"/>
      </tp>
      <tp t="s">
        <v>#N/A N/A</v>
        <stp/>
        <stp>BDP|4834613348130279644</stp>
        <tr r="A4693" s="2"/>
      </tp>
      <tp t="s">
        <v>#N/A N/A</v>
        <stp/>
        <stp>BDP|5769625246325737231</stp>
        <tr r="H3046" s="2"/>
      </tp>
      <tp t="s">
        <v>#N/A N/A</v>
        <stp/>
        <stp>BDP|4338806382496126276</stp>
        <tr r="I434" s="2"/>
      </tp>
      <tp t="s">
        <v>#N/A N/A</v>
        <stp/>
        <stp>BDP|8761835955551549437</stp>
        <tr r="D3749" s="2"/>
      </tp>
      <tp t="s">
        <v>#N/A N/A</v>
        <stp/>
        <stp>BDP|8214554155591759920</stp>
        <tr r="G2991" s="2"/>
      </tp>
      <tp t="s">
        <v>#N/A N/A</v>
        <stp/>
        <stp>BDP|1093454601905332002</stp>
        <tr r="G4090" s="2"/>
      </tp>
      <tp t="s">
        <v>#N/A N/A</v>
        <stp/>
        <stp>BDP|3279014956731711750</stp>
        <tr r="G700" s="2"/>
      </tp>
      <tp t="s">
        <v>#N/A N/A</v>
        <stp/>
        <stp>BDP|4503790902025967603</stp>
        <tr r="A4075" s="2"/>
      </tp>
      <tp t="s">
        <v>#N/A N/A</v>
        <stp/>
        <stp>BDP|1064228000193085052</stp>
        <tr r="A2085" s="2"/>
      </tp>
      <tp t="s">
        <v>#N/A N/A</v>
        <stp/>
        <stp>BDP|5005753713620738363</stp>
        <tr r="C3478" s="2"/>
      </tp>
      <tp t="s">
        <v>#N/A N/A</v>
        <stp/>
        <stp>BDP|9670273291431207354</stp>
        <tr r="B556" s="2"/>
      </tp>
      <tp t="s">
        <v>#N/A N/A</v>
        <stp/>
        <stp>BDP|7871397720125573332</stp>
        <tr r="F4977" s="2"/>
      </tp>
      <tp t="s">
        <v>#N/A N/A</v>
        <stp/>
        <stp>BDP|8660733577961214979</stp>
        <tr r="G1681" s="2"/>
      </tp>
      <tp t="s">
        <v>#N/A N/A</v>
        <stp/>
        <stp>BDP|2379478071314798551</stp>
        <tr r="D2886" s="2"/>
      </tp>
      <tp t="s">
        <v>#N/A N/A</v>
        <stp/>
        <stp>BDP|3720307131661757262</stp>
        <tr r="I2709" s="2"/>
      </tp>
      <tp t="s">
        <v>#N/A N/A</v>
        <stp/>
        <stp>BDP|6442659064000200609</stp>
        <tr r="C967" s="2"/>
      </tp>
      <tp t="s">
        <v>#N/A N/A</v>
        <stp/>
        <stp>BDP|7052061270741039114</stp>
        <tr r="H1581" s="2"/>
      </tp>
      <tp t="s">
        <v>#N/A N/A</v>
        <stp/>
        <stp>BDP|6933516734131979127</stp>
        <tr r="I3079" s="2"/>
      </tp>
      <tp t="s">
        <v>#N/A N/A</v>
        <stp/>
        <stp>BDP|8716880427686652496</stp>
        <tr r="B1036" s="2"/>
      </tp>
      <tp t="s">
        <v>#N/A N/A</v>
        <stp/>
        <stp>BDP|1248255278625161195</stp>
        <tr r="C2939" s="2"/>
      </tp>
      <tp t="s">
        <v>#N/A N/A</v>
        <stp/>
        <stp>BDP|3913661606587687289</stp>
        <tr r="D2734" s="2"/>
      </tp>
      <tp t="s">
        <v>#N/A N/A</v>
        <stp/>
        <stp>BDP|2014539451522036059</stp>
        <tr r="A2481" s="2"/>
      </tp>
      <tp t="s">
        <v>#N/A N/A</v>
        <stp/>
        <stp>BDP|4563035391584670966</stp>
        <tr r="B895" s="2"/>
      </tp>
      <tp t="s">
        <v>#N/A N/A</v>
        <stp/>
        <stp>BDP|4643725432475278535</stp>
        <tr r="B1944" s="2"/>
      </tp>
      <tp t="s">
        <v>#N/A N/A</v>
        <stp/>
        <stp>BDP|5782338251590441366</stp>
        <tr r="G3828" s="2"/>
      </tp>
      <tp t="s">
        <v>#N/A N/A</v>
        <stp/>
        <stp>BDP|7214427151780234645</stp>
        <tr r="I2646" s="2"/>
      </tp>
      <tp t="s">
        <v>#N/A N/A</v>
        <stp/>
        <stp>BDP|2296819330689666027</stp>
        <tr r="F182" s="2"/>
      </tp>
      <tp t="s">
        <v>#N/A N/A</v>
        <stp/>
        <stp>BDP|5175744023508103800</stp>
        <tr r="F1885" s="2"/>
      </tp>
      <tp t="s">
        <v>#N/A N/A</v>
        <stp/>
        <stp>BDP|1014466249651072080</stp>
        <tr r="G2984" s="2"/>
      </tp>
      <tp t="s">
        <v>#N/A N/A</v>
        <stp/>
        <stp>BDP|8548736735094237867</stp>
        <tr r="A3758" s="2"/>
      </tp>
      <tp t="s">
        <v>#N/A N/A</v>
        <stp/>
        <stp>BDP|7674301343106555674</stp>
        <tr r="G191" s="2"/>
      </tp>
      <tp t="s">
        <v>#N/A N/A</v>
        <stp/>
        <stp>BDP|2183794134873316583</stp>
        <tr r="G1648" s="2"/>
      </tp>
      <tp t="s">
        <v>#N/A N/A</v>
        <stp/>
        <stp>BDP|1725498810766027299</stp>
        <tr r="F2591" s="2"/>
      </tp>
      <tp t="s">
        <v>#N/A N/A</v>
        <stp/>
        <stp>BDP|3035629905636892383</stp>
        <tr r="D1208" s="2"/>
      </tp>
      <tp t="s">
        <v>#N/A N/A</v>
        <stp/>
        <stp>BDP|7544685564786884168</stp>
        <tr r="B4256" s="2"/>
      </tp>
      <tp t="s">
        <v>#N/A N/A</v>
        <stp/>
        <stp>BDP|2807713869110060372</stp>
        <tr r="F4749" s="2"/>
      </tp>
      <tp t="s">
        <v>#N/A N/A</v>
        <stp/>
        <stp>BDP|2573822995520331365</stp>
        <tr r="C4317" s="2"/>
      </tp>
      <tp t="s">
        <v>#N/A N/A</v>
        <stp/>
        <stp>BDP|2321590264138296983</stp>
        <tr r="H1054" s="2"/>
      </tp>
      <tp t="s">
        <v>#N/A N/A</v>
        <stp/>
        <stp>BDP|6943102387267281885</stp>
        <tr r="F477" s="2"/>
      </tp>
      <tp t="s">
        <v>#N/A N/A</v>
        <stp/>
        <stp>BDP|5625226734193396775</stp>
        <tr r="D931" s="2"/>
      </tp>
      <tp t="s">
        <v>#N/A N/A</v>
        <stp/>
        <stp>BDP|1776434854553072348</stp>
        <tr r="C2685" s="2"/>
      </tp>
      <tp t="s">
        <v>#N/A N/A</v>
        <stp/>
        <stp>BDP|2985533226161047486</stp>
        <tr r="C31" s="2"/>
      </tp>
      <tp t="s">
        <v>#N/A N/A</v>
        <stp/>
        <stp>BDP|8467342497203065138</stp>
        <tr r="I1800" s="2"/>
      </tp>
      <tp t="s">
        <v>#N/A N/A</v>
        <stp/>
        <stp>BDP|7284897331794939873</stp>
        <tr r="I3420" s="2"/>
      </tp>
      <tp t="s">
        <v>#N/A N/A</v>
        <stp/>
        <stp>BDP|2249868623738044037</stp>
        <tr r="F4017" s="2"/>
      </tp>
      <tp t="s">
        <v>#N/A N/A</v>
        <stp/>
        <stp>BDP|1909727609085496325</stp>
        <tr r="D2122" s="2"/>
      </tp>
      <tp t="s">
        <v>#N/A N/A</v>
        <stp/>
        <stp>BDP|5267231754384785667</stp>
        <tr r="G270" s="2"/>
      </tp>
      <tp t="s">
        <v>#N/A N/A</v>
        <stp/>
        <stp>BDP|1605433400785396026</stp>
        <tr r="C940" s="2"/>
      </tp>
      <tp t="s">
        <v>#N/A N/A</v>
        <stp/>
        <stp>BDP|6908052301062182481</stp>
        <tr r="B278" s="2"/>
      </tp>
      <tp t="s">
        <v>#N/A N/A</v>
        <stp/>
        <stp>BDP|3208547935396460339</stp>
        <tr r="I1539" s="2"/>
      </tp>
      <tp t="s">
        <v>#N/A N/A</v>
        <stp/>
        <stp>BDP|6661649855221732445</stp>
        <tr r="F3905" s="2"/>
      </tp>
      <tp t="s">
        <v>#N/A N/A</v>
        <stp/>
        <stp>BDP|4273619062461483518</stp>
        <tr r="B2170" s="2"/>
      </tp>
      <tp t="s">
        <v>#N/A N/A</v>
        <stp/>
        <stp>BDP|3431042497073433978</stp>
        <tr r="F4572" s="2"/>
      </tp>
      <tp t="s">
        <v>#N/A N/A</v>
        <stp/>
        <stp>BDP|4180698385923163985</stp>
        <tr r="B2506" s="2"/>
      </tp>
      <tp t="s">
        <v>#N/A N/A</v>
        <stp/>
        <stp>BDP|7426733900632585265</stp>
        <tr r="B362" s="2"/>
      </tp>
      <tp t="s">
        <v>#N/A N/A</v>
        <stp/>
        <stp>BDP|3898226214787873722</stp>
        <tr r="D3298" s="2"/>
      </tp>
      <tp t="s">
        <v>#N/A N/A</v>
        <stp/>
        <stp>BDP|3121154745037680132</stp>
        <tr r="C819" s="2"/>
      </tp>
      <tp t="s">
        <v>#N/A N/A</v>
        <stp/>
        <stp>BDP|2772719603971384423</stp>
        <tr r="B1935" s="2"/>
      </tp>
      <tp t="s">
        <v>#N/A N/A</v>
        <stp/>
        <stp>BDP|3306479010557532153</stp>
        <tr r="G637" s="2"/>
      </tp>
      <tp t="s">
        <v>#N/A N/A</v>
        <stp/>
        <stp>BDP|4071165368310892324</stp>
        <tr r="I4394" s="2"/>
      </tp>
      <tp t="s">
        <v>#N/A N/A</v>
        <stp/>
        <stp>BDP|8801791290417613138</stp>
        <tr r="B431" s="2"/>
      </tp>
      <tp t="s">
        <v>#N/A N/A</v>
        <stp/>
        <stp>BDP|5061568056147117252</stp>
        <tr r="G3841" s="2"/>
      </tp>
      <tp t="s">
        <v>#N/A N/A</v>
        <stp/>
        <stp>BDP|4560411234377108458</stp>
        <tr r="G3367" s="2"/>
      </tp>
      <tp t="s">
        <v>#N/A N/A</v>
        <stp/>
        <stp>BDP|5607613300336388504</stp>
        <tr r="D4550" s="2"/>
      </tp>
      <tp t="s">
        <v>#N/A N/A</v>
        <stp/>
        <stp>BDP|7199360242575194509</stp>
        <tr r="A1351" s="2"/>
      </tp>
      <tp t="s">
        <v>#N/A N/A</v>
        <stp/>
        <stp>BDP|1832033876645825318</stp>
        <tr r="F4671" s="2"/>
      </tp>
      <tp t="s">
        <v>#N/A N/A</v>
        <stp/>
        <stp>BDP|6371267850634191503</stp>
        <tr r="F3297" s="2"/>
      </tp>
      <tp t="s">
        <v>#N/A N/A</v>
        <stp/>
        <stp>BDP|6658324827154373348</stp>
        <tr r="H4923" s="2"/>
      </tp>
      <tp t="s">
        <v>#N/A N/A</v>
        <stp/>
        <stp>BDP|5276664060843611665</stp>
        <tr r="B1574" s="2"/>
      </tp>
      <tp t="s">
        <v>#N/A N/A</v>
        <stp/>
        <stp>BDP|1774228983579305215</stp>
        <tr r="G1020" s="2"/>
      </tp>
      <tp t="s">
        <v>#N/A N/A</v>
        <stp/>
        <stp>BDP|3638324143226133229</stp>
        <tr r="G2108" s="2"/>
      </tp>
      <tp t="s">
        <v>#N/A N/A</v>
        <stp/>
        <stp>BDP|3845876477388960458</stp>
        <tr r="D3656" s="2"/>
      </tp>
      <tp t="s">
        <v>#N/A N/A</v>
        <stp/>
        <stp>BDP|4420110579006980414</stp>
        <tr r="B3902" s="2"/>
      </tp>
      <tp t="s">
        <v>#N/A N/A</v>
        <stp/>
        <stp>BDP|4803094596814406972</stp>
        <tr r="D2693" s="2"/>
      </tp>
      <tp t="s">
        <v>#N/A N/A</v>
        <stp/>
        <stp>BDP|9294941346704058044</stp>
        <tr r="F1908" s="2"/>
      </tp>
      <tp t="s">
        <v>#N/A N/A</v>
        <stp/>
        <stp>BDP|5948487362676284153</stp>
        <tr r="C2667" s="2"/>
      </tp>
      <tp t="s">
        <v>#N/A N/A</v>
        <stp/>
        <stp>BDP|6557350898834804843</stp>
        <tr r="G3940" s="2"/>
      </tp>
      <tp t="s">
        <v>#N/A N/A</v>
        <stp/>
        <stp>BDP|3526827395273676101</stp>
        <tr r="H3309" s="2"/>
      </tp>
      <tp t="s">
        <v>#N/A N/A</v>
        <stp/>
        <stp>BDP|2973604019664333177</stp>
        <tr r="G4828" s="2"/>
      </tp>
      <tp t="s">
        <v>#N/A N/A</v>
        <stp/>
        <stp>BDP|7975839634644981831</stp>
        <tr r="A3738" s="2"/>
      </tp>
      <tp t="s">
        <v>#N/A N/A</v>
        <stp/>
        <stp>BDP|7474018067809465820</stp>
        <tr r="H1269" s="2"/>
      </tp>
      <tp t="s">
        <v>#N/A N/A</v>
        <stp/>
        <stp>BDP|7442796749216986299</stp>
        <tr r="F2118" s="2"/>
      </tp>
      <tp t="s">
        <v>#N/A N/A</v>
        <stp/>
        <stp>BDP|4692162840478090947</stp>
        <tr r="G2273" s="2"/>
      </tp>
      <tp t="s">
        <v>#N/A N/A</v>
        <stp/>
        <stp>BDP|2540021924220165060</stp>
        <tr r="A3580" s="2"/>
      </tp>
      <tp t="s">
        <v>#N/A N/A</v>
        <stp/>
        <stp>BDP|5627207167699400812</stp>
        <tr r="C3480" s="2"/>
      </tp>
      <tp t="s">
        <v>#N/A N/A</v>
        <stp/>
        <stp>BDP|9687401362792265929</stp>
        <tr r="H3744" s="2"/>
      </tp>
      <tp t="s">
        <v>#N/A N/A</v>
        <stp/>
        <stp>BDP|8263643123635666975</stp>
        <tr r="B1847" s="2"/>
      </tp>
      <tp t="s">
        <v>#N/A N/A</v>
        <stp/>
        <stp>BDP|8285700757972814890</stp>
        <tr r="A4284" s="2"/>
      </tp>
      <tp t="s">
        <v>#N/A N/A</v>
        <stp/>
        <stp>BDP|9877666945199814271</stp>
        <tr r="H817" s="2"/>
      </tp>
      <tp t="s">
        <v>#N/A N/A</v>
        <stp/>
        <stp>BDP|5984163413770899505</stp>
        <tr r="B802" s="2"/>
      </tp>
      <tp t="s">
        <v>#N/A N/A</v>
        <stp/>
        <stp>BDP|1871661359392003035</stp>
        <tr r="B4695" s="2"/>
      </tp>
      <tp t="s">
        <v>#N/A N/A</v>
        <stp/>
        <stp>BDP|7949344343333246384</stp>
        <tr r="G2142" s="2"/>
      </tp>
      <tp t="s">
        <v>#N/A N/A</v>
        <stp/>
        <stp>BDP|3418691059161037101</stp>
        <tr r="I757" s="2"/>
      </tp>
      <tp t="s">
        <v>#N/A N/A</v>
        <stp/>
        <stp>BDP|2136728801845100070</stp>
        <tr r="F1808" s="2"/>
      </tp>
      <tp t="s">
        <v>#N/A N/A</v>
        <stp/>
        <stp>BDP|5589257982337369859</stp>
        <tr r="H246" s="2"/>
      </tp>
      <tp t="s">
        <v>#N/A N/A</v>
        <stp/>
        <stp>BDP|6228708397288238038</stp>
        <tr r="D1933" s="2"/>
      </tp>
      <tp t="s">
        <v>#N/A N/A</v>
        <stp/>
        <stp>BDP|6661022296518305753</stp>
        <tr r="G2785" s="2"/>
      </tp>
      <tp t="s">
        <v>#N/A N/A</v>
        <stp/>
        <stp>BDP|3047226816364228421</stp>
        <tr r="H676" s="2"/>
      </tp>
      <tp t="s">
        <v>#N/A N/A</v>
        <stp/>
        <stp>BDP|3901974436329465083</stp>
        <tr r="C3326" s="2"/>
      </tp>
      <tp t="s">
        <v>#N/A N/A</v>
        <stp/>
        <stp>BDP|9625912851105750056</stp>
        <tr r="A3822" s="2"/>
      </tp>
      <tp t="s">
        <v>#N/A N/A</v>
        <stp/>
        <stp>BDP|1565085976167752185</stp>
        <tr r="D4155" s="2"/>
      </tp>
      <tp t="s">
        <v>#N/A N/A</v>
        <stp/>
        <stp>BDP|1236210027378007905</stp>
        <tr r="A3319" s="2"/>
      </tp>
      <tp t="s">
        <v>#N/A N/A</v>
        <stp/>
        <stp>BDP|7512440429464847544</stp>
        <tr r="B164" s="2"/>
      </tp>
      <tp t="s">
        <v>#N/A N/A</v>
        <stp/>
        <stp>BDP|6572806600758051616</stp>
        <tr r="B4030" s="2"/>
      </tp>
      <tp t="s">
        <v>#N/A N/A</v>
        <stp/>
        <stp>BDP|3743840513073392978</stp>
        <tr r="H1106" s="2"/>
      </tp>
      <tp t="s">
        <v>#N/A N/A</v>
        <stp/>
        <stp>BDP|9807021869146166963</stp>
        <tr r="C1732" s="2"/>
      </tp>
      <tp t="s">
        <v>#N/A N/A</v>
        <stp/>
        <stp>BDP|3995580921445510119</stp>
        <tr r="C2569" s="2"/>
      </tp>
      <tp t="s">
        <v>#N/A N/A</v>
        <stp/>
        <stp>BDP|5139117316436111334</stp>
        <tr r="F2498" s="2"/>
      </tp>
      <tp t="s">
        <v>#N/A N/A</v>
        <stp/>
        <stp>BDP|5163737047494660276</stp>
        <tr r="H1817" s="2"/>
      </tp>
      <tp t="s">
        <v>#N/A N/A</v>
        <stp/>
        <stp>BDP|5547451540686220364</stp>
        <tr r="H2782" s="2"/>
      </tp>
      <tp t="s">
        <v>#N/A N/A</v>
        <stp/>
        <stp>BDP|4606912840690500960</stp>
        <tr r="A349" s="2"/>
      </tp>
      <tp t="s">
        <v>#N/A N/A</v>
        <stp/>
        <stp>BDP|5655714756745161244</stp>
        <tr r="I3626" s="2"/>
      </tp>
      <tp t="s">
        <v>#N/A N/A</v>
        <stp/>
        <stp>BDP|7351607703273276263</stp>
        <tr r="H3629" s="2"/>
      </tp>
      <tp t="s">
        <v>#N/A N/A</v>
        <stp/>
        <stp>BDP|1168003585660509957</stp>
        <tr r="D2589" s="2"/>
      </tp>
      <tp t="s">
        <v>#N/A N/A</v>
        <stp/>
        <stp>BDP|5375784857600918713</stp>
        <tr r="D758" s="2"/>
      </tp>
      <tp t="s">
        <v>#N/A N/A</v>
        <stp/>
        <stp>BDP|2845466279692658356</stp>
        <tr r="B827" s="2"/>
      </tp>
      <tp t="s">
        <v>#N/A N/A</v>
        <stp/>
        <stp>BDP|7929348359287071608</stp>
        <tr r="G2358" s="2"/>
      </tp>
      <tp t="s">
        <v>#N/A N/A</v>
        <stp/>
        <stp>BDP|4769471012002653305</stp>
        <tr r="G892" s="2"/>
      </tp>
      <tp t="s">
        <v>#N/A N/A</v>
        <stp/>
        <stp>BDP|3049375135281614204</stp>
        <tr r="F3462" s="2"/>
      </tp>
      <tp t="s">
        <v>#N/A N/A</v>
        <stp/>
        <stp>BDP|8257980345933331689</stp>
        <tr r="H2673" s="2"/>
      </tp>
      <tp t="s">
        <v>#N/A N/A</v>
        <stp/>
        <stp>BDP|4700543164690748747</stp>
        <tr r="C3814" s="2"/>
      </tp>
      <tp t="s">
        <v>#N/A N/A</v>
        <stp/>
        <stp>BDP|2741551402166112153</stp>
        <tr r="D2782" s="2"/>
      </tp>
      <tp t="s">
        <v>#N/A N/A</v>
        <stp/>
        <stp>BDP|4424448625883229136</stp>
        <tr r="G2977" s="2"/>
      </tp>
      <tp t="s">
        <v>#N/A N/A</v>
        <stp/>
        <stp>BDP|5229975198563133687</stp>
        <tr r="H294" s="2"/>
      </tp>
      <tp t="s">
        <v>#N/A N/A</v>
        <stp/>
        <stp>BDP|3954528824022930628</stp>
        <tr r="A1137" s="2"/>
      </tp>
      <tp t="s">
        <v>#N/A N/A</v>
        <stp/>
        <stp>BDP|8911882127173479163</stp>
        <tr r="F2662" s="2"/>
      </tp>
      <tp t="s">
        <v>#N/A N/A</v>
        <stp/>
        <stp>BDP|6543329022117698073</stp>
        <tr r="B148" s="2"/>
      </tp>
      <tp t="s">
        <v>#N/A N/A</v>
        <stp/>
        <stp>BDP|7277215677734159616</stp>
        <tr r="C4764" s="2"/>
      </tp>
      <tp t="s">
        <v>#N/A N/A</v>
        <stp/>
        <stp>BDP|1157030615342792256</stp>
        <tr r="D3385" s="2"/>
      </tp>
      <tp t="s">
        <v>#N/A N/A</v>
        <stp/>
        <stp>BDP|3346967159198893712</stp>
        <tr r="A3062" s="2"/>
      </tp>
      <tp t="s">
        <v>#N/A N/A</v>
        <stp/>
        <stp>BDP|7289180132500859550</stp>
        <tr r="B4562" s="2"/>
      </tp>
      <tp t="s">
        <v>#N/A N/A</v>
        <stp/>
        <stp>BDP|6453016742975671745</stp>
        <tr r="G4757" s="2"/>
      </tp>
      <tp t="s">
        <v>#N/A N/A</v>
        <stp/>
        <stp>BDP|1242530526592590470</stp>
        <tr r="C2862" s="2"/>
      </tp>
      <tp t="s">
        <v>#N/A N/A</v>
        <stp/>
        <stp>BDP|4487412341023143705</stp>
        <tr r="B1176" s="2"/>
      </tp>
      <tp t="s">
        <v>#N/A N/A</v>
        <stp/>
        <stp>BDP|1560021561631596663</stp>
        <tr r="B3313" s="2"/>
      </tp>
      <tp t="s">
        <v>#N/A N/A</v>
        <stp/>
        <stp>BDP|1499492447558911964</stp>
        <tr r="I737" s="2"/>
      </tp>
      <tp t="s">
        <v>#N/A N/A</v>
        <stp/>
        <stp>BDP|7302460079944923001</stp>
        <tr r="C4817" s="2"/>
      </tp>
      <tp t="s">
        <v>#N/A N/A</v>
        <stp/>
        <stp>BDP|7853164059802475164</stp>
        <tr r="G4673" s="2"/>
      </tp>
      <tp t="s">
        <v>#N/A N/A</v>
        <stp/>
        <stp>BDP|7574418025170411105</stp>
        <tr r="D1788" s="2"/>
      </tp>
      <tp t="s">
        <v>#N/A N/A</v>
        <stp/>
        <stp>BDP|2310910576004980884</stp>
        <tr r="A674" s="2"/>
      </tp>
      <tp t="s">
        <v>#N/A N/A</v>
        <stp/>
        <stp>BDP|1606299141427375087</stp>
        <tr r="D2976" s="2"/>
      </tp>
      <tp t="s">
        <v>#N/A N/A</v>
        <stp/>
        <stp>BDP|7308671151512318638</stp>
        <tr r="C3954" s="2"/>
      </tp>
      <tp t="s">
        <v>#N/A N/A</v>
        <stp/>
        <stp>BDP|6320021063856164660</stp>
        <tr r="A3905" s="2"/>
      </tp>
      <tp t="s">
        <v>#N/A N/A</v>
        <stp/>
        <stp>BDP|9446815018012146298</stp>
        <tr r="C2060" s="2"/>
      </tp>
      <tp t="s">
        <v>#N/A N/A</v>
        <stp/>
        <stp>BDP|5065601325885222420</stp>
        <tr r="D2487" s="2"/>
      </tp>
      <tp t="s">
        <v>#N/A N/A</v>
        <stp/>
        <stp>BDP|3107504661747181747</stp>
        <tr r="I1893" s="2"/>
      </tp>
      <tp t="s">
        <v>#N/A N/A</v>
        <stp/>
        <stp>BDP|2840717971550529288</stp>
        <tr r="D2918" s="2"/>
      </tp>
      <tp t="s">
        <v>#N/A N/A</v>
        <stp/>
        <stp>BDP|1130725345042190023</stp>
        <tr r="I1402" s="2"/>
      </tp>
      <tp t="s">
        <v>#N/A N/A</v>
        <stp/>
        <stp>BDP|8013428200634112862</stp>
        <tr r="H2510" s="2"/>
      </tp>
      <tp t="s">
        <v>#N/A N/A</v>
        <stp/>
        <stp>BDP|7228612965945377202</stp>
        <tr r="G4312" s="2"/>
      </tp>
      <tp t="s">
        <v>#N/A N/A</v>
        <stp/>
        <stp>BDP|7622795908819778954</stp>
        <tr r="F282" s="2"/>
      </tp>
      <tp t="s">
        <v>#N/A N/A</v>
        <stp/>
        <stp>BDP|9262922703516188675</stp>
        <tr r="I248" s="2"/>
      </tp>
      <tp t="s">
        <v>#N/A N/A</v>
        <stp/>
        <stp>BDP|1215220915435617768</stp>
        <tr r="B4192" s="2"/>
      </tp>
      <tp t="s">
        <v>#N/A N/A</v>
        <stp/>
        <stp>BDP|1841910819299407019</stp>
        <tr r="B3958" s="2"/>
      </tp>
      <tp t="s">
        <v>#N/A N/A</v>
        <stp/>
        <stp>BDP|3362066434859661921</stp>
        <tr r="I1353" s="2"/>
      </tp>
      <tp t="s">
        <v>#N/A N/A</v>
        <stp/>
        <stp>BDP|5295976089363151786</stp>
        <tr r="D354" s="2"/>
      </tp>
      <tp t="s">
        <v>#N/A N/A</v>
        <stp/>
        <stp>BDP|4090320903426066144</stp>
        <tr r="C2875" s="2"/>
      </tp>
      <tp t="s">
        <v>#N/A N/A</v>
        <stp/>
        <stp>BDP|6732561437941628156</stp>
        <tr r="C3340" s="2"/>
      </tp>
      <tp t="s">
        <v>#N/A N/A</v>
        <stp/>
        <stp>BDP|6384656150320743547</stp>
        <tr r="F1572" s="2"/>
      </tp>
      <tp t="s">
        <v>#N/A N/A</v>
        <stp/>
        <stp>BDP|6640063437217091222</stp>
        <tr r="B3599" s="2"/>
      </tp>
      <tp t="s">
        <v>#N/A N/A</v>
        <stp/>
        <stp>BDP|4532309789106900905</stp>
        <tr r="F2794" s="2"/>
      </tp>
      <tp t="s">
        <v>#N/A N/A</v>
        <stp/>
        <stp>BDP|3411959782601364356</stp>
        <tr r="C1280" s="2"/>
      </tp>
      <tp t="s">
        <v>#N/A N/A</v>
        <stp/>
        <stp>BDP|6070059334073466609</stp>
        <tr r="F871" s="2"/>
      </tp>
      <tp t="s">
        <v>#N/A N/A</v>
        <stp/>
        <stp>BDP|9263919452484223168</stp>
        <tr r="I2012" s="2"/>
      </tp>
      <tp t="s">
        <v>#N/A N/A</v>
        <stp/>
        <stp>BDP|1217387866600881419</stp>
        <tr r="D448" s="2"/>
      </tp>
      <tp t="s">
        <v>#N/A N/A</v>
        <stp/>
        <stp>BDP|8576880997400971965</stp>
        <tr r="C2722" s="2"/>
      </tp>
      <tp t="s">
        <v>#N/A N/A</v>
        <stp/>
        <stp>BDP|4238690433562975340</stp>
        <tr r="F3983" s="2"/>
      </tp>
      <tp t="s">
        <v>#N/A N/A</v>
        <stp/>
        <stp>BDP|1113246878493810702</stp>
        <tr r="C2926" s="2"/>
      </tp>
      <tp t="s">
        <v>#N/A N/A</v>
        <stp/>
        <stp>BDP|7968693851230200467</stp>
        <tr r="B273" s="2"/>
      </tp>
      <tp t="s">
        <v>#N/A N/A</v>
        <stp/>
        <stp>BDP|6508376606043356623</stp>
        <tr r="G2921" s="2"/>
      </tp>
      <tp t="s">
        <v>#N/A N/A</v>
        <stp/>
        <stp>BDP|9823025778537228950</stp>
        <tr r="A2394" s="2"/>
      </tp>
      <tp t="s">
        <v>#N/A N/A</v>
        <stp/>
        <stp>BDP|2219058001386129428</stp>
        <tr r="D4525" s="2"/>
      </tp>
      <tp t="s">
        <v>#N/A N/A</v>
        <stp/>
        <stp>BDP|1153137906438300826</stp>
        <tr r="C1740" s="2"/>
      </tp>
      <tp t="s">
        <v>#N/A N/A</v>
        <stp/>
        <stp>BDP|4916295900317657132</stp>
        <tr r="C4731" s="2"/>
      </tp>
      <tp t="s">
        <v>#N/A N/A</v>
        <stp/>
        <stp>BDP|3126436255770229201</stp>
        <tr r="I4892" s="2"/>
      </tp>
      <tp t="s">
        <v>#N/A N/A</v>
        <stp/>
        <stp>BDP|4401332077969483910</stp>
        <tr r="H3070" s="2"/>
      </tp>
      <tp t="s">
        <v>#N/A N/A</v>
        <stp/>
        <stp>BDP|8604182391404931436</stp>
        <tr r="G1249" s="2"/>
      </tp>
      <tp t="s">
        <v>#N/A N/A</v>
        <stp/>
        <stp>BDP|9457052330448307270</stp>
        <tr r="A2029" s="2"/>
      </tp>
      <tp t="s">
        <v>#N/A N/A</v>
        <stp/>
        <stp>BDP|2942033129056135677</stp>
        <tr r="B2965" s="2"/>
      </tp>
      <tp t="s">
        <v>#N/A N/A</v>
        <stp/>
        <stp>BDP|5885020160794841778</stp>
        <tr r="F3435" s="2"/>
      </tp>
      <tp t="s">
        <v>#N/A N/A</v>
        <stp/>
        <stp>BDP|2237761393205539970</stp>
        <tr r="F2601" s="2"/>
      </tp>
      <tp t="s">
        <v>#N/A N/A</v>
        <stp/>
        <stp>BDP|4109261207215497319</stp>
        <tr r="D622" s="2"/>
      </tp>
      <tp t="s">
        <v>#N/A N/A</v>
        <stp/>
        <stp>BDP|4501839792331718468</stp>
        <tr r="F3620" s="2"/>
      </tp>
      <tp t="s">
        <v>#N/A N/A</v>
        <stp/>
        <stp>BDP|6536029003272039418</stp>
        <tr r="A44" s="2"/>
      </tp>
      <tp t="s">
        <v>#N/A N/A</v>
        <stp/>
        <stp>BDP|7605573093183474836</stp>
        <tr r="C4773" s="2"/>
      </tp>
      <tp t="s">
        <v>#N/A N/A</v>
        <stp/>
        <stp>BDP|2723633515840732538</stp>
        <tr r="G4553" s="2"/>
      </tp>
      <tp t="s">
        <v>#N/A N/A</v>
        <stp/>
        <stp>BDP|6902197366608050936</stp>
        <tr r="H1753" s="2"/>
      </tp>
      <tp t="s">
        <v>#N/A N/A</v>
        <stp/>
        <stp>BDP|5375127700726523217</stp>
        <tr r="H3036" s="2"/>
      </tp>
      <tp t="s">
        <v>#N/A N/A</v>
        <stp/>
        <stp>BDP|3411874016492505853</stp>
        <tr r="B4790" s="2"/>
      </tp>
      <tp t="s">
        <v>#N/A N/A</v>
        <stp/>
        <stp>BDP|3297059110296697449</stp>
        <tr r="H4406" s="2"/>
      </tp>
      <tp t="s">
        <v>#N/A N/A</v>
        <stp/>
        <stp>BDP|1778639357532503039</stp>
        <tr r="I1002" s="2"/>
      </tp>
      <tp t="s">
        <v>#N/A N/A</v>
        <stp/>
        <stp>BDP|2746666754174621564</stp>
        <tr r="G822" s="2"/>
      </tp>
      <tp t="s">
        <v>#N/A N/A</v>
        <stp/>
        <stp>BDP|8191939235543607140</stp>
        <tr r="I884" s="2"/>
      </tp>
      <tp t="s">
        <v>#N/A N/A</v>
        <stp/>
        <stp>BDP|5679201575103375355</stp>
        <tr r="A3808" s="2"/>
      </tp>
      <tp t="s">
        <v>#N/A N/A</v>
        <stp/>
        <stp>BDP|6878632509026796609</stp>
        <tr r="D314" s="2"/>
      </tp>
      <tp t="s">
        <v>#N/A N/A</v>
        <stp/>
        <stp>BDP|7335683618342500237</stp>
        <tr r="I2493" s="2"/>
      </tp>
      <tp t="s">
        <v>#N/A N/A</v>
        <stp/>
        <stp>BDP|3207053722753255225</stp>
        <tr r="F1851" s="2"/>
      </tp>
      <tp t="s">
        <v>#N/A N/A</v>
        <stp/>
        <stp>BDP|4757804209459900521</stp>
        <tr r="B1724" s="2"/>
      </tp>
      <tp t="s">
        <v>#N/A N/A</v>
        <stp/>
        <stp>BDP|1143775339855994034</stp>
        <tr r="A998" s="2"/>
      </tp>
      <tp t="s">
        <v>#N/A N/A</v>
        <stp/>
        <stp>BDP|7439173525874459079</stp>
        <tr r="D274" s="2"/>
      </tp>
      <tp t="s">
        <v>#N/A N/A</v>
        <stp/>
        <stp>BDP|9215122081366361672</stp>
        <tr r="D2892" s="2"/>
      </tp>
      <tp t="s">
        <v>#N/A N/A</v>
        <stp/>
        <stp>BDP|2317517507557638064</stp>
        <tr r="D1166" s="2"/>
      </tp>
      <tp t="s">
        <v>#N/A N/A</v>
        <stp/>
        <stp>BDP|4516944985535045010</stp>
        <tr r="G3462" s="2"/>
      </tp>
      <tp t="s">
        <v>#N/A N/A</v>
        <stp/>
        <stp>BDP|1277977387493268355</stp>
        <tr r="D2857" s="2"/>
      </tp>
      <tp t="s">
        <v>#N/A N/A</v>
        <stp/>
        <stp>BDP|3038227971506611007</stp>
        <tr r="A2966" s="2"/>
      </tp>
      <tp t="s">
        <v>#N/A N/A</v>
        <stp/>
        <stp>BDP|4677577162267351050</stp>
        <tr r="C2001" s="2"/>
      </tp>
      <tp t="s">
        <v>#N/A N/A</v>
        <stp/>
        <stp>BDP|8516543925159275633</stp>
        <tr r="B3774" s="2"/>
      </tp>
      <tp t="s">
        <v>#N/A N/A</v>
        <stp/>
        <stp>BDP|5472951894773835685</stp>
        <tr r="A4476" s="2"/>
      </tp>
      <tp t="s">
        <v>#N/A N/A</v>
        <stp/>
        <stp>BDP|6703843010009739617</stp>
        <tr r="C1413" s="2"/>
      </tp>
      <tp t="s">
        <v>#N/A N/A</v>
        <stp/>
        <stp>BDP|6429621012285774460</stp>
        <tr r="I3607" s="2"/>
      </tp>
      <tp t="s">
        <v>#N/A N/A</v>
        <stp/>
        <stp>BDP|4931028596619983413</stp>
        <tr r="G4050" s="2"/>
      </tp>
      <tp t="s">
        <v>#N/A N/A</v>
        <stp/>
        <stp>BDP|4368563870082047407</stp>
        <tr r="I409" s="2"/>
      </tp>
      <tp t="s">
        <v>#N/A N/A</v>
        <stp/>
        <stp>BDP|5750541144796303215</stp>
        <tr r="A3436" s="2"/>
      </tp>
      <tp t="s">
        <v>#N/A N/A</v>
        <stp/>
        <stp>BDP|6597646318890699057</stp>
        <tr r="H764" s="2"/>
      </tp>
      <tp t="s">
        <v>#N/A N/A</v>
        <stp/>
        <stp>BDP|2889863092391247345</stp>
        <tr r="I3560" s="2"/>
      </tp>
      <tp t="s">
        <v>#N/A N/A</v>
        <stp/>
        <stp>BDP|9289310544387973845</stp>
        <tr r="F2071" s="2"/>
      </tp>
      <tp t="s">
        <v>#N/A N/A</v>
        <stp/>
        <stp>BDP|5421533560550450798</stp>
        <tr r="B3442" s="2"/>
      </tp>
      <tp t="s">
        <v>#N/A N/A</v>
        <stp/>
        <stp>BDP|3593455010506900130</stp>
        <tr r="H3153" s="2"/>
      </tp>
      <tp t="s">
        <v>#N/A N/A</v>
        <stp/>
        <stp>BDP|3763320499089070168</stp>
        <tr r="C2094" s="2"/>
      </tp>
      <tp t="s">
        <v>#N/A N/A</v>
        <stp/>
        <stp>BDP|6763321563824572690</stp>
        <tr r="H1864" s="2"/>
      </tp>
      <tp t="s">
        <v>#N/A N/A</v>
        <stp/>
        <stp>BDP|9732326663804437986</stp>
        <tr r="B4027" s="2"/>
      </tp>
      <tp t="s">
        <v>#N/A N/A</v>
        <stp/>
        <stp>BDP|7369432801446818439</stp>
        <tr r="F1076" s="2"/>
      </tp>
      <tp t="s">
        <v>#N/A N/A</v>
        <stp/>
        <stp>BDP|3224927148876409965</stp>
        <tr r="I2901" s="2"/>
      </tp>
      <tp t="s">
        <v>#N/A N/A</v>
        <stp/>
        <stp>BDP|4894069363705048678</stp>
        <tr r="B2874" s="2"/>
      </tp>
      <tp t="s">
        <v>#N/A N/A</v>
        <stp/>
        <stp>BDP|5985377726271521475</stp>
        <tr r="G4254" s="2"/>
      </tp>
      <tp t="s">
        <v>#N/A N/A</v>
        <stp/>
        <stp>BDP|3894625536685615201</stp>
        <tr r="A4250" s="2"/>
      </tp>
      <tp t="s">
        <v>#N/A N/A</v>
        <stp/>
        <stp>BDP|1474282902776391471</stp>
        <tr r="G3025" s="2"/>
      </tp>
      <tp t="s">
        <v>#N/A N/A</v>
        <stp/>
        <stp>BDP|2013574199929724633</stp>
        <tr r="F2989" s="2"/>
      </tp>
      <tp t="s">
        <v>#N/A N/A</v>
        <stp/>
        <stp>BDP|7246223848218708858</stp>
        <tr r="H2657" s="2"/>
      </tp>
      <tp t="s">
        <v>#N/A N/A</v>
        <stp/>
        <stp>BDP|8667909623885788782</stp>
        <tr r="C910" s="2"/>
      </tp>
      <tp t="s">
        <v>#N/A N/A</v>
        <stp/>
        <stp>BDP|5137674744316892000</stp>
        <tr r="B34" s="2"/>
      </tp>
      <tp t="s">
        <v>#N/A N/A</v>
        <stp/>
        <stp>BDP|4905279131625619133</stp>
        <tr r="F1221" s="2"/>
      </tp>
      <tp t="s">
        <v>#N/A N/A</v>
        <stp/>
        <stp>BDP|5559259407222965445</stp>
        <tr r="B2359" s="2"/>
      </tp>
      <tp t="s">
        <v>#N/A N/A</v>
        <stp/>
        <stp>BDP|8687637336965833919</stp>
        <tr r="D1224" s="2"/>
      </tp>
      <tp t="s">
        <v>#N/A N/A</v>
        <stp/>
        <stp>BDP|4865029701443408657</stp>
        <tr r="G3777" s="2"/>
      </tp>
      <tp t="s">
        <v>#N/A N/A</v>
        <stp/>
        <stp>BDP|7122254639706291157</stp>
        <tr r="I481" s="2"/>
      </tp>
      <tp t="s">
        <v>#N/A N/A</v>
        <stp/>
        <stp>BDP|2905458129607824273</stp>
        <tr r="C541" s="2"/>
      </tp>
      <tp t="s">
        <v>#N/A N/A</v>
        <stp/>
        <stp>BDP|5273765479763731709</stp>
        <tr r="C2762" s="2"/>
      </tp>
      <tp t="s">
        <v>#N/A N/A</v>
        <stp/>
        <stp>BDP|1390283840441594748</stp>
        <tr r="A1409" s="2"/>
      </tp>
      <tp t="s">
        <v>#N/A N/A</v>
        <stp/>
        <stp>BDP|6438834635965020983</stp>
        <tr r="F4292" s="2"/>
      </tp>
      <tp t="s">
        <v>#N/A N/A</v>
        <stp/>
        <stp>BDP|1598396917784523645</stp>
        <tr r="D4302" s="2"/>
      </tp>
      <tp t="s">
        <v>#N/A N/A</v>
        <stp/>
        <stp>BDP|5343877993553893651</stp>
        <tr r="G3688" s="2"/>
      </tp>
      <tp t="s">
        <v>#N/A N/A</v>
        <stp/>
        <stp>BDP|1759250428643182315</stp>
        <tr r="D4180" s="2"/>
      </tp>
      <tp t="s">
        <v>#N/A N/A</v>
        <stp/>
        <stp>BDP|1883948791961269151</stp>
        <tr r="B3463" s="2"/>
      </tp>
      <tp t="s">
        <v>#N/A N/A</v>
        <stp/>
        <stp>BDP|8872251703593229860</stp>
        <tr r="H2609" s="2"/>
      </tp>
      <tp t="s">
        <v>#N/A N/A</v>
        <stp/>
        <stp>BDP|2059828951817956901</stp>
        <tr r="H276" s="2"/>
      </tp>
      <tp t="s">
        <v>#N/A N/A</v>
        <stp/>
        <stp>BDP|2956128760513780761</stp>
        <tr r="G1081" s="2"/>
      </tp>
      <tp t="s">
        <v>#N/A N/A</v>
        <stp/>
        <stp>BDP|1566449199579081423</stp>
        <tr r="I597" s="2"/>
      </tp>
      <tp t="s">
        <v>#N/A N/A</v>
        <stp/>
        <stp>BDP|9032921038910731279</stp>
        <tr r="I1879" s="2"/>
      </tp>
      <tp t="s">
        <v>#N/A N/A</v>
        <stp/>
        <stp>BDP|1220046720494511690</stp>
        <tr r="C87" s="2"/>
      </tp>
      <tp t="s">
        <v>#N/A N/A</v>
        <stp/>
        <stp>BDP|3311984967095468822</stp>
        <tr r="C3443" s="2"/>
      </tp>
      <tp t="s">
        <v>#N/A N/A</v>
        <stp/>
        <stp>BDP|2661284703322572326</stp>
        <tr r="B3389" s="2"/>
      </tp>
      <tp t="s">
        <v>#N/A N/A</v>
        <stp/>
        <stp>BDP|2005225649022146701</stp>
        <tr r="F1883" s="2"/>
      </tp>
      <tp t="s">
        <v>#N/A N/A</v>
        <stp/>
        <stp>BDP|5091651531713984277</stp>
        <tr r="D2664" s="2"/>
      </tp>
      <tp t="s">
        <v>#N/A N/A</v>
        <stp/>
        <stp>BDP|6277095084246601930</stp>
        <tr r="G957" s="2"/>
      </tp>
      <tp t="s">
        <v>#N/A N/A</v>
        <stp/>
        <stp>BDP|1743354006194689789</stp>
        <tr r="B804" s="2"/>
      </tp>
      <tp t="s">
        <v>#N/A N/A</v>
        <stp/>
        <stp>BDP|7089021569436191604</stp>
        <tr r="G4666" s="2"/>
      </tp>
      <tp t="s">
        <v>#N/A N/A</v>
        <stp/>
        <stp>BDP|1074184852504004006</stp>
        <tr r="G2677" s="2"/>
      </tp>
      <tp t="s">
        <v>#N/A N/A</v>
        <stp/>
        <stp>BDP|8354706219577818887</stp>
        <tr r="F2512" s="2"/>
      </tp>
      <tp t="s">
        <v>#N/A N/A</v>
        <stp/>
        <stp>BDP|9370380097076649400</stp>
        <tr r="D4095" s="2"/>
      </tp>
      <tp t="s">
        <v>#N/A N/A</v>
        <stp/>
        <stp>BDP|2133017440985260288</stp>
        <tr r="A2359" s="2"/>
      </tp>
      <tp t="s">
        <v>#N/A N/A</v>
        <stp/>
        <stp>BDP|6423399145492591275</stp>
        <tr r="C4864" s="2"/>
      </tp>
      <tp t="s">
        <v>#N/A N/A</v>
        <stp/>
        <stp>BDP|7256995792077651157</stp>
        <tr r="D3261" s="2"/>
      </tp>
      <tp t="s">
        <v>#N/A N/A</v>
        <stp/>
        <stp>BDP|6280208762800395393</stp>
        <tr r="A3801" s="2"/>
      </tp>
      <tp t="s">
        <v>#N/A N/A</v>
        <stp/>
        <stp>BDP|2289994256866435935</stp>
        <tr r="F344" s="2"/>
      </tp>
      <tp t="s">
        <v>#N/A N/A</v>
        <stp/>
        <stp>BDP|8660312830140964941</stp>
        <tr r="H1714" s="2"/>
      </tp>
      <tp t="s">
        <v>#N/A N/A</v>
        <stp/>
        <stp>BDP|5448756443460033787</stp>
        <tr r="D1124" s="2"/>
      </tp>
      <tp t="s">
        <v>#N/A N/A</v>
        <stp/>
        <stp>BDP|3671467463183076394</stp>
        <tr r="G1640" s="2"/>
      </tp>
      <tp t="s">
        <v>#N/A N/A</v>
        <stp/>
        <stp>BDP|3831268708677495781</stp>
        <tr r="G600" s="2"/>
      </tp>
      <tp t="s">
        <v>#N/A N/A</v>
        <stp/>
        <stp>BDP|4691954558681769868</stp>
        <tr r="A2235" s="2"/>
      </tp>
      <tp t="s">
        <v>#N/A N/A</v>
        <stp/>
        <stp>BDP|5013000320522985439</stp>
        <tr r="H437" s="2"/>
      </tp>
      <tp t="s">
        <v>#N/A N/A</v>
        <stp/>
        <stp>BDP|4670397254223601076</stp>
        <tr r="B4301" s="2"/>
      </tp>
      <tp t="s">
        <v>#N/A N/A</v>
        <stp/>
        <stp>BDP|7938223835470226762</stp>
        <tr r="B2196" s="2"/>
      </tp>
      <tp t="s">
        <v>#N/A N/A</v>
        <stp/>
        <stp>BDP|9834833422676525460</stp>
        <tr r="G3572" s="2"/>
      </tp>
      <tp t="s">
        <v>#N/A N/A</v>
        <stp/>
        <stp>BDP|1781819054284855902</stp>
        <tr r="H612" s="2"/>
      </tp>
      <tp t="s">
        <v>#N/A N/A</v>
        <stp/>
        <stp>BDP|5289019159429123813</stp>
        <tr r="C4693" s="2"/>
      </tp>
      <tp t="s">
        <v>#N/A N/A</v>
        <stp/>
        <stp>BDP|4864412313068905893</stp>
        <tr r="B2083" s="2"/>
      </tp>
      <tp t="s">
        <v>#N/A N/A</v>
        <stp/>
        <stp>BDP|5157749110754986664</stp>
        <tr r="D3868" s="2"/>
      </tp>
      <tp t="s">
        <v>#N/A N/A</v>
        <stp/>
        <stp>BDP|1610803680210861041</stp>
        <tr r="H1549" s="2"/>
      </tp>
      <tp t="s">
        <v>#N/A N/A</v>
        <stp/>
        <stp>BDP|9107690570131547872</stp>
        <tr r="H1688" s="2"/>
      </tp>
      <tp t="s">
        <v>#N/A N/A</v>
        <stp/>
        <stp>BDP|4141575827684386688</stp>
        <tr r="D2765" s="2"/>
      </tp>
      <tp t="s">
        <v>#N/A N/A</v>
        <stp/>
        <stp>BDP|7226992503336407964</stp>
        <tr r="I1124" s="2"/>
      </tp>
      <tp t="s">
        <v>#N/A N/A</v>
        <stp/>
        <stp>BDP|4936625456830305648</stp>
        <tr r="B2921" s="2"/>
      </tp>
      <tp t="s">
        <v>#N/A N/A</v>
        <stp/>
        <stp>BDP|9557339691306415498</stp>
        <tr r="B1998" s="2"/>
      </tp>
      <tp t="s">
        <v>#N/A N/A</v>
        <stp/>
        <stp>BDP|6729059716627820169</stp>
        <tr r="F2757" s="2"/>
      </tp>
      <tp t="s">
        <v>#N/A N/A</v>
        <stp/>
        <stp>BDP|6121330428394616266</stp>
        <tr r="H1407" s="2"/>
      </tp>
      <tp t="s">
        <v>#N/A N/A</v>
        <stp/>
        <stp>BDP|5847037386099528538</stp>
        <tr r="G4183" s="2"/>
      </tp>
      <tp t="s">
        <v>#N/A N/A</v>
        <stp/>
        <stp>BDP|6131535744527482192</stp>
        <tr r="H3207" s="2"/>
      </tp>
      <tp t="s">
        <v>#N/A N/A</v>
        <stp/>
        <stp>BDP|8158439288601266435</stp>
        <tr r="A1944" s="2"/>
      </tp>
      <tp t="s">
        <v>#N/A N/A</v>
        <stp/>
        <stp>BDP|5281702819677110514</stp>
        <tr r="A4865" s="2"/>
      </tp>
      <tp t="s">
        <v>#N/A N/A</v>
        <stp/>
        <stp>BDP|3272239328650665246</stp>
        <tr r="C2701" s="2"/>
      </tp>
      <tp t="s">
        <v>#N/A N/A</v>
        <stp/>
        <stp>BDP|4869524284041382962</stp>
        <tr r="I3808" s="2"/>
      </tp>
      <tp t="s">
        <v>#N/A N/A</v>
        <stp/>
        <stp>BDP|2038301259900254506</stp>
        <tr r="C3102" s="2"/>
      </tp>
      <tp t="s">
        <v>#N/A N/A</v>
        <stp/>
        <stp>BDP|5882906610864546869</stp>
        <tr r="C3021" s="2"/>
      </tp>
      <tp t="s">
        <v>#N/A N/A</v>
        <stp/>
        <stp>BDP|3084050476126867304</stp>
        <tr r="D3896" s="2"/>
      </tp>
      <tp t="s">
        <v>#N/A N/A</v>
        <stp/>
        <stp>BDP|1882413332257535051</stp>
        <tr r="I1293" s="2"/>
      </tp>
      <tp t="s">
        <v>#N/A N/A</v>
        <stp/>
        <stp>BDP|7440492766816867283</stp>
        <tr r="C4455" s="2"/>
      </tp>
      <tp t="s">
        <v>#N/A N/A</v>
        <stp/>
        <stp>BDP|6780460116023410182</stp>
        <tr r="B3148" s="2"/>
      </tp>
      <tp t="s">
        <v>#N/A N/A</v>
        <stp/>
        <stp>BDP|4572428868406686128</stp>
        <tr r="I1705" s="2"/>
      </tp>
      <tp t="s">
        <v>#N/A N/A</v>
        <stp/>
        <stp>BDP|2551541240585833729</stp>
        <tr r="B182" s="2"/>
      </tp>
      <tp t="s">
        <v>#N/A N/A</v>
        <stp/>
        <stp>BDP|8929394778848218515</stp>
        <tr r="C3140" s="2"/>
      </tp>
      <tp t="s">
        <v>#N/A N/A</v>
        <stp/>
        <stp>BDP|8154929212368939936</stp>
        <tr r="B4844" s="2"/>
      </tp>
      <tp t="s">
        <v>#N/A N/A</v>
        <stp/>
        <stp>BDP|5299776609476632512</stp>
        <tr r="F1613" s="2"/>
      </tp>
      <tp t="s">
        <v>#N/A N/A</v>
        <stp/>
        <stp>BDP|1439542164901673295</stp>
        <tr r="H2272" s="2"/>
      </tp>
      <tp t="s">
        <v>#N/A N/A</v>
        <stp/>
        <stp>BDP|2181315670767371080</stp>
        <tr r="A3773" s="2"/>
      </tp>
      <tp t="s">
        <v>#N/A N/A</v>
        <stp/>
        <stp>BDP|2020449156712974007</stp>
        <tr r="A3596" s="2"/>
      </tp>
      <tp t="s">
        <v>#N/A N/A</v>
        <stp/>
        <stp>BDP|6031485379951313592</stp>
        <tr r="I3515" s="2"/>
      </tp>
      <tp t="s">
        <v>#N/A N/A</v>
        <stp/>
        <stp>BDP|3958952715912138831</stp>
        <tr r="G3655" s="2"/>
      </tp>
      <tp t="s">
        <v>#N/A N/A</v>
        <stp/>
        <stp>BDP|2346515488808665673</stp>
        <tr r="I2610" s="2"/>
      </tp>
      <tp t="s">
        <v>#N/A N/A</v>
        <stp/>
        <stp>BDP|5790438662266471098</stp>
        <tr r="A3059" s="2"/>
      </tp>
      <tp t="s">
        <v>#N/A N/A</v>
        <stp/>
        <stp>BDP|6792183091208771723</stp>
        <tr r="G2855" s="2"/>
      </tp>
      <tp t="s">
        <v>#N/A N/A</v>
        <stp/>
        <stp>BDP|9493524083387946276</stp>
        <tr r="D60" s="2"/>
      </tp>
      <tp t="s">
        <v>#N/A N/A</v>
        <stp/>
        <stp>BDP|9827727164409090057</stp>
        <tr r="F2509" s="2"/>
      </tp>
      <tp t="s">
        <v>#N/A N/A</v>
        <stp/>
        <stp>BDP|3754253608626770668</stp>
        <tr r="B140" s="2"/>
      </tp>
      <tp t="s">
        <v>#N/A N/A</v>
        <stp/>
        <stp>BDP|6858642615880424062</stp>
        <tr r="A3820" s="2"/>
      </tp>
      <tp t="s">
        <v>#N/A N/A</v>
        <stp/>
        <stp>BDP|2005433718287165118</stp>
        <tr r="D881" s="2"/>
      </tp>
      <tp t="s">
        <v>#N/A N/A</v>
        <stp/>
        <stp>BDP|1937230532364076539</stp>
        <tr r="F1866" s="2"/>
      </tp>
      <tp t="s">
        <v>#N/A N/A</v>
        <stp/>
        <stp>BDP|5947336848850034397</stp>
        <tr r="B3310" s="2"/>
      </tp>
      <tp t="s">
        <v>#N/A N/A</v>
        <stp/>
        <stp>BDP|7078084420914453071</stp>
        <tr r="B1415" s="2"/>
      </tp>
      <tp t="s">
        <v>#N/A N/A</v>
        <stp/>
        <stp>BDP|4321496971463385536</stp>
        <tr r="B867" s="2"/>
      </tp>
      <tp t="s">
        <v>#N/A N/A</v>
        <stp/>
        <stp>BDP|3016689779541941238</stp>
        <tr r="B844" s="2"/>
      </tp>
      <tp t="s">
        <v>#N/A N/A</v>
        <stp/>
        <stp>BDP|6324089787647381844</stp>
        <tr r="B4628" s="2"/>
      </tp>
      <tp t="s">
        <v>#N/A N/A</v>
        <stp/>
        <stp>BDP|4643687644982894592</stp>
        <tr r="B2004" s="2"/>
      </tp>
      <tp t="s">
        <v>#N/A N/A</v>
        <stp/>
        <stp>BDP|5642097777586238515</stp>
        <tr r="D563" s="2"/>
      </tp>
      <tp t="s">
        <v>#N/A N/A</v>
        <stp/>
        <stp>BDP|8061431952590912833</stp>
        <tr r="G4235" s="2"/>
      </tp>
      <tp t="s">
        <v>#N/A N/A</v>
        <stp/>
        <stp>BDP|5768524954644311096</stp>
        <tr r="C2832" s="2"/>
      </tp>
      <tp t="s">
        <v>#N/A N/A</v>
        <stp/>
        <stp>BDP|2962249432605683722</stp>
        <tr r="H2770" s="2"/>
      </tp>
      <tp t="s">
        <v>#N/A N/A</v>
        <stp/>
        <stp>BDP|7432448469533445769</stp>
        <tr r="I535" s="2"/>
      </tp>
      <tp t="s">
        <v>#N/A N/A</v>
        <stp/>
        <stp>BDP|9144075374649863612</stp>
        <tr r="I3976" s="2"/>
      </tp>
      <tp t="s">
        <v>#N/A N/A</v>
        <stp/>
        <stp>BDP|6410730113263616291</stp>
        <tr r="C2005" s="2"/>
      </tp>
      <tp t="s">
        <v>#N/A N/A</v>
        <stp/>
        <stp>BDP|1828502254674643411</stp>
        <tr r="D4483" s="2"/>
      </tp>
      <tp t="s">
        <v>#N/A N/A</v>
        <stp/>
        <stp>BDP|2912177215391737275</stp>
        <tr r="B4148" s="2"/>
      </tp>
      <tp t="s">
        <v>#N/A N/A</v>
        <stp/>
        <stp>BDP|9215423980656226295</stp>
        <tr r="H2602" s="2"/>
      </tp>
      <tp t="s">
        <v>#N/A N/A</v>
        <stp/>
        <stp>BDP|7420426726950289096</stp>
        <tr r="F203" s="2"/>
      </tp>
      <tp t="s">
        <v>#N/A N/A</v>
        <stp/>
        <stp>BDP|3764882492936183577</stp>
        <tr r="F318" s="2"/>
      </tp>
      <tp t="s">
        <v>#N/A N/A</v>
        <stp/>
        <stp>BDP|4267119375911874253</stp>
        <tr r="C4681" s="2"/>
      </tp>
      <tp t="s">
        <v>#N/A N/A</v>
        <stp/>
        <stp>BDP|1890467432585500229</stp>
        <tr r="C2733" s="2"/>
      </tp>
      <tp t="s">
        <v>#N/A N/A</v>
        <stp/>
        <stp>BDP|2823062735616648660</stp>
        <tr r="G1694" s="2"/>
      </tp>
      <tp t="s">
        <v>#N/A N/A</v>
        <stp/>
        <stp>BDP|9173053768388454630</stp>
        <tr r="C2002" s="2"/>
      </tp>
      <tp t="s">
        <v>#N/A N/A</v>
        <stp/>
        <stp>BDP|1287738390026254880</stp>
        <tr r="D3902" s="2"/>
      </tp>
      <tp t="s">
        <v>#N/A N/A</v>
        <stp/>
        <stp>BDP|4700031979124109675</stp>
        <tr r="B2771" s="2"/>
      </tp>
      <tp t="s">
        <v>#N/A N/A</v>
        <stp/>
        <stp>BDP|4745291475530261023</stp>
        <tr r="I791" s="2"/>
      </tp>
      <tp t="s">
        <v>#N/A N/A</v>
        <stp/>
        <stp>BDP|4818241459085658780</stp>
        <tr r="I3169" s="2"/>
      </tp>
      <tp t="s">
        <v>#N/A N/A</v>
        <stp/>
        <stp>BDP|3304179343905540290</stp>
        <tr r="C3875" s="2"/>
      </tp>
      <tp t="s">
        <v>#N/A N/A</v>
        <stp/>
        <stp>BDP|5912379915151152718</stp>
        <tr r="A2466" s="2"/>
      </tp>
      <tp t="s">
        <v>#N/A N/A</v>
        <stp/>
        <stp>BDP|8335121481746829633</stp>
        <tr r="B255" s="2"/>
      </tp>
      <tp t="s">
        <v>#N/A N/A</v>
        <stp/>
        <stp>BDP|5625734948101673604</stp>
        <tr r="G994" s="2"/>
      </tp>
      <tp t="s">
        <v>#N/A N/A</v>
        <stp/>
        <stp>BDP|4362536729137342512</stp>
        <tr r="H4049" s="2"/>
      </tp>
      <tp t="s">
        <v>#N/A N/A</v>
        <stp/>
        <stp>BDP|2198280765666019179</stp>
        <tr r="D1780" s="2"/>
      </tp>
      <tp t="s">
        <v>#N/A N/A</v>
        <stp/>
        <stp>BDP|8253803730372963004</stp>
        <tr r="F2444" s="2"/>
      </tp>
      <tp t="s">
        <v>#N/A N/A</v>
        <stp/>
        <stp>BDP|2116420359011075311</stp>
        <tr r="I4297" s="2"/>
      </tp>
      <tp t="s">
        <v>#N/A N/A</v>
        <stp/>
        <stp>BDP|9872114501761070834</stp>
        <tr r="G2246" s="2"/>
      </tp>
      <tp t="s">
        <v>#N/A N/A</v>
        <stp/>
        <stp>BDP|4904408961375082234</stp>
        <tr r="H3137" s="2"/>
      </tp>
      <tp t="s">
        <v>#N/A N/A</v>
        <stp/>
        <stp>BDP|2086112278896664343</stp>
        <tr r="B2823" s="2"/>
      </tp>
      <tp t="s">
        <v>#N/A N/A</v>
        <stp/>
        <stp>BDP|1407071459395550040</stp>
        <tr r="B3998" s="2"/>
      </tp>
      <tp t="s">
        <v>#N/A N/A</v>
        <stp/>
        <stp>BDP|9256939431306918429</stp>
        <tr r="C4859" s="2"/>
      </tp>
      <tp t="s">
        <v>#N/A N/A</v>
        <stp/>
        <stp>BDP|4847108406660792425</stp>
        <tr r="H2460" s="2"/>
      </tp>
      <tp t="s">
        <v>#N/A N/A</v>
        <stp/>
        <stp>BDP|6475006408500730701</stp>
        <tr r="D280" s="2"/>
      </tp>
      <tp t="s">
        <v>#N/A N/A</v>
        <stp/>
        <stp>BDP|7299888367891661909</stp>
        <tr r="B572" s="2"/>
      </tp>
      <tp t="s">
        <v>#N/A N/A</v>
        <stp/>
        <stp>BDP|4646095723041536624</stp>
        <tr r="B1989" s="2"/>
      </tp>
      <tp t="s">
        <v>#N/A N/A</v>
        <stp/>
        <stp>BDP|2799323506950120097</stp>
        <tr r="I2488" s="2"/>
      </tp>
      <tp t="s">
        <v>#N/A N/A</v>
        <stp/>
        <stp>BDP|5852031271123968085</stp>
        <tr r="I468" s="2"/>
      </tp>
      <tp t="s">
        <v>#N/A N/A</v>
        <stp/>
        <stp>BDP|5201956986353216682</stp>
        <tr r="C2436" s="2"/>
      </tp>
      <tp t="s">
        <v>#N/A N/A</v>
        <stp/>
        <stp>BDP|4982544720315203776</stp>
        <tr r="F1439" s="2"/>
      </tp>
      <tp t="s">
        <v>#N/A N/A</v>
        <stp/>
        <stp>BDP|6912704275975245261</stp>
        <tr r="F4848" s="2"/>
      </tp>
      <tp t="s">
        <v>#N/A N/A</v>
        <stp/>
        <stp>BDP|1119185663775232209</stp>
        <tr r="I2299" s="2"/>
      </tp>
      <tp t="s">
        <v>#N/A N/A</v>
        <stp/>
        <stp>BDP|5423288874935238428</stp>
        <tr r="G1454" s="2"/>
      </tp>
      <tp t="s">
        <v>#N/A N/A</v>
        <stp/>
        <stp>BDP|5140674880183689981</stp>
        <tr r="A2045" s="2"/>
      </tp>
      <tp t="s">
        <v>#N/A N/A</v>
        <stp/>
        <stp>BDP|6066972173841948850</stp>
        <tr r="B1050" s="2"/>
      </tp>
      <tp t="s">
        <v>#N/A N/A</v>
        <stp/>
        <stp>BDP|4176294682206395913</stp>
        <tr r="G4501" s="2"/>
      </tp>
      <tp t="s">
        <v>#N/A N/A</v>
        <stp/>
        <stp>BDP|2832665943999114845</stp>
        <tr r="C3508" s="2"/>
      </tp>
      <tp t="s">
        <v>#N/A N/A</v>
        <stp/>
        <stp>BDP|5195457377541955625</stp>
        <tr r="I2929" s="2"/>
      </tp>
      <tp t="s">
        <v>#N/A N/A</v>
        <stp/>
        <stp>BDP|7743092444785737759</stp>
        <tr r="F1441" s="2"/>
      </tp>
      <tp t="s">
        <v>#N/A N/A</v>
        <stp/>
        <stp>BDP|2617528413937689093</stp>
        <tr r="B3715" s="2"/>
      </tp>
      <tp t="s">
        <v>#N/A N/A</v>
        <stp/>
        <stp>BDP|5975701938860173082</stp>
        <tr r="H4043" s="2"/>
      </tp>
      <tp t="s">
        <v>#N/A N/A</v>
        <stp/>
        <stp>BDP|8048876035047208588</stp>
        <tr r="C1292" s="2"/>
      </tp>
      <tp t="s">
        <v>#N/A N/A</v>
        <stp/>
        <stp>BDP|6912070727870830590</stp>
        <tr r="F1496" s="2"/>
      </tp>
      <tp t="s">
        <v>#N/A N/A</v>
        <stp/>
        <stp>BDP|4445703775934902104</stp>
        <tr r="F42" s="2"/>
      </tp>
      <tp t="s">
        <v>#N/A N/A</v>
        <stp/>
        <stp>BDP|7953489840956066099</stp>
        <tr r="A4367" s="2"/>
      </tp>
      <tp t="s">
        <v>#N/A N/A</v>
        <stp/>
        <stp>BDP|8261300595900612393</stp>
        <tr r="G3336" s="2"/>
      </tp>
      <tp t="s">
        <v>#N/A N/A</v>
        <stp/>
        <stp>BDP|7892363366001800287</stp>
        <tr r="G3529" s="2"/>
      </tp>
      <tp t="s">
        <v>#N/A N/A</v>
        <stp/>
        <stp>BDP|7289281100230534475</stp>
        <tr r="G1796" s="2"/>
      </tp>
      <tp t="s">
        <v>#N/A N/A</v>
        <stp/>
        <stp>BDP|7983802774381215875</stp>
        <tr r="C2930" s="2"/>
      </tp>
      <tp t="s">
        <v>#N/A N/A</v>
        <stp/>
        <stp>BDP|3892073319802867168</stp>
        <tr r="D1779" s="2"/>
      </tp>
      <tp t="s">
        <v>#N/A N/A</v>
        <stp/>
        <stp>BDP|6650128521730574481</stp>
        <tr r="H3923" s="2"/>
      </tp>
      <tp t="s">
        <v>#N/A N/A</v>
        <stp/>
        <stp>BDP|8755688297386516053</stp>
        <tr r="B2389" s="2"/>
      </tp>
      <tp t="s">
        <v>#N/A N/A</v>
        <stp/>
        <stp>BDP|6984757666732524475</stp>
        <tr r="I2280" s="2"/>
      </tp>
      <tp t="s">
        <v>#N/A N/A</v>
        <stp/>
        <stp>BDP|8336274366319331498</stp>
        <tr r="H2862" s="2"/>
      </tp>
      <tp t="s">
        <v>#N/A N/A</v>
        <stp/>
        <stp>BDP|9511733496640186693</stp>
        <tr r="F4030" s="2"/>
      </tp>
      <tp t="s">
        <v>#N/A N/A</v>
        <stp/>
        <stp>BDP|2273471550396482492</stp>
        <tr r="B2428" s="2"/>
      </tp>
      <tp t="s">
        <v>#N/A N/A</v>
        <stp/>
        <stp>BDP|4746944662799096391</stp>
        <tr r="F3868" s="2"/>
      </tp>
      <tp t="s">
        <v>#N/A N/A</v>
        <stp/>
        <stp>BDP|1920133471781789740</stp>
        <tr r="D4777" s="2"/>
      </tp>
      <tp t="s">
        <v>#N/A N/A</v>
        <stp/>
        <stp>BDP|3508189411644538612</stp>
        <tr r="H927" s="2"/>
      </tp>
      <tp t="s">
        <v>#N/A N/A</v>
        <stp/>
        <stp>BDP|4822660851095281354</stp>
        <tr r="B3698" s="2"/>
      </tp>
      <tp t="s">
        <v>#N/A N/A</v>
        <stp/>
        <stp>BDP|8840969542226459204</stp>
        <tr r="G2817" s="2"/>
      </tp>
      <tp t="s">
        <v>#N/A N/A</v>
        <stp/>
        <stp>BDP|8428389026458492068</stp>
        <tr r="I3549" s="2"/>
      </tp>
      <tp t="s">
        <v>#N/A N/A</v>
        <stp/>
        <stp>BDP|5848608609565842713</stp>
        <tr r="B1319" s="2"/>
      </tp>
      <tp t="s">
        <v>#N/A N/A</v>
        <stp/>
        <stp>BDP|3043169589209471239</stp>
        <tr r="A15" s="2"/>
      </tp>
      <tp t="s">
        <v>#N/A N/A</v>
        <stp/>
        <stp>BDP|4075193095865252868</stp>
        <tr r="F3242" s="2"/>
      </tp>
      <tp t="s">
        <v>#N/A N/A</v>
        <stp/>
        <stp>BDP|5876015825097018142</stp>
        <tr r="H3609" s="2"/>
      </tp>
      <tp t="s">
        <v>#N/A N/A</v>
        <stp/>
        <stp>BDP|2998711012011200409</stp>
        <tr r="B4110" s="2"/>
      </tp>
      <tp t="s">
        <v>#N/A N/A</v>
        <stp/>
        <stp>BDP|5311526539620291228</stp>
        <tr r="I38" s="2"/>
      </tp>
      <tp t="s">
        <v>#N/A N/A</v>
        <stp/>
        <stp>BDP|1201540509263671615</stp>
        <tr r="C3439" s="2"/>
      </tp>
      <tp t="s">
        <v>#N/A N/A</v>
        <stp/>
        <stp>BDP|7313755066685903212</stp>
        <tr r="D1979" s="2"/>
      </tp>
      <tp t="s">
        <v>#N/A N/A</v>
        <stp/>
        <stp>BDP|1607360439781771160</stp>
        <tr r="I3443" s="2"/>
      </tp>
      <tp t="s">
        <v>#N/A N/A</v>
        <stp/>
        <stp>BDP|8411449398530680466</stp>
        <tr r="H3749" s="2"/>
      </tp>
      <tp t="s">
        <v>#N/A N/A</v>
        <stp/>
        <stp>BDP|7167422562796146284</stp>
        <tr r="H1183" s="2"/>
      </tp>
      <tp t="s">
        <v>#N/A N/A</v>
        <stp/>
        <stp>BDP|7855677444912718649</stp>
        <tr r="H1259" s="2"/>
      </tp>
      <tp t="s">
        <v>#N/A N/A</v>
        <stp/>
        <stp>BDP|3399670453940760185</stp>
        <tr r="B548" s="2"/>
      </tp>
      <tp t="s">
        <v>#N/A N/A</v>
        <stp/>
        <stp>BDP|3524031234684847522</stp>
        <tr r="B2331" s="2"/>
      </tp>
      <tp t="s">
        <v>#N/A N/A</v>
        <stp/>
        <stp>BDP|2001899901839731271</stp>
        <tr r="B2756" s="2"/>
      </tp>
      <tp t="s">
        <v>#N/A N/A</v>
        <stp/>
        <stp>BDP|5971840894721432451</stp>
        <tr r="F4793" s="2"/>
      </tp>
      <tp t="s">
        <v>#N/A N/A</v>
        <stp/>
        <stp>BDP|9802220984037712514</stp>
        <tr r="A212" s="2"/>
      </tp>
      <tp t="s">
        <v>#N/A N/A</v>
        <stp/>
        <stp>BDP|9227872632157748481</stp>
        <tr r="G1364" s="2"/>
      </tp>
      <tp t="s">
        <v>#N/A N/A</v>
        <stp/>
        <stp>BDP|8872682698744738275</stp>
        <tr r="A1602" s="2"/>
      </tp>
      <tp t="s">
        <v>#N/A N/A</v>
        <stp/>
        <stp>BDP|6777791841325564127</stp>
        <tr r="B2314" s="2"/>
      </tp>
      <tp t="s">
        <v>#N/A N/A</v>
        <stp/>
        <stp>BDP|5509100468645142646</stp>
        <tr r="I3075" s="2"/>
      </tp>
      <tp t="s">
        <v>#N/A N/A</v>
        <stp/>
        <stp>BDP|6219384940401314117</stp>
        <tr r="F3410" s="2"/>
      </tp>
      <tp t="s">
        <v>#N/A N/A</v>
        <stp/>
        <stp>BDP|7444391131003610523</stp>
        <tr r="A4317" s="2"/>
      </tp>
      <tp t="s">
        <v>#N/A N/A</v>
        <stp/>
        <stp>BDP|1214393138970844038</stp>
        <tr r="G2132" s="2"/>
      </tp>
      <tp t="s">
        <v>#N/A N/A</v>
        <stp/>
        <stp>BDP|7647504968101019467</stp>
        <tr r="H4140" s="2"/>
      </tp>
      <tp t="s">
        <v>#N/A N/A</v>
        <stp/>
        <stp>BDP|2218437688289744667</stp>
        <tr r="H2219" s="2"/>
      </tp>
      <tp t="s">
        <v>#N/A N/A</v>
        <stp/>
        <stp>BDP|2978256319382541281</stp>
        <tr r="C1061" s="2"/>
      </tp>
      <tp t="s">
        <v>#N/A N/A</v>
        <stp/>
        <stp>BDP|1627536765782803104</stp>
        <tr r="I3528" s="2"/>
      </tp>
      <tp t="s">
        <v>#N/A N/A</v>
        <stp/>
        <stp>BDP|1246670605722066483</stp>
        <tr r="C4464" s="2"/>
      </tp>
      <tp t="s">
        <v>#N/A N/A</v>
        <stp/>
        <stp>BDP|8113345563398838462</stp>
        <tr r="A2452" s="2"/>
      </tp>
      <tp t="s">
        <v>#N/A N/A</v>
        <stp/>
        <stp>BDP|4862427834553752117</stp>
        <tr r="D3981" s="2"/>
      </tp>
      <tp t="s">
        <v>#N/A N/A</v>
        <stp/>
        <stp>BDP|9228356178724605815</stp>
        <tr r="I4209" s="2"/>
      </tp>
      <tp t="s">
        <v>#N/A N/A</v>
        <stp/>
        <stp>BDP|1347784393149978790</stp>
        <tr r="D985" s="2"/>
      </tp>
      <tp t="s">
        <v>#N/A N/A</v>
        <stp/>
        <stp>BDP|2879049574970563457</stp>
        <tr r="G4418" s="2"/>
      </tp>
      <tp t="s">
        <v>#N/A N/A</v>
        <stp/>
        <stp>BDP|6262312542974015485</stp>
        <tr r="A2382" s="2"/>
      </tp>
      <tp t="s">
        <v>#N/A N/A</v>
        <stp/>
        <stp>BDP|6443612507243295294</stp>
        <tr r="I2469" s="2"/>
      </tp>
      <tp t="s">
        <v>#N/A N/A</v>
        <stp/>
        <stp>BDP|2790468158543945199</stp>
        <tr r="H3529" s="2"/>
      </tp>
      <tp t="s">
        <v>#N/A N/A</v>
        <stp/>
        <stp>BDP|5166409476204821366</stp>
        <tr r="F1708" s="2"/>
      </tp>
      <tp t="s">
        <v>#N/A N/A</v>
        <stp/>
        <stp>BDP|1927122224404098764</stp>
        <tr r="G4382" s="2"/>
      </tp>
      <tp t="s">
        <v>#N/A N/A</v>
        <stp/>
        <stp>BDP|7273440808946172460</stp>
        <tr r="F1505" s="2"/>
      </tp>
      <tp t="s">
        <v>#N/A N/A</v>
        <stp/>
        <stp>BDP|6009196266856360651</stp>
        <tr r="F1368" s="2"/>
      </tp>
      <tp t="s">
        <v>#N/A N/A</v>
        <stp/>
        <stp>BDP|1200925082936906724</stp>
        <tr r="B4805" s="2"/>
      </tp>
      <tp t="s">
        <v>#N/A N/A</v>
        <stp/>
        <stp>BDP|5481391994686145813</stp>
        <tr r="C4202" s="2"/>
      </tp>
      <tp t="s">
        <v>#N/A N/A</v>
        <stp/>
        <stp>BDP|7791327738824184256</stp>
        <tr r="I2237" s="2"/>
      </tp>
      <tp t="s">
        <v>#N/A N/A</v>
        <stp/>
        <stp>BDP|9245830698829244023</stp>
        <tr r="C1001" s="2"/>
      </tp>
      <tp t="s">
        <v>#N/A N/A</v>
        <stp/>
        <stp>BDP|9618202899176712518</stp>
        <tr r="B4672" s="2"/>
      </tp>
      <tp t="s">
        <v>#N/A N/A</v>
        <stp/>
        <stp>BDP|2986102251150722762</stp>
        <tr r="A4556" s="2"/>
      </tp>
      <tp t="s">
        <v>#N/A N/A</v>
        <stp/>
        <stp>BDP|8473208648216417917</stp>
        <tr r="B4411" s="2"/>
      </tp>
      <tp t="s">
        <v>#N/A N/A</v>
        <stp/>
        <stp>BDP|4839471623307735429</stp>
        <tr r="F4551" s="2"/>
      </tp>
      <tp t="s">
        <v>#N/A N/A</v>
        <stp/>
        <stp>BDP|6638389101616742213</stp>
        <tr r="C799" s="2"/>
      </tp>
      <tp t="s">
        <v>#N/A N/A</v>
        <stp/>
        <stp>BDP|9683703971988910079</stp>
        <tr r="F1341" s="2"/>
      </tp>
      <tp t="s">
        <v>#N/A N/A</v>
        <stp/>
        <stp>BDP|7615139068053673225</stp>
        <tr r="B1035" s="2"/>
      </tp>
      <tp t="s">
        <v>#N/A N/A</v>
        <stp/>
        <stp>BDP|7025790738872109090</stp>
        <tr r="D3277" s="2"/>
      </tp>
      <tp t="s">
        <v>#N/A N/A</v>
        <stp/>
        <stp>BDP|3942503561087391624</stp>
        <tr r="C3397" s="2"/>
      </tp>
      <tp t="s">
        <v>#N/A N/A</v>
        <stp/>
        <stp>BDP|8033003624338508389</stp>
        <tr r="H2118" s="2"/>
      </tp>
      <tp t="s">
        <v>#N/A N/A</v>
        <stp/>
        <stp>BDP|2699700410956890373</stp>
        <tr r="D2697" s="2"/>
      </tp>
      <tp t="s">
        <v>#N/A N/A</v>
        <stp/>
        <stp>BDP|6185892102096674957</stp>
        <tr r="H2159" s="2"/>
      </tp>
      <tp t="s">
        <v>#N/A N/A</v>
        <stp/>
        <stp>BDP|9136638089756146035</stp>
        <tr r="A3813" s="2"/>
      </tp>
      <tp t="s">
        <v>#N/A N/A</v>
        <stp/>
        <stp>BDP|8011909784139863152</stp>
        <tr r="A2197" s="2"/>
      </tp>
      <tp t="s">
        <v>#N/A N/A</v>
        <stp/>
        <stp>BDP|6593634338637423534</stp>
        <tr r="F2484" s="2"/>
      </tp>
      <tp t="s">
        <v>#N/A N/A</v>
        <stp/>
        <stp>BDP|2482301048913741729</stp>
        <tr r="I2158" s="2"/>
      </tp>
      <tp t="s">
        <v>#N/A N/A</v>
        <stp/>
        <stp>BDP|7301878199964555319</stp>
        <tr r="B1907" s="2"/>
      </tp>
      <tp t="s">
        <v>#N/A N/A</v>
        <stp/>
        <stp>BDP|2808599816313669481</stp>
        <tr r="H4125" s="2"/>
      </tp>
      <tp t="s">
        <v>#N/A N/A</v>
        <stp/>
        <stp>BDP|1273393217103005159</stp>
        <tr r="H1972" s="2"/>
      </tp>
      <tp t="s">
        <v>#N/A N/A</v>
        <stp/>
        <stp>BDP|3132779155644333493</stp>
        <tr r="I2187" s="2"/>
      </tp>
      <tp t="s">
        <v>#N/A N/A</v>
        <stp/>
        <stp>BDP|6186296955688167852</stp>
        <tr r="A3525" s="2"/>
      </tp>
      <tp t="s">
        <v>#N/A N/A</v>
        <stp/>
        <stp>BDP|2311077907882971135</stp>
        <tr r="H4915" s="2"/>
      </tp>
      <tp t="s">
        <v>#N/A N/A</v>
        <stp/>
        <stp>BDP|7912102486929737615</stp>
        <tr r="I2436" s="2"/>
      </tp>
      <tp t="s">
        <v>#N/A N/A</v>
        <stp/>
        <stp>BDP|7041278421980810678</stp>
        <tr r="A1606" s="2"/>
      </tp>
      <tp t="s">
        <v>#N/A N/A</v>
        <stp/>
        <stp>BDP|4204556658037000269</stp>
        <tr r="A1320" s="2"/>
      </tp>
      <tp t="s">
        <v>#N/A N/A</v>
        <stp/>
        <stp>BDP|9426997746362395710</stp>
        <tr r="I3043" s="2"/>
      </tp>
      <tp t="s">
        <v>#N/A N/A</v>
        <stp/>
        <stp>BDP|2275777608896569211</stp>
        <tr r="B4995" s="2"/>
      </tp>
      <tp t="s">
        <v>#N/A N/A</v>
        <stp/>
        <stp>BDP|6883972230614353956</stp>
        <tr r="C3521" s="2"/>
      </tp>
      <tp t="s">
        <v>#N/A N/A</v>
        <stp/>
        <stp>BDP|4139260457903810114</stp>
        <tr r="I2831" s="2"/>
      </tp>
      <tp t="s">
        <v>#N/A N/A</v>
        <stp/>
        <stp>BDP|8019743139404195950</stp>
        <tr r="F2283" s="2"/>
      </tp>
      <tp t="s">
        <v>#N/A N/A</v>
        <stp/>
        <stp>BDP|4149298663972337319</stp>
        <tr r="B678" s="2"/>
      </tp>
      <tp t="s">
        <v>#N/A N/A</v>
        <stp/>
        <stp>BDP|4637132928227256169</stp>
        <tr r="A3564" s="2"/>
      </tp>
      <tp t="s">
        <v>#N/A N/A</v>
        <stp/>
        <stp>BDP|3953630438216982121</stp>
        <tr r="A936" s="2"/>
      </tp>
      <tp t="s">
        <v>#N/A N/A</v>
        <stp/>
        <stp>BDP|1783390703176446503</stp>
        <tr r="C1804" s="2"/>
      </tp>
      <tp t="s">
        <v>#N/A N/A</v>
        <stp/>
        <stp>BDP|4980049090519782532</stp>
        <tr r="A3993" s="2"/>
      </tp>
      <tp t="s">
        <v>#N/A N/A</v>
        <stp/>
        <stp>BDP|3567411635044099180</stp>
        <tr r="D2241" s="2"/>
      </tp>
      <tp t="s">
        <v>#N/A N/A</v>
        <stp/>
        <stp>BDP|6879225956072689234</stp>
        <tr r="I3589" s="2"/>
      </tp>
      <tp t="s">
        <v>#N/A N/A</v>
        <stp/>
        <stp>BDP|6956169428194704093</stp>
        <tr r="B4581" s="2"/>
      </tp>
      <tp t="s">
        <v>#N/A N/A</v>
        <stp/>
        <stp>BDP|2445374949970463471</stp>
        <tr r="A4008" s="2"/>
      </tp>
      <tp t="s">
        <v>#N/A N/A</v>
        <stp/>
        <stp>BDP|7918293367154647689</stp>
        <tr r="B2337" s="2"/>
      </tp>
      <tp t="s">
        <v>#N/A N/A</v>
        <stp/>
        <stp>BDP|9898037688165381599</stp>
        <tr r="A4310" s="2"/>
      </tp>
      <tp t="s">
        <v>#N/A N/A</v>
        <stp/>
        <stp>BDP|2428456075893985345</stp>
        <tr r="D4545" s="2"/>
      </tp>
      <tp t="s">
        <v>#N/A N/A</v>
        <stp/>
        <stp>BDP|1202045333736537590</stp>
        <tr r="A3987" s="2"/>
      </tp>
      <tp t="s">
        <v>#N/A N/A</v>
        <stp/>
        <stp>BDP|1351015708375470575</stp>
        <tr r="I1110" s="2"/>
      </tp>
      <tp t="s">
        <v>#N/A N/A</v>
        <stp/>
        <stp>BDP|1296978529509341261</stp>
        <tr r="A823" s="2"/>
      </tp>
      <tp t="s">
        <v>#N/A N/A</v>
        <stp/>
        <stp>BDP|2437183212622574121</stp>
        <tr r="C1930" s="2"/>
      </tp>
      <tp t="s">
        <v>#N/A N/A</v>
        <stp/>
        <stp>BDP|8679224093430936274</stp>
        <tr r="A4408" s="2"/>
      </tp>
      <tp t="s">
        <v>#N/A N/A</v>
        <stp/>
        <stp>BDP|9165377388073414033</stp>
        <tr r="A2633" s="2"/>
      </tp>
      <tp t="s">
        <v>#N/A N/A</v>
        <stp/>
        <stp>BDP|5497635526907815707</stp>
        <tr r="G3816" s="2"/>
      </tp>
      <tp t="s">
        <v>#N/A N/A</v>
        <stp/>
        <stp>BDP|1224115853765172185</stp>
        <tr r="C2883" s="2"/>
      </tp>
      <tp t="s">
        <v>#N/A N/A</v>
        <stp/>
        <stp>BDP|6814172465431128127</stp>
        <tr r="H668" s="2"/>
      </tp>
      <tp t="s">
        <v>#N/A N/A</v>
        <stp/>
        <stp>BDP|7427647076706612196</stp>
        <tr r="D1453" s="2"/>
      </tp>
      <tp t="s">
        <v>#N/A N/A</v>
        <stp/>
        <stp>BDP|1340756779407520731</stp>
        <tr r="F2654" s="2"/>
      </tp>
      <tp t="s">
        <v>#N/A N/A</v>
        <stp/>
        <stp>BDP|3239039515631888251</stp>
        <tr r="H4685" s="2"/>
      </tp>
      <tp t="s">
        <v>#N/A N/A</v>
        <stp/>
        <stp>BDP|4801093492025349992</stp>
        <tr r="A3225" s="2"/>
      </tp>
      <tp t="s">
        <v>#N/A N/A</v>
        <stp/>
        <stp>BDP|6114930510376909927</stp>
        <tr r="G1332" s="2"/>
      </tp>
      <tp t="s">
        <v>#N/A N/A</v>
        <stp/>
        <stp>BDP|6788864699935282338</stp>
        <tr r="D1406" s="2"/>
      </tp>
      <tp t="s">
        <v>#N/A N/A</v>
        <stp/>
        <stp>BDP|8971108757379700408</stp>
        <tr r="D1175" s="2"/>
      </tp>
      <tp t="s">
        <v>#N/A N/A</v>
        <stp/>
        <stp>BDP|1892335157214790223</stp>
        <tr r="G2685" s="2"/>
      </tp>
      <tp t="s">
        <v>#N/A N/A</v>
        <stp/>
        <stp>BDP|9248138691525141589</stp>
        <tr r="D2577" s="2"/>
      </tp>
      <tp t="s">
        <v>#N/A N/A</v>
        <stp/>
        <stp>BDP|2801823354587234951</stp>
        <tr r="A4514" s="2"/>
      </tp>
      <tp t="s">
        <v>#N/A N/A</v>
        <stp/>
        <stp>BDP|9798470139257174818</stp>
        <tr r="G3776" s="2"/>
      </tp>
      <tp t="s">
        <v>#N/A N/A</v>
        <stp/>
        <stp>BDP|1209190301598566964</stp>
        <tr r="F2768" s="2"/>
      </tp>
      <tp t="s">
        <v>#N/A N/A</v>
        <stp/>
        <stp>BDP|5073422643332001681</stp>
        <tr r="I2878" s="2"/>
      </tp>
      <tp t="s">
        <v>#N/A N/A</v>
        <stp/>
        <stp>BDP|4858237957537530503</stp>
        <tr r="C4943" s="2"/>
      </tp>
      <tp t="s">
        <v>#N/A N/A</v>
        <stp/>
        <stp>BDP|7522775471862203488</stp>
        <tr r="I2084" s="2"/>
      </tp>
      <tp t="s">
        <v>#N/A N/A</v>
        <stp/>
        <stp>BDP|1468751312364950236</stp>
        <tr r="A4318" s="2"/>
      </tp>
      <tp t="s">
        <v>#N/A N/A</v>
        <stp/>
        <stp>BDP|4807464441783035667</stp>
        <tr r="I1485" s="2"/>
      </tp>
      <tp t="s">
        <v>#N/A N/A</v>
        <stp/>
        <stp>BDP|4630352528546405262</stp>
        <tr r="D2156" s="2"/>
      </tp>
      <tp t="s">
        <v>#N/A N/A</v>
        <stp/>
        <stp>BDP|7320403125830997066</stp>
        <tr r="A832" s="2"/>
      </tp>
      <tp t="s">
        <v>#N/A N/A</v>
        <stp/>
        <stp>BDP|8845041180446717726</stp>
        <tr r="B1140" s="2"/>
      </tp>
      <tp t="s">
        <v>#N/A N/A</v>
        <stp/>
        <stp>BDP|9311121920362959910</stp>
        <tr r="B4577" s="2"/>
      </tp>
      <tp t="s">
        <v>#N/A N/A</v>
        <stp/>
        <stp>BDP|8294439888164719176</stp>
        <tr r="G455" s="2"/>
      </tp>
      <tp t="s">
        <v>#N/A N/A</v>
        <stp/>
        <stp>BDP|5004267376559108884</stp>
        <tr r="G4150" s="2"/>
      </tp>
      <tp t="s">
        <v>#N/A N/A</v>
        <stp/>
        <stp>BDP|5215386302447819094</stp>
        <tr r="C3137" s="2"/>
      </tp>
      <tp t="s">
        <v>#N/A N/A</v>
        <stp/>
        <stp>BDP|9558633919138019760</stp>
        <tr r="A4685" s="2"/>
      </tp>
      <tp t="s">
        <v>#N/A N/A</v>
        <stp/>
        <stp>BDP|8289122696168178995</stp>
        <tr r="G996" s="2"/>
      </tp>
      <tp t="s">
        <v>#N/A N/A</v>
        <stp/>
        <stp>BDP|7171630081728911048</stp>
        <tr r="G3919" s="2"/>
      </tp>
      <tp t="s">
        <v>#N/A N/A</v>
        <stp/>
        <stp>BDP|6910079215767218177</stp>
        <tr r="B1793" s="2"/>
      </tp>
      <tp t="s">
        <v>#N/A N/A</v>
        <stp/>
        <stp>BDP|1384472818034667145</stp>
        <tr r="G676" s="2"/>
      </tp>
      <tp t="s">
        <v>#N/A N/A</v>
        <stp/>
        <stp>BDP|6233893084493551448</stp>
        <tr r="F844" s="2"/>
      </tp>
      <tp t="s">
        <v>#N/A N/A</v>
        <stp/>
        <stp>BDP|9287825360076748090</stp>
        <tr r="F2189" s="2"/>
      </tp>
      <tp t="s">
        <v>#N/A N/A</v>
        <stp/>
        <stp>BDP|4926028224260686778</stp>
        <tr r="C210" s="2"/>
      </tp>
      <tp t="s">
        <v>#N/A N/A</v>
        <stp/>
        <stp>BDP|8204501349670081857</stp>
        <tr r="G4350" s="2"/>
      </tp>
      <tp t="s">
        <v>#N/A N/A</v>
        <stp/>
        <stp>BDP|4595413114133865365</stp>
        <tr r="H457" s="2"/>
      </tp>
      <tp t="s">
        <v>#N/A N/A</v>
        <stp/>
        <stp>BDP|8488287992912272029</stp>
        <tr r="H4452" s="2"/>
      </tp>
      <tp t="s">
        <v>#N/A N/A</v>
        <stp/>
        <stp>BDP|8038941244000927478</stp>
        <tr r="A2165" s="2"/>
      </tp>
      <tp t="s">
        <v>#N/A N/A</v>
        <stp/>
        <stp>BDP|3403739186249669495</stp>
        <tr r="D1421" s="2"/>
      </tp>
      <tp t="s">
        <v>#N/A N/A</v>
        <stp/>
        <stp>BDP|6271749938200142310</stp>
        <tr r="I4665" s="2"/>
      </tp>
      <tp t="s">
        <v>#N/A N/A</v>
        <stp/>
        <stp>BDP|8490297283333444042</stp>
        <tr r="F2851" s="2"/>
      </tp>
      <tp t="s">
        <v>#N/A N/A</v>
        <stp/>
        <stp>BDP|3242198273370560432</stp>
        <tr r="D3623" s="2"/>
      </tp>
      <tp t="s">
        <v>#N/A N/A</v>
        <stp/>
        <stp>BDP|2082764650678022983</stp>
        <tr r="I3721" s="2"/>
      </tp>
      <tp t="s">
        <v>#N/A N/A</v>
        <stp/>
        <stp>BDP|2990059216971027340</stp>
        <tr r="I235" s="2"/>
      </tp>
      <tp t="s">
        <v>#N/A N/A</v>
        <stp/>
        <stp>BDP|6492361000014420081</stp>
        <tr r="C4175" s="2"/>
      </tp>
      <tp t="s">
        <v>#N/A N/A</v>
        <stp/>
        <stp>BDP|5435530635985577796</stp>
        <tr r="D4616" s="2"/>
      </tp>
      <tp t="s">
        <v>#N/A N/A</v>
        <stp/>
        <stp>BDP|6084692982989409018</stp>
        <tr r="C1635" s="2"/>
      </tp>
      <tp t="s">
        <v>#N/A N/A</v>
        <stp/>
        <stp>BDP|4229867582851877401</stp>
        <tr r="H4386" s="2"/>
      </tp>
      <tp t="s">
        <v>#N/A N/A</v>
        <stp/>
        <stp>BDP|4684731369352469667</stp>
        <tr r="F4926" s="2"/>
      </tp>
      <tp t="s">
        <v>#N/A N/A</v>
        <stp/>
        <stp>BDP|7177328588924294975</stp>
        <tr r="D6" s="2"/>
      </tp>
      <tp t="s">
        <v>#N/A N/A</v>
        <stp/>
        <stp>BDP|7329703889519385076</stp>
        <tr r="I3197" s="2"/>
      </tp>
      <tp t="s">
        <v>#N/A N/A</v>
        <stp/>
        <stp>BDP|8010741011458390787</stp>
        <tr r="G1303" s="2"/>
      </tp>
      <tp t="s">
        <v>#N/A N/A</v>
        <stp/>
        <stp>BDP|9941998286699005080</stp>
        <tr r="F4908" s="2"/>
      </tp>
      <tp t="s">
        <v>#N/A N/A</v>
        <stp/>
        <stp>BDP|6722496362260523579</stp>
        <tr r="B234" s="2"/>
      </tp>
      <tp t="s">
        <v>#N/A N/A</v>
        <stp/>
        <stp>BDP|1116386368212702788</stp>
        <tr r="D4703" s="2"/>
      </tp>
      <tp t="s">
        <v>#N/A N/A</v>
        <stp/>
        <stp>BDP|2268221306917009683</stp>
        <tr r="B2603" s="2"/>
      </tp>
      <tp t="s">
        <v>#N/A N/A</v>
        <stp/>
        <stp>BDP|9234184794543278328</stp>
        <tr r="F2955" s="2"/>
      </tp>
      <tp t="s">
        <v>#N/A N/A</v>
        <stp/>
        <stp>BDP|5922224255377493440</stp>
        <tr r="B3410" s="2"/>
      </tp>
      <tp t="s">
        <v>#N/A N/A</v>
        <stp/>
        <stp>BDP|3424748392544473884</stp>
        <tr r="A4835" s="2"/>
      </tp>
      <tp t="s">
        <v>#N/A N/A</v>
        <stp/>
        <stp>BDP|8829239491537363574</stp>
        <tr r="G2318" s="2"/>
      </tp>
      <tp t="s">
        <v>#N/A N/A</v>
        <stp/>
        <stp>BDP|5909241946012748029</stp>
        <tr r="D4748" s="2"/>
      </tp>
      <tp t="s">
        <v>#N/A N/A</v>
        <stp/>
        <stp>BDP|8277114666098261699</stp>
        <tr r="C1173" s="2"/>
      </tp>
      <tp t="s">
        <v>#N/A N/A</v>
        <stp/>
        <stp>BDP|1178998952509065543</stp>
        <tr r="F2803" s="2"/>
      </tp>
      <tp t="s">
        <v>#N/A N/A</v>
        <stp/>
        <stp>BDP|7673914692552216498</stp>
        <tr r="I815" s="2"/>
      </tp>
      <tp t="s">
        <v>#N/A N/A</v>
        <stp/>
        <stp>BDP|5874664326295669508</stp>
        <tr r="I1706" s="2"/>
      </tp>
      <tp t="s">
        <v>#N/A N/A</v>
        <stp/>
        <stp>BDP|1817215806075598742</stp>
        <tr r="H2861" s="2"/>
      </tp>
      <tp t="s">
        <v>#N/A N/A</v>
        <stp/>
        <stp>BDP|8331479496430540494</stp>
        <tr r="D175" s="2"/>
      </tp>
      <tp t="s">
        <v>#N/A N/A</v>
        <stp/>
        <stp>BDP|3087054177965583093</stp>
        <tr r="A650" s="2"/>
      </tp>
      <tp t="s">
        <v>#N/A N/A</v>
        <stp/>
        <stp>BDP|6500439089092750962</stp>
        <tr r="F1657" s="2"/>
      </tp>
      <tp t="s">
        <v>#N/A N/A</v>
        <stp/>
        <stp>BDP|9755297185857348560</stp>
        <tr r="C1541" s="2"/>
      </tp>
      <tp t="s">
        <v>#N/A N/A</v>
        <stp/>
        <stp>BDP|4639213970172171287</stp>
        <tr r="D4663" s="2"/>
      </tp>
      <tp t="s">
        <v>#N/A N/A</v>
        <stp/>
        <stp>BDP|9663927658156026223</stp>
        <tr r="I2409" s="2"/>
      </tp>
      <tp t="s">
        <v>#N/A N/A</v>
        <stp/>
        <stp>BDP|2148641840432361386</stp>
        <tr r="B4994" s="2"/>
      </tp>
      <tp t="s">
        <v>#N/A N/A</v>
        <stp/>
        <stp>BDP|4427594442482039610</stp>
        <tr r="B2684" s="2"/>
      </tp>
      <tp t="s">
        <v>#N/A N/A</v>
        <stp/>
        <stp>BDP|2655584613734553362</stp>
        <tr r="F2834" s="2"/>
      </tp>
      <tp t="s">
        <v>#N/A N/A</v>
        <stp/>
        <stp>BDP|4769666987199194299</stp>
        <tr r="H711" s="2"/>
      </tp>
      <tp t="s">
        <v>#N/A N/A</v>
        <stp/>
        <stp>BDP|3958553990719788758</stp>
        <tr r="B675" s="2"/>
      </tp>
      <tp t="s">
        <v>#N/A N/A</v>
        <stp/>
        <stp>BDP|5294781244393597453</stp>
        <tr r="B2991" s="2"/>
      </tp>
      <tp t="s">
        <v>#N/A N/A</v>
        <stp/>
        <stp>BDP|3327796479292953042</stp>
        <tr r="F164" s="2"/>
      </tp>
      <tp t="s">
        <v>#N/A N/A</v>
        <stp/>
        <stp>BDP|4278746825272453296</stp>
        <tr r="I4187" s="2"/>
      </tp>
      <tp t="s">
        <v>#N/A N/A</v>
        <stp/>
        <stp>BDP|9978434135696425957</stp>
        <tr r="A2999" s="2"/>
      </tp>
      <tp t="s">
        <v>#N/A N/A</v>
        <stp/>
        <stp>BDP|5772117778135077706</stp>
        <tr r="H4515" s="2"/>
      </tp>
      <tp t="s">
        <v>#N/A N/A</v>
        <stp/>
        <stp>BDP|7852741218854984434</stp>
        <tr r="D2784" s="2"/>
      </tp>
      <tp t="s">
        <v>#N/A N/A</v>
        <stp/>
        <stp>BDP|2806545710440489769</stp>
        <tr r="D4570" s="2"/>
      </tp>
      <tp t="s">
        <v>#N/A N/A</v>
        <stp/>
        <stp>BDP|9622659659939079245</stp>
        <tr r="A4295" s="2"/>
      </tp>
      <tp t="s">
        <v>#N/A N/A</v>
        <stp/>
        <stp>BDP|6043195849254657686</stp>
        <tr r="F1461" s="2"/>
      </tp>
      <tp t="s">
        <v>#N/A N/A</v>
        <stp/>
        <stp>BDP|4914892599110527423</stp>
        <tr r="I2304" s="2"/>
      </tp>
      <tp t="s">
        <v>#N/A N/A</v>
        <stp/>
        <stp>BDP|7445336829264861385</stp>
        <tr r="H631" s="2"/>
      </tp>
      <tp t="s">
        <v>#N/A N/A</v>
        <stp/>
        <stp>BDP|9003160284009825840</stp>
        <tr r="I1297" s="2"/>
      </tp>
      <tp t="s">
        <v>#N/A N/A</v>
        <stp/>
        <stp>BDP|9977279773958770542</stp>
        <tr r="D3224" s="2"/>
      </tp>
      <tp t="s">
        <v>#N/A N/A</v>
        <stp/>
        <stp>BDP|3864677868534129684</stp>
        <tr r="H3927" s="2"/>
      </tp>
      <tp t="s">
        <v>#N/A N/A</v>
        <stp/>
        <stp>BDP|3501267370530816751</stp>
        <tr r="G1531" s="2"/>
      </tp>
      <tp t="s">
        <v>#N/A N/A</v>
        <stp/>
        <stp>BDP|3973505715620749652</stp>
        <tr r="G4014" s="2"/>
      </tp>
      <tp t="s">
        <v>#N/A N/A</v>
        <stp/>
        <stp>BDP|8807586009708648417</stp>
        <tr r="C19" s="2"/>
      </tp>
      <tp t="s">
        <v>#N/A N/A</v>
        <stp/>
        <stp>BDP|7856788539211258358</stp>
        <tr r="H3810" s="2"/>
      </tp>
      <tp t="s">
        <v>#N/A N/A</v>
        <stp/>
        <stp>BDP|5541980086217260275</stp>
        <tr r="H2840" s="2"/>
      </tp>
      <tp t="s">
        <v>#N/A N/A</v>
        <stp/>
        <stp>BDP|2452240611611934165</stp>
        <tr r="I3329" s="2"/>
      </tp>
      <tp t="s">
        <v>#N/A N/A</v>
        <stp/>
        <stp>BDP|9797439520517941934</stp>
        <tr r="C1327" s="2"/>
      </tp>
      <tp t="s">
        <v>#N/A N/A</v>
        <stp/>
        <stp>BDP|5462277835165971012</stp>
        <tr r="A4586" s="2"/>
      </tp>
      <tp t="s">
        <v>#N/A N/A</v>
        <stp/>
        <stp>BDP|3724377548590236546</stp>
        <tr r="H1295" s="2"/>
      </tp>
      <tp t="s">
        <v>#N/A N/A</v>
        <stp/>
        <stp>BDP|6340088488619471699</stp>
        <tr r="G2604" s="2"/>
      </tp>
      <tp t="s">
        <v>#N/A N/A</v>
        <stp/>
        <stp>BDP|2087199413910097345</stp>
        <tr r="C1115" s="2"/>
      </tp>
      <tp t="s">
        <v>#N/A N/A</v>
        <stp/>
        <stp>BDP|5219415150653448692</stp>
        <tr r="A1678" s="2"/>
      </tp>
      <tp t="s">
        <v>#N/A N/A</v>
        <stp/>
        <stp>BDP|1414840962989482784</stp>
        <tr r="H4119" s="2"/>
      </tp>
      <tp t="s">
        <v>#N/A N/A</v>
        <stp/>
        <stp>BDP|2913381062216803056</stp>
        <tr r="A2861" s="2"/>
      </tp>
      <tp t="s">
        <v>#N/A N/A</v>
        <stp/>
        <stp>BDP|5328956599462877693</stp>
        <tr r="B1950" s="2"/>
      </tp>
      <tp t="s">
        <v>#N/A N/A</v>
        <stp/>
        <stp>BDP|5937504521750228346</stp>
        <tr r="A1398" s="2"/>
      </tp>
      <tp t="s">
        <v>#N/A N/A</v>
        <stp/>
        <stp>BDP|7188784871194682201</stp>
        <tr r="C3898" s="2"/>
      </tp>
      <tp t="s">
        <v>#N/A N/A</v>
        <stp/>
        <stp>BDP|2636681241117135607</stp>
        <tr r="H2089" s="2"/>
      </tp>
      <tp t="s">
        <v>#N/A N/A</v>
        <stp/>
        <stp>BDP|4143453123405012695</stp>
        <tr r="I53" s="2"/>
      </tp>
      <tp t="s">
        <v>#N/A N/A</v>
        <stp/>
        <stp>BDP|1134880612999385065</stp>
        <tr r="A3810" s="2"/>
      </tp>
      <tp t="s">
        <v>#N/A N/A</v>
        <stp/>
        <stp>BDP|6947997635089943420</stp>
        <tr r="I4459" s="2"/>
      </tp>
      <tp t="s">
        <v>#N/A N/A</v>
        <stp/>
        <stp>BDP|5684151627851330694</stp>
        <tr r="G4763" s="2"/>
      </tp>
      <tp t="s">
        <v>#N/A N/A</v>
        <stp/>
        <stp>BDP|5436088540979624946</stp>
        <tr r="D1197" s="2"/>
      </tp>
      <tp t="s">
        <v>#N/A N/A</v>
        <stp/>
        <stp>BDP|3954661923125222301</stp>
        <tr r="A87" s="2"/>
      </tp>
      <tp t="s">
        <v>#N/A N/A</v>
        <stp/>
        <stp>BDP|8568289187712567118</stp>
        <tr r="F602" s="2"/>
      </tp>
      <tp t="s">
        <v>#N/A N/A</v>
        <stp/>
        <stp>BDP|1140854251929879438</stp>
        <tr r="G4076" s="2"/>
      </tp>
      <tp t="s">
        <v>#N/A N/A</v>
        <stp/>
        <stp>BDP|1344746641785130690</stp>
        <tr r="H953" s="2"/>
      </tp>
      <tp t="s">
        <v>#N/A N/A</v>
        <stp/>
        <stp>BDP|7324441469957811392</stp>
        <tr r="F1710" s="2"/>
      </tp>
      <tp t="s">
        <v>#N/A N/A</v>
        <stp/>
        <stp>BDP|6527552610773863078</stp>
        <tr r="B4597" s="2"/>
      </tp>
      <tp t="s">
        <v>#N/A N/A</v>
        <stp/>
        <stp>BDP|6055655770072313498</stp>
        <tr r="G1355" s="2"/>
      </tp>
      <tp t="s">
        <v>#N/A N/A</v>
        <stp/>
        <stp>BDP|9615643570368501188</stp>
        <tr r="F716" s="2"/>
      </tp>
      <tp t="s">
        <v>#N/A N/A</v>
        <stp/>
        <stp>BDP|7868935380821444606</stp>
        <tr r="I2386" s="2"/>
      </tp>
      <tp t="s">
        <v>#N/A N/A</v>
        <stp/>
        <stp>BDP|7599343007407011296</stp>
        <tr r="B730" s="2"/>
      </tp>
      <tp t="s">
        <v>#N/A N/A</v>
        <stp/>
        <stp>BDP|8554078908578510100</stp>
        <tr r="C737" s="2"/>
      </tp>
      <tp t="s">
        <v>#N/A N/A</v>
        <stp/>
        <stp>BDP|5166954139259517779</stp>
        <tr r="I3555" s="2"/>
      </tp>
      <tp t="s">
        <v>#N/A N/A</v>
        <stp/>
        <stp>BDP|3356678228496120023</stp>
        <tr r="A2507" s="2"/>
      </tp>
      <tp t="s">
        <v>#N/A N/A</v>
        <stp/>
        <stp>BDP|6771257818970213473</stp>
        <tr r="D3027" s="2"/>
      </tp>
      <tp t="s">
        <v>#N/A N/A</v>
        <stp/>
        <stp>BDP|9199882818383876264</stp>
        <tr r="G54" s="2"/>
      </tp>
      <tp t="s">
        <v>#N/A N/A</v>
        <stp/>
        <stp>BDP|1733186470570938698</stp>
        <tr r="H583" s="2"/>
      </tp>
      <tp t="s">
        <v>#N/A N/A</v>
        <stp/>
        <stp>BDP|3046416865573850339</stp>
        <tr r="I4977" s="2"/>
      </tp>
      <tp t="s">
        <v>#N/A N/A</v>
        <stp/>
        <stp>BDP|4850007846979004810</stp>
        <tr r="D4907" s="2"/>
      </tp>
      <tp t="s">
        <v>#N/A N/A</v>
        <stp/>
        <stp>BDP|8127757346828454292</stp>
        <tr r="B3914" s="2"/>
      </tp>
      <tp t="s">
        <v>#N/A N/A</v>
        <stp/>
        <stp>BDP|5373644177784679199</stp>
        <tr r="G4571" s="2"/>
      </tp>
      <tp t="s">
        <v>#N/A N/A</v>
        <stp/>
        <stp>BDP|7424595883453880891</stp>
        <tr r="H1994" s="2"/>
      </tp>
      <tp t="s">
        <v>#N/A N/A</v>
        <stp/>
        <stp>BDP|7875447029882334291</stp>
        <tr r="B3595" s="2"/>
      </tp>
      <tp t="s">
        <v>#N/A N/A</v>
        <stp/>
        <stp>BDP|3207229718618744906</stp>
        <tr r="F3966" s="2"/>
      </tp>
      <tp t="s">
        <v>#N/A N/A</v>
        <stp/>
        <stp>BDP|1142656026052986647</stp>
        <tr r="D4360" s="2"/>
      </tp>
      <tp t="s">
        <v>#N/A N/A</v>
        <stp/>
        <stp>BDP|8515868404250949112</stp>
        <tr r="G4914" s="2"/>
      </tp>
      <tp t="s">
        <v>#N/A N/A</v>
        <stp/>
        <stp>BDP|1001258829342462270</stp>
        <tr r="B4935" s="2"/>
      </tp>
      <tp t="s">
        <v>#N/A N/A</v>
        <stp/>
        <stp>BDP|7556659433104516790</stp>
        <tr r="D2203" s="2"/>
      </tp>
      <tp t="s">
        <v>#N/A N/A</v>
        <stp/>
        <stp>BDP|8513694350178306208</stp>
        <tr r="F4000" s="2"/>
      </tp>
      <tp t="s">
        <v>#N/A N/A</v>
        <stp/>
        <stp>BDP|6550941010739781697</stp>
        <tr r="F1150" s="2"/>
      </tp>
      <tp t="s">
        <v>#N/A N/A</v>
        <stp/>
        <stp>BDP|1848809764576416875</stp>
        <tr r="C4547" s="2"/>
      </tp>
      <tp t="s">
        <v>#N/A N/A</v>
        <stp/>
        <stp>BDP|7364681701118394860</stp>
        <tr r="D1905" s="2"/>
      </tp>
      <tp t="s">
        <v>#N/A N/A</v>
        <stp/>
        <stp>BDP|1775789481229822691</stp>
        <tr r="G162" s="2"/>
      </tp>
      <tp t="s">
        <v>#N/A N/A</v>
        <stp/>
        <stp>BDP|7129639576994257398</stp>
        <tr r="B3913" s="2"/>
      </tp>
      <tp t="s">
        <v>#N/A N/A</v>
        <stp/>
        <stp>BDP|1119260363975960121</stp>
        <tr r="I4585" s="2"/>
      </tp>
      <tp t="s">
        <v>#N/A N/A</v>
        <stp/>
        <stp>BDP|4229000489238481507</stp>
        <tr r="I3109" s="2"/>
      </tp>
      <tp t="s">
        <v>#N/A N/A</v>
        <stp/>
        <stp>BDP|2761599975808701938</stp>
        <tr r="B1212" s="2"/>
      </tp>
      <tp t="s">
        <v>#N/A N/A</v>
        <stp/>
        <stp>BDP|5310458863553249586</stp>
        <tr r="D4146" s="2"/>
      </tp>
      <tp t="s">
        <v>#N/A N/A</v>
        <stp/>
        <stp>BDP|1943304741356694114</stp>
        <tr r="B2251" s="2"/>
      </tp>
      <tp t="s">
        <v>#N/A N/A</v>
        <stp/>
        <stp>BDP|1823860392736733748</stp>
        <tr r="F3109" s="2"/>
      </tp>
      <tp t="s">
        <v>#N/A N/A</v>
        <stp/>
        <stp>BDP|7199633173416928172</stp>
        <tr r="B4724" s="2"/>
      </tp>
      <tp t="s">
        <v>#N/A N/A</v>
        <stp/>
        <stp>BDP|4800042774424508628</stp>
        <tr r="C3316" s="2"/>
      </tp>
      <tp t="s">
        <v>#N/A N/A</v>
        <stp/>
        <stp>BDP|1390338972986538285</stp>
        <tr r="D690" s="2"/>
      </tp>
      <tp t="s">
        <v>#N/A N/A</v>
        <stp/>
        <stp>BDP|2836937244538670667</stp>
        <tr r="A1265" s="2"/>
      </tp>
      <tp t="s">
        <v>#N/A N/A</v>
        <stp/>
        <stp>BDP|2921331023530405227</stp>
        <tr r="F2889" s="2"/>
      </tp>
      <tp t="s">
        <v>#N/A N/A</v>
        <stp/>
        <stp>BDP|5632316199258241632</stp>
        <tr r="C2370" s="2"/>
      </tp>
      <tp t="s">
        <v>#N/A N/A</v>
        <stp/>
        <stp>BDP|4288536529287794504</stp>
        <tr r="A2334" s="2"/>
      </tp>
      <tp t="s">
        <v>#N/A N/A</v>
        <stp/>
        <stp>BDP|6427736415249464891</stp>
        <tr r="H821" s="2"/>
      </tp>
      <tp t="s">
        <v>#N/A N/A</v>
        <stp/>
        <stp>BDP|6151207756208188899</stp>
        <tr r="A147" s="2"/>
      </tp>
      <tp t="s">
        <v>#N/A N/A</v>
        <stp/>
        <stp>BDP|6427079701694552388</stp>
        <tr r="G3159" s="2"/>
      </tp>
      <tp t="s">
        <v>#N/A N/A</v>
        <stp/>
        <stp>BDP|5611289734637680235</stp>
        <tr r="I1191" s="2"/>
      </tp>
      <tp t="s">
        <v>#N/A N/A</v>
        <stp/>
        <stp>BDP|4908915236559979684</stp>
        <tr r="B3821" s="2"/>
      </tp>
      <tp t="s">
        <v>#N/A N/A</v>
        <stp/>
        <stp>BDP|6524132005667813144</stp>
        <tr r="H729" s="2"/>
      </tp>
      <tp t="s">
        <v>#N/A N/A</v>
        <stp/>
        <stp>BDP|1600637365785877574</stp>
        <tr r="C2178" s="2"/>
      </tp>
      <tp t="s">
        <v>#N/A N/A</v>
        <stp/>
        <stp>BDP|5855344814715633316</stp>
        <tr r="G3954" s="2"/>
      </tp>
      <tp t="s">
        <v>#N/A N/A</v>
        <stp/>
        <stp>BDP|2846843977144701835</stp>
        <tr r="D1223" s="2"/>
      </tp>
      <tp t="s">
        <v>#N/A N/A</v>
        <stp/>
        <stp>BDP|4689405366866626194</stp>
        <tr r="H2922" s="2"/>
      </tp>
      <tp t="s">
        <v>#N/A N/A</v>
        <stp/>
        <stp>BDP|8112957812030133186</stp>
        <tr r="C1533" s="2"/>
      </tp>
      <tp t="s">
        <v>#N/A N/A</v>
        <stp/>
        <stp>BDP|5012369619134030208</stp>
        <tr r="D305" s="2"/>
      </tp>
      <tp t="s">
        <v>#N/A N/A</v>
        <stp/>
        <stp>BDP|2859176058254900313</stp>
        <tr r="I3653" s="2"/>
      </tp>
      <tp t="s">
        <v>#N/A N/A</v>
        <stp/>
        <stp>BDP|3085238309334045452</stp>
        <tr r="A3732" s="2"/>
      </tp>
      <tp t="s">
        <v>#N/A N/A</v>
        <stp/>
        <stp>BDP|1699709194106522886</stp>
        <tr r="D4304" s="2"/>
      </tp>
      <tp t="s">
        <v>#N/A N/A</v>
        <stp/>
        <stp>BDP|1989989107349008096</stp>
        <tr r="B1152" s="2"/>
      </tp>
      <tp t="s">
        <v>#N/A N/A</v>
        <stp/>
        <stp>BDP|3191386442534493107</stp>
        <tr r="D3180" s="2"/>
      </tp>
      <tp t="s">
        <v>#N/A N/A</v>
        <stp/>
        <stp>BDP|3240356053242371683</stp>
        <tr r="I685" s="2"/>
      </tp>
      <tp t="s">
        <v>#N/A N/A</v>
        <stp/>
        <stp>BDP|4975177597134026967</stp>
        <tr r="G2663" s="2"/>
      </tp>
      <tp t="s">
        <v>#N/A N/A</v>
        <stp/>
        <stp>BDP|5957669331055701468</stp>
        <tr r="A3159" s="2"/>
      </tp>
      <tp t="s">
        <v>#N/A N/A</v>
        <stp/>
        <stp>BDP|6198212872903441192</stp>
        <tr r="A306" s="2"/>
      </tp>
      <tp t="s">
        <v>#N/A N/A</v>
        <stp/>
        <stp>BDP|3626290531926578548</stp>
        <tr r="H2245" s="2"/>
      </tp>
      <tp t="s">
        <v>#N/A N/A</v>
        <stp/>
        <stp>BDP|8105484128876783993</stp>
        <tr r="H3497" s="2"/>
      </tp>
      <tp t="s">
        <v>#N/A N/A</v>
        <stp/>
        <stp>BDP|5025821462073957961</stp>
        <tr r="G2350" s="2"/>
      </tp>
      <tp t="s">
        <v>#N/A N/A</v>
        <stp/>
        <stp>BDP|1389270367941403586</stp>
        <tr r="H3463" s="2"/>
      </tp>
      <tp t="s">
        <v>#N/A N/A</v>
        <stp/>
        <stp>BDP|6284116217000882730</stp>
        <tr r="A4467" s="2"/>
      </tp>
      <tp t="s">
        <v>#N/A N/A</v>
        <stp/>
        <stp>BDP|3550762657073350384</stp>
        <tr r="H1215" s="2"/>
      </tp>
      <tp t="s">
        <v>#N/A N/A</v>
        <stp/>
        <stp>BDP|3931563659213165182</stp>
        <tr r="I4178" s="2"/>
      </tp>
      <tp t="s">
        <v>#N/A N/A</v>
        <stp/>
        <stp>BDP|3725539925910841560</stp>
        <tr r="G2588" s="2"/>
      </tp>
      <tp t="s">
        <v>#N/A N/A</v>
        <stp/>
        <stp>BDP|5308881813589324440</stp>
        <tr r="H1566" s="2"/>
      </tp>
      <tp t="s">
        <v>#N/A N/A</v>
        <stp/>
        <stp>BDP|2679193010112613162</stp>
        <tr r="H1732" s="2"/>
      </tp>
      <tp t="s">
        <v>#N/A N/A</v>
        <stp/>
        <stp>BDP|2666099043226955191</stp>
        <tr r="A2898" s="2"/>
      </tp>
      <tp t="s">
        <v>#N/A N/A</v>
        <stp/>
        <stp>BDP|3891532589636905974</stp>
        <tr r="F3033" s="2"/>
      </tp>
      <tp t="s">
        <v>#N/A N/A</v>
        <stp/>
        <stp>BDP|7746244704286835238</stp>
        <tr r="D1626" s="2"/>
      </tp>
      <tp t="s">
        <v>#N/A N/A</v>
        <stp/>
        <stp>BDP|4881728520191405128</stp>
        <tr r="D4178" s="2"/>
      </tp>
      <tp t="s">
        <v>#N/A N/A</v>
        <stp/>
        <stp>BDP|8700012554849674585</stp>
        <tr r="A3877" s="2"/>
      </tp>
      <tp t="s">
        <v>#N/A N/A</v>
        <stp/>
        <stp>BDP|7050782344523826688</stp>
        <tr r="F1550" s="2"/>
      </tp>
      <tp t="s">
        <v>#N/A N/A</v>
        <stp/>
        <stp>BDP|3393603225827920138</stp>
        <tr r="I3244" s="2"/>
      </tp>
      <tp t="s">
        <v>#N/A N/A</v>
        <stp/>
        <stp>BDP|3384282996060412953</stp>
        <tr r="F1980" s="2"/>
      </tp>
      <tp t="s">
        <v>#N/A N/A</v>
        <stp/>
        <stp>BDP|2615129319694314727</stp>
        <tr r="I2540" s="2"/>
      </tp>
      <tp t="s">
        <v>#N/A N/A</v>
        <stp/>
        <stp>BDP|7771942057879943313</stp>
        <tr r="I2515" s="2"/>
      </tp>
      <tp t="s">
        <v>#N/A N/A</v>
        <stp/>
        <stp>BDP|2964963134000592926</stp>
        <tr r="F2434" s="2"/>
      </tp>
      <tp t="s">
        <v>#N/A N/A</v>
        <stp/>
        <stp>BDP|1920627557733587050</stp>
        <tr r="H4517" s="2"/>
      </tp>
      <tp t="s">
        <v>#N/A N/A</v>
        <stp/>
        <stp>BDP|8912078080216232702</stp>
        <tr r="G3891" s="2"/>
      </tp>
      <tp t="s">
        <v>#N/A N/A</v>
        <stp/>
        <stp>BDP|5018586946896121337</stp>
        <tr r="A4298" s="2"/>
      </tp>
      <tp t="s">
        <v>#N/A N/A</v>
        <stp/>
        <stp>BDP|5605375148793379068</stp>
        <tr r="C4806" s="2"/>
      </tp>
      <tp t="s">
        <v>#N/A N/A</v>
        <stp/>
        <stp>BDP|6412983022938265400</stp>
        <tr r="A2819" s="2"/>
      </tp>
      <tp t="s">
        <v>#N/A N/A</v>
        <stp/>
        <stp>BDP|8443903359551261439</stp>
        <tr r="I119" s="2"/>
      </tp>
      <tp t="s">
        <v>#N/A N/A</v>
        <stp/>
        <stp>BDP|5957664345410080660</stp>
        <tr r="H751" s="2"/>
      </tp>
      <tp t="s">
        <v>#N/A N/A</v>
        <stp/>
        <stp>BDP|3009179025490901170</stp>
        <tr r="C490" s="2"/>
      </tp>
      <tp t="s">
        <v>#N/A N/A</v>
        <stp/>
        <stp>BDP|3188446039154036101</stp>
        <tr r="I3853" s="2"/>
      </tp>
      <tp t="s">
        <v>#N/A N/A</v>
        <stp/>
        <stp>BDP|5553158188525412805</stp>
        <tr r="B1568" s="2"/>
      </tp>
      <tp t="s">
        <v>#N/A N/A</v>
        <stp/>
        <stp>BDP|6965744557647596231</stp>
        <tr r="G1375" s="2"/>
      </tp>
      <tp t="s">
        <v>#N/A N/A</v>
        <stp/>
        <stp>BDP|6809739316567357625</stp>
        <tr r="D2297" s="2"/>
      </tp>
      <tp t="s">
        <v>#N/A N/A</v>
        <stp/>
        <stp>BDP|7913919292933349559</stp>
        <tr r="B4686" s="2"/>
      </tp>
      <tp t="s">
        <v>#N/A N/A</v>
        <stp/>
        <stp>BDP|6754144266523081393</stp>
        <tr r="H1076" s="2"/>
      </tp>
      <tp t="s">
        <v>#N/A N/A</v>
        <stp/>
        <stp>BDP|3644633776942841175</stp>
        <tr r="G1214" s="2"/>
      </tp>
      <tp t="s">
        <v>#N/A N/A</v>
        <stp/>
        <stp>BDP|2160461239976207201</stp>
        <tr r="B3096" s="2"/>
      </tp>
      <tp t="s">
        <v>#N/A N/A</v>
        <stp/>
        <stp>BDP|1525891462688335619</stp>
        <tr r="B4875" s="2"/>
      </tp>
      <tp t="s">
        <v>#N/A N/A</v>
        <stp/>
        <stp>BDP|4777992957620181944</stp>
        <tr r="C1320" s="2"/>
      </tp>
      <tp t="s">
        <v>#N/A N/A</v>
        <stp/>
        <stp>BDP|8282691981124302357</stp>
        <tr r="D884" s="2"/>
      </tp>
      <tp t="s">
        <v>#N/A N/A</v>
        <stp/>
        <stp>BDP|2989759035862069551</stp>
        <tr r="H4384" s="2"/>
      </tp>
      <tp t="s">
        <v>#N/A N/A</v>
        <stp/>
        <stp>BDP|2826430127381373438</stp>
        <tr r="D4333" s="2"/>
      </tp>
      <tp t="s">
        <v>#N/A N/A</v>
        <stp/>
        <stp>BDP|1873721851215435739</stp>
        <tr r="G2090" s="2"/>
      </tp>
      <tp t="s">
        <v>#N/A N/A</v>
        <stp/>
        <stp>BDP|4853842203439007432</stp>
        <tr r="A4063" s="2"/>
      </tp>
      <tp t="s">
        <v>#N/A N/A</v>
        <stp/>
        <stp>BDP|7752713666342407584</stp>
        <tr r="I713" s="2"/>
      </tp>
      <tp t="s">
        <v>#N/A N/A</v>
        <stp/>
        <stp>BDP|6769939598414522358</stp>
        <tr r="A3915" s="2"/>
      </tp>
      <tp t="s">
        <v>#N/A N/A</v>
        <stp/>
        <stp>BDP|3533058895519093296</stp>
        <tr r="C4520" s="2"/>
      </tp>
      <tp t="s">
        <v>#N/A N/A</v>
        <stp/>
        <stp>BDP|1115630878868090961</stp>
        <tr r="C4277" s="2"/>
      </tp>
      <tp t="s">
        <v>#N/A N/A</v>
        <stp/>
        <stp>BDP|7375064523280379496</stp>
        <tr r="I3975" s="2"/>
      </tp>
      <tp t="s">
        <v>#N/A N/A</v>
        <stp/>
        <stp>BDP|7843965545159712201</stp>
        <tr r="F1713" s="2"/>
      </tp>
      <tp t="s">
        <v>#N/A N/A</v>
        <stp/>
        <stp>BDP|1686751278514346448</stp>
        <tr r="G4721" s="2"/>
      </tp>
      <tp t="s">
        <v>#N/A N/A</v>
        <stp/>
        <stp>BDP|1446422339091671651</stp>
        <tr r="I2661" s="2"/>
      </tp>
      <tp t="s">
        <v>#N/A N/A</v>
        <stp/>
        <stp>BDP|7799212727414480294</stp>
        <tr r="A3109" s="2"/>
      </tp>
      <tp t="s">
        <v>#N/A N/A</v>
        <stp/>
        <stp>BDP|7288265748632996291</stp>
        <tr r="B1231" s="2"/>
      </tp>
      <tp t="s">
        <v>#N/A N/A</v>
        <stp/>
        <stp>BDP|1344981154628671456</stp>
        <tr r="I1116" s="2"/>
      </tp>
      <tp t="s">
        <v>#N/A N/A</v>
        <stp/>
        <stp>BDP|8571362172345875853</stp>
        <tr r="G582" s="2"/>
      </tp>
      <tp t="s">
        <v>#N/A N/A</v>
        <stp/>
        <stp>BDP|8733779786804315291</stp>
        <tr r="D1177" s="2"/>
      </tp>
      <tp t="s">
        <v>#N/A N/A</v>
        <stp/>
        <stp>BDP|1322623078053635230</stp>
        <tr r="G2647" s="2"/>
      </tp>
      <tp t="s">
        <v>#N/A N/A</v>
        <stp/>
        <stp>BDP|3570064094773955823</stp>
        <tr r="G3694" s="2"/>
      </tp>
      <tp t="s">
        <v>#N/A N/A</v>
        <stp/>
        <stp>BDP|7941727205072798358</stp>
        <tr r="D217" s="2"/>
      </tp>
      <tp t="s">
        <v>#N/A N/A</v>
        <stp/>
        <stp>BDP|2754680931516708055</stp>
        <tr r="D1925" s="2"/>
      </tp>
      <tp t="s">
        <v>#N/A N/A</v>
        <stp/>
        <stp>BDP|6778650654784806025</stp>
        <tr r="C1559" s="2"/>
      </tp>
      <tp t="s">
        <v>#N/A N/A</v>
        <stp/>
        <stp>BDP|4332063467610625381</stp>
        <tr r="A2714" s="2"/>
      </tp>
      <tp t="s">
        <v>#N/A N/A</v>
        <stp/>
        <stp>BDP|6680368979733038051</stp>
        <tr r="I4462" s="2"/>
      </tp>
      <tp t="s">
        <v>#N/A N/A</v>
        <stp/>
        <stp>BDP|4801464422433235026</stp>
        <tr r="I1188" s="2"/>
      </tp>
      <tp t="s">
        <v>#N/A N/A</v>
        <stp/>
        <stp>BDP|8975486097401236583</stp>
        <tr r="G61" s="2"/>
      </tp>
      <tp t="s">
        <v>#N/A N/A</v>
        <stp/>
        <stp>BDP|2551083370365759165</stp>
        <tr r="D855" s="2"/>
      </tp>
      <tp t="s">
        <v>#N/A N/A</v>
        <stp/>
        <stp>BDP|8841246859768925602</stp>
        <tr r="C2340" s="2"/>
      </tp>
      <tp t="s">
        <v>#N/A N/A</v>
        <stp/>
        <stp>BDP|9083201328719794133</stp>
        <tr r="G4498" s="2"/>
      </tp>
      <tp t="s">
        <v>#N/A N/A</v>
        <stp/>
        <stp>BDP|7742153689969082672</stp>
        <tr r="F194" s="2"/>
      </tp>
      <tp t="s">
        <v>#N/A N/A</v>
        <stp/>
        <stp>BDP|5675980504519723414</stp>
        <tr r="H2950" s="2"/>
      </tp>
      <tp t="s">
        <v>#N/A N/A</v>
        <stp/>
        <stp>BDP|6728143902346576081</stp>
        <tr r="F3266" s="2"/>
      </tp>
      <tp t="s">
        <v>#N/A N/A</v>
        <stp/>
        <stp>BDP|1615744061394730581</stp>
        <tr r="C2753" s="2"/>
      </tp>
      <tp t="s">
        <v>#N/A N/A</v>
        <stp/>
        <stp>BDP|2639326260677933114</stp>
        <tr r="H3196" s="2"/>
      </tp>
      <tp t="s">
        <v>#N/A N/A</v>
        <stp/>
        <stp>BDP|9849349436040686801</stp>
        <tr r="D2306" s="2"/>
      </tp>
      <tp t="s">
        <v>#N/A N/A</v>
        <stp/>
        <stp>BDP|8191692973130073879</stp>
        <tr r="A4339" s="2"/>
      </tp>
      <tp t="s">
        <v>#N/A N/A</v>
        <stp/>
        <stp>BDP|2312500443257806544</stp>
        <tr r="D1436" s="2"/>
      </tp>
      <tp t="s">
        <v>#N/A N/A</v>
        <stp/>
        <stp>BDP|7447983883982592560</stp>
        <tr r="H806" s="2"/>
      </tp>
      <tp t="s">
        <v>#N/A N/A</v>
        <stp/>
        <stp>BDP|3205743558136414664</stp>
        <tr r="I2553" s="2"/>
      </tp>
      <tp t="s">
        <v>#N/A N/A</v>
        <stp/>
        <stp>BDP|4814151413742674747</stp>
        <tr r="H3598" s="2"/>
      </tp>
      <tp t="s">
        <v>#N/A N/A</v>
        <stp/>
        <stp>BDP|4971504512470633113</stp>
        <tr r="I1425" s="2"/>
      </tp>
      <tp t="s">
        <v>#N/A N/A</v>
        <stp/>
        <stp>BDP|3350534161570857156</stp>
        <tr r="G3804" s="2"/>
      </tp>
      <tp t="s">
        <v>#N/A N/A</v>
        <stp/>
        <stp>BDP|8417695123735704854</stp>
        <tr r="F4921" s="2"/>
      </tp>
      <tp t="s">
        <v>#N/A N/A</v>
        <stp/>
        <stp>BDP|6758623529461829287</stp>
        <tr r="F1630" s="2"/>
      </tp>
      <tp t="s">
        <v>#N/A N/A</v>
        <stp/>
        <stp>BDP|7251084405214676253</stp>
        <tr r="D1947" s="2"/>
      </tp>
      <tp t="s">
        <v>#N/A N/A</v>
        <stp/>
        <stp>BDP|3129405778965000459</stp>
        <tr r="G353" s="2"/>
      </tp>
      <tp t="s">
        <v>#N/A N/A</v>
        <stp/>
        <stp>BDP|2817487108585264262</stp>
        <tr r="G2611" s="2"/>
      </tp>
      <tp t="s">
        <v>#N/A N/A</v>
        <stp/>
        <stp>BDP|6498429246861997656</stp>
        <tr r="F985" s="2"/>
      </tp>
      <tp t="s">
        <v>#N/A N/A</v>
        <stp/>
        <stp>BDP|7089120564840978131</stp>
        <tr r="F3748" s="2"/>
      </tp>
      <tp t="s">
        <v>#N/A N/A</v>
        <stp/>
        <stp>BDP|2867917344256033816</stp>
        <tr r="B3456" s="2"/>
      </tp>
      <tp t="s">
        <v>#N/A N/A</v>
        <stp/>
        <stp>BDP|8765852119619527926</stp>
        <tr r="A2721" s="2"/>
      </tp>
      <tp t="s">
        <v>#N/A N/A</v>
        <stp/>
        <stp>BDP|3381342212882904204</stp>
        <tr r="A3502" s="2"/>
      </tp>
      <tp t="s">
        <v>#N/A N/A</v>
        <stp/>
        <stp>BDP|7825322004420458567</stp>
        <tr r="A2" s="2"/>
      </tp>
      <tp t="s">
        <v>#N/A N/A</v>
        <stp/>
        <stp>BDP|4366085436855263324</stp>
        <tr r="D3997" s="2"/>
      </tp>
      <tp t="s">
        <v>#N/A N/A</v>
        <stp/>
        <stp>BDP|5174928090360756490</stp>
        <tr r="G3692" s="2"/>
      </tp>
      <tp t="s">
        <v>#N/A N/A</v>
        <stp/>
        <stp>BDP|8651219265259902467</stp>
        <tr r="A3303" s="2"/>
      </tp>
      <tp t="s">
        <v>#N/A N/A</v>
        <stp/>
        <stp>BDP|8261015718611146978</stp>
        <tr r="F201" s="2"/>
      </tp>
      <tp t="s">
        <v>#N/A N/A</v>
        <stp/>
        <stp>BDP|8769387810239021228</stp>
        <tr r="D799" s="2"/>
      </tp>
      <tp t="s">
        <v>#N/A N/A</v>
        <stp/>
        <stp>BDP|9801252860938779475</stp>
        <tr r="I4976" s="2"/>
      </tp>
      <tp t="s">
        <v>#N/A N/A</v>
        <stp/>
        <stp>BDP|2758137688092398822</stp>
        <tr r="F2406" s="2"/>
      </tp>
      <tp t="s">
        <v>#N/A N/A</v>
        <stp/>
        <stp>BDP|1936909656028079424</stp>
        <tr r="H2322" s="2"/>
      </tp>
      <tp t="s">
        <v>#N/A N/A</v>
        <stp/>
        <stp>BDP|6143614154921884519</stp>
        <tr r="D3086" s="2"/>
      </tp>
      <tp t="s">
        <v>#N/A N/A</v>
        <stp/>
        <stp>BDP|3870888453737927872</stp>
        <tr r="C2411" s="2"/>
      </tp>
      <tp t="s">
        <v>#N/A N/A</v>
        <stp/>
        <stp>BDP|5572453014799939808</stp>
        <tr r="B4161" s="2"/>
      </tp>
      <tp t="s">
        <v>#N/A N/A</v>
        <stp/>
        <stp>BDP|3809315902716411728</stp>
        <tr r="H1842" s="2"/>
      </tp>
      <tp t="s">
        <v>#N/A N/A</v>
        <stp/>
        <stp>BDP|5667250419933600414</stp>
        <tr r="B905" s="2"/>
      </tp>
      <tp t="s">
        <v>#N/A N/A</v>
        <stp/>
        <stp>BDP|4448242423945949070</stp>
        <tr r="D4502" s="2"/>
      </tp>
      <tp t="s">
        <v>#N/A N/A</v>
        <stp/>
        <stp>BDP|8842879823740762367</stp>
        <tr r="C4584" s="2"/>
      </tp>
      <tp t="s">
        <v>#N/A N/A</v>
        <stp/>
        <stp>BDP|9627652974901310893</stp>
        <tr r="D3890" s="2"/>
      </tp>
      <tp t="s">
        <v>#N/A N/A</v>
        <stp/>
        <stp>BDP|7269251357249586886</stp>
        <tr r="I297" s="2"/>
      </tp>
      <tp t="s">
        <v>#N/A N/A</v>
        <stp/>
        <stp>BDP|8357781686906464041</stp>
        <tr r="G2294" s="2"/>
      </tp>
      <tp t="s">
        <v>#N/A N/A</v>
        <stp/>
        <stp>BDP|7224651233277137488</stp>
        <tr r="B1915" s="2"/>
      </tp>
      <tp t="s">
        <v>#N/A N/A</v>
        <stp/>
        <stp>BDP|1910456130111491655</stp>
        <tr r="C3966" s="2"/>
      </tp>
      <tp t="s">
        <v>#N/A N/A</v>
        <stp/>
        <stp>BDP|1653964479828319672</stp>
        <tr r="B4738" s="2"/>
      </tp>
      <tp t="s">
        <v>#N/A N/A</v>
        <stp/>
        <stp>BDP|4746806510775899926</stp>
        <tr r="D1373" s="2"/>
      </tp>
      <tp t="s">
        <v>#N/A N/A</v>
        <stp/>
        <stp>BDP|7599017968269278931</stp>
        <tr r="F4373" s="2"/>
      </tp>
      <tp t="s">
        <v>#N/A N/A</v>
        <stp/>
        <stp>BDP|3191106971767546386</stp>
        <tr r="C1706" s="2"/>
      </tp>
      <tp t="s">
        <v>#N/A N/A</v>
        <stp/>
        <stp>BDP|8897565780480553467</stp>
        <tr r="A4755" s="2"/>
      </tp>
      <tp t="s">
        <v>#N/A N/A</v>
        <stp/>
        <stp>BDP|9080692075700292939</stp>
        <tr r="I2089" s="2"/>
      </tp>
      <tp t="s">
        <v>#N/A N/A</v>
        <stp/>
        <stp>BDP|1129186313072411238</stp>
        <tr r="H469" s="2"/>
      </tp>
      <tp t="s">
        <v>#N/A N/A</v>
        <stp/>
        <stp>BDP|4588284117016141065</stp>
        <tr r="H2727" s="2"/>
      </tp>
      <tp t="s">
        <v>#N/A N/A</v>
        <stp/>
        <stp>BDP|4919869684475581039</stp>
        <tr r="I392" s="2"/>
      </tp>
      <tp t="s">
        <v>#N/A N/A</v>
        <stp/>
        <stp>BDP|5488235414705657282</stp>
        <tr r="G979" s="2"/>
      </tp>
      <tp t="s">
        <v>#N/A N/A</v>
        <stp/>
        <stp>BDP|1359118721135701690</stp>
        <tr r="I899" s="2"/>
      </tp>
      <tp t="s">
        <v>#N/A N/A</v>
        <stp/>
        <stp>BDP|6296160563680305093</stp>
        <tr r="I2810" s="2"/>
      </tp>
      <tp t="s">
        <v>#N/A N/A</v>
        <stp/>
        <stp>BDP|1232388371187450323</stp>
        <tr r="H1579" s="2"/>
      </tp>
      <tp t="s">
        <v>#N/A N/A</v>
        <stp/>
        <stp>BDP|3881409065985050501</stp>
        <tr r="F3553" s="2"/>
      </tp>
      <tp t="s">
        <v>#N/A N/A</v>
        <stp/>
        <stp>BDP|5329007039811192668</stp>
        <tr r="H1617" s="2"/>
      </tp>
      <tp t="s">
        <v>#N/A N/A</v>
        <stp/>
        <stp>BDP|2779072048573245478</stp>
        <tr r="A1126" s="2"/>
      </tp>
      <tp t="s">
        <v>#N/A N/A</v>
        <stp/>
        <stp>BDP|3566141813940601292</stp>
        <tr r="B1099" s="2"/>
      </tp>
      <tp t="s">
        <v>#N/A N/A</v>
        <stp/>
        <stp>BDP|8982643610677128913</stp>
        <tr r="G1362" s="2"/>
      </tp>
      <tp t="s">
        <v>#N/A N/A</v>
        <stp/>
        <stp>BDP|2673377420900950253</stp>
        <tr r="B4681" s="2"/>
      </tp>
      <tp t="s">
        <v>#N/A N/A</v>
        <stp/>
        <stp>BDP|5104396502227292052</stp>
        <tr r="I532" s="2"/>
      </tp>
      <tp t="s">
        <v>#N/A N/A</v>
        <stp/>
        <stp>BDP|7025648754024813154</stp>
        <tr r="A3478" s="2"/>
      </tp>
      <tp t="s">
        <v>#N/A N/A</v>
        <stp/>
        <stp>BDP|1492674485237319981</stp>
        <tr r="G2017" s="2"/>
      </tp>
      <tp t="s">
        <v>#N/A N/A</v>
        <stp/>
        <stp>BDP|6085233814525392198</stp>
        <tr r="D169" s="2"/>
      </tp>
      <tp t="s">
        <v>#N/A N/A</v>
        <stp/>
        <stp>BDP|5904978671342608844</stp>
        <tr r="F772" s="2"/>
      </tp>
      <tp t="s">
        <v>#N/A N/A</v>
        <stp/>
        <stp>BDP|7999527754474276202</stp>
        <tr r="G1238" s="2"/>
      </tp>
      <tp t="s">
        <v>#N/A N/A</v>
        <stp/>
        <stp>BDP|3660299047503574703</stp>
        <tr r="H1564" s="2"/>
      </tp>
      <tp t="s">
        <v>#N/A N/A</v>
        <stp/>
        <stp>BDP|4218198484644792858</stp>
        <tr r="C4986" s="2"/>
      </tp>
      <tp t="s">
        <v>#N/A N/A</v>
        <stp/>
        <stp>BDP|1652733258704736673</stp>
        <tr r="F2122" s="2"/>
      </tp>
      <tp t="s">
        <v>#N/A N/A</v>
        <stp/>
        <stp>BDP|1202482196468846593</stp>
        <tr r="G1353" s="2"/>
      </tp>
      <tp t="s">
        <v>#N/A N/A</v>
        <stp/>
        <stp>BDP|2209512097449941603</stp>
        <tr r="D3376" s="2"/>
      </tp>
      <tp t="s">
        <v>#N/A N/A</v>
        <stp/>
        <stp>BDP|3348585777445125506</stp>
        <tr r="A4419" s="2"/>
      </tp>
      <tp t="s">
        <v>#N/A N/A</v>
        <stp/>
        <stp>BDP|6635790919339875836</stp>
        <tr r="G4202" s="2"/>
      </tp>
      <tp t="s">
        <v>#N/A N/A</v>
        <stp/>
        <stp>BDP|2497552403540693697</stp>
        <tr r="A4867" s="2"/>
      </tp>
      <tp t="s">
        <v>#N/A N/A</v>
        <stp/>
        <stp>BDP|5357551766047453091</stp>
        <tr r="I4465" s="2"/>
      </tp>
      <tp t="s">
        <v>#N/A N/A</v>
        <stp/>
        <stp>BDP|6162991284285149301</stp>
        <tr r="F1705" s="2"/>
      </tp>
      <tp t="s">
        <v>#N/A N/A</v>
        <stp/>
        <stp>BDP|2728424529217203234</stp>
        <tr r="C131" s="2"/>
      </tp>
      <tp t="s">
        <v>#N/A N/A</v>
        <stp/>
        <stp>BDP|6733584018572863127</stp>
        <tr r="H1710" s="2"/>
      </tp>
      <tp t="s">
        <v>#N/A N/A</v>
        <stp/>
        <stp>BDP|6485643526046396581</stp>
        <tr r="D4367" s="2"/>
      </tp>
      <tp t="s">
        <v>#N/A N/A</v>
        <stp/>
        <stp>BDP|3833680352097616691</stp>
        <tr r="D2882" s="2"/>
      </tp>
      <tp t="s">
        <v>#N/A N/A</v>
        <stp/>
        <stp>BDP|3207293644163257705</stp>
        <tr r="I2150" s="2"/>
      </tp>
      <tp t="s">
        <v>#N/A N/A</v>
        <stp/>
        <stp>BDP|4260800680067760282</stp>
        <tr r="C4662" s="2"/>
      </tp>
      <tp t="s">
        <v>#N/A N/A</v>
        <stp/>
        <stp>BDP|9603709703869912612</stp>
        <tr r="D4731" s="2"/>
      </tp>
      <tp t="s">
        <v>#N/A N/A</v>
        <stp/>
        <stp>BDP|1292829049189558516</stp>
        <tr r="H556" s="2"/>
      </tp>
      <tp t="s">
        <v>#N/A N/A</v>
        <stp/>
        <stp>BDP|7404425429465264505</stp>
        <tr r="C1913" s="2"/>
      </tp>
      <tp t="s">
        <v>#N/A N/A</v>
        <stp/>
        <stp>BDP|1481447015974005184</stp>
        <tr r="B3500" s="2"/>
      </tp>
      <tp t="s">
        <v>#N/A N/A</v>
        <stp/>
        <stp>BDP|2344799976707004418</stp>
        <tr r="D321" s="2"/>
      </tp>
      <tp t="s">
        <v>#N/A N/A</v>
        <stp/>
        <stp>BDP|7113467820568268880</stp>
        <tr r="G1197" s="2"/>
      </tp>
      <tp t="s">
        <v>#N/A N/A</v>
        <stp/>
        <stp>BDP|2062136255010853730</stp>
        <tr r="G3005" s="2"/>
      </tp>
      <tp t="s">
        <v>#N/A N/A</v>
        <stp/>
        <stp>BDP|7257934982575895268</stp>
        <tr r="A3250" s="2"/>
      </tp>
      <tp t="s">
        <v>#N/A N/A</v>
        <stp/>
        <stp>BDP|7571286510282506756</stp>
        <tr r="I3335" s="2"/>
      </tp>
      <tp t="s">
        <v>#N/A N/A</v>
        <stp/>
        <stp>BDP|3183899162544591829</stp>
        <tr r="D1792" s="2"/>
      </tp>
      <tp t="s">
        <v>#N/A N/A</v>
        <stp/>
        <stp>BDP|4232180442331215175</stp>
        <tr r="F2919" s="2"/>
      </tp>
      <tp t="s">
        <v>#N/A N/A</v>
        <stp/>
        <stp>BDP|4668000021342942535</stp>
        <tr r="D3008" s="2"/>
      </tp>
      <tp t="s">
        <v>#N/A N/A</v>
        <stp/>
        <stp>BDP|2502586222120539470</stp>
        <tr r="C3108" s="2"/>
      </tp>
      <tp t="s">
        <v>#N/A N/A</v>
        <stp/>
        <stp>BDP|7530967198383627502</stp>
        <tr r="D3208" s="2"/>
      </tp>
      <tp t="s">
        <v>#N/A N/A</v>
        <stp/>
        <stp>BDP|1164268510993327092</stp>
        <tr r="I287" s="2"/>
      </tp>
      <tp t="s">
        <v>#N/A N/A</v>
        <stp/>
        <stp>BDP|7661289156905287478</stp>
        <tr r="A2279" s="2"/>
      </tp>
      <tp t="s">
        <v>#N/A N/A</v>
        <stp/>
        <stp>BDP|5685289775112471321</stp>
        <tr r="C2498" s="2"/>
      </tp>
      <tp t="s">
        <v>#N/A N/A</v>
        <stp/>
        <stp>BDP|8725049669958015775</stp>
        <tr r="D105" s="2"/>
      </tp>
      <tp t="s">
        <v>#N/A N/A</v>
        <stp/>
        <stp>BDP|7400803824654826851</stp>
        <tr r="H26" s="2"/>
      </tp>
      <tp t="s">
        <v>#N/A N/A</v>
        <stp/>
        <stp>BDP|4834161631905943246</stp>
        <tr r="H2701" s="2"/>
      </tp>
      <tp t="s">
        <v>#N/A N/A</v>
        <stp/>
        <stp>BDP|9115266336648283110</stp>
        <tr r="B3072" s="2"/>
      </tp>
      <tp t="s">
        <v>#N/A N/A</v>
        <stp/>
        <stp>BDP|5342848240370775821</stp>
        <tr r="G4685" s="2"/>
      </tp>
      <tp t="s">
        <v>#N/A N/A</v>
        <stp/>
        <stp>BDP|5001347483466520908</stp>
        <tr r="A3527" s="2"/>
      </tp>
      <tp t="s">
        <v>#N/A N/A</v>
        <stp/>
        <stp>BDP|3785997929138473110</stp>
        <tr r="I2642" s="2"/>
      </tp>
      <tp t="s">
        <v>#N/A N/A</v>
        <stp/>
        <stp>BDP|7685458655893671426</stp>
        <tr r="F5001" s="2"/>
      </tp>
      <tp t="s">
        <v>#N/A N/A</v>
        <stp/>
        <stp>BDP|2107075333916631617</stp>
        <tr r="B2209" s="2"/>
      </tp>
      <tp t="s">
        <v>#N/A N/A</v>
        <stp/>
        <stp>BDP|6262056752130122268</stp>
        <tr r="B2053" s="2"/>
      </tp>
      <tp t="s">
        <v>#N/A N/A</v>
        <stp/>
        <stp>BDP|5615957803528618549</stp>
        <tr r="B1759" s="2"/>
      </tp>
      <tp t="s">
        <v>#N/A N/A</v>
        <stp/>
        <stp>BDP|6151772057845412075</stp>
        <tr r="I2417" s="2"/>
      </tp>
      <tp t="s">
        <v>#N/A N/A</v>
        <stp/>
        <stp>BDP|3862988803023779862</stp>
        <tr r="H4448" s="2"/>
      </tp>
      <tp t="s">
        <v>#N/A N/A</v>
        <stp/>
        <stp>BDP|4810219632215024193</stp>
        <tr r="G2550" s="2"/>
      </tp>
      <tp t="s">
        <v>#N/A N/A</v>
        <stp/>
        <stp>BDP|5033218745180543235</stp>
        <tr r="G4318" s="2"/>
      </tp>
      <tp t="s">
        <v>#N/A N/A</v>
        <stp/>
        <stp>BDP|6408591428940220051</stp>
        <tr r="H4397" s="2"/>
      </tp>
      <tp t="s">
        <v>#N/A N/A</v>
        <stp/>
        <stp>BDP|8333827401662198330</stp>
        <tr r="F2274" s="2"/>
      </tp>
      <tp t="s">
        <v>#N/A N/A</v>
        <stp/>
        <stp>BDP|8623027884839112837</stp>
        <tr r="I3217" s="2"/>
      </tp>
      <tp t="s">
        <v>#N/A N/A</v>
        <stp/>
        <stp>BDP|7650146330997511350</stp>
        <tr r="F1278" s="2"/>
      </tp>
      <tp t="s">
        <v>#N/A N/A</v>
        <stp/>
        <stp>BDP|4187223311745416347</stp>
        <tr r="A277" s="2"/>
      </tp>
      <tp t="s">
        <v>#N/A N/A</v>
        <stp/>
        <stp>BDP|2275425134914225043</stp>
        <tr r="D1631" s="2"/>
      </tp>
      <tp t="s">
        <v>#N/A N/A</v>
        <stp/>
        <stp>BDP|9649084689693458319</stp>
        <tr r="D4559" s="2"/>
      </tp>
      <tp t="s">
        <v>#N/A N/A</v>
        <stp/>
        <stp>BDP|7588834689926488090</stp>
        <tr r="A2241" s="2"/>
      </tp>
      <tp t="s">
        <v>#N/A N/A</v>
        <stp/>
        <stp>BDP|8321000187709617809</stp>
        <tr r="G856" s="2"/>
      </tp>
      <tp t="s">
        <v>#N/A N/A</v>
        <stp/>
        <stp>BDP|3423717366413480054</stp>
        <tr r="D4079" s="2"/>
      </tp>
      <tp t="s">
        <v>#N/A N/A</v>
        <stp/>
        <stp>BDP|7027578703546757517</stp>
        <tr r="D817" s="2"/>
      </tp>
      <tp t="s">
        <v>#N/A N/A</v>
        <stp/>
        <stp>BDP|2592777660892091002</stp>
        <tr r="D4510" s="2"/>
      </tp>
      <tp t="s">
        <v>#N/A N/A</v>
        <stp/>
        <stp>BDP|3090886788386221403</stp>
        <tr r="C3043" s="2"/>
      </tp>
      <tp t="s">
        <v>#N/A N/A</v>
        <stp/>
        <stp>BDP|1372941646274684950</stp>
        <tr r="B974" s="2"/>
      </tp>
      <tp t="s">
        <v>#N/A N/A</v>
        <stp/>
        <stp>BDP|4370075888818809566</stp>
        <tr r="G1892" s="2"/>
      </tp>
      <tp t="s">
        <v>#N/A N/A</v>
        <stp/>
        <stp>BDP|8487580780033760792</stp>
        <tr r="C553" s="2"/>
      </tp>
      <tp t="s">
        <v>#N/A N/A</v>
        <stp/>
        <stp>BDP|7495072976303660212</stp>
        <tr r="A601" s="2"/>
      </tp>
      <tp t="s">
        <v>#N/A N/A</v>
        <stp/>
        <stp>BDP|1445541614656752219</stp>
        <tr r="I2961" s="2"/>
      </tp>
      <tp t="s">
        <v>#N/A N/A</v>
        <stp/>
        <stp>BDP|4540106161823659100</stp>
        <tr r="C1617" s="2"/>
      </tp>
      <tp t="s">
        <v>#N/A N/A</v>
        <stp/>
        <stp>BDP|5148249334496344303</stp>
        <tr r="G497" s="2"/>
      </tp>
      <tp t="s">
        <v>#N/A N/A</v>
        <stp/>
        <stp>BDP|8057596552711835819</stp>
        <tr r="A4280" s="2"/>
      </tp>
      <tp t="s">
        <v>#N/A N/A</v>
        <stp/>
        <stp>BDP|1630659257762273144</stp>
        <tr r="I2503" s="2"/>
      </tp>
      <tp t="s">
        <v>#N/A N/A</v>
        <stp/>
        <stp>BDP|6236389261037115585</stp>
        <tr r="B3165" s="2"/>
      </tp>
      <tp t="s">
        <v>#N/A N/A</v>
        <stp/>
        <stp>BDP|3025293916183987246</stp>
        <tr r="D546" s="2"/>
      </tp>
      <tp t="s">
        <v>#N/A N/A</v>
        <stp/>
        <stp>BDP|7883194822245663076</stp>
        <tr r="G1869" s="2"/>
      </tp>
      <tp t="s">
        <v>#N/A N/A</v>
        <stp/>
        <stp>BDP|8973839909029537843</stp>
        <tr r="C3833" s="2"/>
      </tp>
      <tp t="s">
        <v>#N/A N/A</v>
        <stp/>
        <stp>BDP|9274956534776889490</stp>
        <tr r="I2659" s="2"/>
      </tp>
      <tp t="s">
        <v>#N/A N/A</v>
        <stp/>
        <stp>BDP|9292875510288304940</stp>
        <tr r="F1672" s="2"/>
      </tp>
      <tp t="s">
        <v>#N/A N/A</v>
        <stp/>
        <stp>BDP|2620570022502337625</stp>
        <tr r="G12" s="2"/>
      </tp>
      <tp t="s">
        <v>#N/A N/A</v>
        <stp/>
        <stp>BDP|3718847877174077961</stp>
        <tr r="F4237" s="2"/>
      </tp>
      <tp t="s">
        <v>#N/A N/A</v>
        <stp/>
        <stp>BDP|6831402923904915508</stp>
        <tr r="A1722" s="2"/>
      </tp>
      <tp t="s">
        <v>#N/A N/A</v>
        <stp/>
        <stp>BDP|2696534326153848799</stp>
        <tr r="D971" s="2"/>
      </tp>
      <tp t="s">
        <v>#N/A N/A</v>
        <stp/>
        <stp>BDP|6378302249358867801</stp>
        <tr r="C641" s="2"/>
      </tp>
      <tp t="s">
        <v>#N/A N/A</v>
        <stp/>
        <stp>BDP|4668883018549595518</stp>
        <tr r="F2019" s="2"/>
      </tp>
      <tp t="s">
        <v>#N/A N/A</v>
        <stp/>
        <stp>BDP|1278075820017554527</stp>
        <tr r="D2320" s="2"/>
      </tp>
      <tp t="s">
        <v>#N/A N/A</v>
        <stp/>
        <stp>BDP|6331726857491645425</stp>
        <tr r="D1242" s="2"/>
      </tp>
      <tp t="s">
        <v>#N/A N/A</v>
        <stp/>
        <stp>BDP|2379732025403129563</stp>
        <tr r="B1214" s="2"/>
      </tp>
      <tp t="s">
        <v>#N/A N/A</v>
        <stp/>
        <stp>BDP|8637500124169861784</stp>
        <tr r="G206" s="2"/>
      </tp>
      <tp t="s">
        <v>#N/A N/A</v>
        <stp/>
        <stp>BDP|2721180382472907866</stp>
        <tr r="H3950" s="2"/>
      </tp>
      <tp t="s">
        <v>#N/A N/A</v>
        <stp/>
        <stp>BDP|2945295730223332110</stp>
        <tr r="I3521" s="2"/>
      </tp>
      <tp t="s">
        <v>#N/A N/A</v>
        <stp/>
        <stp>BDP|3054079267093140738</stp>
        <tr r="G4123" s="2"/>
      </tp>
      <tp t="s">
        <v>#N/A N/A</v>
        <stp/>
        <stp>BDP|3209548526853380618</stp>
        <tr r="C906" s="2"/>
      </tp>
      <tp t="s">
        <v>#N/A N/A</v>
        <stp/>
        <stp>BDP|4639247278680120093</stp>
        <tr r="B1002" s="2"/>
      </tp>
      <tp t="s">
        <v>#N/A N/A</v>
        <stp/>
        <stp>BDP|4510317510030428727</stp>
        <tr r="C3054" s="2"/>
      </tp>
      <tp t="s">
        <v>#N/A N/A</v>
        <stp/>
        <stp>BDP|9768513052600161876</stp>
        <tr r="I124" s="2"/>
      </tp>
      <tp t="s">
        <v>#N/A N/A</v>
        <stp/>
        <stp>BDP|5414094053131973051</stp>
        <tr r="H558" s="2"/>
      </tp>
      <tp t="s">
        <v>#N/A N/A</v>
        <stp/>
        <stp>BDP|5517222235585239027</stp>
        <tr r="I1211" s="2"/>
      </tp>
      <tp t="s">
        <v>#N/A N/A</v>
        <stp/>
        <stp>BDP|4759016366372268104</stp>
        <tr r="H2501" s="2"/>
      </tp>
      <tp t="s">
        <v>#N/A N/A</v>
        <stp/>
        <stp>BDP|7407722562226675105</stp>
        <tr r="C4130" s="2"/>
      </tp>
      <tp t="s">
        <v>#N/A N/A</v>
        <stp/>
        <stp>BDP|5635044851286136704</stp>
        <tr r="I2612" s="2"/>
      </tp>
      <tp t="s">
        <v>#N/A N/A</v>
        <stp/>
        <stp>BDP|7574674331067932482</stp>
        <tr r="F4140" s="2"/>
      </tp>
      <tp t="s">
        <v>#N/A N/A</v>
        <stp/>
        <stp>BDP|2298604733753693551</stp>
        <tr r="H2785" s="2"/>
      </tp>
      <tp t="s">
        <v>#N/A N/A</v>
        <stp/>
        <stp>BDP|2953484437487675320</stp>
        <tr r="D663" s="2"/>
      </tp>
      <tp t="s">
        <v>#N/A N/A</v>
        <stp/>
        <stp>BDP|1219374775164748055</stp>
        <tr r="B3462" s="2"/>
      </tp>
      <tp t="s">
        <v>#N/A N/A</v>
        <stp/>
        <stp>BDP|2440062461343059615</stp>
        <tr r="D554" s="2"/>
      </tp>
      <tp t="s">
        <v>#N/A N/A</v>
        <stp/>
        <stp>BDP|7430760443274454170</stp>
        <tr r="A4170" s="2"/>
      </tp>
      <tp t="s">
        <v>#N/A N/A</v>
        <stp/>
        <stp>BDP|2493839129501423883</stp>
        <tr r="G4960" s="2"/>
      </tp>
      <tp t="s">
        <v>#N/A N/A</v>
        <stp/>
        <stp>BDP|1314073788750785899</stp>
        <tr r="I4382" s="2"/>
      </tp>
      <tp t="s">
        <v>#N/A N/A</v>
        <stp/>
        <stp>BDP|5346544714295063510</stp>
        <tr r="B1640" s="2"/>
      </tp>
      <tp t="s">
        <v>#N/A N/A</v>
        <stp/>
        <stp>BDP|6114544791282720911</stp>
        <tr r="B1615" s="2"/>
      </tp>
      <tp t="s">
        <v>#N/A N/A</v>
        <stp/>
        <stp>BDP|1317640951085642622</stp>
        <tr r="G533" s="2"/>
      </tp>
      <tp t="s">
        <v>#N/A N/A</v>
        <stp/>
        <stp>BDP|6315447075735462140</stp>
        <tr r="G2347" s="2"/>
      </tp>
      <tp t="s">
        <v>#N/A N/A</v>
        <stp/>
        <stp>BDP|3473722665125306623</stp>
        <tr r="B4706" s="2"/>
      </tp>
      <tp t="s">
        <v>#N/A N/A</v>
        <stp/>
        <stp>BDP|5722605057307103033</stp>
        <tr r="D374" s="2"/>
      </tp>
      <tp t="s">
        <v>#N/A N/A</v>
        <stp/>
        <stp>BDP|7612724211048575825</stp>
        <tr r="I2772" s="2"/>
      </tp>
      <tp t="s">
        <v>#N/A N/A</v>
        <stp/>
        <stp>BDP|8252864214360734056</stp>
        <tr r="F4276" s="2"/>
      </tp>
      <tp t="s">
        <v>#N/A N/A</v>
        <stp/>
        <stp>BDP|1287968254515527970</stp>
        <tr r="B3235" s="2"/>
      </tp>
      <tp t="s">
        <v>#N/A N/A</v>
        <stp/>
        <stp>BDP|3772863091385574677</stp>
        <tr r="C336" s="2"/>
      </tp>
      <tp t="s">
        <v>#N/A N/A</v>
        <stp/>
        <stp>BDP|6992208148594064535</stp>
        <tr r="F1861" s="2"/>
      </tp>
      <tp t="s">
        <v>#N/A N/A</v>
        <stp/>
        <stp>BDP|5295611017282355158</stp>
        <tr r="F4488" s="2"/>
      </tp>
      <tp t="s">
        <v>#N/A N/A</v>
        <stp/>
        <stp>BDP|5382518643366762343</stp>
        <tr r="B4272" s="2"/>
      </tp>
      <tp t="s">
        <v>#N/A N/A</v>
        <stp/>
        <stp>BDP|4987476327952820133</stp>
        <tr r="D633" s="2"/>
      </tp>
      <tp t="s">
        <v>#N/A N/A</v>
        <stp/>
        <stp>BDP|6849147541060946261</stp>
        <tr r="G4094" s="2"/>
      </tp>
      <tp t="s">
        <v>#N/A N/A</v>
        <stp/>
        <stp>BDP|2220736901645450161</stp>
        <tr r="A2374" s="2"/>
      </tp>
      <tp t="s">
        <v>#N/A N/A</v>
        <stp/>
        <stp>BDP|5336548833703494123</stp>
        <tr r="H4273" s="2"/>
      </tp>
      <tp t="s">
        <v>#N/A N/A</v>
        <stp/>
        <stp>BDP|7327047839242851744</stp>
        <tr r="C3273" s="2"/>
      </tp>
      <tp t="s">
        <v>#N/A N/A</v>
        <stp/>
        <stp>BDP|3773309141774641134</stp>
        <tr r="C3797" s="2"/>
      </tp>
      <tp t="s">
        <v>#N/A N/A</v>
        <stp/>
        <stp>BDP|2548635854779971988</stp>
        <tr r="I2462" s="2"/>
      </tp>
      <tp t="s">
        <v>#N/A N/A</v>
        <stp/>
        <stp>BDP|2589606450357435727</stp>
        <tr r="F2397" s="2"/>
      </tp>
      <tp t="s">
        <v>#N/A N/A</v>
        <stp/>
        <stp>BDP|9995021991448140981</stp>
        <tr r="G4694" s="2"/>
      </tp>
      <tp t="s">
        <v>#N/A N/A</v>
        <stp/>
        <stp>BDP|8620949012231265014</stp>
        <tr r="F3839" s="2"/>
      </tp>
      <tp t="s">
        <v>#N/A N/A</v>
        <stp/>
        <stp>BDP|4570706732800406102</stp>
        <tr r="B2770" s="2"/>
      </tp>
      <tp t="s">
        <v>#N/A N/A</v>
        <stp/>
        <stp>BDP|9252918234184019646</stp>
        <tr r="C565" s="2"/>
      </tp>
      <tp t="s">
        <v>#N/A N/A</v>
        <stp/>
        <stp>BDP|7589867897002452531</stp>
        <tr r="C4419" s="2"/>
      </tp>
      <tp t="s">
        <v>#N/A N/A</v>
        <stp/>
        <stp>BDP|8465246790797750549</stp>
        <tr r="G3905" s="2"/>
      </tp>
      <tp t="s">
        <v>#N/A N/A</v>
        <stp/>
        <stp>BDP|3290214807548758807</stp>
        <tr r="H2298" s="2"/>
      </tp>
      <tp t="s">
        <v>#N/A N/A</v>
        <stp/>
        <stp>BDP|2703207453874017074</stp>
        <tr r="C4271" s="2"/>
      </tp>
      <tp t="s">
        <v>#N/A N/A</v>
        <stp/>
        <stp>BDP|2891629377494889666</stp>
        <tr r="G4902" s="2"/>
      </tp>
      <tp t="s">
        <v>#N/A N/A</v>
        <stp/>
        <stp>BDP|1911005709033076339</stp>
        <tr r="B2252" s="2"/>
      </tp>
      <tp t="s">
        <v>#N/A N/A</v>
        <stp/>
        <stp>BDP|6026670759991565587</stp>
        <tr r="G4964" s="2"/>
      </tp>
      <tp t="s">
        <v>#N/A N/A</v>
        <stp/>
        <stp>BDP|9025274784960949291</stp>
        <tr r="A1710" s="2"/>
      </tp>
      <tp t="s">
        <v>#N/A N/A</v>
        <stp/>
        <stp>BDP|4684438065154350309</stp>
        <tr r="G4589" s="2"/>
      </tp>
      <tp t="s">
        <v>#N/A N/A</v>
        <stp/>
        <stp>BDP|8563606596246363039</stp>
        <tr r="G4325" s="2"/>
      </tp>
      <tp t="s">
        <v>#N/A N/A</v>
        <stp/>
        <stp>BDP|8107235942378090732</stp>
        <tr r="G2913" s="2"/>
      </tp>
      <tp t="s">
        <v>#N/A N/A</v>
        <stp/>
        <stp>BDP|4218296165833428291</stp>
        <tr r="H367" s="2"/>
      </tp>
      <tp t="s">
        <v>#N/A N/A</v>
        <stp/>
        <stp>BDP|9103770470060258879</stp>
        <tr r="D194" s="2"/>
      </tp>
      <tp t="s">
        <v>#N/A N/A</v>
        <stp/>
        <stp>BDP|7011753087258780167</stp>
        <tr r="I2349" s="2"/>
      </tp>
      <tp t="s">
        <v>#N/A N/A</v>
        <stp/>
        <stp>BDP|2804116081712280896</stp>
        <tr r="A1375" s="2"/>
      </tp>
      <tp t="s">
        <v>#N/A N/A</v>
        <stp/>
        <stp>BDP|6403816355712477879</stp>
        <tr r="F594" s="2"/>
      </tp>
      <tp t="s">
        <v>#N/A N/A</v>
        <stp/>
        <stp>BDP|7065778302657765611</stp>
        <tr r="I4234" s="2"/>
      </tp>
      <tp t="s">
        <v>#N/A N/A</v>
        <stp/>
        <stp>BDP|9136274688685478799</stp>
        <tr r="I3310" s="2"/>
      </tp>
      <tp t="s">
        <v>#N/A N/A</v>
        <stp/>
        <stp>BDP|5413704425638490964</stp>
        <tr r="C168" s="2"/>
      </tp>
      <tp t="s">
        <v>#N/A N/A</v>
        <stp/>
        <stp>BDP|3627239741431761507</stp>
        <tr r="B1580" s="2"/>
      </tp>
      <tp t="s">
        <v>#N/A N/A</v>
        <stp/>
        <stp>BDP|5708032052833574203</stp>
        <tr r="D4743" s="2"/>
      </tp>
      <tp t="s">
        <v>#N/A N/A</v>
        <stp/>
        <stp>BDP|8621285298144603637</stp>
        <tr r="I873" s="2"/>
      </tp>
      <tp t="s">
        <v>#N/A N/A</v>
        <stp/>
        <stp>BDP|5037787310560245294</stp>
        <tr r="I2947" s="2"/>
      </tp>
      <tp t="s">
        <v>#N/A N/A</v>
        <stp/>
        <stp>BDP|7411973793867732148</stp>
        <tr r="G725" s="2"/>
      </tp>
      <tp t="s">
        <v>#N/A N/A</v>
        <stp/>
        <stp>BDP|9935746549572529923</stp>
        <tr r="H4388" s="2"/>
      </tp>
      <tp t="s">
        <v>#N/A N/A</v>
        <stp/>
        <stp>BDP|3948654728176610011</stp>
        <tr r="I177" s="2"/>
      </tp>
      <tp t="s">
        <v>#N/A N/A</v>
        <stp/>
        <stp>BDP|3106677894754570946</stp>
        <tr r="C469" s="2"/>
      </tp>
      <tp t="s">
        <v>#N/A N/A</v>
        <stp/>
        <stp>BDP|9240123834488574224</stp>
        <tr r="H4499" s="2"/>
      </tp>
      <tp t="s">
        <v>#N/A N/A</v>
        <stp/>
        <stp>BDP|4181507149052885637</stp>
        <tr r="G4683" s="2"/>
      </tp>
      <tp t="s">
        <v>#N/A N/A</v>
        <stp/>
        <stp>BDP|4857046400957996263</stp>
        <tr r="D3448" s="2"/>
      </tp>
      <tp t="s">
        <v>#N/A N/A</v>
        <stp/>
        <stp>BDP|7857020579456375736</stp>
        <tr r="H2806" s="2"/>
      </tp>
      <tp t="s">
        <v>#N/A N/A</v>
        <stp/>
        <stp>BDP|8864972144652122690</stp>
        <tr r="I2116" s="2"/>
      </tp>
      <tp t="s">
        <v>#N/A N/A</v>
        <stp/>
        <stp>BDP|3618709215445546158</stp>
        <tr r="I2640" s="2"/>
      </tp>
      <tp t="s">
        <v>#N/A N/A</v>
        <stp/>
        <stp>BDP|5059506400978632959</stp>
        <tr r="C3003" s="2"/>
      </tp>
      <tp t="s">
        <v>#N/A N/A</v>
        <stp/>
        <stp>BDP|5081869368033579986</stp>
        <tr r="G461" s="2"/>
      </tp>
      <tp t="s">
        <v>#N/A N/A</v>
        <stp/>
        <stp>BDP|7365790721421954214</stp>
        <tr r="C2589" s="2"/>
      </tp>
      <tp t="s">
        <v>#N/A N/A</v>
        <stp/>
        <stp>BDP|8301951453920033568</stp>
        <tr r="C3755" s="2"/>
      </tp>
      <tp t="s">
        <v>#N/A N/A</v>
        <stp/>
        <stp>BDP|5021255876563108211</stp>
        <tr r="D2725" s="2"/>
      </tp>
      <tp t="s">
        <v>#N/A N/A</v>
        <stp/>
        <stp>BDP|3504360944953185652</stp>
        <tr r="C1237" s="2"/>
      </tp>
      <tp t="s">
        <v>#N/A N/A</v>
        <stp/>
        <stp>BDP|7521368611086501249</stp>
        <tr r="H3772" s="2"/>
      </tp>
      <tp t="s">
        <v>#N/A N/A</v>
        <stp/>
        <stp>BDP|6451494134592216286</stp>
        <tr r="A3121" s="2"/>
      </tp>
      <tp t="s">
        <v>#N/A N/A</v>
        <stp/>
        <stp>BDP|5490742755576459028</stp>
        <tr r="F2701" s="2"/>
      </tp>
      <tp t="s">
        <v>#N/A N/A</v>
        <stp/>
        <stp>BDP|6366450313946595434</stp>
        <tr r="G2926" s="2"/>
      </tp>
      <tp t="s">
        <v>#N/A N/A</v>
        <stp/>
        <stp>BDP|7132963411439637735</stp>
        <tr r="C4980" s="2"/>
      </tp>
      <tp t="s">
        <v>#N/A N/A</v>
        <stp/>
        <stp>BDP|5057945240899483032</stp>
        <tr r="I1926" s="2"/>
      </tp>
      <tp t="s">
        <v>#N/A N/A</v>
        <stp/>
        <stp>BDP|5705066529275239392</stp>
        <tr r="B1091" s="2"/>
      </tp>
      <tp t="s">
        <v>#N/A N/A</v>
        <stp/>
        <stp>BDP|4326279504822659553</stp>
        <tr r="G384" s="2"/>
      </tp>
      <tp t="s">
        <v>#N/A N/A</v>
        <stp/>
        <stp>BDP|5085550825456083531</stp>
        <tr r="D4113" s="2"/>
      </tp>
      <tp t="s">
        <v>#N/A N/A</v>
        <stp/>
        <stp>BDP|1666364738156316686</stp>
        <tr r="G1660" s="2"/>
      </tp>
      <tp t="s">
        <v>#N/A N/A</v>
        <stp/>
        <stp>BDP|7154407161116766241</stp>
        <tr r="B4905" s="2"/>
      </tp>
      <tp t="s">
        <v>#N/A N/A</v>
        <stp/>
        <stp>BDP|7496459135830046178</stp>
        <tr r="G827" s="2"/>
      </tp>
      <tp t="s">
        <v>#N/A N/A</v>
        <stp/>
        <stp>BDP|6478333457185278416</stp>
        <tr r="D1764" s="2"/>
      </tp>
      <tp t="s">
        <v>#N/A N/A</v>
        <stp/>
        <stp>BDP|7206155036493721757</stp>
        <tr r="F206" s="2"/>
      </tp>
      <tp t="s">
        <v>#N/A N/A</v>
        <stp/>
        <stp>BDP|2066875507832596965</stp>
        <tr r="D2329" s="2"/>
      </tp>
      <tp t="s">
        <v>#N/A N/A</v>
        <stp/>
        <stp>BDP|1670242420631010115</stp>
        <tr r="I4998" s="2"/>
      </tp>
      <tp t="s">
        <v>#N/A N/A</v>
        <stp/>
        <stp>BDP|1715126311200546026</stp>
        <tr r="A412" s="2"/>
      </tp>
      <tp t="s">
        <v>#N/A N/A</v>
        <stp/>
        <stp>BDP|8146841363710314764</stp>
        <tr r="H4855" s="2"/>
      </tp>
      <tp t="s">
        <v>#N/A N/A</v>
        <stp/>
        <stp>BDP|1474641483278216622</stp>
        <tr r="A4036" s="2"/>
      </tp>
      <tp t="s">
        <v>#N/A N/A</v>
        <stp/>
        <stp>BDP|6242907246039152361</stp>
        <tr r="H1070" s="2"/>
      </tp>
      <tp t="s">
        <v>#N/A N/A</v>
        <stp/>
        <stp>BDP|6785970420974474871</stp>
        <tr r="I2181" s="2"/>
      </tp>
      <tp t="s">
        <v>#N/A N/A</v>
        <stp/>
        <stp>BDP|4204132588194235887</stp>
        <tr r="I4527" s="2"/>
      </tp>
      <tp t="s">
        <v>#N/A N/A</v>
        <stp/>
        <stp>BDP|2527797041486716697</stp>
        <tr r="C2029" s="2"/>
      </tp>
      <tp t="s">
        <v>#N/A N/A</v>
        <stp/>
        <stp>BDP|1376685963545380588</stp>
        <tr r="H3298" s="2"/>
      </tp>
      <tp t="s">
        <v>#N/A N/A</v>
        <stp/>
        <stp>BDP|6691266403230320539</stp>
        <tr r="F3754" s="2"/>
      </tp>
      <tp t="s">
        <v>#N/A N/A</v>
        <stp/>
        <stp>BDP|2822436829380605571</stp>
        <tr r="G1889" s="2"/>
      </tp>
      <tp t="s">
        <v>#N/A N/A</v>
        <stp/>
        <stp>BDP|3867986074499063574</stp>
        <tr r="C4575" s="2"/>
      </tp>
      <tp t="s">
        <v>#N/A N/A</v>
        <stp/>
        <stp>BDP|7639623026332957080</stp>
        <tr r="C4554" s="2"/>
      </tp>
      <tp t="s">
        <v>#N/A N/A</v>
        <stp/>
        <stp>BDP|7012740150102582611</stp>
        <tr r="B3584" s="2"/>
      </tp>
      <tp t="s">
        <v>#N/A N/A</v>
        <stp/>
        <stp>BDP|2622996745978310695</stp>
        <tr r="G1126" s="2"/>
      </tp>
      <tp t="s">
        <v>#N/A N/A</v>
        <stp/>
        <stp>BDP|9638279200228083219</stp>
        <tr r="B2665" s="2"/>
      </tp>
      <tp t="s">
        <v>#N/A N/A</v>
        <stp/>
        <stp>BDP|3858893654327185845</stp>
        <tr r="A1152" s="2"/>
      </tp>
      <tp t="s">
        <v>#N/A N/A</v>
        <stp/>
        <stp>BDP|2384671160431622224</stp>
        <tr r="A4853" s="2"/>
      </tp>
      <tp t="s">
        <v>#N/A N/A</v>
        <stp/>
        <stp>BDP|4276767630088581913</stp>
        <tr r="H4553" s="2"/>
      </tp>
      <tp t="s">
        <v>#N/A N/A</v>
        <stp/>
        <stp>BDP|6923463131840816062</stp>
        <tr r="G1183" s="2"/>
      </tp>
      <tp t="s">
        <v>#N/A N/A</v>
        <stp/>
        <stp>BDP|2336233754243718739</stp>
        <tr r="B4316" s="2"/>
      </tp>
      <tp t="s">
        <v>#N/A N/A</v>
        <stp/>
        <stp>BDP|5240019738891883637</stp>
        <tr r="C808" s="2"/>
      </tp>
      <tp t="s">
        <v>#N/A N/A</v>
        <stp/>
        <stp>BDP|2952435199277380907</stp>
        <tr r="B1235" s="2"/>
      </tp>
      <tp t="s">
        <v>#N/A N/A</v>
        <stp/>
        <stp>BDP|4158732119006837539</stp>
        <tr r="I1159" s="2"/>
      </tp>
      <tp t="s">
        <v>#N/A N/A</v>
        <stp/>
        <stp>BDP|2881830477245949953</stp>
        <tr r="B2708" s="2"/>
      </tp>
      <tp t="s">
        <v>#N/A N/A</v>
        <stp/>
        <stp>BDP|5120286603775384397</stp>
        <tr r="H3150" s="2"/>
      </tp>
      <tp t="s">
        <v>#N/A N/A</v>
        <stp/>
        <stp>BDP|2050103030240184110</stp>
        <tr r="D806" s="2"/>
      </tp>
      <tp t="s">
        <v>#N/A N/A</v>
        <stp/>
        <stp>BDP|7290627192221243804</stp>
        <tr r="G4409" s="2"/>
      </tp>
      <tp t="s">
        <v>#N/A N/A</v>
        <stp/>
        <stp>BDP|8274841005766351708</stp>
        <tr r="C3614" s="2"/>
      </tp>
      <tp t="s">
        <v>#N/A N/A</v>
        <stp/>
        <stp>BDP|8778153727749388367</stp>
        <tr r="B185" s="2"/>
      </tp>
      <tp t="s">
        <v>#N/A N/A</v>
        <stp/>
        <stp>BDP|7174065055700408369</stp>
        <tr r="D1273" s="2"/>
      </tp>
      <tp t="s">
        <v>#N/A N/A</v>
        <stp/>
        <stp>BDP|3220469222056719216</stp>
        <tr r="G1692" s="2"/>
      </tp>
      <tp t="s">
        <v>#N/A N/A</v>
        <stp/>
        <stp>BDP|8262231685592565118</stp>
        <tr r="C1959" s="2"/>
      </tp>
      <tp t="s">
        <v>#N/A N/A</v>
        <stp/>
        <stp>BDP|1897101329864080717</stp>
        <tr r="G4617" s="2"/>
      </tp>
      <tp t="s">
        <v>#N/A N/A</v>
        <stp/>
        <stp>BDP|1129931689018292995</stp>
        <tr r="C3221" s="2"/>
      </tp>
      <tp t="s">
        <v>#N/A N/A</v>
        <stp/>
        <stp>BDP|1486253656487217051</stp>
        <tr r="I2780" s="2"/>
      </tp>
      <tp t="s">
        <v>#N/A N/A</v>
        <stp/>
        <stp>BDP|8558635694825333314</stp>
        <tr r="G1723" s="2"/>
      </tp>
      <tp t="s">
        <v>#N/A N/A</v>
        <stp/>
        <stp>BDP|2552226920120083375</stp>
        <tr r="C2253" s="2"/>
      </tp>
      <tp t="s">
        <v>#N/A N/A</v>
        <stp/>
        <stp>BDP|7350722616951579126</stp>
        <tr r="D4832" s="2"/>
      </tp>
      <tp t="s">
        <v>#N/A N/A</v>
        <stp/>
        <stp>BDP|1517344611070620269</stp>
        <tr r="D2286" s="2"/>
      </tp>
      <tp t="s">
        <v>#N/A N/A</v>
        <stp/>
        <stp>BDP|2821120595969932266</stp>
        <tr r="G1533" s="2"/>
      </tp>
      <tp t="s">
        <v>#N/A N/A</v>
        <stp/>
        <stp>BDP|1492922334422002821</stp>
        <tr r="D1460" s="2"/>
      </tp>
      <tp t="s">
        <v>#N/A N/A</v>
        <stp/>
        <stp>BDP|4849258566490954123</stp>
        <tr r="F2711" s="2"/>
      </tp>
      <tp t="s">
        <v>#N/A N/A</v>
        <stp/>
        <stp>BDP|2588369245703686700</stp>
        <tr r="B2550" s="2"/>
      </tp>
      <tp t="s">
        <v>#N/A N/A</v>
        <stp/>
        <stp>BDP|8652881579932658416</stp>
        <tr r="G4125" s="2"/>
      </tp>
      <tp t="s">
        <v>#N/A N/A</v>
        <stp/>
        <stp>BDP|9061510717238761413</stp>
        <tr r="I1201" s="2"/>
      </tp>
      <tp t="s">
        <v>#N/A N/A</v>
        <stp/>
        <stp>BDP|9137095846525644986</stp>
        <tr r="F415" s="2"/>
      </tp>
      <tp t="s">
        <v>#N/A N/A</v>
        <stp/>
        <stp>BDP|3014364372027373172</stp>
        <tr r="D1294" s="2"/>
      </tp>
      <tp t="s">
        <v>#N/A N/A</v>
        <stp/>
        <stp>BDP|1847304021124092598</stp>
        <tr r="F4443" s="2"/>
      </tp>
      <tp t="s">
        <v>#N/A N/A</v>
        <stp/>
        <stp>BDP|9511421315228170535</stp>
        <tr r="A3914" s="2"/>
      </tp>
      <tp t="s">
        <v>#N/A N/A</v>
        <stp/>
        <stp>BDP|6338166434420823593</stp>
        <tr r="H3712" s="2"/>
      </tp>
      <tp t="s">
        <v>#N/A N/A</v>
        <stp/>
        <stp>BDP|6185729263436130015</stp>
        <tr r="A3784" s="2"/>
      </tp>
      <tp t="s">
        <v>#N/A N/A</v>
        <stp/>
        <stp>BDP|4387806060678225319</stp>
        <tr r="C1058" s="2"/>
      </tp>
      <tp t="s">
        <v>#N/A N/A</v>
        <stp/>
        <stp>BDP|2104725283134645863</stp>
        <tr r="C3686" s="2"/>
      </tp>
      <tp t="s">
        <v>#N/A N/A</v>
        <stp/>
        <stp>BDP|4660766511613704065</stp>
        <tr r="A4430" s="2"/>
      </tp>
      <tp t="s">
        <v>#N/A N/A</v>
        <stp/>
        <stp>BDP|8342443687524494148</stp>
        <tr r="D765" s="2"/>
      </tp>
      <tp t="s">
        <v>#N/A N/A</v>
        <stp/>
        <stp>BDP|9500622000548226656</stp>
        <tr r="A225" s="2"/>
      </tp>
      <tp t="s">
        <v>#N/A N/A</v>
        <stp/>
        <stp>BDP|3794148333703314334</stp>
        <tr r="D2478" s="2"/>
      </tp>
      <tp t="s">
        <v>#N/A N/A</v>
        <stp/>
        <stp>BDP|3209929115828712223</stp>
        <tr r="F4958" s="2"/>
      </tp>
      <tp t="s">
        <v>#N/A N/A</v>
        <stp/>
        <stp>BDP|1757712857455543744</stp>
        <tr r="D1327" s="2"/>
      </tp>
      <tp t="s">
        <v>#N/A N/A</v>
        <stp/>
        <stp>BDP|9342671183341762702</stp>
        <tr r="B2373" s="2"/>
      </tp>
      <tp t="s">
        <v>#N/A N/A</v>
        <stp/>
        <stp>BDP|5195553017556282615</stp>
        <tr r="I169" s="2"/>
      </tp>
      <tp t="s">
        <v>#N/A N/A</v>
        <stp/>
        <stp>BDP|1453223082292659823</stp>
        <tr r="C937" s="2"/>
      </tp>
      <tp t="s">
        <v>#N/A N/A</v>
        <stp/>
        <stp>BDP|8254954016129808892</stp>
        <tr r="H776" s="2"/>
      </tp>
      <tp t="s">
        <v>#N/A N/A</v>
        <stp/>
        <stp>BDP|8568612692755314350</stp>
        <tr r="D701" s="2"/>
      </tp>
      <tp t="s">
        <v>#N/A N/A</v>
        <stp/>
        <stp>BDP|2716602837116217021</stp>
        <tr r="D439" s="2"/>
      </tp>
      <tp t="s">
        <v>#N/A N/A</v>
        <stp/>
        <stp>BDP|9633869630393785073</stp>
        <tr r="D1303" s="2"/>
      </tp>
      <tp t="s">
        <v>#N/A N/A</v>
        <stp/>
        <stp>BDP|6478536054421450672</stp>
        <tr r="C2720" s="2"/>
      </tp>
      <tp t="s">
        <v>#N/A N/A</v>
        <stp/>
        <stp>BDP|8034065612200596818</stp>
        <tr r="D461" s="2"/>
      </tp>
      <tp t="s">
        <v>#N/A N/A</v>
        <stp/>
        <stp>BDP|7554402005252657065</stp>
        <tr r="I415" s="2"/>
      </tp>
      <tp t="s">
        <v>#N/A N/A</v>
        <stp/>
        <stp>BDP|1305244520664625415</stp>
        <tr r="G1684" s="2"/>
      </tp>
      <tp t="s">
        <v>#N/A N/A</v>
        <stp/>
        <stp>BDP|2028700082929693547</stp>
        <tr r="I1255" s="2"/>
      </tp>
      <tp t="s">
        <v>#N/A N/A</v>
        <stp/>
        <stp>BDP|1245067115838682977</stp>
        <tr r="H143" s="2"/>
      </tp>
      <tp t="s">
        <v>#N/A N/A</v>
        <stp/>
        <stp>BDP|1082915744859490418</stp>
        <tr r="F2639" s="2"/>
      </tp>
      <tp t="s">
        <v>#N/A N/A</v>
        <stp/>
        <stp>BDP|3532160301397419465</stp>
        <tr r="C3209" s="2"/>
      </tp>
      <tp t="s">
        <v>#N/A N/A</v>
        <stp/>
        <stp>BDP|4945087302825366009</stp>
        <tr r="D1248" s="2"/>
      </tp>
      <tp t="s">
        <v>#N/A N/A</v>
        <stp/>
        <stp>BDP|1378338453972564464</stp>
        <tr r="D4518" s="2"/>
      </tp>
      <tp t="s">
        <v>#N/A N/A</v>
        <stp/>
        <stp>BDP|9788769721989488444</stp>
        <tr r="B1252" s="2"/>
      </tp>
      <tp t="s">
        <v>#N/A N/A</v>
        <stp/>
        <stp>BDP|7492297858714490514</stp>
        <tr r="A1110" s="2"/>
      </tp>
      <tp t="s">
        <v>#N/A N/A</v>
        <stp/>
        <stp>BDP|9228756070861795901</stp>
        <tr r="B3747" s="2"/>
      </tp>
      <tp t="s">
        <v>#N/A N/A</v>
        <stp/>
        <stp>BDP|3141252874662868581</stp>
        <tr r="I591" s="2"/>
      </tp>
      <tp t="s">
        <v>#N/A N/A</v>
        <stp/>
        <stp>BDP|5120370950583710111</stp>
        <tr r="H502" s="2"/>
      </tp>
      <tp t="s">
        <v>#N/A N/A</v>
        <stp/>
        <stp>BDP|7318732232585500771</stp>
        <tr r="H2490" s="2"/>
      </tp>
      <tp t="s">
        <v>#N/A N/A</v>
        <stp/>
        <stp>BDP|2032235142186747364</stp>
        <tr r="F4828" s="2"/>
      </tp>
      <tp t="s">
        <v>#N/A N/A</v>
        <stp/>
        <stp>BDP|5356554618181770190</stp>
        <tr r="C1263" s="2"/>
      </tp>
      <tp t="s">
        <v>#N/A N/A</v>
        <stp/>
        <stp>BDP|5707657770191473466</stp>
        <tr r="F4174" s="2"/>
      </tp>
      <tp t="s">
        <v>#N/A N/A</v>
        <stp/>
        <stp>BDP|2394220635512197053</stp>
        <tr r="C796" s="2"/>
      </tp>
      <tp t="s">
        <v>#N/A N/A</v>
        <stp/>
        <stp>BDP|8361767475158925194</stp>
        <tr r="I1977" s="2"/>
      </tp>
      <tp t="s">
        <v>#N/A N/A</v>
        <stp/>
        <stp>BDP|1466782439335027153</stp>
        <tr r="A1461" s="2"/>
      </tp>
      <tp t="s">
        <v>#N/A N/A</v>
        <stp/>
        <stp>BDP|4220297246767416495</stp>
        <tr r="I224" s="2"/>
      </tp>
      <tp t="s">
        <v>#N/A N/A</v>
        <stp/>
        <stp>BDP|5780171790919124514</stp>
        <tr r="D1588" s="2"/>
      </tp>
      <tp t="s">
        <v>#N/A N/A</v>
        <stp/>
        <stp>BDP|4550612848304954357</stp>
        <tr r="G1951" s="2"/>
      </tp>
      <tp t="s">
        <v>#N/A N/A</v>
        <stp/>
        <stp>BDP|4217902895102122766</stp>
        <tr r="C2771" s="2"/>
      </tp>
      <tp t="s">
        <v>#N/A N/A</v>
        <stp/>
        <stp>BDP|2237563994849663668</stp>
        <tr r="D849" s="2"/>
      </tp>
      <tp t="s">
        <v>#N/A N/A</v>
        <stp/>
        <stp>BDP|2256917959307316896</stp>
        <tr r="C634" s="2"/>
      </tp>
      <tp t="s">
        <v>#N/A N/A</v>
        <stp/>
        <stp>BDP|4286741120457147760</stp>
        <tr r="D3061" s="2"/>
      </tp>
      <tp t="s">
        <v>#N/A N/A</v>
        <stp/>
        <stp>BDP|4865796557814366347</stp>
        <tr r="H2908" s="2"/>
      </tp>
      <tp t="s">
        <v>#N/A N/A</v>
        <stp/>
        <stp>BDP|1125619331736264323</stp>
        <tr r="A765" s="2"/>
      </tp>
      <tp t="s">
        <v>#N/A N/A</v>
        <stp/>
        <stp>BDP|1226358016203517150</stp>
        <tr r="H4003" s="2"/>
      </tp>
      <tp t="s">
        <v>#N/A N/A</v>
        <stp/>
        <stp>BDP|5012578787678471151</stp>
        <tr r="B2605" s="2"/>
      </tp>
      <tp t="s">
        <v>#N/A N/A</v>
        <stp/>
        <stp>BDP|3878736704333734698</stp>
        <tr r="D4466" s="2"/>
      </tp>
      <tp t="s">
        <v>#N/A N/A</v>
        <stp/>
        <stp>BDP|5102596660651118688</stp>
        <tr r="B1403" s="2"/>
      </tp>
      <tp t="s">
        <v>#N/A N/A</v>
        <stp/>
        <stp>BDP|6074875510816709813</stp>
        <tr r="H1784" s="2"/>
      </tp>
      <tp t="s">
        <v>#N/A N/A</v>
        <stp/>
        <stp>BDP|1938452908182712628</stp>
        <tr r="I2101" s="2"/>
      </tp>
      <tp t="s">
        <v>#N/A N/A</v>
        <stp/>
        <stp>BDP|2956045764442851709</stp>
        <tr r="F4555" s="2"/>
      </tp>
      <tp t="s">
        <v>#N/A N/A</v>
        <stp/>
        <stp>BDP|5513783769166196342</stp>
        <tr r="H2962" s="2"/>
      </tp>
      <tp t="s">
        <v>#N/A N/A</v>
        <stp/>
        <stp>BDP|1571999683162653382</stp>
        <tr r="A3106" s="2"/>
      </tp>
      <tp t="s">
        <v>#N/A N/A</v>
        <stp/>
        <stp>BDP|2110239811321213102</stp>
        <tr r="A3295" s="2"/>
      </tp>
      <tp t="s">
        <v>#N/A N/A</v>
        <stp/>
        <stp>BDP|2056238231163048130</stp>
        <tr r="I4269" s="2"/>
      </tp>
      <tp t="s">
        <v>#N/A N/A</v>
        <stp/>
        <stp>BDP|4230474702949308856</stp>
        <tr r="G928" s="2"/>
      </tp>
      <tp t="s">
        <v>#N/A N/A</v>
        <stp/>
        <stp>BDP|1630615699637885873</stp>
        <tr r="G4135" s="2"/>
      </tp>
      <tp t="s">
        <v>#N/A N/A</v>
        <stp/>
        <stp>BDP|2760762623851731744</stp>
        <tr r="H603" s="2"/>
      </tp>
      <tp t="s">
        <v>#N/A N/A</v>
        <stp/>
        <stp>BDP|1013912671929324723</stp>
        <tr r="I244" s="2"/>
      </tp>
      <tp t="s">
        <v>#N/A N/A</v>
        <stp/>
        <stp>BDP|2806008599488366231</stp>
        <tr r="F4924" s="2"/>
      </tp>
      <tp t="s">
        <v>#N/A N/A</v>
        <stp/>
        <stp>BDP|7503832180002599420</stp>
        <tr r="C3081" s="2"/>
      </tp>
      <tp t="s">
        <v>#N/A N/A</v>
        <stp/>
        <stp>BDP|8796095386002041392</stp>
        <tr r="H3866" s="2"/>
      </tp>
      <tp t="s">
        <v>#N/A N/A</v>
        <stp/>
        <stp>BDP|3090787525435803240</stp>
        <tr r="B4840" s="2"/>
      </tp>
      <tp t="s">
        <v>#N/A N/A</v>
        <stp/>
        <stp>BDP|9105253283880351254</stp>
        <tr r="B3997" s="2"/>
      </tp>
      <tp t="s">
        <v>#N/A N/A</v>
        <stp/>
        <stp>BDP|3550266804972277247</stp>
        <tr r="I2244" s="2"/>
      </tp>
      <tp t="s">
        <v>#N/A N/A</v>
        <stp/>
        <stp>BDP|8452967841437740358</stp>
        <tr r="F1189" s="2"/>
      </tp>
      <tp t="s">
        <v>#N/A N/A</v>
        <stp/>
        <stp>BDP|4267868777633367913</stp>
        <tr r="D2142" s="2"/>
      </tp>
      <tp t="s">
        <v>#N/A N/A</v>
        <stp/>
        <stp>BDP|5846170226247021089</stp>
        <tr r="G4718" s="2"/>
      </tp>
      <tp t="s">
        <v>#N/A N/A</v>
        <stp/>
        <stp>BDP|4170836110174194824</stp>
        <tr r="F2548" s="2"/>
      </tp>
      <tp t="s">
        <v>#N/A N/A</v>
        <stp/>
        <stp>BDP|4638475102625443469</stp>
        <tr r="H4377" s="2"/>
      </tp>
      <tp t="s">
        <v>#N/A N/A</v>
        <stp/>
        <stp>BDP|4011062527985648262</stp>
        <tr r="G4891" s="2"/>
      </tp>
      <tp t="s">
        <v>#N/A N/A</v>
        <stp/>
        <stp>BDP|3297819806182691824</stp>
        <tr r="A4598" s="2"/>
      </tp>
      <tp t="s">
        <v>#N/A N/A</v>
        <stp/>
        <stp>BDP|7434863436875641830</stp>
        <tr r="H352" s="2"/>
      </tp>
      <tp t="s">
        <v>#N/A N/A</v>
        <stp/>
        <stp>BDP|3854594729901064492</stp>
        <tr r="A3111" s="2"/>
      </tp>
      <tp t="s">
        <v>#N/A N/A</v>
        <stp/>
        <stp>BDP|4694131426544155234</stp>
        <tr r="H4902" s="2"/>
      </tp>
      <tp t="s">
        <v>#N/A N/A</v>
        <stp/>
        <stp>BDP|8254747875591586873</stp>
        <tr r="G2527" s="2"/>
      </tp>
      <tp t="s">
        <v>#N/A N/A</v>
        <stp/>
        <stp>BDP|9769438060498478211</stp>
        <tr r="G2929" s="2"/>
      </tp>
      <tp t="s">
        <v>#N/A N/A</v>
        <stp/>
        <stp>BDP|1520023746366988296</stp>
        <tr r="C4922" s="2"/>
      </tp>
      <tp t="s">
        <v>#N/A N/A</v>
        <stp/>
        <stp>BDP|2785550126761628531</stp>
        <tr r="C4492" s="2"/>
      </tp>
      <tp t="s">
        <v>#N/A N/A</v>
        <stp/>
        <stp>BDP|9806659307568957626</stp>
        <tr r="I4000" s="2"/>
      </tp>
      <tp t="s">
        <v>#N/A N/A</v>
        <stp/>
        <stp>BDP|3815962423848855141</stp>
        <tr r="G3595" s="2"/>
      </tp>
      <tp t="s">
        <v>#N/A N/A</v>
        <stp/>
        <stp>BDP|5172568265001130623</stp>
        <tr r="G4200" s="2"/>
      </tp>
      <tp t="s">
        <v>#N/A N/A</v>
        <stp/>
        <stp>BDP|1543415102453326748</stp>
        <tr r="I317" s="2"/>
      </tp>
      <tp t="s">
        <v>#N/A N/A</v>
        <stp/>
        <stp>BDP|3070428338095877037</stp>
        <tr r="A791" s="2"/>
      </tp>
      <tp t="s">
        <v>#N/A N/A</v>
        <stp/>
        <stp>BDP|6899056321991819458</stp>
        <tr r="A3970" s="2"/>
      </tp>
      <tp t="s">
        <v>#N/A N/A</v>
        <stp/>
        <stp>BDP|9927655095447097084</stp>
        <tr r="G1763" s="2"/>
      </tp>
      <tp t="s">
        <v>#N/A N/A</v>
        <stp/>
        <stp>BDP|6100911587126792017</stp>
        <tr r="G2174" s="2"/>
      </tp>
      <tp t="s">
        <v>#N/A N/A</v>
        <stp/>
        <stp>BDP|3188693178281657272</stp>
        <tr r="C1285" s="2"/>
      </tp>
      <tp t="s">
        <v>#N/A N/A</v>
        <stp/>
        <stp>BDP|3591106331648476810</stp>
        <tr r="F3637" s="2"/>
      </tp>
      <tp t="s">
        <v>#N/A N/A</v>
        <stp/>
        <stp>BDP|5498730414582376015</stp>
        <tr r="B2536" s="2"/>
      </tp>
      <tp t="s">
        <v>#N/A N/A</v>
        <stp/>
        <stp>BDP|9501085529943732921</stp>
        <tr r="A33" s="2"/>
      </tp>
      <tp t="s">
        <v>#N/A N/A</v>
        <stp/>
        <stp>BDP|2240544360926732604</stp>
        <tr r="H4513" s="2"/>
      </tp>
      <tp t="s">
        <v>#N/A N/A</v>
        <stp/>
        <stp>BDP|5888193025276073150</stp>
        <tr r="H3705" s="2"/>
      </tp>
      <tp t="s">
        <v>#N/A N/A</v>
        <stp/>
        <stp>BDP|9751529380297697229</stp>
        <tr r="D3590" s="2"/>
      </tp>
      <tp t="s">
        <v>#N/A N/A</v>
        <stp/>
        <stp>BDP|6613220147355658449</stp>
        <tr r="C3565" s="2"/>
      </tp>
      <tp t="s">
        <v>#N/A N/A</v>
        <stp/>
        <stp>BDP|9903540205678099591</stp>
        <tr r="G150" s="2"/>
      </tp>
      <tp t="s">
        <v>#N/A N/A</v>
        <stp/>
        <stp>BDP|5931378636861075595</stp>
        <tr r="F2594" s="2"/>
      </tp>
      <tp t="s">
        <v>#N/A N/A</v>
        <stp/>
        <stp>BDP|2361233737176240441</stp>
        <tr r="H3994" s="2"/>
      </tp>
      <tp t="s">
        <v>#N/A N/A</v>
        <stp/>
        <stp>BDP|4139639142527188006</stp>
        <tr r="F516" s="2"/>
      </tp>
      <tp t="s">
        <v>#N/A N/A</v>
        <stp/>
        <stp>BDP|6670760365434302272</stp>
        <tr r="G4056" s="2"/>
      </tp>
      <tp t="s">
        <v>#N/A N/A</v>
        <stp/>
        <stp>BDP|6848748214988940900</stp>
        <tr r="H4241" s="2"/>
      </tp>
      <tp t="s">
        <v>#N/A N/A</v>
        <stp/>
        <stp>BDP|8015393707778827276</stp>
        <tr r="A935" s="2"/>
      </tp>
      <tp t="s">
        <v>#N/A N/A</v>
        <stp/>
        <stp>BDP|1585948178346153897</stp>
        <tr r="G560" s="2"/>
      </tp>
      <tp t="s">
        <v>#N/A N/A</v>
        <stp/>
        <stp>BDP|7892288765835095741</stp>
        <tr r="I1578" s="2"/>
      </tp>
      <tp t="s">
        <v>#N/A N/A</v>
        <stp/>
        <stp>BDP|2609919131131581821</stp>
        <tr r="A604" s="2"/>
      </tp>
      <tp t="s">
        <v>#N/A N/A</v>
        <stp/>
        <stp>BDP|4176276271019361957</stp>
        <tr r="A2744" s="2"/>
      </tp>
      <tp t="s">
        <v>#N/A N/A</v>
        <stp/>
        <stp>BDP|1074573682135664823</stp>
        <tr r="G3444" s="2"/>
      </tp>
      <tp t="s">
        <v>#N/A N/A</v>
        <stp/>
        <stp>BDP|1686799525375951027</stp>
        <tr r="H327" s="2"/>
      </tp>
      <tp t="s">
        <v>#N/A N/A</v>
        <stp/>
        <stp>BDP|3479829835569237008</stp>
        <tr r="A1450" s="2"/>
      </tp>
      <tp t="s">
        <v>#N/A N/A</v>
        <stp/>
        <stp>BDP|1368499883244947819</stp>
        <tr r="B3263" s="2"/>
      </tp>
      <tp t="s">
        <v>#N/A N/A</v>
        <stp/>
        <stp>BDP|7960991721318545550</stp>
        <tr r="I1103" s="2"/>
      </tp>
      <tp t="s">
        <v>#N/A N/A</v>
        <stp/>
        <stp>BDP|9778261615072305966</stp>
        <tr r="G4491" s="2"/>
      </tp>
      <tp t="s">
        <v>#N/A N/A</v>
        <stp/>
        <stp>BDP|3354915542687164800</stp>
        <tr r="F2914" s="2"/>
      </tp>
      <tp t="s">
        <v>#N/A N/A</v>
        <stp/>
        <stp>BDP|4257379745471692372</stp>
        <tr r="G1602" s="2"/>
      </tp>
      <tp t="s">
        <v>#N/A N/A</v>
        <stp/>
        <stp>BDP|3705152403931484240</stp>
        <tr r="G2097" s="2"/>
      </tp>
      <tp t="s">
        <v>#N/A N/A</v>
        <stp/>
        <stp>BDP|5618097353252559382</stp>
        <tr r="D3652" s="2"/>
      </tp>
      <tp t="s">
        <v>#N/A N/A</v>
        <stp/>
        <stp>BDP|4661372403646680059</stp>
        <tr r="A2537" s="2"/>
      </tp>
      <tp t="s">
        <v>#N/A N/A</v>
        <stp/>
        <stp>BDP|4664419357086943288</stp>
        <tr r="A2102" s="2"/>
      </tp>
      <tp t="s">
        <v>#N/A N/A</v>
        <stp/>
        <stp>BDP|5091339376593073341</stp>
        <tr r="D4092" s="2"/>
      </tp>
      <tp t="s">
        <v>#N/A N/A</v>
        <stp/>
        <stp>BDP|3095232955956260357</stp>
        <tr r="A629" s="2"/>
      </tp>
      <tp t="s">
        <v>#N/A N/A</v>
        <stp/>
        <stp>BDP|5129326667399124847</stp>
        <tr r="D4633" s="2"/>
      </tp>
      <tp t="s">
        <v>#N/A N/A</v>
        <stp/>
        <stp>BDP|2511084844816164199</stp>
        <tr r="I3362" s="2"/>
      </tp>
      <tp t="s">
        <v>#N/A N/A</v>
        <stp/>
        <stp>BDP|2363522291197043813</stp>
        <tr r="I1723" s="2"/>
      </tp>
      <tp t="s">
        <v>#N/A N/A</v>
        <stp/>
        <stp>BDP|5480243380309057718</stp>
        <tr r="D1833" s="2"/>
      </tp>
      <tp t="s">
        <v>#N/A N/A</v>
        <stp/>
        <stp>BDP|4194362712811044642</stp>
        <tr r="I3886" s="2"/>
      </tp>
      <tp t="s">
        <v>#N/A N/A</v>
        <stp/>
        <stp>BDP|6133461656606393038</stp>
        <tr r="G1705" s="2"/>
      </tp>
      <tp t="s">
        <v>#N/A N/A</v>
        <stp/>
        <stp>BDP|3223120065694333172</stp>
        <tr r="D430" s="2"/>
      </tp>
      <tp t="s">
        <v>#N/A N/A</v>
        <stp/>
        <stp>BDP|2145579277849008800</stp>
        <tr r="F3047" s="2"/>
      </tp>
      <tp t="s">
        <v>#N/A N/A</v>
        <stp/>
        <stp>BDP|3230557962524560512</stp>
        <tr r="F4295" s="2"/>
      </tp>
      <tp t="s">
        <v>#N/A N/A</v>
        <stp/>
        <stp>BDP|4225517414885102478</stp>
        <tr r="G4953" s="2"/>
      </tp>
      <tp t="s">
        <v>#N/A N/A</v>
        <stp/>
        <stp>BDP|7254014165586006671</stp>
        <tr r="B258" s="2"/>
      </tp>
      <tp t="s">
        <v>#N/A N/A</v>
        <stp/>
        <stp>BDP|9399906950262500679</stp>
        <tr r="B4328" s="2"/>
      </tp>
      <tp t="s">
        <v>#N/A N/A</v>
        <stp/>
        <stp>BDP|2816164428609525925</stp>
        <tr r="I775" s="2"/>
      </tp>
      <tp t="s">
        <v>#N/A N/A</v>
        <stp/>
        <stp>BDP|3014496777435647493</stp>
        <tr r="D1674" s="2"/>
      </tp>
      <tp t="s">
        <v>#N/A N/A</v>
        <stp/>
        <stp>BDP|6166825246018522315</stp>
        <tr r="H1428" s="2"/>
      </tp>
      <tp t="s">
        <v>#N/A N/A</v>
        <stp/>
        <stp>BDP|8200171769257405997</stp>
        <tr r="C3986" s="2"/>
      </tp>
      <tp t="s">
        <v>#N/A N/A</v>
        <stp/>
        <stp>BDP|5487355630190518459</stp>
        <tr r="G647" s="2"/>
      </tp>
      <tp t="s">
        <v>#N/A N/A</v>
        <stp/>
        <stp>BDP|3204320507340364151</stp>
        <tr r="D2105" s="2"/>
      </tp>
      <tp t="s">
        <v>#N/A N/A</v>
        <stp/>
        <stp>BDP|2047104338033934207</stp>
        <tr r="G844" s="2"/>
      </tp>
      <tp t="s">
        <v>#N/A N/A</v>
        <stp/>
        <stp>BDP|3858785378567891518</stp>
        <tr r="H2886" s="2"/>
      </tp>
      <tp t="s">
        <v>#N/A N/A</v>
        <stp/>
        <stp>BDP|9530812572686004173</stp>
        <tr r="H3823" s="2"/>
      </tp>
      <tp t="s">
        <v>#N/A N/A</v>
        <stp/>
        <stp>BDP|1149937236309751321</stp>
        <tr r="I1518" s="2"/>
      </tp>
      <tp t="s">
        <v>#N/A N/A</v>
        <stp/>
        <stp>BDP|5276999193544086094</stp>
        <tr r="B1904" s="2"/>
      </tp>
      <tp t="s">
        <v>#N/A N/A</v>
        <stp/>
        <stp>BDP|7260570472693708717</stp>
        <tr r="D4978" s="2"/>
      </tp>
      <tp t="s">
        <v>#N/A N/A</v>
        <stp/>
        <stp>BDP|7440200320162072455</stp>
        <tr r="B1103" s="2"/>
      </tp>
      <tp t="s">
        <v>#N/A N/A</v>
        <stp/>
        <stp>BDP|6740231765201455245</stp>
        <tr r="H2077" s="2"/>
      </tp>
      <tp t="s">
        <v>#N/A N/A</v>
        <stp/>
        <stp>BDP|9670370450037704970</stp>
        <tr r="B856" s="2"/>
      </tp>
      <tp t="s">
        <v>#N/A N/A</v>
        <stp/>
        <stp>BDP|7550979152462668879</stp>
        <tr r="F3455" s="2"/>
      </tp>
      <tp t="s">
        <v>#N/A N/A</v>
        <stp/>
        <stp>BDP|8859582174573540801</stp>
        <tr r="B2404" s="2"/>
      </tp>
      <tp t="s">
        <v>#N/A N/A</v>
        <stp/>
        <stp>BDP|3369615960814490674</stp>
        <tr r="G1066" s="2"/>
      </tp>
      <tp t="s">
        <v>#N/A N/A</v>
        <stp/>
        <stp>BDP|3703354536135119742</stp>
        <tr r="B1792" s="2"/>
      </tp>
      <tp t="s">
        <v>#N/A N/A</v>
        <stp/>
        <stp>BDP|9019925025853225048</stp>
        <tr r="F4653" s="2"/>
      </tp>
      <tp t="s">
        <v>#N/A N/A</v>
        <stp/>
        <stp>BDP|5649702747724688310</stp>
        <tr r="I2339" s="2"/>
      </tp>
      <tp t="s">
        <v>#N/A N/A</v>
        <stp/>
        <stp>BDP|3115535562770290143</stp>
        <tr r="G4808" s="2"/>
      </tp>
      <tp t="s">
        <v>#N/A N/A</v>
        <stp/>
        <stp>BDP|9577956035067496571</stp>
        <tr r="B3242" s="2"/>
      </tp>
      <tp t="s">
        <v>#N/A N/A</v>
        <stp/>
        <stp>BDP|9937460509859830581</stp>
        <tr r="A3510" s="2"/>
      </tp>
      <tp t="s">
        <v>#N/A N/A</v>
        <stp/>
        <stp>BDP|1735702639913113790</stp>
        <tr r="G2289" s="2"/>
      </tp>
      <tp t="s">
        <v>#N/A N/A</v>
        <stp/>
        <stp>BDP|1667152695928168012</stp>
        <tr r="I3247" s="2"/>
      </tp>
      <tp t="s">
        <v>#N/A N/A</v>
        <stp/>
        <stp>BDP|4276777707061691321</stp>
        <tr r="H337" s="2"/>
      </tp>
      <tp t="s">
        <v>#N/A N/A</v>
        <stp/>
        <stp>BDP|7961755059045292112</stp>
        <tr r="C969" s="2"/>
      </tp>
      <tp t="s">
        <v>#N/A N/A</v>
        <stp/>
        <stp>BDP|1038773543383099022</stp>
        <tr r="I3094" s="2"/>
      </tp>
      <tp t="s">
        <v>#N/A N/A</v>
        <stp/>
        <stp>BDP|2583873181342099159</stp>
        <tr r="G1795" s="2"/>
      </tp>
      <tp t="s">
        <v>#N/A N/A</v>
        <stp/>
        <stp>BDP|5131020527791252709</stp>
        <tr r="H3313" s="2"/>
      </tp>
      <tp t="s">
        <v>#N/A N/A</v>
        <stp/>
        <stp>BDP|6501538408497844500</stp>
        <tr r="B1927" s="2"/>
      </tp>
      <tp t="s">
        <v>#N/A N/A</v>
        <stp/>
        <stp>BDP|1201926409280984964</stp>
        <tr r="D2877" s="2"/>
      </tp>
      <tp t="s">
        <v>#N/A N/A</v>
        <stp/>
        <stp>BDP|4379190588019698525</stp>
        <tr r="B55" s="2"/>
      </tp>
      <tp t="s">
        <v>#N/A N/A</v>
        <stp/>
        <stp>BDP|9924388932601058952</stp>
        <tr r="I4753" s="2"/>
      </tp>
      <tp t="s">
        <v>#N/A N/A</v>
        <stp/>
        <stp>BDP|7862919358932295854</stp>
        <tr r="A3229" s="2"/>
      </tp>
      <tp t="s">
        <v>#N/A N/A</v>
        <stp/>
        <stp>BDP|6834981482420059648</stp>
        <tr r="B2769" s="2"/>
      </tp>
      <tp t="s">
        <v>#N/A N/A</v>
        <stp/>
        <stp>BDP|1517341295312010828</stp>
        <tr r="B300" s="2"/>
      </tp>
      <tp t="s">
        <v>#N/A N/A</v>
        <stp/>
        <stp>BDP|8988758977970512982</stp>
        <tr r="D1475" s="2"/>
      </tp>
      <tp t="s">
        <v>#N/A N/A</v>
        <stp/>
        <stp>BDP|8144017075928477677</stp>
        <tr r="H1552" s="2"/>
      </tp>
      <tp t="s">
        <v>#N/A N/A</v>
        <stp/>
        <stp>BDP|5988264845913593196</stp>
        <tr r="B1401" s="2"/>
      </tp>
      <tp t="s">
        <v>#N/A N/A</v>
        <stp/>
        <stp>BDP|5296250150726379523</stp>
        <tr r="A2564" s="2"/>
      </tp>
      <tp t="s">
        <v>#N/A N/A</v>
        <stp/>
        <stp>BDP|3754433516256489106</stp>
        <tr r="F3938" s="2"/>
      </tp>
      <tp t="s">
        <v>#N/A N/A</v>
        <stp/>
        <stp>BDP|5494131140976784764</stp>
        <tr r="D1169" s="2"/>
      </tp>
      <tp t="s">
        <v>#N/A N/A</v>
        <stp/>
        <stp>BDP|7926397385719774448</stp>
        <tr r="H4534" s="2"/>
      </tp>
      <tp t="s">
        <v>#N/A N/A</v>
        <stp/>
        <stp>BDP|4296661383343362820</stp>
        <tr r="G1294" s="2"/>
      </tp>
      <tp t="s">
        <v>#N/A N/A</v>
        <stp/>
        <stp>BDP|7468140663107023658</stp>
        <tr r="I135" s="2"/>
      </tp>
      <tp t="s">
        <v>#N/A N/A</v>
        <stp/>
        <stp>BDP|4503917867258597201</stp>
        <tr r="G2798" s="2"/>
      </tp>
      <tp t="s">
        <v>#N/A N/A</v>
        <stp/>
        <stp>BDP|7257435076731681473</stp>
        <tr r="H4812" s="2"/>
      </tp>
      <tp t="s">
        <v>#N/A N/A</v>
        <stp/>
        <stp>BDP|4353899287202846736</stp>
        <tr r="D1346" s="2"/>
      </tp>
      <tp t="s">
        <v>#N/A N/A</v>
        <stp/>
        <stp>BDP|9996557373129166385</stp>
        <tr r="F2012" s="2"/>
      </tp>
      <tp t="s">
        <v>#N/A N/A</v>
        <stp/>
        <stp>BDP|9981166076379668797</stp>
        <tr r="D2919" s="2"/>
      </tp>
      <tp t="s">
        <v>#N/A N/A</v>
        <stp/>
        <stp>BDP|7743708613487714755</stp>
        <tr r="F1135" s="2"/>
      </tp>
      <tp t="s">
        <v>#N/A N/A</v>
        <stp/>
        <stp>BDP|2182813245857491875</stp>
        <tr r="G4189" s="2"/>
      </tp>
      <tp t="s">
        <v>#N/A N/A</v>
        <stp/>
        <stp>BDP|6384312424733931591</stp>
        <tr r="I3752" s="2"/>
      </tp>
      <tp t="s">
        <v>#N/A N/A</v>
        <stp/>
        <stp>BDP|4316251937980464430</stp>
        <tr r="G4561" s="2"/>
      </tp>
      <tp t="s">
        <v>#N/A N/A</v>
        <stp/>
        <stp>BDP|5373582864731956608</stp>
        <tr r="C4240" s="2"/>
      </tp>
      <tp t="s">
        <v>#N/A N/A</v>
        <stp/>
        <stp>BDP|7958399491305217951</stp>
        <tr r="D4107" s="2"/>
      </tp>
      <tp t="s">
        <v>#N/A N/A</v>
        <stp/>
        <stp>BDP|6288538319382853168</stp>
        <tr r="I4647" s="2"/>
      </tp>
      <tp t="s">
        <v>#N/A N/A</v>
        <stp/>
        <stp>BDP|1017514075532080029</stp>
        <tr r="B829" s="2"/>
      </tp>
      <tp t="s">
        <v>#N/A N/A</v>
        <stp/>
        <stp>BDP|7306132322500661520</stp>
        <tr r="D759" s="2"/>
      </tp>
      <tp t="s">
        <v>#N/A N/A</v>
        <stp/>
        <stp>BDP|5060045392578754572</stp>
        <tr r="A3476" s="2"/>
      </tp>
      <tp t="s">
        <v>#N/A N/A</v>
        <stp/>
        <stp>BDP|6604684210104857401</stp>
        <tr r="B726" s="2"/>
      </tp>
      <tp t="s">
        <v>#N/A N/A</v>
        <stp/>
        <stp>BDP|2124414916710252625</stp>
        <tr r="B756" s="2"/>
      </tp>
      <tp t="s">
        <v>#N/A N/A</v>
        <stp/>
        <stp>BDP|6235604213487051777</stp>
        <tr r="H3714" s="2"/>
      </tp>
      <tp t="s">
        <v>#N/A N/A</v>
        <stp/>
        <stp>BDP|8693822326802745137</stp>
        <tr r="B786" s="2"/>
      </tp>
      <tp t="s">
        <v>#N/A N/A</v>
        <stp/>
        <stp>BDP|1352686311623905455</stp>
        <tr r="G4402" s="2"/>
      </tp>
      <tp t="s">
        <v>#N/A N/A</v>
        <stp/>
        <stp>BDP|5615638903181795371</stp>
        <tr r="C4354" s="2"/>
      </tp>
      <tp t="s">
        <v>#N/A N/A</v>
        <stp/>
        <stp>BDP|6734378743318090851</stp>
        <tr r="C567" s="2"/>
      </tp>
      <tp t="s">
        <v>#N/A N/A</v>
        <stp/>
        <stp>BDP|7093828586057529173</stp>
        <tr r="D2814" s="2"/>
      </tp>
      <tp t="s">
        <v>#N/A N/A</v>
        <stp/>
        <stp>BDP|5077491705638858825</stp>
        <tr r="G2144" s="2"/>
      </tp>
      <tp t="s">
        <v>#N/A N/A</v>
        <stp/>
        <stp>BDP|6277727788138798098</stp>
        <tr r="G245" s="2"/>
      </tp>
      <tp t="s">
        <v>#N/A N/A</v>
        <stp/>
        <stp>BDP|4495408003242806390</stp>
        <tr r="I2494" s="2"/>
      </tp>
      <tp t="s">
        <v>#N/A N/A</v>
        <stp/>
        <stp>BDP|8165573528258936617</stp>
        <tr r="H1798" s="2"/>
      </tp>
      <tp t="s">
        <v>#N/A N/A</v>
        <stp/>
        <stp>BDP|7078266691935791862</stp>
        <tr r="G4958" s="2"/>
      </tp>
      <tp t="s">
        <v>#N/A N/A</v>
        <stp/>
        <stp>BDP|2356234927163621071</stp>
        <tr r="B4533" s="2"/>
      </tp>
      <tp t="s">
        <v>#N/A N/A</v>
        <stp/>
        <stp>BDP|7700333215627658313</stp>
        <tr r="B3328" s="2"/>
      </tp>
      <tp t="s">
        <v>#N/A N/A</v>
        <stp/>
        <stp>BDP|1383215355977501046</stp>
        <tr r="I1315" s="2"/>
      </tp>
      <tp t="s">
        <v>#N/A N/A</v>
        <stp/>
        <stp>BDP|5294992278528052259</stp>
        <tr r="F3989" s="2"/>
      </tp>
      <tp t="s">
        <v>#N/A N/A</v>
        <stp/>
        <stp>BDP|1315724362701471017</stp>
        <tr r="H4879" s="2"/>
      </tp>
      <tp t="s">
        <v>#N/A N/A</v>
        <stp/>
        <stp>BDP|1157544624835790202</stp>
        <tr r="A3219" s="2"/>
      </tp>
      <tp t="s">
        <v>#N/A N/A</v>
        <stp/>
        <stp>BDP|7590141306272417559</stp>
        <tr r="B2173" s="2"/>
      </tp>
      <tp t="s">
        <v>#N/A N/A</v>
        <stp/>
        <stp>BDP|6068524230662716337</stp>
        <tr r="F4313" s="2"/>
      </tp>
      <tp t="s">
        <v>#N/A N/A</v>
        <stp/>
        <stp>BDP|4116340511502453564</stp>
        <tr r="G806" s="2"/>
      </tp>
      <tp t="s">
        <v>#N/A N/A</v>
        <stp/>
        <stp>BDP|4634860196913084707</stp>
        <tr r="A1158" s="2"/>
      </tp>
      <tp t="s">
        <v>#N/A N/A</v>
        <stp/>
        <stp>BDP|6507751837590656374</stp>
        <tr r="F2685" s="2"/>
      </tp>
      <tp t="s">
        <v>#N/A N/A</v>
        <stp/>
        <stp>BDP|7432574724382302321</stp>
        <tr r="D1105" s="2"/>
      </tp>
      <tp t="s">
        <v>#N/A N/A</v>
        <stp/>
        <stp>BDP|9286671054368678318</stp>
        <tr r="H1783" s="2"/>
      </tp>
      <tp t="s">
        <v>#N/A N/A</v>
        <stp/>
        <stp>BDP|5767399927640951569</stp>
        <tr r="D4756" s="2"/>
      </tp>
      <tp t="s">
        <v>#N/A N/A</v>
        <stp/>
        <stp>BDP|1329118830561790332</stp>
        <tr r="H1031" s="2"/>
      </tp>
      <tp t="s">
        <v>#N/A N/A</v>
        <stp/>
        <stp>BDP|1081102607470891193</stp>
        <tr r="G1272" s="2"/>
      </tp>
      <tp t="s">
        <v>#N/A N/A</v>
        <stp/>
        <stp>BDP|1922977194835881541</stp>
        <tr r="B218" s="2"/>
      </tp>
      <tp t="s">
        <v>#N/A N/A</v>
        <stp/>
        <stp>BDP|5330871773528747367</stp>
        <tr r="C2886" s="2"/>
      </tp>
      <tp t="s">
        <v>#N/A N/A</v>
        <stp/>
        <stp>BDP|6278167379198910924</stp>
        <tr r="D4757" s="2"/>
      </tp>
      <tp t="s">
        <v>#N/A N/A</v>
        <stp/>
        <stp>BDP|1759248841004702239</stp>
        <tr r="H3979" s="2"/>
      </tp>
      <tp t="s">
        <v>#N/A N/A</v>
        <stp/>
        <stp>BDP|7782863067870036804</stp>
        <tr r="B3910" s="2"/>
      </tp>
      <tp t="s">
        <v>#N/A N/A</v>
        <stp/>
        <stp>BDP|4742699887912616991</stp>
        <tr r="B4036" s="2"/>
      </tp>
      <tp t="s">
        <v>#N/A N/A</v>
        <stp/>
        <stp>BDP|6080179830035436056</stp>
        <tr r="D2978" s="2"/>
      </tp>
      <tp t="s">
        <v>#N/A N/A</v>
        <stp/>
        <stp>BDP|8723814231595776760</stp>
        <tr r="B302" s="2"/>
      </tp>
      <tp t="s">
        <v>#N/A N/A</v>
        <stp/>
        <stp>BDP|7362717861716240176</stp>
        <tr r="B1756" s="2"/>
      </tp>
      <tp t="s">
        <v>#N/A N/A</v>
        <stp/>
        <stp>BDP|5401743857582651474</stp>
        <tr r="A3909" s="2"/>
      </tp>
      <tp t="s">
        <v>#N/A N/A</v>
        <stp/>
        <stp>BDP|5242275603205217325</stp>
        <tr r="C3053" s="2"/>
      </tp>
      <tp t="s">
        <v>#N/A N/A</v>
        <stp/>
        <stp>BDP|8358333592867207469</stp>
        <tr r="B328" s="2"/>
      </tp>
      <tp t="s">
        <v>#N/A N/A</v>
        <stp/>
        <stp>BDP|1325374137069248975</stp>
        <tr r="G3255" s="2"/>
      </tp>
      <tp t="s">
        <v>#N/A N/A</v>
        <stp/>
        <stp>BDP|2973302938027323440</stp>
        <tr r="I4177" s="2"/>
      </tp>
      <tp t="s">
        <v>#N/A N/A</v>
        <stp/>
        <stp>BDP|1093631793679602608</stp>
        <tr r="H2524" s="2"/>
      </tp>
      <tp t="s">
        <v>#N/A N/A</v>
        <stp/>
        <stp>BDP|4044303057311514243</stp>
        <tr r="F3279" s="2"/>
      </tp>
      <tp t="s">
        <v>#N/A N/A</v>
        <stp/>
        <stp>BDP|1432236095508760330</stp>
        <tr r="C1124" s="2"/>
      </tp>
      <tp t="s">
        <v>#N/A N/A</v>
        <stp/>
        <stp>BDP|9574314220450251904</stp>
        <tr r="G556" s="2"/>
      </tp>
      <tp t="s">
        <v>#N/A N/A</v>
        <stp/>
        <stp>BDP|1735153860421263664</stp>
        <tr r="D2816" s="2"/>
      </tp>
      <tp t="s">
        <v>#N/A N/A</v>
        <stp/>
        <stp>BDP|7642841144583856983</stp>
        <tr r="I1657" s="2"/>
      </tp>
      <tp t="s">
        <v>#N/A N/A</v>
        <stp/>
        <stp>BDP|7459219301725552178</stp>
        <tr r="D78" s="2"/>
      </tp>
      <tp t="s">
        <v>#N/A N/A</v>
        <stp/>
        <stp>BDP|9603996869241275625</stp>
        <tr r="F496" s="2"/>
      </tp>
      <tp t="s">
        <v>#N/A N/A</v>
        <stp/>
        <stp>BDP|6156279930386835095</stp>
        <tr r="H3505" s="2"/>
      </tp>
      <tp t="s">
        <v>#N/A N/A</v>
        <stp/>
        <stp>BDP|4191560330544335736</stp>
        <tr r="C1744" s="2"/>
      </tp>
      <tp t="s">
        <v>#N/A N/A</v>
        <stp/>
        <stp>BDP|7723392002917361286</stp>
        <tr r="C3389" s="2"/>
      </tp>
      <tp t="s">
        <v>#N/A N/A</v>
        <stp/>
        <stp>BDP|3441399914662927270</stp>
        <tr r="A4530" s="2"/>
      </tp>
      <tp t="s">
        <v>#N/A N/A</v>
        <stp/>
        <stp>BDP|4641426658501972528</stp>
        <tr r="A4620" s="2"/>
      </tp>
      <tp t="s">
        <v>#N/A N/A</v>
        <stp/>
        <stp>BDP|5796752563756643300</stp>
        <tr r="I2078" s="2"/>
      </tp>
      <tp t="s">
        <v>#N/A N/A</v>
        <stp/>
        <stp>BDP|7337110915463378538</stp>
        <tr r="H3600" s="2"/>
      </tp>
      <tp t="s">
        <v>#N/A N/A</v>
        <stp/>
        <stp>BDP|8703354213178347359</stp>
        <tr r="F1938" s="2"/>
      </tp>
      <tp t="s">
        <v>#N/A N/A</v>
        <stp/>
        <stp>BDP|3631501743330187331</stp>
        <tr r="C4405" s="2"/>
      </tp>
      <tp t="s">
        <v>#N/A N/A</v>
        <stp/>
        <stp>BDP|6016470953323320508</stp>
        <tr r="G2065" s="2"/>
      </tp>
      <tp t="s">
        <v>#N/A N/A</v>
        <stp/>
        <stp>BDP|6766021971342186224</stp>
        <tr r="C4865" s="2"/>
      </tp>
      <tp t="s">
        <v>#N/A N/A</v>
        <stp/>
        <stp>BDP|6898005366603014293</stp>
        <tr r="G660" s="2"/>
      </tp>
      <tp t="s">
        <v>#N/A N/A</v>
        <stp/>
        <stp>BDP|3034166747815112277</stp>
        <tr r="G1893" s="2"/>
      </tp>
      <tp t="s">
        <v>#N/A N/A</v>
        <stp/>
        <stp>BDP|9361388317808850238</stp>
        <tr r="F3723" s="2"/>
      </tp>
      <tp t="s">
        <v>#N/A N/A</v>
        <stp/>
        <stp>BDP|4136946203878420454</stp>
        <tr r="I2812" s="2"/>
      </tp>
      <tp t="s">
        <v>#N/A N/A</v>
        <stp/>
        <stp>BDP|4069692108613512038</stp>
        <tr r="I3461" s="2"/>
      </tp>
      <tp t="s">
        <v>#N/A N/A</v>
        <stp/>
        <stp>BDP|9386963119496918624</stp>
        <tr r="H760" s="2"/>
      </tp>
      <tp t="s">
        <v>#N/A N/A</v>
        <stp/>
        <stp>BDP|5131638165602947693</stp>
        <tr r="H422" s="2"/>
      </tp>
      <tp t="s">
        <v>#N/A N/A</v>
        <stp/>
        <stp>BDP|2183316161946744019</stp>
        <tr r="F2469" s="2"/>
      </tp>
      <tp t="s">
        <v>#N/A N/A</v>
        <stp/>
        <stp>BDP|4378246766285494420</stp>
        <tr r="H3250" s="2"/>
      </tp>
      <tp t="s">
        <v>#N/A N/A</v>
        <stp/>
        <stp>BDP|6294262744499317844</stp>
        <tr r="G529" s="2"/>
      </tp>
      <tp t="s">
        <v>#N/A N/A</v>
        <stp/>
        <stp>BDP|7301491159822719532</stp>
        <tr r="A1721" s="2"/>
      </tp>
      <tp t="s">
        <v>#N/A N/A</v>
        <stp/>
        <stp>BDP|9167790779851123971</stp>
        <tr r="A773" s="2"/>
      </tp>
      <tp t="s">
        <v>#N/A N/A</v>
        <stp/>
        <stp>BDP|9606988468513995489</stp>
        <tr r="C1667" s="2"/>
      </tp>
      <tp t="s">
        <v>#N/A N/A</v>
        <stp/>
        <stp>BDP|1640018443271649557</stp>
        <tr r="I472" s="2"/>
      </tp>
      <tp t="s">
        <v>#N/A N/A</v>
        <stp/>
        <stp>BDP|7366202377925342605</stp>
        <tr r="B166" s="2"/>
      </tp>
      <tp t="s">
        <v>#N/A N/A</v>
        <stp/>
        <stp>BDP|6152066311762596441</stp>
        <tr r="B1469" s="2"/>
      </tp>
      <tp t="s">
        <v>#N/A N/A</v>
        <stp/>
        <stp>BDP|7104320072827271540</stp>
        <tr r="F1350" s="2"/>
      </tp>
      <tp t="s">
        <v>#N/A N/A</v>
        <stp/>
        <stp>BDP|8577937101321694165</stp>
        <tr r="B1577" s="2"/>
      </tp>
      <tp t="s">
        <v>#N/A N/A</v>
        <stp/>
        <stp>BDP|5006164926967312043</stp>
        <tr r="F352" s="2"/>
      </tp>
      <tp t="s">
        <v>#N/A N/A</v>
        <stp/>
        <stp>BDP|2786372017566857784</stp>
        <tr r="A1370" s="2"/>
      </tp>
      <tp t="s">
        <v>#N/A N/A</v>
        <stp/>
        <stp>BDP|8014922440951765522</stp>
        <tr r="H4117" s="2"/>
      </tp>
      <tp t="s">
        <v>#N/A N/A</v>
        <stp/>
        <stp>BDP|6760277126840034714</stp>
        <tr r="G2229" s="2"/>
      </tp>
      <tp t="s">
        <v>#N/A N/A</v>
        <stp/>
        <stp>BDP|4071710201867517520</stp>
        <tr r="B3282" s="2"/>
      </tp>
      <tp t="s">
        <v>#N/A N/A</v>
        <stp/>
        <stp>BDP|7508486861981366587</stp>
        <tr r="G1402" s="2"/>
      </tp>
      <tp t="s">
        <v>#N/A N/A</v>
        <stp/>
        <stp>BDP|8165615595334698247</stp>
        <tr r="D3324" s="2"/>
      </tp>
      <tp t="s">
        <v>#N/A N/A</v>
        <stp/>
        <stp>BDP|7458465224094716460</stp>
        <tr r="G1474" s="2"/>
      </tp>
      <tp t="s">
        <v>#N/A N/A</v>
        <stp/>
        <stp>BDP|3323775412756085219</stp>
        <tr r="F2282" s="2"/>
      </tp>
      <tp t="s">
        <v>#N/A N/A</v>
        <stp/>
        <stp>BDP|1288572245084532528</stp>
        <tr r="D182" s="2"/>
      </tp>
      <tp t="s">
        <v>#N/A N/A</v>
        <stp/>
        <stp>BDP|1328180841543435695</stp>
        <tr r="G4180" s="2"/>
      </tp>
      <tp t="s">
        <v>#N/A N/A</v>
        <stp/>
        <stp>BDP|6397172456174725729</stp>
        <tr r="B1597" s="2"/>
      </tp>
      <tp t="s">
        <v>#N/A N/A</v>
        <stp/>
        <stp>BDP|4010525140120160442</stp>
        <tr r="C2088" s="2"/>
      </tp>
      <tp t="s">
        <v>#N/A N/A</v>
        <stp/>
        <stp>BDP|9716380068505455840</stp>
        <tr r="G782" s="2"/>
      </tp>
      <tp t="s">
        <v>#N/A N/A</v>
        <stp/>
        <stp>BDP|4618185510346823314</stp>
        <tr r="A3066" s="2"/>
      </tp>
      <tp t="s">
        <v>#N/A N/A</v>
        <stp/>
        <stp>BDP|4085988959788700117</stp>
        <tr r="C3915" s="2"/>
      </tp>
      <tp t="s">
        <v>#N/A N/A</v>
        <stp/>
        <stp>BDP|8846156466079973755</stp>
        <tr r="B2800" s="2"/>
      </tp>
      <tp t="s">
        <v>#N/A N/A</v>
        <stp/>
        <stp>BDP|7236984294875083397</stp>
        <tr r="C3342" s="2"/>
      </tp>
      <tp t="s">
        <v>#N/A N/A</v>
        <stp/>
        <stp>BDP|9364258175445631829</stp>
        <tr r="C3194" s="2"/>
      </tp>
      <tp t="s">
        <v>#N/A N/A</v>
        <stp/>
        <stp>BDP|2920230072690738687</stp>
        <tr r="A2180" s="2"/>
      </tp>
      <tp t="s">
        <v>#N/A N/A</v>
        <stp/>
        <stp>BDP|2072853463099713465</stp>
        <tr r="D3386" s="2"/>
      </tp>
      <tp t="s">
        <v>#N/A N/A</v>
        <stp/>
        <stp>BDP|8403509996852722723</stp>
        <tr r="B798" s="2"/>
      </tp>
      <tp t="s">
        <v>#N/A N/A</v>
        <stp/>
        <stp>BDP|4552472715233418344</stp>
        <tr r="F805" s="2"/>
      </tp>
      <tp t="s">
        <v>#N/A N/A</v>
        <stp/>
        <stp>BDP|7469840294075172221</stp>
        <tr r="D892" s="2"/>
      </tp>
      <tp t="s">
        <v>#N/A N/A</v>
        <stp/>
        <stp>BDP|9636411464339249365</stp>
        <tr r="B942" s="2"/>
      </tp>
      <tp t="s">
        <v>#N/A N/A</v>
        <stp/>
        <stp>BDP|7148392145995887424</stp>
        <tr r="C2271" s="2"/>
      </tp>
      <tp t="s">
        <v>#N/A N/A</v>
        <stp/>
        <stp>BDP|4322424722317004446</stp>
        <tr r="F2829" s="2"/>
      </tp>
      <tp t="s">
        <v>#N/A N/A</v>
        <stp/>
        <stp>BDP|6365592109357032547</stp>
        <tr r="D3241" s="2"/>
      </tp>
      <tp t="s">
        <v>#N/A N/A</v>
        <stp/>
        <stp>BDP|7135058649170917238</stp>
        <tr r="G4136" s="2"/>
      </tp>
      <tp t="s">
        <v>#N/A N/A</v>
        <stp/>
        <stp>BDP|1086570131653956589</stp>
        <tr r="B4078" s="2"/>
      </tp>
      <tp t="s">
        <v>#N/A N/A</v>
        <stp/>
        <stp>BDP|6672046655474407647</stp>
        <tr r="F386" s="2"/>
      </tp>
      <tp t="s">
        <v>#N/A N/A</v>
        <stp/>
        <stp>BDP|2815033759632447412</stp>
        <tr r="B2881" s="2"/>
      </tp>
      <tp t="s">
        <v>#N/A N/A</v>
        <stp/>
        <stp>BDP|3490663847514395414</stp>
        <tr r="D1149" s="2"/>
      </tp>
      <tp t="s">
        <v>#N/A N/A</v>
        <stp/>
        <stp>BDP|5846816089890112469</stp>
        <tr r="C1941" s="2"/>
      </tp>
      <tp t="s">
        <v>#N/A N/A</v>
        <stp/>
        <stp>BDP|6027679929021192280</stp>
        <tr r="H3539" s="2"/>
      </tp>
      <tp t="s">
        <v>#N/A N/A</v>
        <stp/>
        <stp>BDP|2682036991562415878</stp>
        <tr r="B3978" s="2"/>
      </tp>
      <tp t="s">
        <v>#N/A N/A</v>
        <stp/>
        <stp>BDP|5325684952216955173</stp>
        <tr r="B668" s="2"/>
      </tp>
      <tp t="s">
        <v>#N/A N/A</v>
        <stp/>
        <stp>BDP|2644859679825495999</stp>
        <tr r="F900" s="2"/>
      </tp>
      <tp t="s">
        <v>#N/A N/A</v>
        <stp/>
        <stp>BDP|1322474206630635436</stp>
        <tr r="H4831" s="2"/>
      </tp>
      <tp t="s">
        <v>#N/A N/A</v>
        <stp/>
        <stp>BDP|6796726163416767068</stp>
        <tr r="C2932" s="2"/>
      </tp>
      <tp t="s">
        <v>#N/A N/A</v>
        <stp/>
        <stp>BDP|4581409097550447815</stp>
        <tr r="B2450" s="2"/>
      </tp>
      <tp t="s">
        <v>#N/A N/A</v>
        <stp/>
        <stp>BDP|2818369912615888433</stp>
        <tr r="G3259" s="2"/>
      </tp>
      <tp t="s">
        <v>#N/A N/A</v>
        <stp/>
        <stp>BDP|8247605745102438946</stp>
        <tr r="F3740" s="2"/>
      </tp>
      <tp t="s">
        <v>#N/A N/A</v>
        <stp/>
        <stp>BDP|2778912716693452832</stp>
        <tr r="B2061" s="2"/>
      </tp>
      <tp t="s">
        <v>#N/A N/A</v>
        <stp/>
        <stp>BDP|9217710984385420244</stp>
        <tr r="I522" s="2"/>
      </tp>
      <tp t="s">
        <v>#N/A N/A</v>
        <stp/>
        <stp>BDP|9660161237712015805</stp>
        <tr r="B2561" s="2"/>
      </tp>
      <tp t="s">
        <v>#N/A N/A</v>
        <stp/>
        <stp>BDP|3488471476231188037</stp>
        <tr r="D2333" s="2"/>
      </tp>
      <tp t="s">
        <v>#N/A N/A</v>
        <stp/>
        <stp>BDP|3925402884586852824</stp>
        <tr r="B372" s="2"/>
      </tp>
      <tp t="s">
        <v>#N/A N/A</v>
        <stp/>
        <stp>BDP|4918283842200357371</stp>
        <tr r="H3525" s="2"/>
      </tp>
      <tp t="s">
        <v>#N/A N/A</v>
        <stp/>
        <stp>BDP|9517271404902393824</stp>
        <tr r="D1640" s="2"/>
      </tp>
      <tp t="s">
        <v>#N/A N/A</v>
        <stp/>
        <stp>BDP|5358081910184508191</stp>
        <tr r="F1816" s="2"/>
      </tp>
      <tp t="s">
        <v>#N/A N/A</v>
        <stp/>
        <stp>BDP|8921973324653476194</stp>
        <tr r="C739" s="2"/>
      </tp>
      <tp t="s">
        <v>#N/A N/A</v>
        <stp/>
        <stp>BDP|7978006338070423527</stp>
        <tr r="D2741" s="2"/>
      </tp>
      <tp t="s">
        <v>#N/A N/A</v>
        <stp/>
        <stp>BDP|7146634212188716904</stp>
        <tr r="G4849" s="2"/>
      </tp>
      <tp t="s">
        <v>#N/A N/A</v>
        <stp/>
        <stp>BDP|2388509760690736033</stp>
        <tr r="H2312" s="2"/>
      </tp>
      <tp t="s">
        <v>#N/A N/A</v>
        <stp/>
        <stp>BDP|2936461100637955016</stp>
        <tr r="C3239" s="2"/>
      </tp>
      <tp t="s">
        <v>#N/A N/A</v>
        <stp/>
        <stp>BDP|6847473027463930267</stp>
        <tr r="I618" s="2"/>
      </tp>
      <tp t="s">
        <v>#N/A N/A</v>
        <stp/>
        <stp>BDP|7373650333626310517</stp>
        <tr r="G2306" s="2"/>
      </tp>
      <tp t="s">
        <v>#N/A N/A</v>
        <stp/>
        <stp>BDP|8720590598210638574</stp>
        <tr r="I2017" s="2"/>
      </tp>
      <tp t="s">
        <v>#N/A N/A</v>
        <stp/>
        <stp>BDP|3258275926345658721</stp>
        <tr r="B643" s="2"/>
      </tp>
      <tp t="s">
        <v>#N/A N/A</v>
        <stp/>
        <stp>BDP|5255265011770108730</stp>
        <tr r="F2007" s="2"/>
      </tp>
      <tp t="s">
        <v>#N/A N/A</v>
        <stp/>
        <stp>BDP|3535633764105036754</stp>
        <tr r="H2402" s="2"/>
      </tp>
      <tp t="s">
        <v>#N/A N/A</v>
        <stp/>
        <stp>BDP|2437787131300383799</stp>
        <tr r="G71" s="2"/>
      </tp>
      <tp t="s">
        <v>#N/A N/A</v>
        <stp/>
        <stp>BDP|7205258448828936815</stp>
        <tr r="B3680" s="2"/>
      </tp>
      <tp t="s">
        <v>#N/A N/A</v>
        <stp/>
        <stp>BDP|2704046540225441206</stp>
        <tr r="B4852" s="2"/>
      </tp>
      <tp t="s">
        <v>#N/A N/A</v>
        <stp/>
        <stp>BDP|2852143378856306308</stp>
        <tr r="C582" s="2"/>
      </tp>
      <tp t="s">
        <v>#N/A N/A</v>
        <stp/>
        <stp>BDP|1428471745451969187</stp>
        <tr r="G2411" s="2"/>
      </tp>
      <tp t="s">
        <v>#N/A N/A</v>
        <stp/>
        <stp>BDP|1129414935980495760</stp>
        <tr r="D2468" s="2"/>
      </tp>
      <tp t="s">
        <v>#N/A N/A</v>
        <stp/>
        <stp>BDP|5734869946718223029</stp>
        <tr r="D3108" s="2"/>
      </tp>
      <tp t="s">
        <v>#N/A N/A</v>
        <stp/>
        <stp>BDP|8681811679216049099</stp>
        <tr r="H2410" s="2"/>
      </tp>
      <tp t="s">
        <v>#N/A N/A</v>
        <stp/>
        <stp>BDP|2222406035595233124</stp>
        <tr r="A3488" s="2"/>
      </tp>
      <tp t="s">
        <v>#N/A N/A</v>
        <stp/>
        <stp>BDP|3708035280822333808</stp>
        <tr r="C1655" s="2"/>
      </tp>
      <tp t="s">
        <v>#N/A N/A</v>
        <stp/>
        <stp>BDP|1123007336201596267</stp>
        <tr r="D2931" s="2"/>
      </tp>
      <tp t="s">
        <v>#N/A N/A</v>
        <stp/>
        <stp>BDP|4100970750708274109</stp>
        <tr r="I1154" s="2"/>
      </tp>
      <tp t="s">
        <v>#N/A N/A</v>
        <stp/>
        <stp>BDP|7441667855017684252</stp>
        <tr r="C4149" s="2"/>
      </tp>
      <tp t="s">
        <v>#N/A N/A</v>
        <stp/>
        <stp>BDP|3686255115025546471</stp>
        <tr r="A4215" s="2"/>
      </tp>
      <tp t="s">
        <v>#N/A N/A</v>
        <stp/>
        <stp>BDP|7135410927522092237</stp>
        <tr r="I359" s="2"/>
      </tp>
      <tp t="s">
        <v>#N/A N/A</v>
        <stp/>
        <stp>BDP|3505097642406214089</stp>
        <tr r="A491" s="2"/>
      </tp>
      <tp t="s">
        <v>#N/A N/A</v>
        <stp/>
        <stp>BDP|5095614870202147740</stp>
        <tr r="H1565" s="2"/>
      </tp>
      <tp t="s">
        <v>#N/A N/A</v>
        <stp/>
        <stp>BDP|4197132303670205477</stp>
        <tr r="D3067" s="2"/>
      </tp>
      <tp t="s">
        <v>#N/A N/A</v>
        <stp/>
        <stp>BDP|8641861602393298245</stp>
        <tr r="D4660" s="2"/>
      </tp>
      <tp t="s">
        <v>#N/A N/A</v>
        <stp/>
        <stp>BDP|8487150832618129366</stp>
        <tr r="C1575" s="2"/>
      </tp>
      <tp t="s">
        <v>#N/A N/A</v>
        <stp/>
        <stp>BDP|2981417166611232080</stp>
        <tr r="I1230" s="2"/>
      </tp>
      <tp t="s">
        <v>#N/A N/A</v>
        <stp/>
        <stp>BDP|2914197921901403115</stp>
        <tr r="F2254" s="2"/>
      </tp>
      <tp t="s">
        <v>#N/A N/A</v>
        <stp/>
        <stp>BDP|7799714546726577317</stp>
        <tr r="C3069" s="2"/>
      </tp>
      <tp t="s">
        <v>#N/A N/A</v>
        <stp/>
        <stp>BDP|6463774298269693094</stp>
        <tr r="H3144" s="2"/>
      </tp>
      <tp t="s">
        <v>#N/A N/A</v>
        <stp/>
        <stp>BDP|4247550186060485811</stp>
        <tr r="B4058" s="2"/>
      </tp>
      <tp t="s">
        <v>#N/A N/A</v>
        <stp/>
        <stp>BDP|6323207884429054439</stp>
        <tr r="F128" s="2"/>
      </tp>
      <tp t="s">
        <v>#N/A N/A</v>
        <stp/>
        <stp>BDP|3083508546482204109</stp>
        <tr r="B666" s="2"/>
      </tp>
      <tp t="s">
        <v>#N/A N/A</v>
        <stp/>
        <stp>BDP|5197406465472250422</stp>
        <tr r="F3414" s="2"/>
      </tp>
      <tp t="s">
        <v>#N/A N/A</v>
        <stp/>
        <stp>BDP|9193217456739616644</stp>
        <tr r="F1742" s="2"/>
      </tp>
      <tp t="s">
        <v>#N/A N/A</v>
        <stp/>
        <stp>BDP|2345671931857861197</stp>
        <tr r="I2893" s="2"/>
      </tp>
      <tp t="s">
        <v>#N/A N/A</v>
        <stp/>
        <stp>BDP|5190058151191851099</stp>
        <tr r="I962" s="2"/>
      </tp>
      <tp t="s">
        <v>#N/A N/A</v>
        <stp/>
        <stp>BDP|2717229028580835312</stp>
        <tr r="F156" s="2"/>
      </tp>
      <tp t="s">
        <v>#N/A N/A</v>
        <stp/>
        <stp>BDP|8399893490008857063</stp>
        <tr r="C1912" s="2"/>
      </tp>
      <tp t="s">
        <v>#N/A N/A</v>
        <stp/>
        <stp>BDP|3761579854355147714</stp>
        <tr r="D852" s="2"/>
      </tp>
      <tp t="s">
        <v>#N/A N/A</v>
        <stp/>
        <stp>BDP|1775929324232101943</stp>
        <tr r="I1880" s="2"/>
      </tp>
      <tp t="s">
        <v>#N/A N/A</v>
        <stp/>
        <stp>BDP|3750444138636717389</stp>
        <tr r="A3064" s="2"/>
      </tp>
      <tp t="s">
        <v>#N/A N/A</v>
        <stp/>
        <stp>BDP|7991501359644120253</stp>
        <tr r="I3675" s="2"/>
      </tp>
      <tp t="s">
        <v>#N/A N/A</v>
        <stp/>
        <stp>BDP|3493700565330148341</stp>
        <tr r="A4660" s="2"/>
      </tp>
      <tp t="s">
        <v>#N/A N/A</v>
        <stp/>
        <stp>BDP|2032676543781585055</stp>
        <tr r="H947" s="2"/>
      </tp>
      <tp t="s">
        <v>#N/A N/A</v>
        <stp/>
        <stp>BDP|7077178709535969233</stp>
        <tr r="D1371" s="2"/>
      </tp>
      <tp t="s">
        <v>#N/A N/A</v>
        <stp/>
        <stp>BDP|7553860552153028859</stp>
        <tr r="G3238" s="2"/>
      </tp>
      <tp t="s">
        <v>#N/A N/A</v>
        <stp/>
        <stp>BDP|8167355040047453948</stp>
        <tr r="G3893" s="2"/>
      </tp>
      <tp t="s">
        <v>#N/A N/A</v>
        <stp/>
        <stp>BDP|9659733781650678769</stp>
        <tr r="B1424" s="2"/>
      </tp>
      <tp t="s">
        <v>#N/A N/A</v>
        <stp/>
        <stp>BDP|8617673067188111133</stp>
        <tr r="I799" s="2"/>
      </tp>
      <tp t="s">
        <v>#N/A N/A</v>
        <stp/>
        <stp>BDP|8481398188211768365</stp>
        <tr r="F2532" s="2"/>
      </tp>
      <tp t="s">
        <v>#N/A N/A</v>
        <stp/>
        <stp>BDP|2381754426566397070</stp>
        <tr r="G4360" s="2"/>
      </tp>
      <tp t="s">
        <v>#N/A N/A</v>
        <stp/>
        <stp>BDP|2773490489427773844</stp>
        <tr r="I4565" s="2"/>
      </tp>
      <tp t="s">
        <v>#N/A N/A</v>
        <stp/>
        <stp>BDP|2867300622055912777</stp>
        <tr r="G1890" s="2"/>
      </tp>
      <tp t="s">
        <v>#N/A N/A</v>
        <stp/>
        <stp>BDP|1336003786640372821</stp>
        <tr r="D2350" s="2"/>
      </tp>
      <tp t="s">
        <v>#N/A N/A</v>
        <stp/>
        <stp>BDP|1384000603031616129</stp>
        <tr r="D4654" s="2"/>
      </tp>
      <tp t="s">
        <v>#N/A N/A</v>
        <stp/>
        <stp>BDP|1356663848157131584</stp>
        <tr r="B1840" s="2"/>
      </tp>
      <tp t="s">
        <v>#N/A N/A</v>
        <stp/>
        <stp>BDP|3184161996969721322</stp>
        <tr r="I3189" s="2"/>
      </tp>
      <tp t="s">
        <v>#N/A N/A</v>
        <stp/>
        <stp>BDP|1424650483357261944</stp>
        <tr r="I1474" s="2"/>
      </tp>
      <tp t="s">
        <v>#N/A N/A</v>
        <stp/>
        <stp>BDP|2113962213438324336</stp>
        <tr r="I4829" s="2"/>
      </tp>
      <tp t="s">
        <v>#N/A N/A</v>
        <stp/>
        <stp>BDP|5435160303770520505</stp>
        <tr r="B2677" s="2"/>
      </tp>
      <tp t="s">
        <v>#N/A N/A</v>
        <stp/>
        <stp>BDP|8285590871213911878</stp>
        <tr r="C604" s="2"/>
      </tp>
      <tp t="s">
        <v>#N/A N/A</v>
        <stp/>
        <stp>BDP|7046490608096226475</stp>
        <tr r="F2913" s="2"/>
      </tp>
      <tp t="s">
        <v>#N/A N/A</v>
        <stp/>
        <stp>BDP|7805421350091850667</stp>
        <tr r="C3766" s="2"/>
      </tp>
      <tp t="s">
        <v>#N/A N/A</v>
        <stp/>
        <stp>BDP|8783305113998612366</stp>
        <tr r="C2274" s="2"/>
      </tp>
      <tp t="s">
        <v>#N/A N/A</v>
        <stp/>
        <stp>BDP|6663976561438611027</stp>
        <tr r="C871" s="2"/>
      </tp>
      <tp t="s">
        <v>#N/A N/A</v>
        <stp/>
        <stp>BDP|9174710365241275830</stp>
        <tr r="I1452" s="2"/>
      </tp>
      <tp t="s">
        <v>#N/A N/A</v>
        <stp/>
        <stp>BDP|4767785358504054331</stp>
        <tr r="F704" s="2"/>
      </tp>
      <tp t="s">
        <v>#N/A N/A</v>
        <stp/>
        <stp>BDP|7468216812960785543</stp>
        <tr r="G973" s="2"/>
      </tp>
      <tp t="s">
        <v>#N/A N/A</v>
        <stp/>
        <stp>BDP|4148504659564467181</stp>
        <tr r="D4868" s="2"/>
      </tp>
      <tp t="s">
        <v>#N/A N/A</v>
        <stp/>
        <stp>BDP|6690282562580886304</stp>
        <tr r="D3680" s="2"/>
      </tp>
      <tp t="s">
        <v>#N/A N/A</v>
        <stp/>
        <stp>BDP|8746588589452783655</stp>
        <tr r="B1740" s="2"/>
      </tp>
      <tp t="s">
        <v>#N/A N/A</v>
        <stp/>
        <stp>BDP|2212347111865484473</stp>
        <tr r="F826" s="2"/>
      </tp>
      <tp t="s">
        <v>#N/A N/A</v>
        <stp/>
        <stp>BDP|6443979533714596916</stp>
        <tr r="H455" s="2"/>
      </tp>
      <tp t="s">
        <v>#N/A N/A</v>
        <stp/>
        <stp>BDP|2524331675544674314</stp>
        <tr r="A1455" s="2"/>
      </tp>
      <tp t="s">
        <v>#N/A N/A</v>
        <stp/>
        <stp>BDP|7826210018277543201</stp>
        <tr r="H410" s="2"/>
      </tp>
      <tp t="s">
        <v>#N/A N/A</v>
        <stp/>
        <stp>BDP|5928836802095506991</stp>
        <tr r="B4832" s="2"/>
      </tp>
      <tp t="s">
        <v>#N/A N/A</v>
        <stp/>
        <stp>BDP|8539219037788699011</stp>
        <tr r="H86" s="2"/>
      </tp>
      <tp t="s">
        <v>#N/A N/A</v>
        <stp/>
        <stp>BDP|9539826415104607501</stp>
        <tr r="H292" s="2"/>
      </tp>
      <tp t="s">
        <v>#N/A N/A</v>
        <stp/>
        <stp>BDP|1186084308941211170</stp>
        <tr r="C4704" s="2"/>
      </tp>
      <tp t="s">
        <v>#N/A N/A</v>
        <stp/>
        <stp>BDP|2885448158082033007</stp>
        <tr r="F412" s="2"/>
      </tp>
      <tp t="s">
        <v>#N/A N/A</v>
        <stp/>
        <stp>BDP|6191242916804361041</stp>
        <tr r="C1272" s="2"/>
      </tp>
      <tp t="s">
        <v>#N/A N/A</v>
        <stp/>
        <stp>BDP|1167962873178053604</stp>
        <tr r="H4428" s="2"/>
      </tp>
      <tp t="s">
        <v>#N/A N/A</v>
        <stp/>
        <stp>BDP|3149932767544311926</stp>
        <tr r="A3028" s="2"/>
      </tp>
      <tp t="s">
        <v>#N/A N/A</v>
        <stp/>
        <stp>BDP|5164676243941599744</stp>
        <tr r="H3103" s="2"/>
      </tp>
      <tp t="s">
        <v>#N/A N/A</v>
        <stp/>
        <stp>BDP|4829701215086937507</stp>
        <tr r="D3173" s="2"/>
      </tp>
      <tp t="s">
        <v>#N/A N/A</v>
        <stp/>
        <stp>BDP|1631312353476244026</stp>
        <tr r="A1195" s="2"/>
      </tp>
      <tp t="s">
        <v>#N/A N/A</v>
        <stp/>
        <stp>BDP|6499517785573088944</stp>
        <tr r="F829" s="2"/>
      </tp>
      <tp t="s">
        <v>#N/A N/A</v>
        <stp/>
        <stp>BDP|1882161570914874220</stp>
        <tr r="C4211" s="2"/>
      </tp>
      <tp t="s">
        <v>#N/A N/A</v>
        <stp/>
        <stp>BDP|7288683031200665398</stp>
        <tr r="H488" s="2"/>
      </tp>
      <tp t="s">
        <v>#N/A N/A</v>
        <stp/>
        <stp>BDP|7554133415781027774</stp>
        <tr r="B907" s="2"/>
      </tp>
      <tp t="s">
        <v>#N/A N/A</v>
        <stp/>
        <stp>BDP|4441385010183933414</stp>
        <tr r="G3079" s="2"/>
      </tp>
      <tp t="s">
        <v>#N/A N/A</v>
        <stp/>
        <stp>BDP|1127656328175107193</stp>
        <tr r="C2289" s="2"/>
      </tp>
      <tp t="s">
        <v>#N/A N/A</v>
        <stp/>
        <stp>BDP|2237151857930199754</stp>
        <tr r="I4686" s="2"/>
      </tp>
      <tp t="s">
        <v>#N/A N/A</v>
        <stp/>
        <stp>BDP|5900890695706410350</stp>
        <tr r="B1323" s="2"/>
      </tp>
      <tp t="s">
        <v>#N/A N/A</v>
        <stp/>
        <stp>BDP|7911920180385669292</stp>
        <tr r="D3753" s="2"/>
      </tp>
      <tp t="s">
        <v>#N/A N/A</v>
        <stp/>
        <stp>BDP|5810166739472632456</stp>
        <tr r="B3936" s="2"/>
      </tp>
      <tp t="s">
        <v>#N/A N/A</v>
        <stp/>
        <stp>BDP|5944743167030754594</stp>
        <tr r="D1077" s="2"/>
      </tp>
      <tp t="s">
        <v>#N/A N/A</v>
        <stp/>
        <stp>BDP|7563005262423660357</stp>
        <tr r="G2309" s="2"/>
      </tp>
      <tp t="s">
        <v>#N/A N/A</v>
        <stp/>
        <stp>BDP|5434315699588946611</stp>
        <tr r="C2954" s="2"/>
      </tp>
      <tp t="s">
        <v>#N/A N/A</v>
        <stp/>
        <stp>BDP|2359048025004724519</stp>
        <tr r="C2697" s="2"/>
      </tp>
      <tp t="s">
        <v>#N/A N/A</v>
        <stp/>
        <stp>BDP|3824992094164409657</stp>
        <tr r="B2827" s="2"/>
      </tp>
      <tp t="s">
        <v>#N/A N/A</v>
        <stp/>
        <stp>BDP|9046767331349017528</stp>
        <tr r="I479" s="2"/>
      </tp>
      <tp t="s">
        <v>#N/A N/A</v>
        <stp/>
        <stp>BDP|3210744372495794761</stp>
        <tr r="I2219" s="2"/>
      </tp>
      <tp t="s">
        <v>#N/A N/A</v>
        <stp/>
        <stp>BDP|5313212669880743096</stp>
        <tr r="I3188" s="2"/>
      </tp>
      <tp t="s">
        <v>#N/A N/A</v>
        <stp/>
        <stp>BDP|2556378944796173225</stp>
        <tr r="D4783" s="2"/>
      </tp>
      <tp t="s">
        <v>#N/A N/A</v>
        <stp/>
        <stp>BDP|6591887078201144910</stp>
        <tr r="A2403" s="2"/>
      </tp>
      <tp t="s">
        <v>#N/A N/A</v>
        <stp/>
        <stp>BDP|5188112414935188103</stp>
        <tr r="H1391" s="2"/>
      </tp>
      <tp t="s">
        <v>#N/A N/A</v>
        <stp/>
        <stp>BDP|7582166260535661405</stp>
        <tr r="C277" s="2"/>
      </tp>
      <tp t="s">
        <v>#N/A N/A</v>
        <stp/>
        <stp>BDP|4724608942601579650</stp>
        <tr r="D725" s="2"/>
      </tp>
      <tp t="s">
        <v>#N/A N/A</v>
        <stp/>
        <stp>BDP|8986926058462216740</stp>
        <tr r="F1038" s="2"/>
      </tp>
      <tp t="s">
        <v>#N/A N/A</v>
        <stp/>
        <stp>BDP|1527115276855132367</stp>
        <tr r="B4199" s="2"/>
      </tp>
      <tp t="s">
        <v>#N/A N/A</v>
        <stp/>
        <stp>BDP|6179468265187230256</stp>
        <tr r="D4590" s="2"/>
      </tp>
      <tp t="s">
        <v>#N/A N/A</v>
        <stp/>
        <stp>BDP|9159083656378981536</stp>
        <tr r="A85" s="2"/>
      </tp>
      <tp t="s">
        <v>#N/A N/A</v>
        <stp/>
        <stp>BDP|2497003467653176671</stp>
        <tr r="I2616" s="2"/>
      </tp>
      <tp t="s">
        <v>#N/A N/A</v>
        <stp/>
        <stp>BDP|7694531127418458933</stp>
        <tr r="F1767" s="2"/>
      </tp>
      <tp t="s">
        <v>#N/A N/A</v>
        <stp/>
        <stp>BDP|3581802261395314922</stp>
        <tr r="I1055" s="2"/>
      </tp>
      <tp t="s">
        <v>#N/A N/A</v>
        <stp/>
        <stp>BDP|1355462831900957781</stp>
        <tr r="D3970" s="2"/>
      </tp>
      <tp t="s">
        <v>#N/A N/A</v>
        <stp/>
        <stp>BDP|7041144966707683615</stp>
        <tr r="H151" s="2"/>
      </tp>
      <tp t="s">
        <v>#N/A N/A</v>
        <stp/>
        <stp>BDP|8244253351057686952</stp>
        <tr r="H3032" s="2"/>
      </tp>
      <tp t="s">
        <v>#N/A N/A</v>
        <stp/>
        <stp>BDP|3883665516180508581</stp>
        <tr r="H2005" s="2"/>
      </tp>
      <tp t="s">
        <v>#N/A N/A</v>
        <stp/>
        <stp>BDP|5473867651018752118</stp>
        <tr r="I586" s="2"/>
      </tp>
      <tp t="s">
        <v>#N/A N/A</v>
        <stp/>
        <stp>BDP|4529713556947449031</stp>
        <tr r="I1992" s="2"/>
      </tp>
      <tp t="s">
        <v>#N/A N/A</v>
        <stp/>
        <stp>BDP|3952319539435227767</stp>
        <tr r="A4229" s="2"/>
      </tp>
      <tp t="s">
        <v>#N/A N/A</v>
        <stp/>
        <stp>BDP|4351469977843081571</stp>
        <tr r="A930" s="2"/>
      </tp>
      <tp t="s">
        <v>#N/A N/A</v>
        <stp/>
        <stp>BDP|1591329928064840529</stp>
        <tr r="D2779" s="2"/>
      </tp>
      <tp t="s">
        <v>#N/A N/A</v>
        <stp/>
        <stp>BDP|6885098942414604709</stp>
        <tr r="D964" s="2"/>
      </tp>
      <tp t="s">
        <v>#N/A N/A</v>
        <stp/>
        <stp>BDP|5538462213883558201</stp>
        <tr r="C3237" s="2"/>
      </tp>
      <tp t="s">
        <v>#N/A N/A</v>
        <stp/>
        <stp>BDP|5281304755103142135</stp>
        <tr r="B4262" s="2"/>
      </tp>
      <tp t="s">
        <v>#N/A N/A</v>
        <stp/>
        <stp>BDP|3407718678070063282</stp>
        <tr r="D4527" s="2"/>
      </tp>
      <tp t="s">
        <v>#N/A N/A</v>
        <stp/>
        <stp>BDP|8977390380517360568</stp>
        <tr r="F3571" s="2"/>
      </tp>
      <tp t="s">
        <v>#N/A N/A</v>
        <stp/>
        <stp>BDP|5319005753850528102</stp>
        <tr r="F3562" s="2"/>
      </tp>
      <tp t="s">
        <v>#N/A N/A</v>
        <stp/>
        <stp>BDP|2106971827110452809</stp>
        <tr r="F4303" s="2"/>
      </tp>
      <tp t="s">
        <v>#N/A N/A</v>
        <stp/>
        <stp>BDP|3640789259404747452</stp>
        <tr r="G3877" s="2"/>
      </tp>
      <tp t="s">
        <v>#N/A N/A</v>
        <stp/>
        <stp>BDP|1261625717172797554</stp>
        <tr r="B3432" s="2"/>
      </tp>
      <tp t="s">
        <v>#N/A N/A</v>
        <stp/>
        <stp>BDP|5241301576812011212</stp>
        <tr r="F914" s="2"/>
      </tp>
      <tp t="s">
        <v>#N/A N/A</v>
        <stp/>
        <stp>BDP|6764972979831918853</stp>
        <tr r="G4421" s="2"/>
      </tp>
      <tp t="s">
        <v>#N/A N/A</v>
        <stp/>
        <stp>BDP|5267906379812625884</stp>
        <tr r="F2878" s="2"/>
      </tp>
      <tp t="s">
        <v>#N/A N/A</v>
        <stp/>
        <stp>BDP|7014442701940927296</stp>
        <tr r="B2792" s="2"/>
      </tp>
      <tp t="s">
        <v>#N/A N/A</v>
        <stp/>
        <stp>BDP|8156598182521707586</stp>
        <tr r="B3740" s="2"/>
      </tp>
      <tp t="s">
        <v>#N/A N/A</v>
        <stp/>
        <stp>BDP|1100988030663945954</stp>
        <tr r="A4868" s="2"/>
      </tp>
      <tp t="s">
        <v>#N/A N/A</v>
        <stp/>
        <stp>BDP|2561939530460211914</stp>
        <tr r="D3588" s="2"/>
      </tp>
      <tp t="s">
        <v>#N/A N/A</v>
        <stp/>
        <stp>BDP|3174180477567348388</stp>
        <tr r="F2875" s="2"/>
      </tp>
      <tp t="s">
        <v>#N/A N/A</v>
        <stp/>
        <stp>BDP|6880527152666529185</stp>
        <tr r="D1446" s="2"/>
      </tp>
      <tp t="s">
        <v>#N/A N/A</v>
        <stp/>
        <stp>BDP|2685185979116334311</stp>
        <tr r="A1371" s="2"/>
      </tp>
      <tp t="s">
        <v>#N/A N/A</v>
        <stp/>
        <stp>BDP|2513431723864278121</stp>
        <tr r="D1723" s="2"/>
      </tp>
      <tp t="s">
        <v>#N/A N/A</v>
        <stp/>
        <stp>BDP|5849309544334175787</stp>
        <tr r="I24" s="2"/>
      </tp>
      <tp t="s">
        <v>#N/A N/A</v>
        <stp/>
        <stp>BDP|3193128726302211322</stp>
        <tr r="G1166" s="2"/>
      </tp>
      <tp t="s">
        <v>#N/A N/A</v>
        <stp/>
        <stp>BDP|4834467099309142132</stp>
        <tr r="F1123" s="2"/>
      </tp>
      <tp t="s">
        <v>#N/A N/A</v>
        <stp/>
        <stp>BDP|2624836601518872397</stp>
        <tr r="I95" s="2"/>
      </tp>
      <tp t="s">
        <v>#N/A N/A</v>
        <stp/>
        <stp>BDP|2400601763055420662</stp>
        <tr r="G211" s="2"/>
      </tp>
      <tp t="s">
        <v>#N/A N/A</v>
        <stp/>
        <stp>BDP|3524035851457664044</stp>
        <tr r="G2720" s="2"/>
      </tp>
      <tp t="s">
        <v>#N/A N/A</v>
        <stp/>
        <stp>BDP|6252195411084636392</stp>
        <tr r="I2833" s="2"/>
      </tp>
      <tp t="s">
        <v>#N/A N/A</v>
        <stp/>
        <stp>BDP|7509564062731660424</stp>
        <tr r="G4740" s="2"/>
      </tp>
      <tp t="s">
        <v>#N/A N/A</v>
        <stp/>
        <stp>BDP|6063962611129463663</stp>
        <tr r="F2237" s="2"/>
      </tp>
      <tp t="s">
        <v>#N/A N/A</v>
        <stp/>
        <stp>BDP|9100327274568610443</stp>
        <tr r="H3785" s="2"/>
      </tp>
      <tp t="s">
        <v>#N/A N/A</v>
        <stp/>
        <stp>BDP|7208159863824527543</stp>
        <tr r="B4111" s="2"/>
      </tp>
      <tp t="s">
        <v>#N/A N/A</v>
        <stp/>
        <stp>BDP|4362744105430150263</stp>
        <tr r="B964" s="2"/>
      </tp>
      <tp t="s">
        <v>#N/A N/A</v>
        <stp/>
        <stp>BDP|6685729135182042144</stp>
        <tr r="D2942" s="2"/>
      </tp>
      <tp t="s">
        <v>#N/A N/A</v>
        <stp/>
        <stp>BDP|8648174111479556001</stp>
        <tr r="I1801" s="2"/>
      </tp>
      <tp t="s">
        <v>#N/A N/A</v>
        <stp/>
        <stp>BDP|5263070761156037417</stp>
        <tr r="I4557" s="2"/>
      </tp>
      <tp t="s">
        <v>#N/A N/A</v>
        <stp/>
        <stp>BDP|9675144497169921993</stp>
        <tr r="C629" s="2"/>
      </tp>
      <tp t="s">
        <v>#N/A N/A</v>
        <stp/>
        <stp>BDP|5927446667334835277</stp>
        <tr r="G1656" s="2"/>
      </tp>
      <tp t="s">
        <v>#N/A N/A</v>
        <stp/>
        <stp>BDP|3360346941491740443</stp>
        <tr r="D1158" s="2"/>
      </tp>
      <tp t="s">
        <v>#N/A N/A</v>
        <stp/>
        <stp>BDP|5660890848748770055</stp>
        <tr r="F2833" s="2"/>
      </tp>
      <tp t="s">
        <v>#N/A N/A</v>
        <stp/>
        <stp>BDP|7608416313613065015</stp>
        <tr r="G887" s="2"/>
      </tp>
      <tp t="s">
        <v>#N/A N/A</v>
        <stp/>
        <stp>BDP|9950948227946639594</stp>
        <tr r="A901" s="2"/>
      </tp>
      <tp t="s">
        <v>#N/A N/A</v>
        <stp/>
        <stp>BDP|1732264853542307541</stp>
        <tr r="B387" s="2"/>
      </tp>
      <tp t="s">
        <v>#N/A N/A</v>
        <stp/>
        <stp>BDP|4881404904164885516</stp>
        <tr r="B3509" s="2"/>
      </tp>
      <tp t="s">
        <v>#N/A N/A</v>
        <stp/>
        <stp>BDP|4753677107055731653</stp>
        <tr r="I643" s="2"/>
      </tp>
      <tp t="s">
        <v>#N/A N/A</v>
        <stp/>
        <stp>BDP|5128517369391560692</stp>
        <tr r="B3963" s="2"/>
      </tp>
      <tp t="s">
        <v>#N/A N/A</v>
        <stp/>
        <stp>BDP|4144568824864025664</stp>
        <tr r="B1692" s="2"/>
      </tp>
      <tp t="s">
        <v>#N/A N/A</v>
        <stp/>
        <stp>BDP|1120575307791362474</stp>
        <tr r="B4524" s="2"/>
      </tp>
      <tp t="s">
        <v>#N/A N/A</v>
        <stp/>
        <stp>BDP|5025303855397330534</stp>
        <tr r="A3016" s="2"/>
      </tp>
      <tp t="s">
        <v>#N/A N/A</v>
        <stp/>
        <stp>BDP|1552244232259222844</stp>
        <tr r="C2513" s="2"/>
      </tp>
      <tp t="s">
        <v>#N/A N/A</v>
        <stp/>
        <stp>BDP|9785759083506414100</stp>
        <tr r="I1153" s="2"/>
      </tp>
      <tp t="s">
        <v>#N/A N/A</v>
        <stp/>
        <stp>BDP|4113163300241162532</stp>
        <tr r="C446" s="2"/>
      </tp>
      <tp t="s">
        <v>#N/A N/A</v>
        <stp/>
        <stp>BDP|8101078390958421877</stp>
        <tr r="F4149" s="2"/>
      </tp>
      <tp t="s">
        <v>#N/A N/A</v>
        <stp/>
        <stp>BDP|2356940168458865423</stp>
        <tr r="B3750" s="2"/>
      </tp>
      <tp t="s">
        <v>#N/A N/A</v>
        <stp/>
        <stp>BDP|9357999937650092287</stp>
        <tr r="F3632" s="2"/>
      </tp>
      <tp t="s">
        <v>#N/A N/A</v>
        <stp/>
        <stp>BDP|9464597899603675774</stp>
        <tr r="D4513" s="2"/>
      </tp>
      <tp t="s">
        <v>#N/A N/A</v>
        <stp/>
        <stp>BDP|3716618926306385066</stp>
        <tr r="H4242" s="2"/>
      </tp>
      <tp t="s">
        <v>#N/A N/A</v>
        <stp/>
        <stp>BDP|8278594411634834972</stp>
        <tr r="D4247" s="2"/>
      </tp>
      <tp t="s">
        <v>#N/A N/A</v>
        <stp/>
        <stp>BDP|3537006355227531003</stp>
        <tr r="B4029" s="2"/>
      </tp>
      <tp t="s">
        <v>#N/A N/A</v>
        <stp/>
        <stp>BDP|1147200412601661203</stp>
        <tr r="G1388" s="2"/>
      </tp>
      <tp t="s">
        <v>#N/A N/A</v>
        <stp/>
        <stp>BDP|2046369074776083175</stp>
        <tr r="H2142" s="2"/>
      </tp>
      <tp t="s">
        <v>#N/A N/A</v>
        <stp/>
        <stp>BDP|7331433986733439973</stp>
        <tr r="A4344" s="2"/>
      </tp>
      <tp t="s">
        <v>#N/A N/A</v>
        <stp/>
        <stp>BDP|4139594532413763082</stp>
        <tr r="G2083" s="2"/>
      </tp>
      <tp t="s">
        <v>#N/A N/A</v>
        <stp/>
        <stp>BDP|5048045679246802504</stp>
        <tr r="F2332" s="2"/>
      </tp>
      <tp t="s">
        <v>#N/A N/A</v>
        <stp/>
        <stp>BDP|5792753304032399104</stp>
        <tr r="F2762" s="2"/>
      </tp>
      <tp t="s">
        <v>#N/A N/A</v>
        <stp/>
        <stp>BDP|3156574302147814097</stp>
        <tr r="G921" s="2"/>
      </tp>
      <tp t="s">
        <v>#N/A N/A</v>
        <stp/>
        <stp>BDP|9925081360449522713</stp>
        <tr r="C2516" s="2"/>
      </tp>
      <tp t="s">
        <v>#N/A N/A</v>
        <stp/>
        <stp>BDP|4561283079301122102</stp>
        <tr r="I3351" s="2"/>
      </tp>
      <tp t="s">
        <v>#N/A N/A</v>
        <stp/>
        <stp>BDP|8020014150608652423</stp>
        <tr r="F4466" s="2"/>
      </tp>
      <tp t="s">
        <v>#N/A N/A</v>
        <stp/>
        <stp>BDP|9752961975413927584</stp>
        <tr r="A3239" s="2"/>
      </tp>
      <tp t="s">
        <v>#N/A N/A</v>
        <stp/>
        <stp>BDP|7917118417561023457</stp>
        <tr r="I842" s="2"/>
      </tp>
      <tp t="s">
        <v>#N/A N/A</v>
        <stp/>
        <stp>BDP|4460817229479752519</stp>
        <tr r="H2006" s="2"/>
      </tp>
      <tp t="s">
        <v>#N/A N/A</v>
        <stp/>
        <stp>BDP|6280783431203146304</stp>
        <tr r="I3180" s="2"/>
      </tp>
      <tp t="s">
        <v>#N/A N/A</v>
        <stp/>
        <stp>BDP|6801912594265510128</stp>
        <tr r="I3540" s="2"/>
      </tp>
      <tp t="s">
        <v>#N/A N/A</v>
        <stp/>
        <stp>BDP|8092847524706345694</stp>
        <tr r="H4644" s="2"/>
      </tp>
      <tp t="s">
        <v>#N/A N/A</v>
        <stp/>
        <stp>BDP|4819163769855844457</stp>
        <tr r="B2683" s="2"/>
      </tp>
      <tp t="s">
        <v>#N/A N/A</v>
        <stp/>
        <stp>BDP|1701658215785573181</stp>
        <tr r="H2842" s="2"/>
      </tp>
      <tp t="s">
        <v>#N/A N/A</v>
        <stp/>
        <stp>BDP|5747673758090272409</stp>
        <tr r="C3009" s="2"/>
      </tp>
      <tp t="s">
        <v>#N/A N/A</v>
        <stp/>
        <stp>BDP|7879649613295363762</stp>
        <tr r="F4121" s="2"/>
      </tp>
      <tp t="s">
        <v>#N/A N/A</v>
        <stp/>
        <stp>BDP|1155730529910906684</stp>
        <tr r="B212" s="2"/>
      </tp>
      <tp t="s">
        <v>#N/A N/A</v>
        <stp/>
        <stp>BDP|7216741737963200291</stp>
        <tr r="H1848" s="2"/>
      </tp>
      <tp t="s">
        <v>#N/A N/A</v>
        <stp/>
        <stp>BDP|1145535069792470259</stp>
        <tr r="F2248" s="2"/>
      </tp>
      <tp t="s">
        <v>#N/A N/A</v>
        <stp/>
        <stp>BDP|8788808859943728433</stp>
        <tr r="G2957" s="2"/>
      </tp>
      <tp t="s">
        <v>#N/A N/A</v>
        <stp/>
        <stp>BDP|6990780843287849007</stp>
        <tr r="B2366" s="2"/>
      </tp>
      <tp t="s">
        <v>#N/A N/A</v>
        <stp/>
        <stp>BDP|7998563233324442725</stp>
        <tr r="D4111" s="2"/>
      </tp>
      <tp t="s">
        <v>#N/A N/A</v>
        <stp/>
        <stp>BDP|7041293771049354919</stp>
        <tr r="A429" s="2"/>
      </tp>
      <tp t="s">
        <v>#N/A N/A</v>
        <stp/>
        <stp>BDP|6349672426154159499</stp>
        <tr r="C2208" s="2"/>
      </tp>
      <tp t="s">
        <v>#N/A N/A</v>
        <stp/>
        <stp>BDP|9649335346055123988</stp>
        <tr r="D1120" s="2"/>
      </tp>
      <tp t="s">
        <v>#N/A N/A</v>
        <stp/>
        <stp>BDP|4567032154632101198</stp>
        <tr r="I4581" s="2"/>
      </tp>
      <tp t="s">
        <v>#N/A N/A</v>
        <stp/>
        <stp>BDP|8842506664828032163</stp>
        <tr r="B2326" s="2"/>
      </tp>
      <tp t="s">
        <v>#N/A N/A</v>
        <stp/>
        <stp>BDP|2096709868950236100</stp>
        <tr r="D1324" s="2"/>
      </tp>
      <tp t="s">
        <v>#N/A N/A</v>
        <stp/>
        <stp>BDP|1074425240054177798</stp>
        <tr r="D2211" s="2"/>
      </tp>
      <tp t="s">
        <v>#N/A N/A</v>
        <stp/>
        <stp>BDP|4292785971972299431</stp>
        <tr r="I2662" s="2"/>
      </tp>
      <tp t="s">
        <v>#N/A N/A</v>
        <stp/>
        <stp>BDP|3161165518970715126</stp>
        <tr r="H2324" s="2"/>
      </tp>
      <tp t="s">
        <v>#N/A N/A</v>
        <stp/>
        <stp>BDP|3175454482309548499</stp>
        <tr r="B3714" s="2"/>
      </tp>
      <tp t="s">
        <v>#N/A N/A</v>
        <stp/>
        <stp>BDP|4870357720931246651</stp>
        <tr r="F4941" s="2"/>
      </tp>
      <tp t="s">
        <v>#N/A N/A</v>
        <stp/>
        <stp>BDP|5992229259163184395</stp>
        <tr r="B3945" s="2"/>
      </tp>
      <tp t="s">
        <v>#N/A N/A</v>
        <stp/>
        <stp>BDP|5617453523229993835</stp>
        <tr r="D4161" s="2"/>
      </tp>
      <tp t="s">
        <v>#N/A N/A</v>
        <stp/>
        <stp>BDP|3748015351031554588</stp>
        <tr r="I3637" s="2"/>
      </tp>
      <tp t="s">
        <v>#N/A N/A</v>
        <stp/>
        <stp>BDP|5592236349002138340</stp>
        <tr r="F2452" s="2"/>
      </tp>
      <tp t="s">
        <v>#N/A N/A</v>
        <stp/>
        <stp>BDP|6930969741680296969</stp>
        <tr r="I3291" s="2"/>
      </tp>
      <tp t="s">
        <v>#N/A N/A</v>
        <stp/>
        <stp>BDP|5939458756215465343</stp>
        <tr r="I1190" s="2"/>
      </tp>
      <tp t="s">
        <v>#N/A N/A</v>
        <stp/>
        <stp>BDP|9919691189605009039</stp>
        <tr r="H3452" s="2"/>
      </tp>
      <tp t="s">
        <v>#N/A N/A</v>
        <stp/>
        <stp>BDP|6238882085145773128</stp>
        <tr r="F2423" s="2"/>
      </tp>
      <tp t="s">
        <v>#N/A N/A</v>
        <stp/>
        <stp>BDP|7071898834667145962</stp>
        <tr r="I394" s="2"/>
      </tp>
      <tp t="s">
        <v>#N/A N/A</v>
        <stp/>
        <stp>BDP|7776019339782516407</stp>
        <tr r="F3193" s="2"/>
      </tp>
      <tp t="s">
        <v>#N/A N/A</v>
        <stp/>
        <stp>BDP|6323487004551591107</stp>
        <tr r="I659" s="2"/>
      </tp>
      <tp t="s">
        <v>#N/A N/A</v>
        <stp/>
        <stp>BDP|5542837399692322469</stp>
        <tr r="D3414" s="2"/>
      </tp>
      <tp t="s">
        <v>#N/A N/A</v>
        <stp/>
        <stp>BDP|6536678198922952996</stp>
        <tr r="H4597" s="2"/>
      </tp>
      <tp t="s">
        <v>#N/A N/A</v>
        <stp/>
        <stp>BDP|7958597441141808532</stp>
        <tr r="A2612" s="2"/>
      </tp>
      <tp t="s">
        <v>#N/A N/A</v>
        <stp/>
        <stp>BDP|1159614958119220903</stp>
        <tr r="I2805" s="2"/>
      </tp>
      <tp t="s">
        <v>#N/A N/A</v>
        <stp/>
        <stp>BDP|7720595511025726424</stp>
        <tr r="C395" s="2"/>
      </tp>
      <tp t="s">
        <v>#N/A N/A</v>
        <stp/>
        <stp>BDP|3232304378391605465</stp>
        <tr r="I31" s="2"/>
      </tp>
      <tp t="s">
        <v>#N/A N/A</v>
        <stp/>
        <stp>BDP|8277685952760370913</stp>
        <tr r="H1011" s="2"/>
      </tp>
      <tp t="s">
        <v>#N/A N/A</v>
        <stp/>
        <stp>BDP|1978122118032950101</stp>
        <tr r="G487" s="2"/>
      </tp>
      <tp t="s">
        <v>#N/A N/A</v>
        <stp/>
        <stp>BDP|7936711294213191879</stp>
        <tr r="B2138" s="2"/>
      </tp>
      <tp t="s">
        <v>#N/A N/A</v>
        <stp/>
        <stp>BDP|1778273924763621081</stp>
        <tr r="G3981" s="2"/>
      </tp>
      <tp t="s">
        <v>#N/A N/A</v>
        <stp/>
        <stp>BDP|7832375310246753121</stp>
        <tr r="A2804" s="2"/>
      </tp>
      <tp t="s">
        <v>#N/A N/A</v>
        <stp/>
        <stp>BDP|2373480750677634672</stp>
        <tr r="F947" s="2"/>
      </tp>
      <tp t="s">
        <v>#N/A N/A</v>
        <stp/>
        <stp>BDP|1211883590164406640</stp>
        <tr r="B4730" s="2"/>
      </tp>
      <tp t="s">
        <v>#N/A N/A</v>
        <stp/>
        <stp>BDP|4813642607622143202</stp>
        <tr r="G173" s="2"/>
      </tp>
      <tp t="s">
        <v>#N/A N/A</v>
        <stp/>
        <stp>BDP|3036750019047725012</stp>
        <tr r="H4149" s="2"/>
      </tp>
      <tp t="s">
        <v>#N/A N/A</v>
        <stp/>
        <stp>BDP|9875243492015563511</stp>
        <tr r="H2492" s="2"/>
      </tp>
      <tp t="s">
        <v>#N/A N/A</v>
        <stp/>
        <stp>BDP|9150011891150340282</stp>
        <tr r="F4527" s="2"/>
      </tp>
      <tp t="s">
        <v>#N/A N/A</v>
        <stp/>
        <stp>BDP|3227749135860858515</stp>
        <tr r="A4734" s="2"/>
      </tp>
      <tp t="s">
        <v>#N/A N/A</v>
        <stp/>
        <stp>BDP|5637787950320416505</stp>
        <tr r="A3051" s="2"/>
      </tp>
      <tp t="s">
        <v>#N/A N/A</v>
        <stp/>
        <stp>BDP|9618376242288862411</stp>
        <tr r="I3205" s="2"/>
      </tp>
      <tp t="s">
        <v>#N/A N/A</v>
        <stp/>
        <stp>BDP|4596469415597856442</stp>
        <tr r="D1634" s="2"/>
      </tp>
      <tp t="s">
        <v>#N/A N/A</v>
        <stp/>
        <stp>BDP|9318777945481994929</stp>
        <tr r="H3967" s="2"/>
      </tp>
      <tp t="s">
        <v>#N/A N/A</v>
        <stp/>
        <stp>BDP|4878904030038185439</stp>
        <tr r="H1470" s="2"/>
      </tp>
      <tp t="s">
        <v>#N/A N/A</v>
        <stp/>
        <stp>BDP|2474737258854489612</stp>
        <tr r="F2841" s="2"/>
      </tp>
      <tp t="s">
        <v>#N/A N/A</v>
        <stp/>
        <stp>BDP|6360460717511927014</stp>
        <tr r="G4603" s="2"/>
      </tp>
      <tp t="s">
        <v>#N/A N/A</v>
        <stp/>
        <stp>BDP|9688884767883183628</stp>
        <tr r="A2032" s="2"/>
      </tp>
      <tp t="s">
        <v>#N/A N/A</v>
        <stp/>
        <stp>BDP|1884714447843739333</stp>
        <tr r="H4090" s="2"/>
      </tp>
      <tp t="s">
        <v>#N/A N/A</v>
        <stp/>
        <stp>BDP|3306757056197972435</stp>
        <tr r="D2412" s="2"/>
      </tp>
      <tp t="s">
        <v>#N/A N/A</v>
        <stp/>
        <stp>BDP|8401878135597984651</stp>
        <tr r="C3959" s="2"/>
      </tp>
      <tp t="s">
        <v>#N/A N/A</v>
        <stp/>
        <stp>BDP|4920523734180430017</stp>
        <tr r="I3513" s="2"/>
      </tp>
      <tp t="s">
        <v>#N/A N/A</v>
        <stp/>
        <stp>BDP|2064016642753992709</stp>
        <tr r="F2556" s="2"/>
      </tp>
      <tp t="s">
        <v>#N/A N/A</v>
        <stp/>
        <stp>BDP|3125090041653520661</stp>
        <tr r="H186" s="2"/>
      </tp>
      <tp t="s">
        <v>#N/A N/A</v>
        <stp/>
        <stp>BDP|7517560238590470354</stp>
        <tr r="A1588" s="2"/>
      </tp>
      <tp t="s">
        <v>#N/A N/A</v>
        <stp/>
        <stp>BDP|4968001885299150777</stp>
        <tr r="A1149" s="2"/>
      </tp>
      <tp t="s">
        <v>#N/A N/A</v>
        <stp/>
        <stp>BDP|8616685693413468631</stp>
        <tr r="B445" s="2"/>
      </tp>
      <tp t="s">
        <v>#N/A N/A</v>
        <stp/>
        <stp>BDP|1409247326794558792</stp>
        <tr r="B2497" s="2"/>
      </tp>
      <tp t="s">
        <v>#N/A N/A</v>
        <stp/>
        <stp>BDP|1912472073930755009</stp>
        <tr r="H495" s="2"/>
      </tp>
      <tp t="s">
        <v>#N/A N/A</v>
        <stp/>
        <stp>BDP|2268044519225448412</stp>
        <tr r="F3685" s="2"/>
      </tp>
      <tp t="s">
        <v>#N/A N/A</v>
        <stp/>
        <stp>BDP|6866645902306668420</stp>
        <tr r="A4211" s="2"/>
      </tp>
      <tp t="s">
        <v>#N/A N/A</v>
        <stp/>
        <stp>BDP|2824404239720901738</stp>
        <tr r="G2018" s="2"/>
      </tp>
      <tp t="s">
        <v>#N/A N/A</v>
        <stp/>
        <stp>BDP|2114072597541873828</stp>
        <tr r="C844" s="2"/>
      </tp>
      <tp t="s">
        <v>#N/A N/A</v>
        <stp/>
        <stp>BDP|4946502871700303408</stp>
        <tr r="G120" s="2"/>
      </tp>
      <tp t="s">
        <v>#N/A N/A</v>
        <stp/>
        <stp>BDP|2681033424395913730</stp>
        <tr r="F688" s="2"/>
      </tp>
      <tp t="s">
        <v>#N/A N/A</v>
        <stp/>
        <stp>BDP|2799692804584076210</stp>
        <tr r="A3343" s="2"/>
      </tp>
      <tp t="s">
        <v>#N/A N/A</v>
        <stp/>
        <stp>BDP|7202040678250697233</stp>
        <tr r="F2956" s="2"/>
      </tp>
      <tp t="s">
        <v>#N/A N/A</v>
        <stp/>
        <stp>BDP|6593834869173571913</stp>
        <tr r="D93" s="2"/>
      </tp>
      <tp t="s">
        <v>#N/A N/A</v>
        <stp/>
        <stp>BDP|4379533722216171789</stp>
        <tr r="B3907" s="2"/>
      </tp>
      <tp t="s">
        <v>#N/A N/A</v>
        <stp/>
        <stp>BDP|5939668244982016708</stp>
        <tr r="H2712" s="2"/>
      </tp>
      <tp t="s">
        <v>#N/A N/A</v>
        <stp/>
        <stp>BDP|6241797359800121682</stp>
        <tr r="A310" s="2"/>
      </tp>
      <tp t="s">
        <v>#N/A N/A</v>
        <stp/>
        <stp>BDP|9962668970478550214</stp>
        <tr r="G3157" s="2"/>
      </tp>
      <tp t="s">
        <v>#N/A N/A</v>
        <stp/>
        <stp>BDP|3825046930431120369</stp>
        <tr r="H1884" s="2"/>
      </tp>
      <tp t="s">
        <v>#N/A N/A</v>
        <stp/>
        <stp>BDP|2015295855670493730</stp>
        <tr r="B403" s="2"/>
      </tp>
      <tp t="s">
        <v>#N/A N/A</v>
        <stp/>
        <stp>BDP|9417925869101466509</stp>
        <tr r="C2967" s="2"/>
      </tp>
      <tp t="s">
        <v>#N/A N/A</v>
        <stp/>
        <stp>BDP|9895961850183711425</stp>
        <tr r="G1740" s="2"/>
      </tp>
      <tp t="s">
        <v>#N/A N/A</v>
        <stp/>
        <stp>BDP|4657992212939265745</stp>
        <tr r="D4972" s="2"/>
      </tp>
      <tp t="s">
        <v>#N/A N/A</v>
        <stp/>
        <stp>BDP|1127036859983648564</stp>
        <tr r="F4319" s="2"/>
      </tp>
      <tp t="s">
        <v>#N/A N/A</v>
        <stp/>
        <stp>BDP|6865718631209557965</stp>
        <tr r="H4213" s="2"/>
      </tp>
      <tp t="s">
        <v>#N/A N/A</v>
        <stp/>
        <stp>BDP|5104287015607492334</stp>
        <tr r="H3987" s="2"/>
      </tp>
      <tp t="s">
        <v>#N/A N/A</v>
        <stp/>
        <stp>BDP|8629087986600092236</stp>
        <tr r="F2296" s="2"/>
      </tp>
      <tp t="s">
        <v>#N/A N/A</v>
        <stp/>
        <stp>BDP|9476906274577809238</stp>
        <tr r="I191" s="2"/>
      </tp>
      <tp t="s">
        <v>#N/A N/A</v>
        <stp/>
        <stp>BDP|8134916768286208318</stp>
        <tr r="H2437" s="2"/>
      </tp>
      <tp t="s">
        <v>#N/A N/A</v>
        <stp/>
        <stp>BDP|5195162749994592604</stp>
        <tr r="C3615" s="2"/>
      </tp>
      <tp t="s">
        <v>#N/A N/A</v>
        <stp/>
        <stp>BDP|3553434109006288366</stp>
        <tr r="C2689" s="2"/>
      </tp>
      <tp t="s">
        <v>#N/A N/A</v>
        <stp/>
        <stp>BDP|5494180907737282128</stp>
        <tr r="G1875" s="2"/>
      </tp>
      <tp t="s">
        <v>#N/A N/A</v>
        <stp/>
        <stp>BDP|1300229373352038497</stp>
        <tr r="C1908" s="2"/>
      </tp>
      <tp t="s">
        <v>#N/A N/A</v>
        <stp/>
        <stp>BDP|6142181842804925591</stp>
        <tr r="B396" s="2"/>
      </tp>
      <tp t="s">
        <v>#N/A N/A</v>
        <stp/>
        <stp>BDP|7155432818311536149</stp>
        <tr r="I282" s="2"/>
      </tp>
      <tp t="s">
        <v>#N/A N/A</v>
        <stp/>
        <stp>BDP|5531797661535591339</stp>
        <tr r="F754" s="2"/>
      </tp>
      <tp t="s">
        <v>#N/A N/A</v>
        <stp/>
        <stp>BDP|6425135971854899657</stp>
        <tr r="I1350" s="2"/>
      </tp>
      <tp t="s">
        <v>#N/A N/A</v>
        <stp/>
        <stp>BDP|8642988237960134037</stp>
        <tr r="C3871" s="2"/>
      </tp>
      <tp t="s">
        <v>#N/A N/A</v>
        <stp/>
        <stp>BDP|9507886806654592758</stp>
        <tr r="B2863" s="2"/>
      </tp>
      <tp t="s">
        <v>#N/A N/A</v>
        <stp/>
        <stp>BDP|3085687537891402506</stp>
        <tr r="H1705" s="2"/>
      </tp>
      <tp t="s">
        <v>#N/A N/A</v>
        <stp/>
        <stp>BDP|3001957296643192298</stp>
        <tr r="H3410" s="2"/>
      </tp>
      <tp t="s">
        <v>#N/A N/A</v>
        <stp/>
        <stp>BDP|5823319241047333708</stp>
        <tr r="B4904" s="2"/>
      </tp>
      <tp t="s">
        <v>#N/A N/A</v>
        <stp/>
        <stp>BDP|7144345604530822626</stp>
        <tr r="F2760" s="2"/>
      </tp>
      <tp t="s">
        <v>#N/A N/A</v>
        <stp/>
        <stp>BDP|9796129189584778601</stp>
        <tr r="I3024" s="2"/>
      </tp>
      <tp t="s">
        <v>#N/A N/A</v>
        <stp/>
        <stp>BDP|6111351907400819706</stp>
        <tr r="F1669" s="2"/>
      </tp>
      <tp t="s">
        <v>#N/A N/A</v>
        <stp/>
        <stp>BDP|1863609641464611549</stp>
        <tr r="A2730" s="2"/>
      </tp>
      <tp t="s">
        <v>#N/A N/A</v>
        <stp/>
        <stp>BDP|2501776529765049006</stp>
        <tr r="H243" s="2"/>
      </tp>
      <tp t="s">
        <v>#N/A N/A</v>
        <stp/>
        <stp>BDP|5998321375140399362</stp>
        <tr r="A1031" s="2"/>
      </tp>
      <tp t="s">
        <v>#N/A N/A</v>
        <stp/>
        <stp>BDP|5115392228842982421</stp>
        <tr r="B1167" s="2"/>
      </tp>
      <tp t="s">
        <v>#N/A N/A</v>
        <stp/>
        <stp>BDP|1402468119186029009</stp>
        <tr r="B3240" s="2"/>
      </tp>
      <tp t="s">
        <v>#N/A N/A</v>
        <stp/>
        <stp>BDP|3159393907261745332</stp>
        <tr r="A4427" s="2"/>
      </tp>
      <tp t="s">
        <v>#N/A N/A</v>
        <stp/>
        <stp>BDP|6770987999591819556</stp>
        <tr r="H4494" s="2"/>
      </tp>
      <tp t="s">
        <v>#N/A N/A</v>
        <stp/>
        <stp>BDP|7455776035495825457</stp>
        <tr r="F1330" s="2"/>
      </tp>
      <tp t="s">
        <v>#N/A N/A</v>
        <stp/>
        <stp>BDP|6862865428419533781</stp>
        <tr r="C3908" s="2"/>
      </tp>
      <tp t="s">
        <v>#N/A N/A</v>
        <stp/>
        <stp>BDP|4825745544251045434</stp>
        <tr r="G4151" s="2"/>
      </tp>
      <tp t="s">
        <v>#N/A N/A</v>
        <stp/>
        <stp>BDP|7766788434173798273</stp>
        <tr r="B2330" s="2"/>
      </tp>
      <tp t="s">
        <v>#N/A N/A</v>
        <stp/>
        <stp>BDP|3688493490649616529</stp>
        <tr r="C3760" s="2"/>
      </tp>
      <tp t="s">
        <v>#N/A N/A</v>
        <stp/>
        <stp>BDP|5361305386935999976</stp>
        <tr r="D1844" s="2"/>
      </tp>
      <tp t="s">
        <v>#N/A N/A</v>
        <stp/>
        <stp>BDP|2420690506442218422</stp>
        <tr r="D1195" s="2"/>
      </tp>
      <tp t="s">
        <v>#N/A N/A</v>
        <stp/>
        <stp>BDP|5425471778186073200</stp>
        <tr r="I2175" s="2"/>
      </tp>
      <tp t="s">
        <v>#N/A N/A</v>
        <stp/>
        <stp>BDP|8488878808211328335</stp>
        <tr r="A3785" s="2"/>
      </tp>
      <tp t="s">
        <v>#N/A N/A</v>
        <stp/>
        <stp>BDP|5829379949413531388</stp>
        <tr r="H3879" s="2"/>
      </tp>
      <tp t="s">
        <v>#N/A N/A</v>
        <stp/>
        <stp>BDP|2081839189064427457</stp>
        <tr r="F1957" s="2"/>
      </tp>
      <tp t="s">
        <v>#N/A N/A</v>
        <stp/>
        <stp>BDP|2377505448762334332</stp>
        <tr r="D2387" s="2"/>
      </tp>
      <tp t="s">
        <v>#N/A N/A</v>
        <stp/>
        <stp>BDP|7441552219644716545</stp>
        <tr r="A1082" s="2"/>
      </tp>
      <tp t="s">
        <v>#N/A N/A</v>
        <stp/>
        <stp>BDP|4685848559253409846</stp>
        <tr r="G3781" s="2"/>
      </tp>
      <tp t="s">
        <v>#N/A N/A</v>
        <stp/>
        <stp>BDP|4396664615885251494</stp>
        <tr r="H311" s="2"/>
      </tp>
      <tp t="s">
        <v>#N/A N/A</v>
        <stp/>
        <stp>BDP|6212738523167058699</stp>
        <tr r="F4238" s="2"/>
      </tp>
      <tp t="s">
        <v>#N/A N/A</v>
        <stp/>
        <stp>BDP|7942300318934299380</stp>
        <tr r="F4618" s="2"/>
      </tp>
      <tp t="s">
        <v>#N/A N/A</v>
        <stp/>
        <stp>BDP|8829046002499250372</stp>
        <tr r="H2676" s="2"/>
      </tp>
      <tp t="s">
        <v>#N/A N/A</v>
        <stp/>
        <stp>BDP|7295832438447217909</stp>
        <tr r="I1758" s="2"/>
      </tp>
      <tp t="s">
        <v>#N/A N/A</v>
        <stp/>
        <stp>BDP|1032683786954779929</stp>
        <tr r="F2645" s="2"/>
      </tp>
      <tp t="s">
        <v>#N/A N/A</v>
        <stp/>
        <stp>BDP|6734394713061381759</stp>
        <tr r="H3043" s="2"/>
      </tp>
      <tp t="s">
        <v>#N/A N/A</v>
        <stp/>
        <stp>BDP|7021708118734337708</stp>
        <tr r="G3172" s="2"/>
      </tp>
      <tp t="s">
        <v>#N/A N/A</v>
        <stp/>
        <stp>BDP|3035501124102959460</stp>
        <tr r="F3870" s="2"/>
      </tp>
      <tp t="s">
        <v>#N/A N/A</v>
        <stp/>
        <stp>BDP|1314088187799305248</stp>
        <tr r="D4141" s="2"/>
      </tp>
      <tp t="s">
        <v>#N/A N/A</v>
        <stp/>
        <stp>BDP|3018595875032794134</stp>
        <tr r="F3264" s="2"/>
      </tp>
      <tp t="s">
        <v>#N/A N/A</v>
        <stp/>
        <stp>BDP|5626905588923210546</stp>
        <tr r="G1787" s="2"/>
      </tp>
      <tp t="s">
        <v>#N/A N/A</v>
        <stp/>
        <stp>BDP|8057934847514842349</stp>
        <tr r="B1268" s="2"/>
      </tp>
      <tp t="s">
        <v>#N/A N/A</v>
        <stp/>
        <stp>BDP|9689254597549947954</stp>
        <tr r="I4734" s="2"/>
      </tp>
      <tp t="s">
        <v>#N/A N/A</v>
        <stp/>
        <stp>BDP|8228957474033845738</stp>
        <tr r="D1041" s="2"/>
      </tp>
      <tp t="s">
        <v>#N/A N/A</v>
        <stp/>
        <stp>BDP|6912526435916173471</stp>
        <tr r="B41" s="2"/>
      </tp>
      <tp t="s">
        <v>#N/A N/A</v>
        <stp/>
        <stp>BDP|8581342271079900712</stp>
        <tr r="F2048" s="2"/>
      </tp>
      <tp t="s">
        <v>#N/A N/A</v>
        <stp/>
        <stp>BDP|3205591843801238122</stp>
        <tr r="G496" s="2"/>
      </tp>
      <tp t="s">
        <v>#N/A N/A</v>
        <stp/>
        <stp>BDP|7380635808041759270</stp>
        <tr r="A2725" s="2"/>
      </tp>
      <tp t="s">
        <v>#N/A N/A</v>
        <stp/>
        <stp>BDP|6975600418693998000</stp>
        <tr r="B2701" s="2"/>
      </tp>
      <tp t="s">
        <v>#N/A N/A</v>
        <stp/>
        <stp>BDP|7298337432336333386</stp>
        <tr r="H3968" s="2"/>
      </tp>
      <tp t="s">
        <v>#N/A N/A</v>
        <stp/>
        <stp>BDP|2279749387256852911</stp>
        <tr r="D351" s="2"/>
      </tp>
      <tp t="s">
        <v>#N/A N/A</v>
        <stp/>
        <stp>BDP|6486983491554501005</stp>
        <tr r="B3757" s="2"/>
      </tp>
      <tp t="s">
        <v>#N/A N/A</v>
        <stp/>
        <stp>BDP|1364999554296165970</stp>
        <tr r="H3899" s="2"/>
      </tp>
      <tp t="s">
        <v>#N/A N/A</v>
        <stp/>
        <stp>BDP|7651178980045973901</stp>
        <tr r="F4289" s="2"/>
      </tp>
      <tp t="s">
        <v>#N/A N/A</v>
        <stp/>
        <stp>BDP|9691805369135672010</stp>
        <tr r="G1464" s="2"/>
      </tp>
      <tp t="s">
        <v>#N/A N/A</v>
        <stp/>
        <stp>BDP|6259198036643333562</stp>
        <tr r="D673" s="2"/>
      </tp>
      <tp t="s">
        <v>#N/A N/A</v>
        <stp/>
        <stp>BDP|6056688976382141777</stp>
        <tr r="G1479" s="2"/>
      </tp>
      <tp t="s">
        <v>#N/A N/A</v>
        <stp/>
        <stp>BDP|9266801359730680655</stp>
        <tr r="H3696" s="2"/>
      </tp>
      <tp t="s">
        <v>#N/A N/A</v>
        <stp/>
        <stp>BDP|4493006177872224398</stp>
        <tr r="G1165" s="2"/>
      </tp>
      <tp t="s">
        <v>#N/A N/A</v>
        <stp/>
        <stp>BDP|2903229430408295919</stp>
        <tr r="F1801" s="2"/>
      </tp>
      <tp t="s">
        <v>#N/A N/A</v>
        <stp/>
        <stp>BDP|6303956990453963779</stp>
        <tr r="H564" s="2"/>
      </tp>
      <tp t="s">
        <v>#N/A N/A</v>
        <stp/>
        <stp>BDP|6939417620702081006</stp>
        <tr r="D4122" s="2"/>
      </tp>
      <tp t="s">
        <v>#N/A N/A</v>
        <stp/>
        <stp>BDP|7186710714181910255</stp>
        <tr r="H3269" s="2"/>
      </tp>
      <tp t="s">
        <v>#N/A N/A</v>
        <stp/>
        <stp>BDP|6608811601028756499</stp>
        <tr r="I229" s="2"/>
      </tp>
      <tp t="s">
        <v>#N/A N/A</v>
        <stp/>
        <stp>BDP|2731084484541184926</stp>
        <tr r="G3503" s="2"/>
      </tp>
      <tp t="s">
        <v>#N/A N/A</v>
        <stp/>
        <stp>BDP|7855612346336383140</stp>
        <tr r="A4208" s="2"/>
      </tp>
      <tp t="s">
        <v>#N/A N/A</v>
        <stp/>
        <stp>BDP|7670428660614558390</stp>
        <tr r="B430" s="2"/>
      </tp>
      <tp t="s">
        <v>#N/A N/A</v>
        <stp/>
        <stp>BDP|5204476313660876268</stp>
        <tr r="B3824" s="2"/>
      </tp>
      <tp t="s">
        <v>#N/A N/A</v>
        <stp/>
        <stp>BDP|3719352709457416579</stp>
        <tr r="D1261" s="2"/>
      </tp>
      <tp t="s">
        <v>#N/A N/A</v>
        <stp/>
        <stp>BDP|2160337649812579561</stp>
        <tr r="I2390" s="2"/>
      </tp>
      <tp t="s">
        <v>#N/A N/A</v>
        <stp/>
        <stp>BDP|3638683200010271748</stp>
        <tr r="H1665" s="2"/>
      </tp>
      <tp t="s">
        <v>#N/A N/A</v>
        <stp/>
        <stp>BDP|5382081384799522623</stp>
        <tr r="H1946" s="2"/>
      </tp>
      <tp t="s">
        <v>#N/A N/A</v>
        <stp/>
        <stp>BDP|9889068447407888892</stp>
        <tr r="F1840" s="2"/>
      </tp>
      <tp t="s">
        <v>#N/A N/A</v>
        <stp/>
        <stp>BDP|4870171374900772046</stp>
        <tr r="F751" s="2"/>
      </tp>
      <tp t="s">
        <v>#N/A N/A</v>
        <stp/>
        <stp>BDP|9371466104239140689</stp>
        <tr r="C3877" s="2"/>
      </tp>
      <tp t="s">
        <v>#N/A N/A</v>
        <stp/>
        <stp>BDP|9050899963153101633</stp>
        <tr r="B2964" s="2"/>
      </tp>
      <tp t="s">
        <v>#N/A N/A</v>
        <stp/>
        <stp>BDP|3287537214240808553</stp>
        <tr r="A1612" s="2"/>
      </tp>
      <tp t="s">
        <v>#N/A N/A</v>
        <stp/>
        <stp>BDP|5731184772850259174</stp>
        <tr r="D4790" s="2"/>
      </tp>
      <tp t="s">
        <v>#N/A N/A</v>
        <stp/>
        <stp>BDP|2152964695249366994</stp>
        <tr r="I3696" s="2"/>
      </tp>
      <tp t="s">
        <v>#N/A N/A</v>
        <stp/>
        <stp>BDP|5520280586229207411</stp>
        <tr r="C4842" s="2"/>
      </tp>
      <tp t="s">
        <v>#N/A N/A</v>
        <stp/>
        <stp>BDP|1000217742706289399</stp>
        <tr r="I4065" s="2"/>
      </tp>
      <tp t="s">
        <v>#N/A N/A</v>
        <stp/>
        <stp>BDP|9691275948359062418</stp>
        <tr r="F3066" s="2"/>
      </tp>
      <tp t="s">
        <v>#N/A N/A</v>
        <stp/>
        <stp>BDP|6144558893308687096</stp>
        <tr r="G3926" s="2"/>
      </tp>
      <tp t="s">
        <v>#N/A N/A</v>
        <stp/>
        <stp>BDP|1732009793138981253</stp>
        <tr r="A2215" s="2"/>
      </tp>
      <tp t="s">
        <v>#N/A N/A</v>
        <stp/>
        <stp>BDP|2409032791309686089</stp>
        <tr r="C1773" s="2"/>
      </tp>
      <tp t="s">
        <v>#N/A N/A</v>
        <stp/>
        <stp>BDP|6796704029408190973</stp>
        <tr r="I3701" s="2"/>
      </tp>
      <tp t="s">
        <v>#N/A N/A</v>
        <stp/>
        <stp>BDP|5749015248965130678</stp>
        <tr r="C1690" s="2"/>
      </tp>
      <tp t="s">
        <v>#N/A N/A</v>
        <stp/>
        <stp>BDP|6928463611247775617</stp>
        <tr r="B81" s="2"/>
      </tp>
      <tp t="s">
        <v>#N/A N/A</v>
        <stp/>
        <stp>BDP|7503655706125839664</stp>
        <tr r="D2338" s="2"/>
      </tp>
      <tp t="s">
        <v>#N/A N/A</v>
        <stp/>
        <stp>BDP|3875640263504220552</stp>
        <tr r="D970" s="2"/>
      </tp>
      <tp t="s">
        <v>#N/A N/A</v>
        <stp/>
        <stp>BDP|6000223658700621344</stp>
        <tr r="G219" s="2"/>
      </tp>
      <tp t="s">
        <v>#N/A N/A</v>
        <stp/>
        <stp>BDP|3525747569191149112</stp>
        <tr r="H3432" s="2"/>
      </tp>
      <tp t="s">
        <v>#N/A N/A</v>
        <stp/>
        <stp>BDP|6400863783096162287</stp>
        <tr r="G4616" s="2"/>
      </tp>
      <tp t="s">
        <v>#N/A N/A</v>
        <stp/>
        <stp>BDP|5964969008356979869</stp>
        <tr r="G2617" s="2"/>
      </tp>
      <tp t="s">
        <v>#N/A N/A</v>
        <stp/>
        <stp>BDP|6347443829936395455</stp>
        <tr r="F2378" s="2"/>
      </tp>
      <tp t="s">
        <v>#N/A N/A</v>
        <stp/>
        <stp>BDP|3066288344927724030</stp>
        <tr r="G1425" s="2"/>
      </tp>
      <tp t="s">
        <v>#N/A N/A</v>
        <stp/>
        <stp>BDP|7638772549732512452</stp>
        <tr r="A3641" s="2"/>
      </tp>
      <tp t="s">
        <v>#N/A N/A</v>
        <stp/>
        <stp>BDP|4744550850832882421</stp>
        <tr r="G3790" s="2"/>
      </tp>
      <tp t="s">
        <v>#N/A N/A</v>
        <stp/>
        <stp>BDP|3631025618370298069</stp>
        <tr r="A3017" s="2"/>
      </tp>
      <tp t="s">
        <v>#N/A N/A</v>
        <stp/>
        <stp>BDP|3817306460010958497</stp>
        <tr r="H648" s="2"/>
      </tp>
      <tp t="s">
        <v>#N/A N/A</v>
        <stp/>
        <stp>BDP|2099993652985732944</stp>
        <tr r="F4315" s="2"/>
      </tp>
      <tp t="s">
        <v>#N/A N/A</v>
        <stp/>
        <stp>BDP|7722475368334022302</stp>
        <tr r="D3736" s="2"/>
      </tp>
      <tp t="s">
        <v>#N/A N/A</v>
        <stp/>
        <stp>BDP|9182618039379754762</stp>
        <tr r="C4591" s="2"/>
      </tp>
      <tp t="s">
        <v>#N/A N/A</v>
        <stp/>
        <stp>BDP|5114582938706142784</stp>
        <tr r="H4124" s="2"/>
      </tp>
      <tp t="s">
        <v>#N/A N/A</v>
        <stp/>
        <stp>BDP|1749210004555348492</stp>
        <tr r="C4652" s="2"/>
      </tp>
      <tp t="s">
        <v>#N/A N/A</v>
        <stp/>
        <stp>BDP|7652016049873790215</stp>
        <tr r="I3596" s="2"/>
      </tp>
      <tp t="s">
        <v>#N/A N/A</v>
        <stp/>
        <stp>BDP|5161177065971997126</stp>
        <tr r="F773" s="2"/>
      </tp>
      <tp t="s">
        <v>#N/A N/A</v>
        <stp/>
        <stp>BDP|5095011882239847639</stp>
        <tr r="D1202" s="2"/>
      </tp>
      <tp t="s">
        <v>#N/A N/A</v>
        <stp/>
        <stp>BDP|8337384328549364282</stp>
        <tr r="C2078" s="2"/>
      </tp>
      <tp t="s">
        <v>#N/A N/A</v>
        <stp/>
        <stp>BDP|7046637648304257313</stp>
        <tr r="B4903" s="2"/>
      </tp>
      <tp t="s">
        <v>#N/A N/A</v>
        <stp/>
        <stp>BDP|7314007351756262681</stp>
        <tr r="C185" s="2"/>
      </tp>
      <tp t="s">
        <v>#N/A N/A</v>
        <stp/>
        <stp>BDP|7648582231697563420</stp>
        <tr r="H3819" s="2"/>
      </tp>
      <tp t="s">
        <v>#N/A N/A</v>
        <stp/>
        <stp>BDP|7070683852656072023</stp>
        <tr r="A1473" s="2"/>
      </tp>
      <tp t="s">
        <v>#N/A N/A</v>
        <stp/>
        <stp>BDP|7444282577094397409</stp>
        <tr r="G1289" s="2"/>
      </tp>
      <tp t="s">
        <v>#N/A N/A</v>
        <stp/>
        <stp>BDP|8425288269616557890</stp>
        <tr r="B188" s="2"/>
      </tp>
      <tp t="s">
        <v>#N/A N/A</v>
        <stp/>
        <stp>BDP|5756329560273966151</stp>
        <tr r="G3042" s="2"/>
      </tp>
      <tp t="s">
        <v>#N/A N/A</v>
        <stp/>
        <stp>BDP|3718281317540945288</stp>
        <tr r="F1994" s="2"/>
      </tp>
      <tp t="s">
        <v>#N/A N/A</v>
        <stp/>
        <stp>BDP|5688083367442728375</stp>
        <tr r="G4127" s="2"/>
      </tp>
      <tp t="s">
        <v>#N/A N/A</v>
        <stp/>
        <stp>BDP|9528848138836198613</stp>
        <tr r="I3586" s="2"/>
      </tp>
      <tp t="s">
        <v>#N/A N/A</v>
        <stp/>
        <stp>BDP|9907346205951503947</stp>
        <tr r="A1770" s="2"/>
      </tp>
      <tp t="s">
        <v>#N/A N/A</v>
        <stp/>
        <stp>BDP|4477274921041281793</stp>
        <tr r="F1039" s="2"/>
      </tp>
      <tp t="s">
        <v>#N/A N/A</v>
        <stp/>
        <stp>BDP|4871659541905693135</stp>
        <tr r="D4655" s="2"/>
      </tp>
      <tp t="s">
        <v>#N/A N/A</v>
        <stp/>
        <stp>BDP|6276003323575120398</stp>
        <tr r="F4353" s="2"/>
      </tp>
      <tp t="s">
        <v>#N/A N/A</v>
        <stp/>
        <stp>BDP|1932603854017598712</stp>
        <tr r="D1457" s="2"/>
      </tp>
      <tp t="s">
        <v>#N/A N/A</v>
        <stp/>
        <stp>BDP|4492438367091194583</stp>
        <tr r="I4229" s="2"/>
      </tp>
      <tp t="s">
        <v>#N/A N/A</v>
        <stp/>
        <stp>BDP|4048425169693049728</stp>
        <tr r="C471" s="2"/>
      </tp>
      <tp t="s">
        <v>#N/A N/A</v>
        <stp/>
        <stp>BDP|7510575447346555298</stp>
        <tr r="C3811" s="2"/>
      </tp>
      <tp t="s">
        <v>#N/A N/A</v>
        <stp/>
        <stp>BDP|4910731610851410173</stp>
        <tr r="F3353" s="2"/>
      </tp>
      <tp t="s">
        <v>#N/A N/A</v>
        <stp/>
        <stp>BDP|3487214814204140690</stp>
        <tr r="B4239" s="2"/>
      </tp>
      <tp t="s">
        <v>#N/A N/A</v>
        <stp/>
        <stp>BDP|3831069577581034706</stp>
        <tr r="I1245" s="2"/>
      </tp>
      <tp t="s">
        <v>#N/A N/A</v>
        <stp/>
        <stp>BDP|7286392120682276601</stp>
        <tr r="H4809" s="2"/>
      </tp>
      <tp t="s">
        <v>#N/A N/A</v>
        <stp/>
        <stp>BDP|9371369994621000082</stp>
        <tr r="B415" s="2"/>
      </tp>
      <tp t="s">
        <v>#N/A N/A</v>
        <stp/>
        <stp>BDP|1941639005246710313</stp>
        <tr r="H2433" s="2"/>
      </tp>
      <tp t="s">
        <v>#N/A N/A</v>
        <stp/>
        <stp>BDP|5802220037431517718</stp>
        <tr r="D3186" s="2"/>
      </tp>
      <tp t="s">
        <v>#N/A N/A</v>
        <stp/>
        <stp>BDP|7633458734953792196</stp>
        <tr r="A3036" s="2"/>
      </tp>
      <tp t="s">
        <v>#N/A N/A</v>
        <stp/>
        <stp>BDP|5896229986069047459</stp>
        <tr r="C2296" s="2"/>
      </tp>
      <tp t="s">
        <v>#N/A N/A</v>
        <stp/>
        <stp>BDP|4934533403792196113</stp>
        <tr r="I4265" s="2"/>
      </tp>
      <tp t="s">
        <v>#N/A N/A</v>
        <stp/>
        <stp>BDP|2088552678510764234</stp>
        <tr r="B3383" s="2"/>
      </tp>
      <tp t="s">
        <v>#N/A N/A</v>
        <stp/>
        <stp>BDP|5884447173627133376</stp>
        <tr r="D3761" s="2"/>
      </tp>
      <tp t="s">
        <v>#N/A N/A</v>
        <stp/>
        <stp>BDP|8834364698207904769</stp>
        <tr r="H2468" s="2"/>
      </tp>
      <tp t="s">
        <v>#N/A N/A</v>
        <stp/>
        <stp>BDP|5272661760541461699</stp>
        <tr r="A2562" s="2"/>
      </tp>
      <tp t="s">
        <v>#N/A N/A</v>
        <stp/>
        <stp>BDP|2636878496204620587</stp>
        <tr r="C312" s="2"/>
      </tp>
      <tp t="s">
        <v>#N/A N/A</v>
        <stp/>
        <stp>BDP|2006119929271600277</stp>
        <tr r="G176" s="2"/>
      </tp>
      <tp t="s">
        <v>#N/A N/A</v>
        <stp/>
        <stp>BDP|5196390243881584175</stp>
        <tr r="B3483" s="2"/>
      </tp>
      <tp t="s">
        <v>#N/A N/A</v>
        <stp/>
        <stp>BDP|3188313159050217726</stp>
        <tr r="H2973" s="2"/>
      </tp>
      <tp t="s">
        <v>#N/A N/A</v>
        <stp/>
        <stp>BDP|3270180175915194278</stp>
        <tr r="I4826" s="2"/>
      </tp>
      <tp t="s">
        <v>#N/A N/A</v>
        <stp/>
        <stp>BDP|2303750178590629018</stp>
        <tr r="G2944" s="2"/>
      </tp>
      <tp t="s">
        <v>#N/A N/A</v>
        <stp/>
        <stp>BDP|7721633135164989417</stp>
        <tr r="G4133" s="2"/>
      </tp>
      <tp t="s">
        <v>#N/A N/A</v>
        <stp/>
        <stp>BDP|2867923527078531318</stp>
        <tr r="D1051" s="2"/>
      </tp>
      <tp t="s">
        <v>#N/A N/A</v>
        <stp/>
        <stp>BDP|3298462079171222366</stp>
        <tr r="F396" s="2"/>
      </tp>
      <tp t="s">
        <v>#N/A N/A</v>
        <stp/>
        <stp>BDP|3435828818939418132</stp>
        <tr r="D3297" s="2"/>
      </tp>
      <tp t="s">
        <v>#N/A N/A</v>
        <stp/>
        <stp>BDP|3620434978694347675</stp>
        <tr r="H920" s="2"/>
      </tp>
      <tp t="s">
        <v>#N/A N/A</v>
        <stp/>
        <stp>BDP|3539385666253216704</stp>
        <tr r="I531" s="2"/>
      </tp>
      <tp t="s">
        <v>#N/A N/A</v>
        <stp/>
        <stp>BDP|3433781631291754434</stp>
        <tr r="F4595" s="2"/>
      </tp>
      <tp t="s">
        <v>#N/A N/A</v>
        <stp/>
        <stp>BDP|9411236597242936206</stp>
        <tr r="F4768" s="2"/>
      </tp>
      <tp t="s">
        <v>#N/A N/A</v>
        <stp/>
        <stp>BDP|7643183327482069405</stp>
        <tr r="G1903" s="2"/>
      </tp>
      <tp t="s">
        <v>#N/A N/A</v>
        <stp/>
        <stp>BDP|6801060751544340551</stp>
        <tr r="C1686" s="2"/>
      </tp>
      <tp t="s">
        <v>#N/A N/A</v>
        <stp/>
        <stp>BDP|6252164874631957302</stp>
        <tr r="B3084" s="2"/>
      </tp>
      <tp t="s">
        <v>#N/A N/A</v>
        <stp/>
        <stp>BDP|7423475014749679987</stp>
        <tr r="D4203" s="2"/>
      </tp>
      <tp t="s">
        <v>#N/A N/A</v>
        <stp/>
        <stp>BDP|6713160987278627591</stp>
        <tr r="I3817" s="2"/>
      </tp>
      <tp t="s">
        <v>#N/A N/A</v>
        <stp/>
        <stp>BDP|3860429152351763169</stp>
        <tr r="I4059" s="2"/>
      </tp>
      <tp t="s">
        <v>#N/A N/A</v>
        <stp/>
        <stp>BDP|8976854212811715209</stp>
        <tr r="I4309" s="2"/>
      </tp>
      <tp t="s">
        <v>#N/A N/A</v>
        <stp/>
        <stp>BDP|1897294976347949179</stp>
        <tr r="H133" s="2"/>
      </tp>
      <tp t="s">
        <v>#N/A N/A</v>
        <stp/>
        <stp>BDP|2276394722678925994</stp>
        <tr r="C472" s="2"/>
      </tp>
      <tp t="s">
        <v>#N/A N/A</v>
        <stp/>
        <stp>BDP|8978647016294238902</stp>
        <tr r="C1220" s="2"/>
      </tp>
      <tp t="s">
        <v>#N/A N/A</v>
        <stp/>
        <stp>BDP|4603620908372788229</stp>
        <tr r="G261" s="2"/>
      </tp>
      <tp t="s">
        <v>#N/A N/A</v>
        <stp/>
        <stp>BDP|4373504541661847633</stp>
        <tr r="I2411" s="2"/>
      </tp>
      <tp t="s">
        <v>#N/A N/A</v>
        <stp/>
        <stp>BDP|3521792062020050077</stp>
        <tr r="I2936" s="2"/>
      </tp>
      <tp t="s">
        <v>#N/A N/A</v>
        <stp/>
        <stp>BDP|6127793976064724001</stp>
        <tr r="H52" s="2"/>
      </tp>
      <tp t="s">
        <v>#N/A N/A</v>
        <stp/>
        <stp>BDP|5839943632859132469</stp>
        <tr r="A4387" s="2"/>
      </tp>
      <tp t="s">
        <v>#N/A N/A</v>
        <stp/>
        <stp>BDP|1732073529388814980</stp>
        <tr r="F4392" s="2"/>
      </tp>
      <tp t="s">
        <v>#N/A N/A</v>
        <stp/>
        <stp>BDP|2693498278415955675</stp>
        <tr r="A2169" s="2"/>
      </tp>
      <tp t="s">
        <v>#N/A N/A</v>
        <stp/>
        <stp>BDP|9871489694592578489</stp>
        <tr r="D4108" s="2"/>
      </tp>
      <tp t="s">
        <v>#N/A N/A</v>
        <stp/>
        <stp>BDP|9894320567566691820</stp>
        <tr r="A4883" s="2"/>
      </tp>
      <tp t="s">
        <v>#N/A N/A</v>
        <stp/>
        <stp>BDP|5340581724024457425</stp>
        <tr r="F2418" s="2"/>
      </tp>
      <tp t="s">
        <v>#N/A N/A</v>
        <stp/>
        <stp>BDP|1826388827545996773</stp>
        <tr r="B1662" s="2"/>
      </tp>
      <tp t="s">
        <v>#N/A N/A</v>
        <stp/>
        <stp>BDP|7140314958906287534</stp>
        <tr r="F3263" s="2"/>
      </tp>
      <tp t="s">
        <v>#N/A N/A</v>
        <stp/>
        <stp>BDP|6566027454022279383</stp>
        <tr r="G832" s="2"/>
      </tp>
      <tp t="s">
        <v>#N/A N/A</v>
        <stp/>
        <stp>BDP|1420284314636465652</stp>
        <tr r="I2838" s="2"/>
      </tp>
      <tp t="s">
        <v>#N/A N/A</v>
        <stp/>
        <stp>BDP|3617524570977804458</stp>
        <tr r="I336" s="2"/>
      </tp>
      <tp t="s">
        <v>#N/A N/A</v>
        <stp/>
        <stp>BDP|3482226900696981564</stp>
        <tr r="I226" s="2"/>
      </tp>
      <tp t="s">
        <v>#N/A N/A</v>
        <stp/>
        <stp>BDP|6643333720405527095</stp>
        <tr r="A504" s="2"/>
      </tp>
      <tp t="s">
        <v>#N/A N/A</v>
        <stp/>
        <stp>BDP|1950302827514654613</stp>
        <tr r="F2460" s="2"/>
      </tp>
      <tp t="s">
        <v>#N/A N/A</v>
        <stp/>
        <stp>BDP|3674271348746919194</stp>
        <tr r="G3198" s="2"/>
      </tp>
      <tp t="s">
        <v>#N/A N/A</v>
        <stp/>
        <stp>BDP|6746207649437548527</stp>
        <tr r="G4227" s="2"/>
      </tp>
      <tp t="s">
        <v>#N/A N/A</v>
        <stp/>
        <stp>BDP|6847544260733030453</stp>
        <tr r="G3335" s="2"/>
      </tp>
      <tp t="s">
        <v>#N/A N/A</v>
        <stp/>
        <stp>BDP|7054963733707573891</stp>
        <tr r="H3066" s="2"/>
      </tp>
      <tp t="s">
        <v>#N/A N/A</v>
        <stp/>
        <stp>BDP|6912947135047535942</stp>
        <tr r="B1313" s="2"/>
      </tp>
      <tp t="s">
        <v>#N/A N/A</v>
        <stp/>
        <stp>BDP|8013442642653727981</stp>
        <tr r="H1006" s="2"/>
      </tp>
      <tp t="s">
        <v>#N/A N/A</v>
        <stp/>
        <stp>BDP|5931986836504738995</stp>
        <tr r="A4386" s="2"/>
      </tp>
      <tp t="s">
        <v>#N/A N/A</v>
        <stp/>
        <stp>BDP|3004503918493648675</stp>
        <tr r="F3544" s="2"/>
      </tp>
      <tp t="s">
        <v>#N/A N/A</v>
        <stp/>
        <stp>BDP|9404050849679351625</stp>
        <tr r="D1033" s="2"/>
      </tp>
      <tp t="s">
        <v>#N/A N/A</v>
        <stp/>
        <stp>BDP|5494734335445857645</stp>
        <tr r="F4073" s="2"/>
      </tp>
      <tp t="s">
        <v>#N/A N/A</v>
        <stp/>
        <stp>BDP|1206935575915262883</stp>
        <tr r="F1029" s="2"/>
      </tp>
      <tp t="s">
        <v>#N/A N/A</v>
        <stp/>
        <stp>BDP|4787752256105375195</stp>
        <tr r="D3400" s="2"/>
      </tp>
      <tp t="s">
        <v>#N/A N/A</v>
        <stp/>
        <stp>BDP|2200898575227016802</stp>
        <tr r="C216" s="2"/>
      </tp>
      <tp t="s">
        <v>#N/A N/A</v>
        <stp/>
        <stp>BDP|8087471546859795380</stp>
        <tr r="C671" s="2"/>
      </tp>
      <tp t="s">
        <v>#N/A N/A</v>
        <stp/>
        <stp>BDP|6543600812020993305</stp>
        <tr r="G1345" s="2"/>
      </tp>
      <tp t="s">
        <v>#N/A N/A</v>
        <stp/>
        <stp>BDP|2246078042611181589</stp>
        <tr r="H436" s="2"/>
      </tp>
      <tp t="s">
        <v>#N/A N/A</v>
        <stp/>
        <stp>BDP|3935777512025472268</stp>
        <tr r="A2573" s="2"/>
      </tp>
      <tp t="s">
        <v>#N/A N/A</v>
        <stp/>
        <stp>BDP|6231064266551598390</stp>
        <tr r="G4302" s="2"/>
      </tp>
      <tp t="s">
        <v>#N/A N/A</v>
        <stp/>
        <stp>BDP|4565661528395491716</stp>
        <tr r="F2944" s="2"/>
      </tp>
      <tp t="s">
        <v>#N/A N/A</v>
        <stp/>
        <stp>BDP|3111544412834971100</stp>
        <tr r="F473" s="2"/>
      </tp>
      <tp t="s">
        <v>#N/A N/A</v>
        <stp/>
        <stp>BDP|9721488051503176912</stp>
        <tr r="F1619" s="2"/>
      </tp>
      <tp t="s">
        <v>#N/A N/A</v>
        <stp/>
        <stp>BDP|4827147530902320614</stp>
        <tr r="B2597" s="2"/>
      </tp>
      <tp t="s">
        <v>#N/A N/A</v>
        <stp/>
        <stp>BDP|7385783955132690569</stp>
        <tr r="F1011" s="2"/>
      </tp>
      <tp t="s">
        <v>#N/A N/A</v>
        <stp/>
        <stp>BDP|7951541108222388284</stp>
        <tr r="B42" s="2"/>
      </tp>
      <tp t="s">
        <v>#N/A N/A</v>
        <stp/>
        <stp>BDP|6990156140312704351</stp>
        <tr r="C29" s="2"/>
      </tp>
      <tp t="s">
        <v>#N/A N/A</v>
        <stp/>
        <stp>BDP|9640409096270912673</stp>
        <tr r="G121" s="2"/>
      </tp>
      <tp t="s">
        <v>#N/A N/A</v>
        <stp/>
        <stp>BDP|6385524589520225946</stp>
        <tr r="A2194" s="2"/>
      </tp>
      <tp t="s">
        <v>#N/A N/A</v>
        <stp/>
        <stp>BDP|7085061848497355635</stp>
        <tr r="A2788" s="2"/>
      </tp>
      <tp t="s">
        <v>#N/A N/A</v>
        <stp/>
        <stp>BDP|4134616981790966869</stp>
        <tr r="A1416" s="2"/>
      </tp>
      <tp t="s">
        <v>#N/A N/A</v>
        <stp/>
        <stp>BDP|6535932429688282732</stp>
        <tr r="C3899" s="2"/>
      </tp>
      <tp t="s">
        <v>#N/A N/A</v>
        <stp/>
        <stp>BDP|5751672536950025280</stp>
        <tr r="F3711" s="2"/>
      </tp>
      <tp t="s">
        <v>#N/A N/A</v>
        <stp/>
        <stp>BDP|5391545854570529787</stp>
        <tr r="C4728" s="2"/>
      </tp>
      <tp t="s">
        <v>#N/A N/A</v>
        <stp/>
        <stp>BDP|3731406765636865549</stp>
        <tr r="D1405" s="2"/>
      </tp>
      <tp t="s">
        <v>#N/A N/A</v>
        <stp/>
        <stp>BDP|3216223967353957608</stp>
        <tr r="C4170" s="2"/>
      </tp>
      <tp t="s">
        <v>#N/A N/A</v>
        <stp/>
        <stp>BDP|3867105975824705347</stp>
        <tr r="H1891" s="2"/>
      </tp>
      <tp t="s">
        <v>#N/A N/A</v>
        <stp/>
        <stp>BDP|8603318054219436596</stp>
        <tr r="A4543" s="2"/>
      </tp>
      <tp t="s">
        <v>#N/A N/A</v>
        <stp/>
        <stp>BDP|1443198180639520367</stp>
        <tr r="A1862" s="2"/>
      </tp>
      <tp t="s">
        <v>#N/A N/A</v>
        <stp/>
        <stp>BDP|4906660401253986395</stp>
        <tr r="I581" s="2"/>
      </tp>
      <tp t="s">
        <v>#N/A N/A</v>
        <stp/>
        <stp>BDP|7080135769297424502</stp>
        <tr r="A3926" s="2"/>
      </tp>
      <tp t="s">
        <v>#N/A N/A</v>
        <stp/>
        <stp>BDP|1845169037065474434</stp>
        <tr r="I4312" s="2"/>
      </tp>
      <tp t="s">
        <v>#N/A N/A</v>
        <stp/>
        <stp>BDP|5182256428030556775</stp>
        <tr r="I4085" s="2"/>
      </tp>
      <tp t="s">
        <v>#N/A N/A</v>
        <stp/>
        <stp>BDP|3927474877530340249</stp>
        <tr r="G1532" s="2"/>
      </tp>
      <tp t="s">
        <v>#N/A N/A</v>
        <stp/>
        <stp>BDP|9084786487824920085</stp>
        <tr r="I4370" s="2"/>
      </tp>
      <tp t="s">
        <v>#N/A N/A</v>
        <stp/>
        <stp>BDP|6582451079516190164</stp>
        <tr r="I1824" s="2"/>
      </tp>
      <tp t="s">
        <v>#N/A N/A</v>
        <stp/>
        <stp>BDP|3265214454195004392</stp>
        <tr r="I2045" s="2"/>
      </tp>
      <tp t="s">
        <v>#N/A N/A</v>
        <stp/>
        <stp>BDP|5515771933384810772</stp>
        <tr r="A719" s="2"/>
      </tp>
      <tp t="s">
        <v>#N/A N/A</v>
        <stp/>
        <stp>BDP|3743781874584165546</stp>
        <tr r="C146" s="2"/>
      </tp>
      <tp t="s">
        <v>#N/A N/A</v>
        <stp/>
        <stp>BDP|3275087248867891241</stp>
        <tr r="C1471" s="2"/>
      </tp>
      <tp t="s">
        <v>#N/A N/A</v>
        <stp/>
        <stp>BDP|6683313172958927820</stp>
        <tr r="I4251" s="2"/>
      </tp>
      <tp t="s">
        <v>#N/A N/A</v>
        <stp/>
        <stp>BDP|2311432587664053890</stp>
        <tr r="C2547" s="2"/>
      </tp>
      <tp t="s">
        <v>#N/A N/A</v>
        <stp/>
        <stp>BDP|1139465059524705673</stp>
        <tr r="F4909" s="2"/>
      </tp>
      <tp t="s">
        <v>#N/A N/A</v>
        <stp/>
        <stp>BDP|7739205869967079608</stp>
        <tr r="G564" s="2"/>
      </tp>
      <tp t="s">
        <v>#N/A N/A</v>
        <stp/>
        <stp>BDP|8289847048053572558</stp>
        <tr r="A1821" s="2"/>
      </tp>
      <tp t="s">
        <v>#N/A N/A</v>
        <stp/>
        <stp>BDP|7056297796457731966</stp>
        <tr r="C2262" s="2"/>
      </tp>
      <tp t="s">
        <v>#N/A N/A</v>
        <stp/>
        <stp>BDP|5865071152875285714</stp>
        <tr r="G4434" s="2"/>
      </tp>
      <tp t="s">
        <v>#N/A N/A</v>
        <stp/>
        <stp>BDP|3689195264085473319</stp>
        <tr r="I3477" s="2"/>
      </tp>
      <tp t="s">
        <v>#N/A N/A</v>
        <stp/>
        <stp>BDP|5720251639337275174</stp>
        <tr r="H2124" s="2"/>
      </tp>
      <tp t="s">
        <v>#N/A N/A</v>
        <stp/>
        <stp>BDP|4114812746042085888</stp>
        <tr r="H1300" s="2"/>
      </tp>
      <tp t="s">
        <v>#N/A N/A</v>
        <stp/>
        <stp>BDP|3511641009183203442</stp>
        <tr r="B4023" s="2"/>
      </tp>
      <tp t="s">
        <v>#N/A N/A</v>
        <stp/>
        <stp>BDP|8812679923569398716</stp>
        <tr r="H2859" s="2"/>
      </tp>
      <tp t="s">
        <v>#N/A N/A</v>
        <stp/>
        <stp>BDP|2633605718742126511</stp>
        <tr r="F722" s="2"/>
      </tp>
      <tp t="s">
        <v>#N/A N/A</v>
        <stp/>
        <stp>BDP|7561714948095321312</stp>
        <tr r="G923" s="2"/>
      </tp>
      <tp t="s">
        <v>#N/A N/A</v>
        <stp/>
        <stp>BDP|8968890371320809577</stp>
        <tr r="F2320" s="2"/>
      </tp>
      <tp t="s">
        <v>#N/A N/A</v>
        <stp/>
        <stp>BDP|2434705435826740288</stp>
        <tr r="B2925" s="2"/>
      </tp>
      <tp t="s">
        <v>#N/A N/A</v>
        <stp/>
        <stp>BDP|4142325186525262890</stp>
        <tr r="I154" s="2"/>
      </tp>
      <tp t="s">
        <v>#N/A N/A</v>
        <stp/>
        <stp>BDP|4083890057958238320</stp>
        <tr r="F4005" s="2"/>
      </tp>
      <tp t="s">
        <v>#N/A N/A</v>
        <stp/>
        <stp>BDP|2878753184397158860</stp>
        <tr r="H2170" s="2"/>
      </tp>
      <tp t="s">
        <v>#N/A N/A</v>
        <stp/>
        <stp>BDP|9971446133828189413</stp>
        <tr r="F2966" s="2"/>
      </tp>
      <tp t="s">
        <v>#N/A N/A</v>
        <stp/>
        <stp>BDP|3320466929106349114</stp>
        <tr r="C3950" s="2"/>
      </tp>
      <tp t="s">
        <v>#N/A N/A</v>
        <stp/>
        <stp>BDP|4245183203161261655</stp>
        <tr r="I676" s="2"/>
      </tp>
      <tp t="s">
        <v>#N/A N/A</v>
        <stp/>
        <stp>BDP|7876261272507404766</stp>
        <tr r="C25" s="2"/>
      </tp>
      <tp t="s">
        <v>#N/A N/A</v>
        <stp/>
        <stp>BDP|3955353353517449052</stp>
        <tr r="I838" s="2"/>
      </tp>
      <tp t="s">
        <v>#N/A N/A</v>
        <stp/>
        <stp>BDP|8263803351466969142</stp>
        <tr r="G785" s="2"/>
      </tp>
      <tp t="s">
        <v>#N/A N/A</v>
        <stp/>
        <stp>BDP|8846772581386261326</stp>
        <tr r="I3279" s="2"/>
      </tp>
      <tp t="s">
        <v>#N/A N/A</v>
        <stp/>
        <stp>BDP|7924015727370114701</stp>
        <tr r="A261" s="2"/>
      </tp>
      <tp t="s">
        <v>#N/A N/A</v>
        <stp/>
        <stp>BDP|9839288100840975970</stp>
        <tr r="H241" s="2"/>
      </tp>
      <tp t="s">
        <v>#N/A N/A</v>
        <stp/>
        <stp>BDP|7926547140233570767</stp>
        <tr r="I2060" s="2"/>
      </tp>
      <tp t="s">
        <v>#N/A N/A</v>
        <stp/>
        <stp>BDP|9925849234324464439</stp>
        <tr r="I613" s="2"/>
      </tp>
      <tp t="s">
        <v>#N/A N/A</v>
        <stp/>
        <stp>BDP|3246491702205493039</stp>
        <tr r="F2775" s="2"/>
      </tp>
      <tp t="s">
        <v>#N/A N/A</v>
        <stp/>
        <stp>BDP|3018940580207907734</stp>
        <tr r="I4988" s="2"/>
      </tp>
      <tp t="s">
        <v>#N/A N/A</v>
        <stp/>
        <stp>BDP|4599429109487646566</stp>
        <tr r="I4412" s="2"/>
      </tp>
      <tp t="s">
        <v>#N/A N/A</v>
        <stp/>
        <stp>BDP|9757335295073941262</stp>
        <tr r="C1846" s="2"/>
      </tp>
      <tp t="s">
        <v>#N/A N/A</v>
        <stp/>
        <stp>BDP|4084448206332568093</stp>
        <tr r="A1983" s="2"/>
      </tp>
      <tp t="s">
        <v>#N/A N/A</v>
        <stp/>
        <stp>BDP|5919183200553743585</stp>
        <tr r="C1631" s="2"/>
      </tp>
      <tp t="s">
        <v>#N/A N/A</v>
        <stp/>
        <stp>BDP|8808505195573600556</stp>
        <tr r="D293" s="2"/>
      </tp>
      <tp t="s">
        <v>#N/A N/A</v>
        <stp/>
        <stp>BDP|2078380069785759083</stp>
        <tr r="I2871" s="2"/>
      </tp>
      <tp t="s">
        <v>#N/A N/A</v>
        <stp/>
        <stp>BDP|5416445924071821020</stp>
        <tr r="F964" s="2"/>
      </tp>
      <tp t="s">
        <v>#N/A N/A</v>
        <stp/>
        <stp>BDP|1453175260932598686</stp>
        <tr r="C1889" s="2"/>
      </tp>
      <tp t="s">
        <v>#N/A N/A</v>
        <stp/>
        <stp>BDP|5765360130576858170</stp>
        <tr r="F1847" s="2"/>
      </tp>
      <tp t="s">
        <v>#N/A N/A</v>
        <stp/>
        <stp>BDP|6303392379345805548</stp>
        <tr r="G4706" s="2"/>
      </tp>
      <tp t="s">
        <v>#N/A N/A</v>
        <stp/>
        <stp>BDP|1415896397936166441</stp>
        <tr r="D2778" s="2"/>
      </tp>
      <tp t="s">
        <v>#N/A N/A</v>
        <stp/>
        <stp>BDP|4089746635743628183</stp>
        <tr r="C3103" s="2"/>
      </tp>
      <tp t="s">
        <v>#N/A N/A</v>
        <stp/>
        <stp>BDP|7117604799198385244</stp>
        <tr r="I3795" s="2"/>
      </tp>
      <tp t="s">
        <v>#N/A N/A</v>
        <stp/>
        <stp>BDP|2525682468581884125</stp>
        <tr r="F1516" s="2"/>
      </tp>
      <tp t="s">
        <v>#N/A N/A</v>
        <stp/>
        <stp>BDP|7601722087069589392</stp>
        <tr r="I2438" s="2"/>
      </tp>
      <tp t="s">
        <v>#N/A N/A</v>
        <stp/>
        <stp>BDP|2886568837781152779</stp>
        <tr r="B476" s="2"/>
      </tp>
      <tp t="s">
        <v>#N/A N/A</v>
        <stp/>
        <stp>BDP|9519921279980707562</stp>
        <tr r="G1488" s="2"/>
      </tp>
      <tp t="s">
        <v>#N/A N/A</v>
        <stp/>
        <stp>BDP|2634120048572581765</stp>
        <tr r="B582" s="2"/>
      </tp>
      <tp t="s">
        <v>#N/A N/A</v>
        <stp/>
        <stp>BDP|1472648701575741095</stp>
        <tr r="A1180" s="2"/>
      </tp>
      <tp t="s">
        <v>#N/A N/A</v>
        <stp/>
        <stp>BDP|4319836204059282794</stp>
        <tr r="H4778" s="2"/>
      </tp>
      <tp t="s">
        <v>#N/A N/A</v>
        <stp/>
        <stp>BDP|5108229301135554086</stp>
        <tr r="I2037" s="2"/>
      </tp>
      <tp t="s">
        <v>#N/A N/A</v>
        <stp/>
        <stp>BDP|1158257172123904508</stp>
        <tr r="A413" s="2"/>
      </tp>
      <tp t="s">
        <v>#N/A N/A</v>
        <stp/>
        <stp>BDP|4895552496533029947</stp>
        <tr r="I4732" s="2"/>
      </tp>
      <tp t="s">
        <v>#N/A N/A</v>
        <stp/>
        <stp>BDP|1879731861417016559</stp>
        <tr r="H1217" s="2"/>
      </tp>
      <tp t="s">
        <v>#N/A N/A</v>
        <stp/>
        <stp>BDP|6094561678806985082</stp>
        <tr r="A4704" s="2"/>
      </tp>
      <tp t="s">
        <v>#N/A N/A</v>
        <stp/>
        <stp>BDP|4647628437597969455</stp>
        <tr r="F1389" s="2"/>
      </tp>
      <tp t="s">
        <v>#N/A N/A</v>
        <stp/>
        <stp>BDP|1630293242895431061</stp>
        <tr r="H763" s="2"/>
      </tp>
      <tp t="s">
        <v>#N/A N/A</v>
        <stp/>
        <stp>BDP|3320489330617079140</stp>
        <tr r="G160" s="2"/>
      </tp>
      <tp t="s">
        <v>#N/A N/A</v>
        <stp/>
        <stp>BDP|6085433393200811975</stp>
        <tr r="D5000" s="2"/>
      </tp>
      <tp t="s">
        <v>#N/A N/A</v>
        <stp/>
        <stp>BDP|1245174543727983102</stp>
        <tr r="I1178" s="2"/>
      </tp>
      <tp t="s">
        <v>#N/A N/A</v>
        <stp/>
        <stp>BDP|4083413044622280488</stp>
        <tr r="A4151" s="2"/>
      </tp>
      <tp t="s">
        <v>#N/A N/A</v>
        <stp/>
        <stp>BDP|4616748366573341485</stp>
        <tr r="A839" s="2"/>
      </tp>
      <tp t="s">
        <v>#N/A N/A</v>
        <stp/>
        <stp>BDP|7987146251218758944</stp>
        <tr r="I2141" s="2"/>
      </tp>
      <tp t="s">
        <v>#N/A N/A</v>
        <stp/>
        <stp>BDP|7336739359184322354</stp>
        <tr r="C1644" s="2"/>
      </tp>
      <tp t="s">
        <v>#N/A N/A</v>
        <stp/>
        <stp>BDP|5674388695138251567</stp>
        <tr r="H3869" s="2"/>
      </tp>
      <tp t="s">
        <v>#N/A N/A</v>
        <stp/>
        <stp>BDP|4149549879473307705</stp>
        <tr r="A2123" s="2"/>
      </tp>
      <tp t="s">
        <v>#N/A N/A</v>
        <stp/>
        <stp>BDP|3081973835549999248</stp>
        <tr r="I4935" s="2"/>
      </tp>
      <tp t="s">
        <v>#N/A N/A</v>
        <stp/>
        <stp>BDP|5698151806753990539</stp>
        <tr r="C1451" s="2"/>
      </tp>
      <tp t="s">
        <v>#N/A N/A</v>
        <stp/>
        <stp>BDP|1901065249967175084</stp>
        <tr r="A1217" s="2"/>
      </tp>
      <tp t="s">
        <v>#N/A N/A</v>
        <stp/>
        <stp>BDP|3112881444905218807</stp>
        <tr r="B3572" s="2"/>
      </tp>
      <tp t="s">
        <v>#N/A N/A</v>
        <stp/>
        <stp>BDP|9972843362371818489</stp>
        <tr r="F3842" s="2"/>
      </tp>
      <tp t="s">
        <v>#N/A N/A</v>
        <stp/>
        <stp>BDP|8943125335448189003</stp>
        <tr r="F2017" s="2"/>
      </tp>
      <tp t="s">
        <v>#N/A N/A</v>
        <stp/>
        <stp>BDP|1085651847570902142</stp>
        <tr r="B2239" s="2"/>
      </tp>
      <tp t="s">
        <v>#N/A N/A</v>
        <stp/>
        <stp>BDP|8109591476221787965</stp>
        <tr r="G4813" s="2"/>
      </tp>
      <tp t="s">
        <v>#N/A N/A</v>
        <stp/>
        <stp>BDP|9749492854182301869</stp>
        <tr r="I365" s="2"/>
      </tp>
      <tp t="s">
        <v>#N/A N/A</v>
        <stp/>
        <stp>BDP|8311566547069975241</stp>
        <tr r="H4175" s="2"/>
      </tp>
      <tp t="s">
        <v>#N/A N/A</v>
        <stp/>
        <stp>BDP|4735686090108675162</stp>
        <tr r="C3726" s="2"/>
      </tp>
      <tp t="s">
        <v>#N/A N/A</v>
        <stp/>
        <stp>BDP|8988553944912140967</stp>
        <tr r="D2980" s="2"/>
      </tp>
      <tp t="s">
        <v>#N/A N/A</v>
        <stp/>
        <stp>BDP|2979744920020623540</stp>
        <tr r="D1459" s="2"/>
      </tp>
      <tp t="s">
        <v>#N/A N/A</v>
        <stp/>
        <stp>BDP|5394064041947353480</stp>
        <tr r="G4572" s="2"/>
      </tp>
      <tp t="s">
        <v>#N/A N/A</v>
        <stp/>
        <stp>BDP|3596165964000843609</stp>
        <tr r="B4309" s="2"/>
      </tp>
      <tp t="s">
        <v>#N/A N/A</v>
        <stp/>
        <stp>BDP|9179118688044672619</stp>
        <tr r="C2121" s="2"/>
      </tp>
      <tp t="s">
        <v>#N/A N/A</v>
        <stp/>
        <stp>BDP|1458226928067163405</stp>
        <tr r="D3882" s="2"/>
      </tp>
      <tp t="s">
        <v>#N/A N/A</v>
        <stp/>
        <stp>BDP|8155455648749663351</stp>
        <tr r="G1636" s="2"/>
      </tp>
      <tp t="s">
        <v>#N/A N/A</v>
        <stp/>
        <stp>BDP|5663719279652182501</stp>
        <tr r="G4037" s="2"/>
      </tp>
      <tp t="s">
        <v>#N/A N/A</v>
        <stp/>
        <stp>BDP|3733510586839892572</stp>
        <tr r="G2506" s="2"/>
      </tp>
      <tp t="s">
        <v>#N/A N/A</v>
        <stp/>
        <stp>BDP|3272400079660165257</stp>
        <tr r="H2804" s="2"/>
      </tp>
      <tp t="s">
        <v>#N/A N/A</v>
        <stp/>
        <stp>BDP|6495401103418996815</stp>
        <tr r="A2298" s="2"/>
      </tp>
      <tp t="s">
        <v>#N/A N/A</v>
        <stp/>
        <stp>BDP|2298930639538640218</stp>
        <tr r="F2514" s="2"/>
      </tp>
      <tp t="s">
        <v>#N/A N/A</v>
        <stp/>
        <stp>BDP|4938044008452273484</stp>
        <tr r="F104" s="2"/>
      </tp>
      <tp t="s">
        <v>#N/A N/A</v>
        <stp/>
        <stp>BDP|7480582340853692759</stp>
        <tr r="C2265" s="2"/>
      </tp>
      <tp t="s">
        <v>#N/A N/A</v>
        <stp/>
        <stp>BDP|3866114691029751005</stp>
        <tr r="C2046" s="2"/>
      </tp>
      <tp t="s">
        <v>#N/A N/A</v>
        <stp/>
        <stp>BDP|2653382804934445718</stp>
        <tr r="G1952" s="2"/>
      </tp>
      <tp t="s">
        <v>#N/A N/A</v>
        <stp/>
        <stp>BDP|3368631509343071461</stp>
        <tr r="A2609" s="2"/>
      </tp>
      <tp t="s">
        <v>#N/A N/A</v>
        <stp/>
        <stp>BDP|5168917918596553923</stp>
        <tr r="G1194" s="2"/>
      </tp>
      <tp t="s">
        <v>#N/A N/A</v>
        <stp/>
        <stp>BDP|9047208069926400920</stp>
        <tr r="C962" s="2"/>
      </tp>
      <tp t="s">
        <v>#N/A N/A</v>
        <stp/>
        <stp>BDP|1558144920278604886</stp>
        <tr r="C2576" s="2"/>
      </tp>
      <tp t="s">
        <v>#N/A N/A</v>
        <stp/>
        <stp>BDP|1390282006289080824</stp>
        <tr r="H28" s="2"/>
      </tp>
      <tp t="s">
        <v>#N/A N/A</v>
        <stp/>
        <stp>BDP|4092744392009194180</stp>
        <tr r="H2832" s="2"/>
      </tp>
      <tp t="s">
        <v>#N/A N/A</v>
        <stp/>
        <stp>BDP|5125047191319370785</stp>
        <tr r="C3392" s="2"/>
      </tp>
      <tp t="s">
        <v>#N/A N/A</v>
        <stp/>
        <stp>BDP|4055998464820064927</stp>
        <tr r="D4219" s="2"/>
      </tp>
      <tp t="s">
        <v>#N/A N/A</v>
        <stp/>
        <stp>BDP|2254136478955174379</stp>
        <tr r="G2376" s="2"/>
      </tp>
      <tp t="s">
        <v>#N/A N/A</v>
        <stp/>
        <stp>BDP|1142163911002078194</stp>
        <tr r="C3817" s="2"/>
      </tp>
      <tp t="s">
        <v>#N/A N/A</v>
        <stp/>
        <stp>BDP|9795831818157586565</stp>
        <tr r="G4730" s="2"/>
      </tp>
      <tp t="s">
        <v>#N/A N/A</v>
        <stp/>
        <stp>BDP|7225391974576643766</stp>
        <tr r="C2206" s="2"/>
      </tp>
      <tp t="s">
        <v>#N/A N/A</v>
        <stp/>
        <stp>BDP|8529122060384137997</stp>
        <tr r="B2223" s="2"/>
      </tp>
      <tp t="s">
        <v>#N/A N/A</v>
        <stp/>
        <stp>BDP|8734780500708711572</stp>
        <tr r="C1935" s="2"/>
      </tp>
      <tp t="s">
        <v>#N/A N/A</v>
        <stp/>
        <stp>BDP|3158586117230609576</stp>
        <tr r="A1453" s="2"/>
      </tp>
      <tp t="s">
        <v>#N/A N/A</v>
        <stp/>
        <stp>BDP|3801709151851239245</stp>
        <tr r="D3859" s="2"/>
      </tp>
      <tp t="s">
        <v>#N/A N/A</v>
        <stp/>
        <stp>BDP|7080396726466659268</stp>
        <tr r="F4202" s="2"/>
      </tp>
      <tp t="s">
        <v>#N/A N/A</v>
        <stp/>
        <stp>BDP|3598134189161295922</stp>
        <tr r="I2019" s="2"/>
      </tp>
      <tp t="s">
        <v>#N/A N/A</v>
        <stp/>
        <stp>BDP|8802753149069831036</stp>
        <tr r="F3170" s="2"/>
      </tp>
      <tp t="s">
        <v>#N/A N/A</v>
        <stp/>
        <stp>BDP|5242068719400770659</stp>
        <tr r="F2980" s="2"/>
      </tp>
      <tp t="s">
        <v>#N/A N/A</v>
        <stp/>
        <stp>BDP|5863842582337908081</stp>
        <tr r="C3028" s="2"/>
      </tp>
      <tp t="s">
        <v>#N/A N/A</v>
        <stp/>
        <stp>BDP|3885982080898643890</stp>
        <tr r="F3547" s="2"/>
      </tp>
      <tp t="s">
        <v>#N/A N/A</v>
        <stp/>
        <stp>BDP|7017519191008512190</stp>
        <tr r="H1266" s="2"/>
      </tp>
      <tp t="s">
        <v>#N/A N/A</v>
        <stp/>
        <stp>BDP|6167813204118882405</stp>
        <tr r="I4126" s="2"/>
      </tp>
      <tp t="s">
        <v>#N/A N/A</v>
        <stp/>
        <stp>BDP|3678135946713892775</stp>
        <tr r="F4095" s="2"/>
      </tp>
      <tp t="s">
        <v>#N/A N/A</v>
        <stp/>
        <stp>BDP|5459559469460246465</stp>
        <tr r="C80" s="2"/>
      </tp>
      <tp t="s">
        <v>#N/A N/A</v>
        <stp/>
        <stp>BDP|6878039545023042323</stp>
        <tr r="F3155" s="2"/>
      </tp>
      <tp t="s">
        <v>#N/A N/A</v>
        <stp/>
        <stp>BDP|5362279189205670872</stp>
        <tr r="I3078" s="2"/>
      </tp>
      <tp t="s">
        <v>#N/A N/A</v>
        <stp/>
        <stp>BDP|8785538722799370498</stp>
        <tr r="G2510" s="2"/>
      </tp>
      <tp t="s">
        <v>#N/A N/A</v>
        <stp/>
        <stp>BDP|2094735583249877642</stp>
        <tr r="I1780" s="2"/>
      </tp>
      <tp t="s">
        <v>#N/A N/A</v>
        <stp/>
        <stp>BDP|5507699430385958794</stp>
        <tr r="A1728" s="2"/>
      </tp>
      <tp t="s">
        <v>#N/A N/A</v>
        <stp/>
        <stp>BDP|3947204398918928240</stp>
        <tr r="F3501" s="2"/>
      </tp>
      <tp t="s">
        <v>#N/A N/A</v>
        <stp/>
        <stp>BDP|9250829848415631220</stp>
        <tr r="B1106" s="2"/>
      </tp>
      <tp t="s">
        <v>#N/A N/A</v>
        <stp/>
        <stp>BDP|9592820018466214416</stp>
        <tr r="H4017" s="2"/>
      </tp>
      <tp t="s">
        <v>#N/A N/A</v>
        <stp/>
        <stp>BDP|5534684606510780100</stp>
        <tr r="C4843" s="2"/>
      </tp>
      <tp t="s">
        <v>#N/A N/A</v>
        <stp/>
        <stp>BDP|4153126040354628798</stp>
        <tr r="C2681" s="2"/>
      </tp>
      <tp t="s">
        <v>#N/A N/A</v>
        <stp/>
        <stp>BDP|6732018758335458467</stp>
        <tr r="D1994" s="2"/>
      </tp>
      <tp t="s">
        <v>#N/A N/A</v>
        <stp/>
        <stp>BDP|1614394784828758002</stp>
        <tr r="F2910" s="2"/>
      </tp>
      <tp t="s">
        <v>#N/A N/A</v>
        <stp/>
        <stp>BDP|1654391388671866939</stp>
        <tr r="G681" s="2"/>
      </tp>
      <tp t="s">
        <v>#N/A N/A</v>
        <stp/>
        <stp>BDP|7589105507562758690</stp>
        <tr r="B4500" s="2"/>
      </tp>
      <tp t="s">
        <v>#N/A N/A</v>
        <stp/>
        <stp>BDP|9477145952908853763</stp>
        <tr r="A2005" s="2"/>
      </tp>
      <tp t="s">
        <v>#N/A N/A</v>
        <stp/>
        <stp>BDP|4958152272976558677</stp>
        <tr r="F4457" s="2"/>
      </tp>
      <tp t="s">
        <v>#N/A N/A</v>
        <stp/>
        <stp>BDP|2023987587815764447</stp>
        <tr r="B2368" s="2"/>
      </tp>
      <tp t="s">
        <v>#N/A N/A</v>
        <stp/>
        <stp>BDP|4028196986557397804</stp>
        <tr r="F3247" s="2"/>
      </tp>
      <tp t="s">
        <v>#N/A N/A</v>
        <stp/>
        <stp>BDP|2278069525475874751</stp>
        <tr r="I2330" s="2"/>
      </tp>
      <tp t="s">
        <v>#N/A N/A</v>
        <stp/>
        <stp>BDP|2847513655035689563</stp>
        <tr r="G4509" s="2"/>
      </tp>
      <tp t="s">
        <v>#N/A N/A</v>
        <stp/>
        <stp>BDP|7483492921611480248</stp>
        <tr r="G373" s="2"/>
      </tp>
      <tp t="s">
        <v>#N/A N/A</v>
        <stp/>
        <stp>BDP|4385654327401473390</stp>
        <tr r="G1603" s="2"/>
      </tp>
      <tp t="s">
        <v>#N/A N/A</v>
        <stp/>
        <stp>BDP|2184505647346326793</stp>
        <tr r="F2463" s="2"/>
      </tp>
      <tp t="s">
        <v>#N/A N/A</v>
        <stp/>
        <stp>BDP|6941619311194117742</stp>
        <tr r="H340" s="2"/>
      </tp>
      <tp t="s">
        <v>#N/A N/A</v>
        <stp/>
        <stp>BDP|9190831213601478396</stp>
        <tr r="H2644" s="2"/>
      </tp>
      <tp t="s">
        <v>#N/A N/A</v>
        <stp/>
        <stp>BDP|7611653949954026366</stp>
        <tr r="F4585" s="2"/>
      </tp>
      <tp t="s">
        <v>#N/A N/A</v>
        <stp/>
        <stp>BDP|1405311258326140307</stp>
        <tr r="A3776" s="2"/>
      </tp>
      <tp t="s">
        <v>#N/A N/A</v>
        <stp/>
        <stp>BDP|9770660823696717991</stp>
        <tr r="I3485" s="2"/>
      </tp>
      <tp t="s">
        <v>#N/A N/A</v>
        <stp/>
        <stp>BDP|7266690005920075329</stp>
        <tr r="C999" s="2"/>
      </tp>
      <tp t="s">
        <v>#N/A N/A</v>
        <stp/>
        <stp>BDP|1504694878671859306</stp>
        <tr r="D4287" s="2"/>
      </tp>
      <tp t="s">
        <v>#N/A N/A</v>
        <stp/>
        <stp>BDP|6838804232679076667</stp>
        <tr r="D3851" s="2"/>
      </tp>
      <tp t="s">
        <v>#N/A N/A</v>
        <stp/>
        <stp>BDP|1909675440354559573</stp>
        <tr r="I3758" s="2"/>
      </tp>
      <tp t="s">
        <v>#N/A N/A</v>
        <stp/>
        <stp>BDP|4870424185148417273</stp>
        <tr r="F952" s="2"/>
      </tp>
      <tp t="s">
        <v>#N/A N/A</v>
        <stp/>
        <stp>BDP|1742930595955551688</stp>
        <tr r="I341" s="2"/>
      </tp>
      <tp t="s">
        <v>#N/A N/A</v>
        <stp/>
        <stp>BDP|1825319725744455649</stp>
        <tr r="B3474" s="2"/>
      </tp>
      <tp t="s">
        <v>#N/A N/A</v>
        <stp/>
        <stp>BDP|5505852630044883849</stp>
        <tr r="B2075" s="2"/>
      </tp>
      <tp t="s">
        <v>#N/A N/A</v>
        <stp/>
        <stp>BDP|5011853484056967147</stp>
        <tr r="D1677" s="2"/>
      </tp>
      <tp t="s">
        <v>#N/A N/A</v>
        <stp/>
        <stp>BDP|2631372381753443880</stp>
        <tr r="B4358" s="2"/>
      </tp>
      <tp t="s">
        <v>#N/A N/A</v>
        <stp/>
        <stp>BDP|1624513420057970324</stp>
        <tr r="C3602" s="2"/>
      </tp>
      <tp t="s">
        <v>#N/A N/A</v>
        <stp/>
        <stp>BDP|5128727518738718901</stp>
        <tr r="A929" s="2"/>
      </tp>
      <tp t="s">
        <v>#N/A N/A</v>
        <stp/>
        <stp>BDP|7627615462415993008</stp>
        <tr r="I3950" s="2"/>
      </tp>
      <tp t="s">
        <v>#N/A N/A</v>
        <stp/>
        <stp>BDP|5396077518784325239</stp>
        <tr r="F4131" s="2"/>
      </tp>
      <tp t="s">
        <v>#N/A N/A</v>
        <stp/>
        <stp>BDP|8952046975655357872</stp>
        <tr r="I2843" s="2"/>
      </tp>
      <tp t="s">
        <v>#N/A N/A</v>
        <stp/>
        <stp>BDP|3658784898237858824</stp>
        <tr r="I3802" s="2"/>
      </tp>
      <tp t="s">
        <v>#N/A N/A</v>
        <stp/>
        <stp>BDP|3471294450692988488</stp>
        <tr r="H4082" s="2"/>
      </tp>
      <tp t="s">
        <v>#N/A N/A</v>
        <stp/>
        <stp>BDP|6435289966799119979</stp>
        <tr r="G4686" s="2"/>
      </tp>
      <tp t="s">
        <v>#N/A N/A</v>
        <stp/>
        <stp>BDP|5795892797195585307</stp>
        <tr r="F4065" s="2"/>
      </tp>
      <tp t="s">
        <v>#N/A N/A</v>
        <stp/>
        <stp>BDP|1965416873902092275</stp>
        <tr r="G1018" s="2"/>
      </tp>
      <tp t="s">
        <v>#N/A N/A</v>
        <stp/>
        <stp>BDP|1079851898874231639</stp>
        <tr r="B4439" s="2"/>
      </tp>
      <tp t="s">
        <v>#N/A N/A</v>
        <stp/>
        <stp>BDP|5481432643603180490</stp>
        <tr r="D883" s="2"/>
      </tp>
      <tp t="s">
        <v>#N/A N/A</v>
        <stp/>
        <stp>BDP|8716316541219242495</stp>
        <tr r="G2534" s="2"/>
      </tp>
      <tp t="s">
        <v>#N/A N/A</v>
        <stp/>
        <stp>BDP|2525643422631613592</stp>
        <tr r="B3796" s="2"/>
      </tp>
      <tp t="s">
        <v>#N/A N/A</v>
        <stp/>
        <stp>BDP|5932444121572477341</stp>
        <tr r="C3233" s="2"/>
      </tp>
      <tp t="s">
        <v>#N/A N/A</v>
        <stp/>
        <stp>BDP|2356660812640275790</stp>
        <tr r="G351" s="2"/>
      </tp>
      <tp t="s">
        <v>#N/A N/A</v>
        <stp/>
        <stp>BDP|6528114281748051590</stp>
        <tr r="I4850" s="2"/>
      </tp>
      <tp t="s">
        <v>#N/A N/A</v>
        <stp/>
        <stp>BDP|6303089860234780607</stp>
        <tr r="H136" s="2"/>
      </tp>
      <tp t="s">
        <v>#N/A N/A</v>
        <stp/>
        <stp>BDP|5006282606684253105</stp>
        <tr r="I2528" s="2"/>
      </tp>
      <tp t="s">
        <v>#N/A N/A</v>
        <stp/>
        <stp>BDP|9948044960645185809</stp>
        <tr r="G1837" s="2"/>
      </tp>
      <tp t="s">
        <v>#N/A N/A</v>
        <stp/>
        <stp>BDP|7875312249565500797</stp>
        <tr r="A2962" s="2"/>
      </tp>
      <tp t="s">
        <v>#N/A N/A</v>
        <stp/>
        <stp>BDP|2190696467681673159</stp>
        <tr r="F2941" s="2"/>
      </tp>
      <tp t="s">
        <v>#N/A N/A</v>
        <stp/>
        <stp>BDP|7992668695759614301</stp>
        <tr r="I252" s="2"/>
      </tp>
      <tp t="s">
        <v>#N/A N/A</v>
        <stp/>
        <stp>BDP|4407355737223324593</stp>
        <tr r="H2845" s="2"/>
      </tp>
      <tp t="s">
        <v>#N/A N/A</v>
        <stp/>
        <stp>BDP|6560260780038863676</stp>
        <tr r="B3101" s="2"/>
      </tp>
      <tp t="s">
        <v>#N/A N/A</v>
        <stp/>
        <stp>BDP|7806792911460938353</stp>
        <tr r="G3165" s="2"/>
      </tp>
      <tp t="s">
        <v>#N/A N/A</v>
        <stp/>
        <stp>BDP|2523681966374514427</stp>
        <tr r="C821" s="2"/>
      </tp>
      <tp t="s">
        <v>#N/A N/A</v>
        <stp/>
        <stp>BDP|4274676100057169781</stp>
        <tr r="B3898" s="2"/>
      </tp>
      <tp t="s">
        <v>#N/A N/A</v>
        <stp/>
        <stp>BDP|6004539043213863655</stp>
        <tr r="H2668" s="2"/>
      </tp>
      <tp t="s">
        <v>#N/A N/A</v>
        <stp/>
        <stp>BDP|3083792376104127531</stp>
        <tr r="H4293" s="2"/>
      </tp>
      <tp t="s">
        <v>#N/A N/A</v>
        <stp/>
        <stp>BDP|3280689710895219350</stp>
        <tr r="H3178" s="2"/>
      </tp>
      <tp t="s">
        <v>#N/A N/A</v>
        <stp/>
        <stp>BDP|3380277218261764363</stp>
        <tr r="H2194" s="2"/>
      </tp>
      <tp t="s">
        <v>#N/A N/A</v>
        <stp/>
        <stp>BDP|9949171466858510404</stp>
        <tr r="A646" s="2"/>
      </tp>
      <tp t="s">
        <v>#N/A N/A</v>
        <stp/>
        <stp>BDP|2723985079816307884</stp>
        <tr r="C4797" s="2"/>
      </tp>
      <tp t="s">
        <v>#N/A N/A</v>
        <stp/>
        <stp>BDP|9523293111520285827</stp>
        <tr r="G536" s="2"/>
      </tp>
      <tp t="s">
        <v>#N/A N/A</v>
        <stp/>
        <stp>BDP|7567751889852723836</stp>
        <tr r="D4977" s="2"/>
      </tp>
      <tp t="s">
        <v>#N/A N/A</v>
        <stp/>
        <stp>BDP|1071568628037762343</stp>
        <tr r="B2692" s="2"/>
      </tp>
      <tp t="s">
        <v>#N/A N/A</v>
        <stp/>
        <stp>BDP|2701676562542990260</stp>
        <tr r="F3995" s="2"/>
      </tp>
      <tp t="s">
        <v>#N/A N/A</v>
        <stp/>
        <stp>BDP|6456868018404777904</stp>
        <tr r="C4032" s="2"/>
      </tp>
      <tp t="s">
        <v>#N/A N/A</v>
        <stp/>
        <stp>BDP|4005754140223885604</stp>
        <tr r="B4956" s="2"/>
      </tp>
      <tp t="s">
        <v>#N/A N/A</v>
        <stp/>
        <stp>BDP|6592952139567248960</stp>
        <tr r="G4519" s="2"/>
      </tp>
      <tp t="s">
        <v>#N/A N/A</v>
        <stp/>
        <stp>BDP|4463284233987467067</stp>
        <tr r="H4606" s="2"/>
      </tp>
      <tp t="s">
        <v>#N/A N/A</v>
        <stp/>
        <stp>BDP|6616577990621497983</stp>
        <tr r="D2967" s="2"/>
      </tp>
      <tp t="s">
        <v>#N/A N/A</v>
        <stp/>
        <stp>BDP|3552515745360988051</stp>
        <tr r="B3741" s="2"/>
      </tp>
      <tp t="s">
        <v>#N/A N/A</v>
        <stp/>
        <stp>BDP|5309645264935923274</stp>
        <tr r="I286" s="2"/>
      </tp>
      <tp t="s">
        <v>#N/A N/A</v>
        <stp/>
        <stp>BDP|1645809208302033930</stp>
        <tr r="D973" s="2"/>
      </tp>
      <tp t="s">
        <v>#N/A N/A</v>
        <stp/>
        <stp>BDP|6336674723537967739</stp>
        <tr r="F4317" s="2"/>
      </tp>
      <tp t="s">
        <v>#N/A N/A</v>
        <stp/>
        <stp>BDP|4053353835587974149</stp>
        <tr r="I4290" s="2"/>
      </tp>
      <tp t="s">
        <v>#N/A N/A</v>
        <stp/>
        <stp>BDP|1828949644856472819</stp>
        <tr r="I4857" s="2"/>
      </tp>
      <tp t="s">
        <v>#N/A N/A</v>
        <stp/>
        <stp>BDP|8802631101488392441</stp>
        <tr r="A4722" s="2"/>
      </tp>
      <tp t="s">
        <v>#N/A N/A</v>
        <stp/>
        <stp>BDP|8125525709957402832</stp>
        <tr r="A3559" s="2"/>
      </tp>
      <tp t="s">
        <v>#N/A N/A</v>
        <stp/>
        <stp>BDP|5961159960582212237</stp>
        <tr r="D475" s="2"/>
      </tp>
      <tp t="s">
        <v>#N/A N/A</v>
        <stp/>
        <stp>BDP|4042738281819897072</stp>
        <tr r="F2134" s="2"/>
      </tp>
      <tp t="s">
        <v>#N/A N/A</v>
        <stp/>
        <stp>BDP|7617379169635332562</stp>
        <tr r="D2054" s="2"/>
      </tp>
      <tp t="s">
        <v>#N/A N/A</v>
        <stp/>
        <stp>BDP|5717556190469658299</stp>
        <tr r="C537" s="2"/>
      </tp>
      <tp t="s">
        <v>#N/A N/A</v>
        <stp/>
        <stp>BDP|3951117435004652769</stp>
        <tr r="F4902" s="2"/>
      </tp>
      <tp t="s">
        <v>#N/A N/A</v>
        <stp/>
        <stp>BDP|3543854988392198344</stp>
        <tr r="H864" s="2"/>
      </tp>
      <tp t="s">
        <v>#N/A N/A</v>
        <stp/>
        <stp>BDP|8417990424475511415</stp>
        <tr r="A3762" s="2"/>
      </tp>
      <tp t="s">
        <v>#N/A N/A</v>
        <stp/>
        <stp>BDP|1014299750624068049</stp>
        <tr r="F65" s="2"/>
      </tp>
      <tp t="s">
        <v>#N/A N/A</v>
        <stp/>
        <stp>BDP|5703434418255322724</stp>
        <tr r="A1667" s="2"/>
      </tp>
      <tp t="s">
        <v>#N/A N/A</v>
        <stp/>
        <stp>BDP|6713267069535415511</stp>
        <tr r="B1008" s="2"/>
      </tp>
      <tp t="s">
        <v>#N/A N/A</v>
        <stp/>
        <stp>BDP|7578094852424542460</stp>
        <tr r="B4001" s="2"/>
      </tp>
      <tp t="s">
        <v>#N/A N/A</v>
        <stp/>
        <stp>BDP|6854765180962492973</stp>
        <tr r="D1989" s="2"/>
      </tp>
      <tp t="s">
        <v>#N/A N/A</v>
        <stp/>
        <stp>BDP|1931224935846750449</stp>
        <tr r="A3467" s="2"/>
      </tp>
      <tp t="s">
        <v>#N/A N/A</v>
        <stp/>
        <stp>BDP|4123633318395504421</stp>
        <tr r="C830" s="2"/>
      </tp>
      <tp t="s">
        <v>#N/A N/A</v>
        <stp/>
        <stp>BDP|4954312439950458688</stp>
        <tr r="I1810" s="2"/>
      </tp>
      <tp t="s">
        <v>#N/A N/A</v>
        <stp/>
        <stp>BDP|7641019853661182180</stp>
        <tr r="G3011" s="2"/>
      </tp>
      <tp t="s">
        <v>#N/A N/A</v>
        <stp/>
        <stp>BDP|4649370139234364263</stp>
        <tr r="F1440" s="2"/>
      </tp>
      <tp t="s">
        <v>#N/A N/A</v>
        <stp/>
        <stp>BDP|9603381864288278657</stp>
        <tr r="A1470" s="2"/>
      </tp>
      <tp t="s">
        <v>#N/A N/A</v>
        <stp/>
        <stp>BDP|3873101707044404464</stp>
        <tr r="A2414" s="2"/>
      </tp>
      <tp t="s">
        <v>#N/A N/A</v>
        <stp/>
        <stp>BDP|6348770057591625781</stp>
        <tr r="C3862" s="2"/>
      </tp>
      <tp t="s">
        <v>#N/A N/A</v>
        <stp/>
        <stp>BDP|8869911378475519190</stp>
        <tr r="B25" s="2"/>
      </tp>
      <tp t="s">
        <v>#N/A N/A</v>
        <stp/>
        <stp>BDP|4466445475171113491</stp>
        <tr r="D2808" s="2"/>
      </tp>
      <tp t="s">
        <v>#N/A N/A</v>
        <stp/>
        <stp>BDP|9734021108988803389</stp>
        <tr r="H2729" s="2"/>
      </tp>
      <tp t="s">
        <v>#N/A N/A</v>
        <stp/>
        <stp>BDP|6851042010582971787</stp>
        <tr r="I3519" s="2"/>
      </tp>
      <tp t="s">
        <v>#N/A N/A</v>
        <stp/>
        <stp>BDP|4785522032611301199</stp>
        <tr r="C735" s="2"/>
      </tp>
      <tp t="s">
        <v>#N/A N/A</v>
        <stp/>
        <stp>BDP|5493965231019815468</stp>
        <tr r="F4470" s="2"/>
      </tp>
      <tp t="s">
        <v>#N/A N/A</v>
        <stp/>
        <stp>BDP|3948446051475361525</stp>
        <tr r="G2222" s="2"/>
      </tp>
      <tp t="s">
        <v>#N/A N/A</v>
        <stp/>
        <stp>BDP|6841972824147422820</stp>
        <tr r="F2102" s="2"/>
      </tp>
      <tp t="s">
        <v>#N/A N/A</v>
        <stp/>
        <stp>BDP|1558301800438913815</stp>
        <tr r="D1512" s="2"/>
      </tp>
      <tp t="s">
        <v>#N/A N/A</v>
        <stp/>
        <stp>BDP|4190655038016291531</stp>
        <tr r="F2431" s="2"/>
      </tp>
      <tp t="s">
        <v>#N/A N/A</v>
        <stp/>
        <stp>BDP|7257139037844960326</stp>
        <tr r="A497" s="2"/>
      </tp>
      <tp t="s">
        <v>#N/A N/A</v>
        <stp/>
        <stp>BDP|5840602023343259044</stp>
        <tr r="C4167" s="2"/>
      </tp>
      <tp t="s">
        <v>#N/A N/A</v>
        <stp/>
        <stp>BDP|5602400288022538967</stp>
        <tr r="A4953" s="2"/>
      </tp>
      <tp t="s">
        <v>#N/A N/A</v>
        <stp/>
        <stp>BDP|8411571022565463884</stp>
        <tr r="C3486" s="2"/>
      </tp>
      <tp t="s">
        <v>#N/A N/A</v>
        <stp/>
        <stp>BDP|2598739024652638792</stp>
        <tr r="F2635" s="2"/>
      </tp>
      <tp t="s">
        <v>#N/A N/A</v>
        <stp/>
        <stp>BDP|8520670429626203843</stp>
        <tr r="B1651" s="2"/>
      </tp>
      <tp t="s">
        <v>#N/A N/A</v>
        <stp/>
        <stp>BDP|6873067560803691156</stp>
        <tr r="D2299" s="2"/>
      </tp>
      <tp t="s">
        <v>#N/A N/A</v>
        <stp/>
        <stp>BDP|3016220959070768610</stp>
        <tr r="A3733" s="2"/>
      </tp>
      <tp t="s">
        <v>#N/A N/A</v>
        <stp/>
        <stp>BDP|7451643654384063294</stp>
        <tr r="G1234" s="2"/>
      </tp>
      <tp t="s">
        <v>#N/A N/A</v>
        <stp/>
        <stp>BDP|6547599746826307343</stp>
        <tr r="A854" s="2"/>
      </tp>
      <tp t="s">
        <v>#N/A N/A</v>
        <stp/>
        <stp>BDP|3543393425714750433</stp>
        <tr r="C707" s="2"/>
      </tp>
      <tp t="s">
        <v>#N/A N/A</v>
        <stp/>
        <stp>BDP|5103761646627917350</stp>
        <tr r="D574" s="2"/>
      </tp>
      <tp t="s">
        <v>#N/A N/A</v>
        <stp/>
        <stp>BDP|7903092303364716196</stp>
        <tr r="D2556" s="2"/>
      </tp>
      <tp t="s">
        <v>#N/A N/A</v>
        <stp/>
        <stp>BDP|6076708202284739777</stp>
        <tr r="D4738" s="2"/>
      </tp>
      <tp t="s">
        <v>#N/A N/A</v>
        <stp/>
        <stp>BDP|9426803534927257704</stp>
        <tr r="D134" s="2"/>
      </tp>
      <tp t="s">
        <v>#N/A N/A</v>
        <stp/>
        <stp>BDP|5106937293472224518</stp>
        <tr r="F172" s="2"/>
      </tp>
      <tp t="s">
        <v>#N/A N/A</v>
        <stp/>
        <stp>BDP|6671312942685437639</stp>
        <tr r="C3350" s="2"/>
      </tp>
      <tp t="s">
        <v>#N/A N/A</v>
        <stp/>
        <stp>BDP|2636053628985118781</stp>
        <tr r="F2965" s="2"/>
      </tp>
      <tp t="s">
        <v>#N/A N/A</v>
        <stp/>
        <stp>BDP|1272946275534781965</stp>
        <tr r="I1483" s="2"/>
      </tp>
      <tp t="s">
        <v>#N/A N/A</v>
        <stp/>
        <stp>BDP|5582474417907482535</stp>
        <tr r="C4067" s="2"/>
      </tp>
      <tp t="s">
        <v>#N/A N/A</v>
        <stp/>
        <stp>BDP|1938102454061789681</stp>
        <tr r="F1427" s="2"/>
      </tp>
      <tp t="s">
        <v>#N/A N/A</v>
        <stp/>
        <stp>BDP|3693812815959135119</stp>
        <tr r="G2405" s="2"/>
      </tp>
      <tp t="s">
        <v>#N/A N/A</v>
        <stp/>
        <stp>BDP|7548440021906163533</stp>
        <tr r="H1356" s="2"/>
      </tp>
      <tp t="s">
        <v>#N/A N/A</v>
        <stp/>
        <stp>BDP|5893890591281498769</stp>
        <tr r="G2832" s="2"/>
      </tp>
      <tp t="s">
        <v>#N/A N/A</v>
        <stp/>
        <stp>BDP|7439651297952378877</stp>
        <tr r="A663" s="2"/>
      </tp>
      <tp t="s">
        <v>#N/A N/A</v>
        <stp/>
        <stp>BDP|2760519318903944759</stp>
        <tr r="C3573" s="2"/>
      </tp>
      <tp t="s">
        <v>#N/A N/A</v>
        <stp/>
        <stp>BDP|4993364520476556187</stp>
        <tr r="B48" s="2"/>
      </tp>
      <tp t="s">
        <v>#N/A N/A</v>
        <stp/>
        <stp>BDP|7286686739723933381</stp>
        <tr r="A3657" s="2"/>
      </tp>
      <tp t="s">
        <v>#N/A N/A</v>
        <stp/>
        <stp>BDP|3323083499368983091</stp>
        <tr r="B604" s="2"/>
      </tp>
      <tp t="s">
        <v>#N/A N/A</v>
        <stp/>
        <stp>BDP|3965107803966066685</stp>
        <tr r="A4849" s="2"/>
      </tp>
      <tp t="s">
        <v>#N/A N/A</v>
        <stp/>
        <stp>BDP|3248309212023527074</stp>
        <tr r="B159" s="2"/>
      </tp>
      <tp t="s">
        <v>#N/A N/A</v>
        <stp/>
        <stp>BDP|9604438089291627683</stp>
        <tr r="G2389" s="2"/>
      </tp>
      <tp t="s">
        <v>#N/A N/A</v>
        <stp/>
        <stp>BDP|8785873923087490758</stp>
        <tr r="I3293" s="2"/>
      </tp>
      <tp t="s">
        <v>#N/A N/A</v>
        <stp/>
        <stp>BDP|2583447241631372114</stp>
        <tr r="G1897" s="2"/>
      </tp>
      <tp t="s">
        <v>#N/A N/A</v>
        <stp/>
        <stp>BDP|6691107596445592979</stp>
        <tr r="F4947" s="2"/>
      </tp>
      <tp t="s">
        <v>#N/A N/A</v>
        <stp/>
        <stp>BDP|8107813030228327919</stp>
        <tr r="H4050" s="2"/>
      </tp>
      <tp t="s">
        <v>#N/A N/A</v>
        <stp/>
        <stp>BDP|4733288129464139251</stp>
        <tr r="C4008" s="2"/>
      </tp>
      <tp t="s">
        <v>#N/A N/A</v>
        <stp/>
        <stp>BDP|6883404410238214983</stp>
        <tr r="D1559" s="2"/>
      </tp>
      <tp t="s">
        <v>#N/A N/A</v>
        <stp/>
        <stp>BDP|3969760722844708082</stp>
        <tr r="C2577" s="2"/>
      </tp>
      <tp t="s">
        <v>#N/A N/A</v>
        <stp/>
        <stp>BDP|1593050360691316412</stp>
        <tr r="I3146" s="2"/>
      </tp>
      <tp t="s">
        <v>#N/A N/A</v>
        <stp/>
        <stp>BDP|6439483506958046881</stp>
        <tr r="C4414" s="2"/>
      </tp>
      <tp t="s">
        <v>#N/A N/A</v>
        <stp/>
        <stp>BDP|8115954951966185068</stp>
        <tr r="B3403" s="2"/>
      </tp>
      <tp t="s">
        <v>#N/A N/A</v>
        <stp/>
        <stp>BDP|2729938330342427827</stp>
        <tr r="A2053" s="2"/>
      </tp>
      <tp t="s">
        <v>#N/A N/A</v>
        <stp/>
        <stp>BDP|3038494434405667399</stp>
        <tr r="F1425" s="2"/>
      </tp>
      <tp t="s">
        <v>#N/A N/A</v>
        <stp/>
        <stp>BDP|9668604151491085951</stp>
        <tr r="D868" s="2"/>
      </tp>
      <tp t="s">
        <v>#N/A N/A</v>
        <stp/>
        <stp>BDP|6233573617403423349</stp>
        <tr r="A3827" s="2"/>
      </tp>
      <tp t="s">
        <v>#N/A N/A</v>
        <stp/>
        <stp>BDP|2087785748367737452</stp>
        <tr r="F921" s="2"/>
      </tp>
      <tp t="s">
        <v>#N/A N/A</v>
        <stp/>
        <stp>BDP|6561488607165009580</stp>
        <tr r="H2230" s="2"/>
      </tp>
      <tp t="s">
        <v>#N/A N/A</v>
        <stp/>
        <stp>BDP|7033554827965405741</stp>
        <tr r="D1354" s="2"/>
      </tp>
      <tp t="s">
        <v>#N/A N/A</v>
        <stp/>
        <stp>BDP|9038838354911342769</stp>
        <tr r="G3959" s="2"/>
      </tp>
      <tp t="s">
        <v>#N/A N/A</v>
        <stp/>
        <stp>BDP|4740740631865129711</stp>
        <tr r="F3394" s="2"/>
      </tp>
      <tp t="s">
        <v>#N/A N/A</v>
        <stp/>
        <stp>BDP|2367009178652848512</stp>
        <tr r="F3084" s="2"/>
      </tp>
      <tp t="s">
        <v>#N/A N/A</v>
        <stp/>
        <stp>BDP|8735901914921215335</stp>
        <tr r="F2331" s="2"/>
      </tp>
      <tp t="s">
        <v>#N/A N/A</v>
        <stp/>
        <stp>BDP|4448672347096317259</stp>
        <tr r="A617" s="2"/>
      </tp>
      <tp t="s">
        <v>#N/A N/A</v>
        <stp/>
        <stp>BDP|5344076817094740268</stp>
        <tr r="A3716" s="2"/>
      </tp>
      <tp t="s">
        <v>#N/A N/A</v>
        <stp/>
        <stp>BDP|6215347357433690155</stp>
        <tr r="H1404" s="2"/>
      </tp>
      <tp t="s">
        <v>#N/A N/A</v>
        <stp/>
        <stp>BDP|2324540666520617358</stp>
        <tr r="B1721" s="2"/>
      </tp>
      <tp t="s">
        <v>#N/A N/A</v>
        <stp/>
        <stp>BDP|7344328660349459974</stp>
        <tr r="F2945" s="2"/>
      </tp>
      <tp t="s">
        <v>#N/A N/A</v>
        <stp/>
        <stp>BDP|4180751079914987269</stp>
        <tr r="B1351" s="2"/>
      </tp>
      <tp t="s">
        <v>#N/A N/A</v>
        <stp/>
        <stp>BDP|5821952801137658985</stp>
        <tr r="C466" s="2"/>
      </tp>
      <tp t="s">
        <v>#N/A N/A</v>
        <stp/>
        <stp>BDP|8879021957576664994</stp>
        <tr r="I4765" s="2"/>
      </tp>
      <tp t="s">
        <v>#N/A N/A</v>
        <stp/>
        <stp>BDP|1833962723559619194</stp>
        <tr r="B4537" s="2"/>
      </tp>
      <tp t="s">
        <v>#N/A N/A</v>
        <stp/>
        <stp>BDP|7023822958461808904</stp>
        <tr r="B4740" s="2"/>
      </tp>
      <tp t="s">
        <v>#N/A N/A</v>
        <stp/>
        <stp>BDP|6585273607414774208</stp>
        <tr r="A3906" s="2"/>
      </tp>
      <tp t="s">
        <v>#N/A N/A</v>
        <stp/>
        <stp>BDP|2204098013716388797</stp>
        <tr r="D2723" s="2"/>
      </tp>
      <tp t="s">
        <v>#N/A N/A</v>
        <stp/>
        <stp>BDP|8876962047796274195</stp>
        <tr r="I3123" s="2"/>
      </tp>
      <tp t="s">
        <v>#N/A N/A</v>
        <stp/>
        <stp>BDP|7617955797665633002</stp>
        <tr r="B485" s="2"/>
      </tp>
      <tp t="s">
        <v>#N/A N/A</v>
        <stp/>
        <stp>BDP|5489151936980348567</stp>
        <tr r="C930" s="2"/>
      </tp>
      <tp t="s">
        <v>#N/A N/A</v>
        <stp/>
        <stp>BDP|9705234395950473079</stp>
        <tr r="B2098" s="2"/>
      </tp>
      <tp t="s">
        <v>#N/A N/A</v>
        <stp/>
        <stp>BDP|2264937707159617023</stp>
        <tr r="H575" s="2"/>
      </tp>
      <tp t="s">
        <v>#N/A N/A</v>
        <stp/>
        <stp>BDP|5642201814694920093</stp>
        <tr r="C2395" s="2"/>
      </tp>
      <tp t="s">
        <v>#N/A N/A</v>
        <stp/>
        <stp>BDP|2277526500526044325</stp>
        <tr r="C3515" s="2"/>
      </tp>
      <tp t="s">
        <v>#N/A N/A</v>
        <stp/>
        <stp>BDP|7109913840241341910</stp>
        <tr r="C2582" s="2"/>
      </tp>
      <tp t="s">
        <v>#N/A N/A</v>
        <stp/>
        <stp>BDP|1842304763525901300</stp>
        <tr r="C1047" s="2"/>
      </tp>
      <tp t="s">
        <v>#N/A N/A</v>
        <stp/>
        <stp>BDP|3772432575650034235</stp>
        <tr r="H4420" s="2"/>
      </tp>
      <tp t="s">
        <v>#N/A N/A</v>
        <stp/>
        <stp>BDP|3006625576571354150</stp>
        <tr r="B2886" s="2"/>
      </tp>
      <tp t="s">
        <v>#N/A N/A</v>
        <stp/>
        <stp>BDP|9417220945778438550</stp>
        <tr r="I184" s="2"/>
      </tp>
      <tp t="s">
        <v>#N/A N/A</v>
        <stp/>
        <stp>BDP|3707696499677306965</stp>
        <tr r="F647" s="2"/>
      </tp>
      <tp t="s">
        <v>#N/A N/A</v>
        <stp/>
        <stp>BDP|7748062021543050423</stp>
        <tr r="D4537" s="2"/>
      </tp>
      <tp t="s">
        <v>#N/A N/A</v>
        <stp/>
        <stp>BDP|2439323083478336342</stp>
        <tr r="B4787" s="2"/>
      </tp>
      <tp t="s">
        <v>#N/A N/A</v>
        <stp/>
        <stp>BDP|8840694007409227562</stp>
        <tr r="I1943" s="2"/>
      </tp>
      <tp t="s">
        <v>#N/A N/A</v>
        <stp/>
        <stp>BDP|1932741455659912831</stp>
        <tr r="I2599" s="2"/>
      </tp>
      <tp t="s">
        <v>#N/A N/A</v>
        <stp/>
        <stp>BDP|2745900434192485859</stp>
        <tr r="A4502" s="2"/>
      </tp>
      <tp t="s">
        <v>#N/A N/A</v>
        <stp/>
        <stp>BDP|4432762301499338821</stp>
        <tr r="I1019" s="2"/>
      </tp>
      <tp t="s">
        <v>#N/A N/A</v>
        <stp/>
        <stp>BDP|2213304023328440975</stp>
        <tr r="A2482" s="2"/>
      </tp>
      <tp t="s">
        <v>#N/A N/A</v>
        <stp/>
        <stp>BDP|3056721220770370433</stp>
        <tr r="I4010" s="2"/>
      </tp>
      <tp t="s">
        <v>#N/A N/A</v>
        <stp/>
        <stp>BDP|3781492839324368268</stp>
        <tr r="D51" s="2"/>
      </tp>
      <tp t="s">
        <v>#N/A N/A</v>
        <stp/>
        <stp>BDP|3159439885965468814</stp>
        <tr r="C4957" s="2"/>
      </tp>
      <tp t="s">
        <v>#N/A N/A</v>
        <stp/>
        <stp>BDP|3547726835085103014</stp>
        <tr r="D2039" s="2"/>
      </tp>
      <tp t="s">
        <v>#N/A N/A</v>
        <stp/>
        <stp>BDP|9617416506828717748</stp>
        <tr r="D927" s="2"/>
      </tp>
      <tp t="s">
        <v>#N/A N/A</v>
        <stp/>
        <stp>BDP|6274488008314085402</stp>
        <tr r="G793" s="2"/>
      </tp>
      <tp t="s">
        <v>#N/A N/A</v>
        <stp/>
        <stp>BDP|8443679934736748928</stp>
        <tr r="B2167" s="2"/>
      </tp>
      <tp t="s">
        <v>#N/A N/A</v>
        <stp/>
        <stp>BDP|5077364406197237307</stp>
        <tr r="H1446" s="2"/>
      </tp>
      <tp t="s">
        <v>#N/A N/A</v>
        <stp/>
        <stp>BDP|7169030655049234973</stp>
        <tr r="C2634" s="2"/>
      </tp>
      <tp t="s">
        <v>#N/A N/A</v>
        <stp/>
        <stp>BDP|3145484629997217011</stp>
        <tr r="I2903" s="2"/>
      </tp>
      <tp t="s">
        <v>#N/A N/A</v>
        <stp/>
        <stp>BDP|1221258913349185968</stp>
        <tr r="H2901" s="2"/>
      </tp>
      <tp t="s">
        <v>#N/A N/A</v>
        <stp/>
        <stp>BDP|2518401374993169036</stp>
        <tr r="H2138" s="2"/>
      </tp>
      <tp t="s">
        <v>#N/A N/A</v>
        <stp/>
        <stp>BDP|5587205377506011411</stp>
        <tr r="B1552" s="2"/>
      </tp>
      <tp t="s">
        <v>#N/A N/A</v>
        <stp/>
        <stp>BDP|7414680210561885374</stp>
        <tr r="H2030" s="2"/>
      </tp>
      <tp t="s">
        <v>#N/A N/A</v>
        <stp/>
        <stp>BDP|8629933555484281215</stp>
        <tr r="H1310" s="2"/>
      </tp>
      <tp t="s">
        <v>#N/A N/A</v>
        <stp/>
        <stp>BDP|8936038587644922677</stp>
        <tr r="B3367" s="2"/>
      </tp>
      <tp t="s">
        <v>#N/A N/A</v>
        <stp/>
        <stp>BDP|3156961197815011435</stp>
        <tr r="I2274" s="2"/>
      </tp>
      <tp t="s">
        <v>#N/A N/A</v>
        <stp/>
        <stp>BDP|6658721158975702385</stp>
        <tr r="D3092" s="2"/>
      </tp>
      <tp t="s">
        <v>#N/A N/A</v>
        <stp/>
        <stp>BDP|3479030965671696673</stp>
        <tr r="C450" s="2"/>
      </tp>
      <tp t="s">
        <v>#N/A N/A</v>
        <stp/>
        <stp>BDP|1327839442088815791</stp>
        <tr r="F768" s="2"/>
      </tp>
      <tp t="s">
        <v>#N/A N/A</v>
        <stp/>
        <stp>BDP|9270787318885454856</stp>
        <tr r="F4556" s="2"/>
      </tp>
      <tp t="s">
        <v>#N/A N/A</v>
        <stp/>
        <stp>BDP|1023905743838151610</stp>
        <tr r="C4769" s="2"/>
      </tp>
      <tp t="s">
        <v>#N/A N/A</v>
        <stp/>
        <stp>BDP|5455348546743774327</stp>
        <tr r="D4319" s="2"/>
      </tp>
      <tp t="s">
        <v>#N/A N/A</v>
        <stp/>
        <stp>BDP|7437703633653786234</stp>
        <tr r="D4310" s="2"/>
      </tp>
      <tp t="s">
        <v>#N/A N/A</v>
        <stp/>
        <stp>BDP|6389284518661934693</stp>
        <tr r="I2825" s="2"/>
      </tp>
      <tp t="s">
        <v>#N/A N/A</v>
        <stp/>
        <stp>BDP|8424403866949122100</stp>
        <tr r="F4757" s="2"/>
      </tp>
      <tp t="s">
        <v>#N/A N/A</v>
        <stp/>
        <stp>BDP|8717554384680787721</stp>
        <tr r="B532" s="2"/>
      </tp>
      <tp t="s">
        <v>#N/A N/A</v>
        <stp/>
        <stp>BDP|2591773670015233534</stp>
        <tr r="G2013" s="2"/>
      </tp>
      <tp t="s">
        <v>#N/A N/A</v>
        <stp/>
        <stp>BDP|9250387918868408157</stp>
        <tr r="A968" s="2"/>
      </tp>
      <tp t="s">
        <v>#N/A N/A</v>
        <stp/>
        <stp>BDP|4837388152513077314</stp>
        <tr r="F913" s="2"/>
      </tp>
      <tp t="s">
        <v>#N/A N/A</v>
        <stp/>
        <stp>BDP|1133040234822122234</stp>
        <tr r="G215" s="2"/>
      </tp>
      <tp t="s">
        <v>#N/A N/A</v>
        <stp/>
        <stp>BDP|6403678560111466542</stp>
        <tr r="A1992" s="2"/>
      </tp>
      <tp t="s">
        <v>#N/A N/A</v>
        <stp/>
        <stp>BDP|9404561235039044448</stp>
        <tr r="F4279" s="2"/>
      </tp>
      <tp t="s">
        <v>#N/A N/A</v>
        <stp/>
        <stp>BDP|8677004372309487435</stp>
        <tr r="F2424" s="2"/>
      </tp>
      <tp t="s">
        <v>#N/A N/A</v>
        <stp/>
        <stp>BDP|7274648927042605342</stp>
        <tr r="G3245" s="2"/>
      </tp>
      <tp t="s">
        <v>#N/A N/A</v>
        <stp/>
        <stp>BDP|7809606068661243419</stp>
        <tr r="B3071" s="2"/>
      </tp>
      <tp t="s">
        <v>#N/A N/A</v>
        <stp/>
        <stp>BDP|2322085933275911629</stp>
        <tr r="H2017" s="2"/>
      </tp>
      <tp t="s">
        <v>#N/A N/A</v>
        <stp/>
        <stp>BDP|1810629028693817492</stp>
        <tr r="A2427" s="2"/>
      </tp>
      <tp t="s">
        <v>#N/A N/A</v>
        <stp/>
        <stp>BDP|1933481278804929435</stp>
        <tr r="A2785" s="2"/>
      </tp>
      <tp t="s">
        <v>#N/A N/A</v>
        <stp/>
        <stp>BDP|6252122510644545069</stp>
        <tr r="F4206" s="2"/>
      </tp>
      <tp t="s">
        <v>#N/A N/A</v>
        <stp/>
        <stp>BDP|6475436966321068728</stp>
        <tr r="A1328" s="2"/>
      </tp>
      <tp t="s">
        <v>#N/A N/A</v>
        <stp/>
        <stp>BDP|5838475533997763785</stp>
        <tr r="C2948" s="2"/>
      </tp>
      <tp t="s">
        <v>#N/A N/A</v>
        <stp/>
        <stp>BDP|7205747530952069354</stp>
        <tr r="B3256" s="2"/>
      </tp>
      <tp t="s">
        <v>#N/A N/A</v>
        <stp/>
        <stp>BDP|7158825376968725217</stp>
        <tr r="G3500" s="2"/>
      </tp>
      <tp t="s">
        <v>#N/A N/A</v>
        <stp/>
        <stp>BDP|2671901071439387775</stp>
        <tr r="C4327" s="2"/>
      </tp>
      <tp t="s">
        <v>#N/A N/A</v>
        <stp/>
        <stp>BDP|2564648417625441213</stp>
        <tr r="B2851" s="2"/>
      </tp>
      <tp t="s">
        <v>#N/A N/A</v>
        <stp/>
        <stp>BDP|9649646699820853400</stp>
        <tr r="B3344" s="2"/>
      </tp>
      <tp t="s">
        <v>#N/A N/A</v>
        <stp/>
        <stp>BDP|5275720175292422528</stp>
        <tr r="B4960" s="2"/>
      </tp>
      <tp t="s">
        <v>#N/A N/A</v>
        <stp/>
        <stp>BDP|4377037035775408028</stp>
        <tr r="B2713" s="2"/>
      </tp>
      <tp t="s">
        <v>#N/A N/A</v>
        <stp/>
        <stp>BDP|6190565982598559133</stp>
        <tr r="H1304" s="2"/>
      </tp>
      <tp t="s">
        <v>#N/A N/A</v>
        <stp/>
        <stp>BDP|6490558537405180743</stp>
        <tr r="B3380" s="2"/>
      </tp>
      <tp t="s">
        <v>#N/A N/A</v>
        <stp/>
        <stp>BDP|5602447520096180701</stp>
        <tr r="G4430" s="2"/>
      </tp>
      <tp t="s">
        <v>#N/A N/A</v>
        <stp/>
        <stp>BDP|7180641924532065324</stp>
        <tr r="F3650" s="2"/>
      </tp>
      <tp t="s">
        <v>#N/A N/A</v>
        <stp/>
        <stp>BDP|6006059075907513460</stp>
        <tr r="A2565" s="2"/>
      </tp>
      <tp t="s">
        <v>#N/A N/A</v>
        <stp/>
        <stp>BDP|6373158297174174838</stp>
        <tr r="A4334" s="2"/>
      </tp>
      <tp t="s">
        <v>#N/A N/A</v>
        <stp/>
        <stp>BDP|1356758061603389172</stp>
        <tr r="H2385" s="2"/>
      </tp>
      <tp t="s">
        <v>#N/A N/A</v>
        <stp/>
        <stp>BDP|8711791897356864224</stp>
        <tr r="D3789" s="2"/>
      </tp>
      <tp t="s">
        <v>#N/A N/A</v>
        <stp/>
        <stp>BDP|3021040605449727854</stp>
        <tr r="F145" s="2"/>
      </tp>
      <tp t="s">
        <v>#N/A N/A</v>
        <stp/>
        <stp>BDP|4392159341456717535</stp>
        <tr r="H630" s="2"/>
      </tp>
      <tp t="s">
        <v>#N/A N/A</v>
        <stp/>
        <stp>BDP|5030706078151329686</stp>
        <tr r="D3434" s="2"/>
      </tp>
      <tp t="s">
        <v>#N/A N/A</v>
        <stp/>
        <stp>BDP|2216711684016365975</stp>
        <tr r="A273" s="2"/>
      </tp>
      <tp t="s">
        <v>#N/A N/A</v>
        <stp/>
        <stp>BDP|2248384119981527358</stp>
        <tr r="I352" s="2"/>
      </tp>
      <tp t="s">
        <v>#N/A N/A</v>
        <stp/>
        <stp>BDP|4234201284675160941</stp>
        <tr r="B4406" s="2"/>
      </tp>
      <tp t="s">
        <v>#N/A N/A</v>
        <stp/>
        <stp>BDP|7417580409527603707</stp>
        <tr r="C3321" s="2"/>
      </tp>
      <tp t="s">
        <v>#N/A N/A</v>
        <stp/>
        <stp>BDP|9305856377733426760</stp>
        <tr r="I300" s="2"/>
      </tp>
      <tp t="s">
        <v>#N/A N/A</v>
        <stp/>
        <stp>BDP|2349433021461583778</stp>
        <tr r="C2039" s="2"/>
      </tp>
      <tp t="s">
        <v>#N/A N/A</v>
        <stp/>
        <stp>BDP|6339654651561507611</stp>
        <tr r="A4141" s="2"/>
      </tp>
      <tp t="s">
        <v>#N/A N/A</v>
        <stp/>
        <stp>BDP|3078946194832393303</stp>
        <tr r="I348" s="2"/>
      </tp>
      <tp t="s">
        <v>#N/A N/A</v>
        <stp/>
        <stp>BDP|8143594868260166927</stp>
        <tr r="F441" s="2"/>
      </tp>
      <tp t="s">
        <v>#N/A N/A</v>
        <stp/>
        <stp>BDP|7385849626469520675</stp>
        <tr r="F569" s="2"/>
      </tp>
      <tp t="s">
        <v>#N/A N/A</v>
        <stp/>
        <stp>BDP|5274973481615246354</stp>
        <tr r="F4823" s="2"/>
      </tp>
      <tp t="s">
        <v>#N/A N/A</v>
        <stp/>
        <stp>BDP|1403655321163527464</stp>
        <tr r="G203" s="2"/>
      </tp>
      <tp t="s">
        <v>#N/A N/A</v>
        <stp/>
        <stp>BDP|3225726320026125224</stp>
        <tr r="F3514" s="2"/>
      </tp>
      <tp t="s">
        <v>#N/A N/A</v>
        <stp/>
        <stp>BDP|5342355412511245452</stp>
        <tr r="I2234" s="2"/>
      </tp>
      <tp t="s">
        <v>#N/A N/A</v>
        <stp/>
        <stp>BDP|5564734102391257156</stp>
        <tr r="D140" s="2"/>
      </tp>
      <tp t="s">
        <v>#N/A N/A</v>
        <stp/>
        <stp>BDP|2700027028365727793</stp>
        <tr r="C2136" s="2"/>
      </tp>
      <tp t="s">
        <v>#N/A N/A</v>
        <stp/>
        <stp>BDP|7997232535884558093</stp>
        <tr r="H4089" s="2"/>
      </tp>
      <tp t="s">
        <v>#N/A N/A</v>
        <stp/>
        <stp>BDP|6342548813970440034</stp>
        <tr r="G3026" s="2"/>
      </tp>
      <tp t="s">
        <v>#N/A N/A</v>
        <stp/>
        <stp>BDP|3900636419496818087</stp>
        <tr r="B1100" s="2"/>
      </tp>
      <tp t="s">
        <v>#N/A N/A</v>
        <stp/>
        <stp>BDP|4246704427543303051</stp>
        <tr r="A2590" s="2"/>
      </tp>
      <tp t="s">
        <v>#N/A N/A</v>
        <stp/>
        <stp>BDP|7850075271100808255</stp>
        <tr r="I1654" s="2"/>
      </tp>
      <tp t="s">
        <v>#N/A N/A</v>
        <stp/>
        <stp>BDP|5516943620548721452</stp>
        <tr r="B2402" s="2"/>
      </tp>
      <tp t="s">
        <v>#N/A N/A</v>
        <stp/>
        <stp>BDP|9181313587837531717</stp>
        <tr r="A4894" s="2"/>
      </tp>
      <tp t="s">
        <v>#N/A N/A</v>
        <stp/>
        <stp>BDP|8389486226885784999</stp>
        <tr r="A2162" s="2"/>
      </tp>
      <tp t="s">
        <v>#N/A N/A</v>
        <stp/>
        <stp>BDP|4516044786768036646</stp>
        <tr r="H46" s="2"/>
      </tp>
      <tp t="s">
        <v>#N/A N/A</v>
        <stp/>
        <stp>BDP|9493826265877297229</stp>
        <tr r="I2875" s="2"/>
      </tp>
      <tp t="s">
        <v>#N/A N/A</v>
        <stp/>
        <stp>BDP|4453230469276579487</stp>
        <tr r="D201" s="2"/>
      </tp>
      <tp t="s">
        <v>#N/A N/A</v>
        <stp/>
        <stp>BDP|4756574731721319110</stp>
        <tr r="F1331" s="2"/>
      </tp>
      <tp t="s">
        <v>#N/A N/A</v>
        <stp/>
        <stp>BDP|4542870686434353243</stp>
        <tr r="D1044" s="2"/>
      </tp>
      <tp t="s">
        <v>#N/A N/A</v>
        <stp/>
        <stp>BDP|7734998697932915735</stp>
        <tr r="A4455" s="2"/>
      </tp>
      <tp t="s">
        <v>#N/A N/A</v>
        <stp/>
        <stp>BDP|3538313968035935165</stp>
        <tr r="B1952" s="2"/>
      </tp>
      <tp t="s">
        <v>#N/A N/A</v>
        <stp/>
        <stp>BDP|2367635662801081115</stp>
        <tr r="D2233" s="2"/>
      </tp>
      <tp t="s">
        <v>#N/A N/A</v>
        <stp/>
        <stp>BDP|3761379443956841084</stp>
        <tr r="I695" s="2"/>
      </tp>
      <tp t="s">
        <v>#N/A N/A</v>
        <stp/>
        <stp>BDP|4447900845179569275</stp>
        <tr r="F3822" s="2"/>
      </tp>
      <tp t="s">
        <v>#N/A N/A</v>
        <stp/>
        <stp>BDP|8930811112446964506</stp>
        <tr r="F2849" s="2"/>
      </tp>
      <tp t="s">
        <v>#N/A N/A</v>
        <stp/>
        <stp>BDP|8471843490323615850</stp>
        <tr r="H4016" s="2"/>
      </tp>
      <tp t="s">
        <v>#N/A N/A</v>
        <stp/>
        <stp>BDP|3260981732148858335</stp>
        <tr r="A3035" s="2"/>
      </tp>
      <tp t="s">
        <v>#N/A N/A</v>
        <stp/>
        <stp>BDP|8172725039609982735</stp>
        <tr r="I120" s="2"/>
      </tp>
      <tp t="s">
        <v>#N/A N/A</v>
        <stp/>
        <stp>BDP|2394745892489456714</stp>
        <tr r="G4251" s="2"/>
      </tp>
      <tp t="s">
        <v>#N/A N/A</v>
        <stp/>
        <stp>BDP|9938433588884159334</stp>
        <tr r="A4897" s="2"/>
      </tp>
      <tp t="s">
        <v>#N/A N/A</v>
        <stp/>
        <stp>BDP|4315763064836168105</stp>
        <tr r="G3352" s="2"/>
      </tp>
      <tp t="s">
        <v>#N/A N/A</v>
        <stp/>
        <stp>BDP|1745962696082692116</stp>
        <tr r="I4231" s="2"/>
      </tp>
      <tp t="s">
        <v>#N/A N/A</v>
        <stp/>
        <stp>BDP|8713454222915064902</stp>
        <tr r="F4498" s="2"/>
      </tp>
      <tp t="s">
        <v>#N/A N/A</v>
        <stp/>
        <stp>BDP|1746008520604045576</stp>
        <tr r="I1710" s="2"/>
      </tp>
      <tp t="s">
        <v>#N/A N/A</v>
        <stp/>
        <stp>BDP|2565429527586049006</stp>
        <tr r="H3931" s="2"/>
      </tp>
      <tp t="s">
        <v>#N/A N/A</v>
        <stp/>
        <stp>BDP|2917386912975741742</stp>
        <tr r="H253" s="2"/>
      </tp>
      <tp t="s">
        <v>#N/A N/A</v>
        <stp/>
        <stp>BDP|7418217471648438808</stp>
        <tr r="H2730" s="2"/>
      </tp>
      <tp t="s">
        <v>#N/A N/A</v>
        <stp/>
        <stp>BDP|2559324637493465348</stp>
        <tr r="H4012" s="2"/>
      </tp>
      <tp t="s">
        <v>#N/A N/A</v>
        <stp/>
        <stp>BDP|8276042582812111057</stp>
        <tr r="H2273" s="2"/>
      </tp>
      <tp t="s">
        <v>#N/A N/A</v>
        <stp/>
        <stp>BDP|2630261313883677056</stp>
        <tr r="G2220" s="2"/>
      </tp>
      <tp t="s">
        <v>#N/A N/A</v>
        <stp/>
        <stp>BDP|5173269600546009370</stp>
        <tr r="I1020" s="2"/>
      </tp>
      <tp t="s">
        <v>#N/A N/A</v>
        <stp/>
        <stp>BDP|1684573246357534521</stp>
        <tr r="I4754" s="2"/>
      </tp>
      <tp t="s">
        <v>#N/A N/A</v>
        <stp/>
        <stp>BDP|2167413962280051228</stp>
        <tr r="A560" s="2"/>
      </tp>
      <tp t="s">
        <v>#N/A N/A</v>
        <stp/>
        <stp>BDP|2005107682440006929</stp>
        <tr r="I3495" s="2"/>
      </tp>
      <tp t="s">
        <v>#N/A N/A</v>
        <stp/>
        <stp>BDP|3150667551964072666</stp>
        <tr r="F2359" s="2"/>
      </tp>
      <tp t="s">
        <v>#N/A N/A</v>
        <stp/>
        <stp>BDP|3495611720374054154</stp>
        <tr r="B702" s="2"/>
      </tp>
      <tp t="s">
        <v>#N/A N/A</v>
        <stp/>
        <stp>BDP|8233975368447916249</stp>
        <tr r="I3465" s="2"/>
      </tp>
      <tp t="s">
        <v>#N/A N/A</v>
        <stp/>
        <stp>BDP|9667333039778992351</stp>
        <tr r="G2026" s="2"/>
      </tp>
      <tp t="s">
        <v>#N/A N/A</v>
        <stp/>
        <stp>BDP|4920792920716255528</stp>
        <tr r="F3525" s="2"/>
      </tp>
      <tp t="s">
        <v>#N/A N/A</v>
        <stp/>
        <stp>BDP|3146802654785796922</stp>
        <tr r="C4718" s="2"/>
      </tp>
      <tp t="s">
        <v>#N/A N/A</v>
        <stp/>
        <stp>BDP|7400462665524098373</stp>
        <tr r="I1200" s="2"/>
      </tp>
      <tp t="s">
        <v>#N/A N/A</v>
        <stp/>
        <stp>BDP|4926921960468824138</stp>
        <tr r="G4279" s="2"/>
      </tp>
      <tp t="s">
        <v>#N/A N/A</v>
        <stp/>
        <stp>BDP|5780266953456423665</stp>
        <tr r="C1331" s="2"/>
      </tp>
      <tp t="s">
        <v>#N/A N/A</v>
        <stp/>
        <stp>BDP|5801287711700849499</stp>
        <tr r="D4322" s="2"/>
      </tp>
      <tp t="s">
        <v>#N/A N/A</v>
        <stp/>
        <stp>BDP|3310659900941096665</stp>
        <tr r="A2228" s="2"/>
      </tp>
      <tp t="s">
        <v>#N/A N/A</v>
        <stp/>
        <stp>BDP|6543101031822315470</stp>
        <tr r="F1064" s="2"/>
      </tp>
      <tp t="s">
        <v>#N/A N/A</v>
        <stp/>
        <stp>BDP|8761398893487456793</stp>
        <tr r="A4602" s="2"/>
      </tp>
      <tp t="s">
        <v>#N/A N/A</v>
        <stp/>
        <stp>BDP|6538220047876112416</stp>
        <tr r="C2604" s="2"/>
      </tp>
      <tp t="s">
        <v>#N/A N/A</v>
        <stp/>
        <stp>BDP|2015463436387656068</stp>
        <tr r="G592" s="2"/>
      </tp>
      <tp t="s">
        <v>#N/A N/A</v>
        <stp/>
        <stp>BDP|3016035690980347805</stp>
        <tr r="A3057" s="2"/>
      </tp>
      <tp t="s">
        <v>#N/A N/A</v>
        <stp/>
        <stp>BDP|6109392074600400088</stp>
        <tr r="G3191" s="2"/>
      </tp>
      <tp t="s">
        <v>#N/A N/A</v>
        <stp/>
        <stp>BDP|9246711857310696923</stp>
        <tr r="D386" s="2"/>
      </tp>
      <tp t="s">
        <v>#N/A N/A</v>
        <stp/>
        <stp>BDP|1935496516141135778</stp>
        <tr r="C1546" s="2"/>
      </tp>
      <tp t="s">
        <v>#N/A N/A</v>
        <stp/>
        <stp>BDP|3653291937063024389</stp>
        <tr r="H3801" s="2"/>
      </tp>
      <tp t="s">
        <v>#N/A N/A</v>
        <stp/>
        <stp>BDP|8558959106642615104</stp>
        <tr r="C372" s="2"/>
      </tp>
      <tp t="s">
        <v>#N/A N/A</v>
        <stp/>
        <stp>BDP|8080952353781571735</stp>
        <tr r="C4648" s="2"/>
      </tp>
      <tp t="s">
        <v>#N/A N/A</v>
        <stp/>
        <stp>BDP|2885835898233285218</stp>
        <tr r="A4042" s="2"/>
      </tp>
      <tp t="s">
        <v>#N/A N/A</v>
        <stp/>
        <stp>BDP|1296426067577211655</stp>
        <tr r="I4967" s="2"/>
      </tp>
      <tp t="s">
        <v>#N/A N/A</v>
        <stp/>
        <stp>BDP|2846646118102556518</stp>
        <tr r="G4165" s="2"/>
      </tp>
      <tp t="s">
        <v>#N/A N/A</v>
        <stp/>
        <stp>BDP|4024712632985169721</stp>
        <tr r="B2858" s="2"/>
      </tp>
      <tp t="s">
        <v>#N/A N/A</v>
        <stp/>
        <stp>BDP|5595089596908233694</stp>
        <tr r="H2616" s="2"/>
      </tp>
      <tp t="s">
        <v>#N/A N/A</v>
        <stp/>
        <stp>BDP|4867361606200988513</stp>
        <tr r="I3542" s="2"/>
      </tp>
      <tp t="s">
        <v>#N/A N/A</v>
        <stp/>
        <stp>BDP|5146501175841046448</stp>
        <tr r="B1288" s="2"/>
      </tp>
      <tp t="s">
        <v>#N/A N/A</v>
        <stp/>
        <stp>BDP|5953970502958955658</stp>
        <tr r="A4982" s="2"/>
      </tp>
      <tp t="s">
        <v>#N/A N/A</v>
        <stp/>
        <stp>BDP|7651744052073406440</stp>
        <tr r="A2320" s="2"/>
      </tp>
      <tp t="s">
        <v>#N/A N/A</v>
        <stp/>
        <stp>BDP|4644730897639013122</stp>
        <tr r="C615" s="2"/>
      </tp>
      <tp t="s">
        <v>#N/A N/A</v>
        <stp/>
        <stp>BDP|1071336914734446533</stp>
        <tr r="G4145" s="2"/>
      </tp>
      <tp t="s">
        <v>#N/A N/A</v>
        <stp/>
        <stp>BDP|9578881023848892966</stp>
        <tr r="F1849" s="2"/>
      </tp>
      <tp t="s">
        <v>#N/A N/A</v>
        <stp/>
        <stp>BDP|6529737202662707132</stp>
        <tr r="G67" s="2"/>
      </tp>
      <tp t="s">
        <v>#N/A N/A</v>
        <stp/>
        <stp>BDP|2314352533165656537</stp>
        <tr r="H1968" s="2"/>
      </tp>
      <tp t="s">
        <v>#N/A N/A</v>
        <stp/>
        <stp>BDP|1543893537498975024</stp>
        <tr r="F1974" s="2"/>
      </tp>
      <tp t="s">
        <v>#N/A N/A</v>
        <stp/>
        <stp>BDP|4829745715898849818</stp>
        <tr r="B893" s="2"/>
      </tp>
      <tp t="s">
        <v>#N/A N/A</v>
        <stp/>
        <stp>BDP|6876410910354034594</stp>
        <tr r="I1026" s="2"/>
      </tp>
      <tp t="s">
        <v>#N/A N/A</v>
        <stp/>
        <stp>BDP|4077535524627158662</stp>
        <tr r="G1181" s="2"/>
      </tp>
      <tp t="s">
        <v>#N/A N/A</v>
        <stp/>
        <stp>BDP|5309631267853224458</stp>
        <tr r="D1689" s="2"/>
      </tp>
      <tp t="s">
        <v>#N/A N/A</v>
        <stp/>
        <stp>BDP|1752057637889198941</stp>
        <tr r="C4755" s="2"/>
      </tp>
      <tp t="s">
        <v>#N/A N/A</v>
        <stp/>
        <stp>BDP|5482567157957432017</stp>
        <tr r="G1652" s="2"/>
      </tp>
      <tp t="s">
        <v>#N/A N/A</v>
        <stp/>
        <stp>BDP|7057900751758394129</stp>
        <tr r="C4669" s="2"/>
      </tp>
      <tp t="s">
        <v>#N/A N/A</v>
        <stp/>
        <stp>BDP|4040042589728978644</stp>
        <tr r="F2104" s="2"/>
      </tp>
      <tp t="s">
        <v>#N/A N/A</v>
        <stp/>
        <stp>BDP|5740785528253468137</stp>
        <tr r="D1263" s="2"/>
      </tp>
      <tp t="s">
        <v>#N/A N/A</v>
        <stp/>
        <stp>BDP|8631820523346618613</stp>
        <tr r="A396" s="2"/>
      </tp>
      <tp t="s">
        <v>#N/A N/A</v>
        <stp/>
        <stp>BDP|9175448841622136958</stp>
        <tr r="I21" s="2"/>
      </tp>
      <tp t="s">
        <v>#N/A N/A</v>
        <stp/>
        <stp>BDP|4864936098867028138</stp>
        <tr r="C829" s="2"/>
      </tp>
      <tp t="s">
        <v>#N/A N/A</v>
        <stp/>
        <stp>BDP|5514697547124949121</stp>
        <tr r="G3994" s="2"/>
      </tp>
      <tp t="s">
        <v>#N/A N/A</v>
        <stp/>
        <stp>BDP|5753950870489578074</stp>
        <tr r="B2280" s="2"/>
      </tp>
      <tp t="s">
        <v>#N/A N/A</v>
        <stp/>
        <stp>BDP|5212064232405556131</stp>
        <tr r="A3191" s="2"/>
      </tp>
      <tp t="s">
        <v>#N/A N/A</v>
        <stp/>
        <stp>BDP|9720803961380751512</stp>
        <tr r="G4594" s="2"/>
      </tp>
      <tp t="s">
        <v>#N/A N/A</v>
        <stp/>
        <stp>BDP|8610469857688132368</stp>
        <tr r="F1482" s="2"/>
      </tp>
      <tp t="s">
        <v>#N/A N/A</v>
        <stp/>
        <stp>BDP|9704953332460279125</stp>
        <tr r="G903" s="2"/>
      </tp>
      <tp t="s">
        <v>#N/A N/A</v>
        <stp/>
        <stp>BDP|3202774311520117754</stp>
        <tr r="C2553" s="2"/>
      </tp>
      <tp t="s">
        <v>#N/A N/A</v>
        <stp/>
        <stp>BDP|1096159071190609525</stp>
        <tr r="A4520" s="2"/>
      </tp>
      <tp t="s">
        <v>#N/A N/A</v>
        <stp/>
        <stp>BDP|5988198721397136304</stp>
        <tr r="D4967" s="2"/>
      </tp>
      <tp t="s">
        <v>#N/A N/A</v>
        <stp/>
        <stp>BDP|8603323080897379678</stp>
        <tr r="H1823" s="2"/>
      </tp>
      <tp t="s">
        <v>#N/A N/A</v>
        <stp/>
        <stp>BDP|1329067275657314336</stp>
        <tr r="I736" s="2"/>
      </tp>
      <tp t="s">
        <v>#N/A N/A</v>
        <stp/>
        <stp>BDP|2654610811194600303</stp>
        <tr r="G1032" s="2"/>
      </tp>
      <tp t="s">
        <v>#N/A N/A</v>
        <stp/>
        <stp>BDP|2577222372172454716</stp>
        <tr r="I4569" s="2"/>
      </tp>
      <tp t="s">
        <v>#N/A N/A</v>
        <stp/>
        <stp>BDP|7307025105173741637</stp>
        <tr r="H3408" s="2"/>
      </tp>
      <tp t="s">
        <v>#N/A N/A</v>
        <stp/>
        <stp>BDP|7982655972697851369</stp>
        <tr r="G4569" s="2"/>
      </tp>
      <tp t="s">
        <v>#N/A N/A</v>
        <stp/>
        <stp>BDP|6660380969127052675</stp>
        <tr r="H300" s="2"/>
      </tp>
      <tp t="s">
        <v>#N/A N/A</v>
        <stp/>
        <stp>BDP|7966789757004088360</stp>
        <tr r="G4001" s="2"/>
      </tp>
      <tp t="s">
        <v>#N/A N/A</v>
        <stp/>
        <stp>BDP|1159516477378131964</stp>
        <tr r="H1939" s="2"/>
      </tp>
      <tp t="s">
        <v>#N/A N/A</v>
        <stp/>
        <stp>BDP|3389486815982822662</stp>
        <tr r="F115" s="2"/>
      </tp>
      <tp t="s">
        <v>#N/A N/A</v>
        <stp/>
        <stp>BDP|6103142520193544400</stp>
        <tr r="A1701" s="2"/>
      </tp>
      <tp t="s">
        <v>#N/A N/A</v>
        <stp/>
        <stp>BDP|7995136956438899944</stp>
        <tr r="C4970" s="2"/>
      </tp>
      <tp t="s">
        <v>#N/A N/A</v>
        <stp/>
        <stp>BDP|7502407443055552034</stp>
        <tr r="A642" s="2"/>
      </tp>
      <tp t="s">
        <v>#N/A N/A</v>
        <stp/>
        <stp>BDP|5217545227673170303</stp>
        <tr r="I4428" s="2"/>
      </tp>
      <tp t="s">
        <v>#N/A N/A</v>
        <stp/>
        <stp>BDP|6510330320967087266</stp>
        <tr r="A4492" s="2"/>
      </tp>
      <tp t="s">
        <v>#N/A N/A</v>
        <stp/>
        <stp>BDP|9362085821491921833</stp>
        <tr r="D4116" s="2"/>
      </tp>
      <tp t="s">
        <v>#N/A N/A</v>
        <stp/>
        <stp>BDP|8690837775931088409</stp>
        <tr r="F2979" s="2"/>
      </tp>
      <tp t="s">
        <v>#N/A N/A</v>
        <stp/>
        <stp>BDP|1060012142990626759</stp>
        <tr r="H4573" s="2"/>
      </tp>
      <tp t="s">
        <v>#N/A N/A</v>
        <stp/>
        <stp>BDP|1147802426531179862</stp>
        <tr r="C2308" s="2"/>
      </tp>
      <tp t="s">
        <v>#N/A N/A</v>
        <stp/>
        <stp>BDP|1495278161777109030</stp>
        <tr r="A1707" s="2"/>
      </tp>
      <tp t="s">
        <v>#N/A N/A</v>
        <stp/>
        <stp>BDP|4608267331231923681</stp>
        <tr r="D3855" s="2"/>
      </tp>
      <tp t="s">
        <v>#N/A N/A</v>
        <stp/>
        <stp>BDP|4152143977961708146</stp>
        <tr r="G4371" s="2"/>
      </tp>
      <tp t="s">
        <v>#N/A N/A</v>
        <stp/>
        <stp>BDP|6833990140071087802</stp>
        <tr r="F3591" s="2"/>
      </tp>
      <tp t="s">
        <v>#N/A N/A</v>
        <stp/>
        <stp>BDP|7632798688742362853</stp>
        <tr r="C47" s="2"/>
      </tp>
      <tp t="s">
        <v>#N/A N/A</v>
        <stp/>
        <stp>BDP|5409568125038507831</stp>
        <tr r="C2252" s="2"/>
      </tp>
      <tp t="s">
        <v>#N/A N/A</v>
        <stp/>
        <stp>BDP|3186464099958645499</stp>
        <tr r="C2651" s="2"/>
      </tp>
      <tp t="s">
        <v>#N/A N/A</v>
        <stp/>
        <stp>BDP|5222246255448493861</stp>
        <tr r="B2372" s="2"/>
      </tp>
      <tp t="s">
        <v>#N/A N/A</v>
        <stp/>
        <stp>BDP|4459709905651864084</stp>
        <tr r="F3418" s="2"/>
      </tp>
      <tp t="s">
        <v>#N/A N/A</v>
        <stp/>
        <stp>BDP|4053322104820243553</stp>
        <tr r="I4197" s="2"/>
      </tp>
      <tp t="s">
        <v>#N/A N/A</v>
        <stp/>
        <stp>BDP|8994352275799121796</stp>
        <tr r="B4700" s="2"/>
      </tp>
      <tp t="s">
        <v>#N/A N/A</v>
        <stp/>
        <stp>BDP|6076140532380183664</stp>
        <tr r="B4237" s="2"/>
      </tp>
      <tp t="s">
        <v>#N/A N/A</v>
        <stp/>
        <stp>BDP|8269922537233767318</stp>
        <tr r="B3185" s="2"/>
      </tp>
      <tp t="s">
        <v>#N/A N/A</v>
        <stp/>
        <stp>BDP|3104151120892008052</stp>
        <tr r="D2485" s="2"/>
      </tp>
      <tp t="s">
        <v>#N/A N/A</v>
        <stp/>
        <stp>BDP|7191644512133353152</stp>
        <tr r="F3904" s="2"/>
      </tp>
      <tp t="s">
        <v>#N/A N/A</v>
        <stp/>
        <stp>BDP|2784889016359894001</stp>
        <tr r="A3346" s="2"/>
      </tp>
      <tp t="s">
        <v>#N/A N/A</v>
        <stp/>
        <stp>BDP|5441292549963262273</stp>
        <tr r="G3805" s="2"/>
      </tp>
      <tp t="s">
        <v>#N/A N/A</v>
        <stp/>
        <stp>BDP|7915878363879831248</stp>
        <tr r="B511" s="2"/>
      </tp>
      <tp t="s">
        <v>#N/A N/A</v>
        <stp/>
        <stp>BDP|9459604176993071935</stp>
        <tr r="A1103" s="2"/>
      </tp>
      <tp t="s">
        <v>#N/A N/A</v>
        <stp/>
        <stp>BDP|1793936296960386304</stp>
        <tr r="I4283" s="2"/>
      </tp>
      <tp t="s">
        <v>#N/A N/A</v>
        <stp/>
        <stp>BDP|2028798045154852754</stp>
        <tr r="A859" s="2"/>
      </tp>
      <tp t="s">
        <v>#N/A N/A</v>
        <stp/>
        <stp>BDP|4774544621396684752</stp>
        <tr r="G3606" s="2"/>
      </tp>
      <tp t="s">
        <v>#N/A N/A</v>
        <stp/>
        <stp>BDP|9169356093307611608</stp>
        <tr r="A699" s="2"/>
      </tp>
      <tp t="s">
        <v>#N/A N/A</v>
        <stp/>
        <stp>BDP|8035231295137796607</stp>
        <tr r="B330" s="2"/>
      </tp>
      <tp t="s">
        <v>#N/A N/A</v>
        <stp/>
        <stp>BDP|4709007201666791005</stp>
        <tr r="A3413" s="2"/>
      </tp>
      <tp t="s">
        <v>#N/A N/A</v>
        <stp/>
        <stp>BDP|4482665747496753231</stp>
        <tr r="I4721" s="2"/>
      </tp>
      <tp t="s">
        <v>#N/A N/A</v>
        <stp/>
        <stp>BDP|4137315378064996603</stp>
        <tr r="C1927" s="2"/>
      </tp>
      <tp t="s">
        <v>#N/A N/A</v>
        <stp/>
        <stp>BDP|9097846070104763024</stp>
        <tr r="C70" s="2"/>
      </tp>
      <tp t="s">
        <v>#N/A N/A</v>
        <stp/>
        <stp>BDP|6388565781139789028</stp>
        <tr r="C1140" s="2"/>
      </tp>
      <tp t="s">
        <v>#N/A N/A</v>
        <stp/>
        <stp>BDP|8576629076033602862</stp>
        <tr r="A3105" s="2"/>
      </tp>
      <tp t="s">
        <v>#N/A N/A</v>
        <stp/>
        <stp>BDP|7362789827297472796</stp>
        <tr r="A2115" s="2"/>
      </tp>
      <tp t="s">
        <v>#N/A N/A</v>
        <stp/>
        <stp>BDP|1076402596728563628</stp>
        <tr r="A4149" s="2"/>
      </tp>
      <tp t="s">
        <v>#N/A N/A</v>
        <stp/>
        <stp>BDP|5222467515904659665</stp>
        <tr r="B1102" s="2"/>
      </tp>
      <tp t="s">
        <v>#N/A N/A</v>
        <stp/>
        <stp>BDP|7078023579763992136</stp>
        <tr r="G4055" s="2"/>
      </tp>
      <tp t="s">
        <v>#N/A N/A</v>
        <stp/>
        <stp>BDP|5482276741015141425</stp>
        <tr r="I824" s="2"/>
      </tp>
      <tp t="s">
        <v>#N/A N/A</v>
        <stp/>
        <stp>BDP|4321371170972100045</stp>
        <tr r="G3046" s="2"/>
      </tp>
      <tp t="s">
        <v>#N/A N/A</v>
        <stp/>
        <stp>BDP|5524844382747692047</stp>
        <tr r="A537" s="2"/>
      </tp>
      <tp t="s">
        <v>#N/A N/A</v>
        <stp/>
        <stp>BDP|5947473907883949014</stp>
        <tr r="D1450" s="2"/>
      </tp>
      <tp t="s">
        <v>#N/A N/A</v>
        <stp/>
        <stp>BDP|9225621983770221509</stp>
        <tr r="D1818" s="2"/>
      </tp>
      <tp t="s">
        <v>#N/A N/A</v>
        <stp/>
        <stp>BDP|4169572574900627450</stp>
        <tr r="G3968" s="2"/>
      </tp>
      <tp t="s">
        <v>#N/A N/A</v>
        <stp/>
        <stp>BDP|9258927621617894782</stp>
        <tr r="F1642" s="2"/>
      </tp>
      <tp t="s">
        <v>#N/A N/A</v>
        <stp/>
        <stp>BDP|4720558666667736221</stp>
        <tr r="I330" s="2"/>
      </tp>
      <tp t="s">
        <v>#N/A N/A</v>
        <stp/>
        <stp>BDP|4774840551949685258</stp>
        <tr r="H3259" s="2"/>
      </tp>
      <tp t="s">
        <v>#N/A N/A</v>
        <stp/>
        <stp>BDP|9192524692622526557</stp>
        <tr r="C3561" s="2"/>
      </tp>
      <tp t="s">
        <v>#N/A N/A</v>
        <stp/>
        <stp>BDP|8544837446651287733</stp>
        <tr r="A4534" s="2"/>
      </tp>
      <tp t="s">
        <v>#N/A N/A</v>
        <stp/>
        <stp>BDP|7696541257343153650</stp>
        <tr r="B780" s="2"/>
      </tp>
      <tp t="s">
        <v>#N/A N/A</v>
        <stp/>
        <stp>BDP|1052615926490629708</stp>
        <tr r="I4841" s="2"/>
      </tp>
      <tp t="s">
        <v>#N/A N/A</v>
        <stp/>
        <stp>BDP|3047065090169255154</stp>
        <tr r="I1237" s="2"/>
      </tp>
      <tp t="s">
        <v>#N/A N/A</v>
        <stp/>
        <stp>BDP|3936781698168940716</stp>
        <tr r="D3557" s="2"/>
      </tp>
      <tp t="s">
        <v>#N/A N/A</v>
        <stp/>
        <stp>BDP|5402738498831763897</stp>
        <tr r="D4032" s="2"/>
      </tp>
      <tp t="s">
        <v>#N/A N/A</v>
        <stp/>
        <stp>BDP|3613854956255418907</stp>
        <tr r="F1115" s="2"/>
      </tp>
      <tp t="s">
        <v>#N/A N/A</v>
        <stp/>
        <stp>BDP|3476637573386026650</stp>
        <tr r="H4204" s="2"/>
      </tp>
      <tp t="s">
        <v>#N/A N/A</v>
        <stp/>
        <stp>BDP|1270187948556034037</stp>
        <tr r="D2346" s="2"/>
      </tp>
      <tp t="s">
        <v>#N/A N/A</v>
        <stp/>
        <stp>BDP|4022504302095600657</stp>
        <tr r="F1144" s="2"/>
      </tp>
      <tp t="s">
        <v>#N/A N/A</v>
        <stp/>
        <stp>BDP|9901389612880337913</stp>
        <tr r="C209" s="2"/>
      </tp>
      <tp t="s">
        <v>#N/A N/A</v>
        <stp/>
        <stp>BDP|7330760917332440175</stp>
        <tr r="A3201" s="2"/>
      </tp>
      <tp t="s">
        <v>#N/A N/A</v>
        <stp/>
        <stp>BDP|2298070205879299938</stp>
        <tr r="D1462" s="2"/>
      </tp>
      <tp t="s">
        <v>#N/A N/A</v>
        <stp/>
        <stp>BDP|3470989330939564281</stp>
        <tr r="I936" s="2"/>
      </tp>
      <tp t="s">
        <v>#N/A N/A</v>
        <stp/>
        <stp>BDP|4894056543905835775</stp>
        <tr r="B2164" s="2"/>
      </tp>
      <tp t="s">
        <v>#N/A N/A</v>
        <stp/>
        <stp>BDP|8443636635138623751</stp>
        <tr r="G810" s="2"/>
      </tp>
      <tp t="s">
        <v>#N/A N/A</v>
        <stp/>
        <stp>BDP|3241442381064634905</stp>
        <tr r="A2697" s="2"/>
      </tp>
      <tp t="s">
        <v>#N/A N/A</v>
        <stp/>
        <stp>BDP|1152956829801438988</stp>
        <tr r="C673" s="2"/>
      </tp>
      <tp t="s">
        <v>#N/A N/A</v>
        <stp/>
        <stp>BDP|3491879192093377337</stp>
        <tr r="I1970" s="2"/>
      </tp>
      <tp t="s">
        <v>#N/A N/A</v>
        <stp/>
        <stp>BDP|3466865871036022821</stp>
        <tr r="I3159" s="2"/>
      </tp>
      <tp t="s">
        <v>#N/A N/A</v>
        <stp/>
        <stp>BDP|1573596218824292373</stp>
        <tr r="D1036" s="2"/>
      </tp>
      <tp t="s">
        <v>#N/A N/A</v>
        <stp/>
        <stp>BDP|4303763493368130060</stp>
        <tr r="G609" s="2"/>
      </tp>
      <tp t="s">
        <v>#N/A N/A</v>
        <stp/>
        <stp>BDP|4662400635416414760</stp>
        <tr r="H4781" s="2"/>
      </tp>
      <tp t="s">
        <v>#N/A N/A</v>
        <stp/>
        <stp>BDP|7999728789658517265</stp>
        <tr r="C4717" s="2"/>
      </tp>
      <tp t="s">
        <v>#N/A N/A</v>
        <stp/>
        <stp>BDP|5708104348647624583</stp>
        <tr r="F3634" s="2"/>
      </tp>
      <tp t="s">
        <v>#N/A N/A</v>
        <stp/>
        <stp>BDP|3960722451394970722</stp>
        <tr r="G1295" s="2"/>
      </tp>
      <tp t="s">
        <v>#N/A N/A</v>
        <stp/>
        <stp>BDP|6506221405884635258</stp>
        <tr r="H2025" s="2"/>
      </tp>
      <tp t="s">
        <v>#N/A N/A</v>
        <stp/>
        <stp>BDP|3260002543175338034</stp>
        <tr r="B670" s="2"/>
      </tp>
      <tp t="s">
        <v>#N/A N/A</v>
        <stp/>
        <stp>BDP|5793149559624836730</stp>
        <tr r="A3542" s="2"/>
      </tp>
      <tp t="s">
        <v>#N/A N/A</v>
        <stp/>
        <stp>BDP|7325162821293561500</stp>
        <tr r="A1420" s="2"/>
      </tp>
      <tp t="s">
        <v>#N/A N/A</v>
        <stp/>
        <stp>BDP|4165631676345266276</stp>
        <tr r="B8" s="2"/>
      </tp>
      <tp t="s">
        <v>#N/A N/A</v>
        <stp/>
        <stp>BDP|6745470161730444643</stp>
        <tr r="I3918" s="2"/>
      </tp>
      <tp t="s">
        <v>#N/A N/A</v>
        <stp/>
        <stp>BDP|4733462835812684335</stp>
        <tr r="H76" s="2"/>
      </tp>
      <tp t="s">
        <v>#N/A N/A</v>
        <stp/>
        <stp>BDP|2629562157174536436</stp>
        <tr r="B4559" s="2"/>
      </tp>
      <tp t="s">
        <v>#N/A N/A</v>
        <stp/>
        <stp>BDP|7537680108854596715</stp>
        <tr r="F4815" s="2"/>
      </tp>
      <tp t="s">
        <v>#N/A N/A</v>
        <stp/>
        <stp>BDP|9027526005566047862</stp>
        <tr r="G3562" s="2"/>
      </tp>
      <tp t="s">
        <v>#N/A N/A</v>
        <stp/>
        <stp>BDP|6161500627442661113</stp>
        <tr r="I3749" s="2"/>
      </tp>
      <tp t="s">
        <v>#N/A N/A</v>
        <stp/>
        <stp>BDP|5090246197738681447</stp>
        <tr r="I3091" s="2"/>
      </tp>
      <tp t="s">
        <v>#N/A N/A</v>
        <stp/>
        <stp>BDP|7701836102054156964</stp>
        <tr r="I3283" s="2"/>
      </tp>
      <tp t="s">
        <v>#N/A N/A</v>
        <stp/>
        <stp>BDP|2225064915085738472</stp>
        <tr r="A1900" s="2"/>
      </tp>
      <tp t="s">
        <v>#N/A N/A</v>
        <stp/>
        <stp>BDP|2088757462917364657</stp>
        <tr r="H4688" s="2"/>
      </tp>
      <tp t="s">
        <v>#N/A N/A</v>
        <stp/>
        <stp>BDP|8494992069286187346</stp>
        <tr r="B4606" s="2"/>
      </tp>
      <tp t="s">
        <v>#N/A N/A</v>
        <stp/>
        <stp>BDP|1191165340416477029</stp>
        <tr r="C899" s="2"/>
      </tp>
      <tp t="s">
        <v>#N/A N/A</v>
        <stp/>
        <stp>BDP|2653307868377759282</stp>
        <tr r="A533" s="2"/>
      </tp>
      <tp t="s">
        <v>#N/A N/A</v>
        <stp/>
        <stp>BDP|5853235340620347194</stp>
        <tr r="C4314" s="2"/>
      </tp>
      <tp t="s">
        <v>#N/A N/A</v>
        <stp/>
        <stp>BDP|7034824483724414147</stp>
        <tr r="A1968" s="2"/>
      </tp>
      <tp t="s">
        <v>#N/A N/A</v>
        <stp/>
        <stp>BDP|8131267680018607802</stp>
        <tr r="B1138" s="2"/>
      </tp>
      <tp t="s">
        <v>#N/A N/A</v>
        <stp/>
        <stp>BDP|8458872722011080109</stp>
        <tr r="I2506" s="2"/>
      </tp>
      <tp t="s">
        <v>#N/A N/A</v>
        <stp/>
        <stp>BDP|3942906535202418997</stp>
        <tr r="B2473" s="2"/>
      </tp>
      <tp t="s">
        <v>#N/A N/A</v>
        <stp/>
        <stp>BDP|7662676567015059073</stp>
        <tr r="H1149" s="2"/>
      </tp>
      <tp t="s">
        <v>#N/A N/A</v>
        <stp/>
        <stp>BDP|7445381086647249991</stp>
        <tr r="G4913" s="2"/>
      </tp>
      <tp t="s">
        <v>#N/A N/A</v>
        <stp/>
        <stp>BDP|3503391239081113056</stp>
        <tr r="C756" s="2"/>
      </tp>
      <tp t="s">
        <v>#N/A N/A</v>
        <stp/>
        <stp>BDP|3008681509562730571</stp>
        <tr r="A4167" s="2"/>
      </tp>
      <tp t="s">
        <v>#N/A N/A</v>
        <stp/>
        <stp>BDP|6966056075836600591</stp>
        <tr r="I4838" s="2"/>
      </tp>
      <tp t="s">
        <v>#N/A N/A</v>
        <stp/>
        <stp>BDP|9151541374851532826</stp>
        <tr r="G3181" s="2"/>
      </tp>
      <tp t="s">
        <v>#N/A N/A</v>
        <stp/>
        <stp>BDP|9300929232515005455</stp>
        <tr r="G2878" s="2"/>
      </tp>
      <tp t="s">
        <v>#N/A N/A</v>
        <stp/>
        <stp>BDP|7276647333246036638</stp>
        <tr r="D4637" s="2"/>
      </tp>
      <tp t="s">
        <v>#N/A N/A</v>
        <stp/>
        <stp>BDP|2346661720215661158</stp>
        <tr r="G4510" s="2"/>
      </tp>
      <tp t="s">
        <v>#N/A N/A</v>
        <stp/>
        <stp>BDP|3113611926816557354</stp>
        <tr r="A1841" s="2"/>
      </tp>
      <tp t="s">
        <v>#N/A N/A</v>
        <stp/>
        <stp>BDP|9276861923466133708</stp>
        <tr r="F843" s="2"/>
      </tp>
      <tp t="s">
        <v>#N/A N/A</v>
        <stp/>
        <stp>BDP|1318431230986453224</stp>
        <tr r="B4331" s="2"/>
      </tp>
      <tp t="s">
        <v>#N/A N/A</v>
        <stp/>
        <stp>BDP|1890553139565513075</stp>
        <tr r="F3157" s="2"/>
      </tp>
      <tp t="s">
        <v>#N/A N/A</v>
        <stp/>
        <stp>BDP|1179222974025084316</stp>
        <tr r="A3640" s="2"/>
      </tp>
      <tp t="s">
        <v>#N/A N/A</v>
        <stp/>
        <stp>BDP|9133880436935918500</stp>
        <tr r="G4590" s="2"/>
      </tp>
      <tp t="s">
        <v>#N/A N/A</v>
        <stp/>
        <stp>BDP|4838057344445692792</stp>
        <tr r="H402" s="2"/>
      </tp>
      <tp t="s">
        <v>#N/A N/A</v>
        <stp/>
        <stp>BDP|8485280595366649794</stp>
        <tr r="C421" s="2"/>
      </tp>
      <tp t="s">
        <v>#N/A N/A</v>
        <stp/>
        <stp>BDP|3158075732877121531</stp>
        <tr r="G2686" s="2"/>
      </tp>
      <tp t="s">
        <v>#N/A N/A</v>
        <stp/>
        <stp>BDP|1906152510853926032</stp>
        <tr r="A4839" s="2"/>
      </tp>
      <tp t="s">
        <v>#N/A N/A</v>
        <stp/>
        <stp>BDP|6215016500917562302</stp>
        <tr r="F540" s="2"/>
      </tp>
      <tp t="s">
        <v>#N/A N/A</v>
        <stp/>
        <stp>BDP|5960920959909627227</stp>
        <tr r="C4565" s="2"/>
      </tp>
      <tp t="s">
        <v>#N/A N/A</v>
        <stp/>
        <stp>BDP|5885137938412104741</stp>
        <tr r="G257" s="2"/>
      </tp>
      <tp t="s">
        <v>#N/A N/A</v>
        <stp/>
        <stp>BDP|2697067920031248347</stp>
        <tr r="G1329" s="2"/>
      </tp>
      <tp t="s">
        <v>#N/A N/A</v>
        <stp/>
        <stp>BDP|5712019557082648011</stp>
        <tr r="I598" s="2"/>
      </tp>
      <tp t="s">
        <v>#N/A N/A</v>
        <stp/>
        <stp>BDP|4749847996235740248</stp>
        <tr r="B2189" s="2"/>
      </tp>
      <tp t="s">
        <v>#N/A N/A</v>
        <stp/>
        <stp>BDP|6085484748217249347</stp>
        <tr r="H428" s="2"/>
      </tp>
      <tp t="s">
        <v>#N/A N/A</v>
        <stp/>
        <stp>BDP|2819321829622626338</stp>
        <tr r="H351" s="2"/>
      </tp>
      <tp t="s">
        <v>#N/A N/A</v>
        <stp/>
        <stp>BDP|7617661329756630798</stp>
        <tr r="G227" s="2"/>
      </tp>
      <tp t="s">
        <v>#N/A N/A</v>
        <stp/>
        <stp>BDP|8394929025101795054</stp>
        <tr r="D1299" s="2"/>
      </tp>
      <tp t="s">
        <v>#N/A N/A</v>
        <stp/>
        <stp>BDP|3165666632791586563</stp>
        <tr r="C3735" s="2"/>
      </tp>
      <tp t="s">
        <v>#N/A N/A</v>
        <stp/>
        <stp>BDP|7778236821794480172</stp>
        <tr r="H3307" s="2"/>
      </tp>
      <tp t="s">
        <v>#N/A N/A</v>
        <stp/>
        <stp>BDP|5058642359704981024</stp>
        <tr r="I578" s="2"/>
      </tp>
      <tp t="s">
        <v>#N/A N/A</v>
        <stp/>
        <stp>BDP|4877124248217170459</stp>
        <tr r="D1412" s="2"/>
      </tp>
      <tp t="s">
        <v>#N/A N/A</v>
        <stp/>
        <stp>BDP|5844867364368986157</stp>
        <tr r="F1637" s="2"/>
      </tp>
      <tp t="s">
        <v>#N/A N/A</v>
        <stp/>
        <stp>BDP|7903620133600883061</stp>
        <tr r="A813" s="2"/>
      </tp>
      <tp t="s">
        <v>#N/A N/A</v>
        <stp/>
        <stp>BDP|6093414423294400600</stp>
        <tr r="D2560" s="2"/>
      </tp>
      <tp t="s">
        <v>#N/A N/A</v>
        <stp/>
        <stp>BDP|1018486176278835809</stp>
        <tr r="A4026" s="2"/>
      </tp>
      <tp t="s">
        <v>#N/A N/A</v>
        <stp/>
        <stp>BDP|9358504024965839995</stp>
        <tr r="A766" s="2"/>
      </tp>
      <tp t="s">
        <v>#N/A N/A</v>
        <stp/>
        <stp>BDP|2409872484499214939</stp>
        <tr r="H3197" s="2"/>
      </tp>
      <tp t="s">
        <v>#N/A N/A</v>
        <stp/>
        <stp>BDP|2474663507090689652</stp>
        <tr r="B4677" s="2"/>
      </tp>
      <tp t="s">
        <v>#N/A N/A</v>
        <stp/>
        <stp>BDP|5789440620603657235</stp>
        <tr r="H1628" s="2"/>
      </tp>
      <tp t="s">
        <v>#N/A N/A</v>
        <stp/>
        <stp>BDP|3618227458622302491</stp>
        <tr r="G2364" s="2"/>
      </tp>
      <tp t="s">
        <v>#N/A N/A</v>
        <stp/>
        <stp>BDP|4565655776293637463</stp>
        <tr r="F4820" s="2"/>
      </tp>
      <tp t="s">
        <v>#N/A N/A</v>
        <stp/>
        <stp>BDP|3530686999408176637</stp>
        <tr r="B1873" s="2"/>
      </tp>
      <tp t="s">
        <v>#N/A N/A</v>
        <stp/>
        <stp>BDP|2229677643724055606</stp>
        <tr r="D3085" s="2"/>
      </tp>
      <tp t="s">
        <v>#N/A N/A</v>
        <stp/>
        <stp>BDP|5862624258113678725</stp>
        <tr r="G3633" s="2"/>
      </tp>
      <tp t="s">
        <v>#N/A N/A</v>
        <stp/>
        <stp>BDP|9423491692417120185</stp>
        <tr r="C2272" s="2"/>
      </tp>
      <tp t="s">
        <v>#N/A N/A</v>
        <stp/>
        <stp>BDP|1850540599118624756</stp>
        <tr r="C534" s="2"/>
      </tp>
      <tp t="s">
        <v>#N/A N/A</v>
        <stp/>
        <stp>BDP|5758006384438300767</stp>
        <tr r="A3428" s="2"/>
      </tp>
      <tp t="s">
        <v>#N/A N/A</v>
        <stp/>
        <stp>BDP|4768272101547787309</stp>
        <tr r="C4331" s="2"/>
      </tp>
      <tp t="s">
        <v>#N/A N/A</v>
        <stp/>
        <stp>BDP|2200312661262460705</stp>
        <tr r="F228" s="2"/>
      </tp>
      <tp t="s">
        <v>#N/A N/A</v>
        <stp/>
        <stp>BDP|8255306612199438122</stp>
        <tr r="A1139" s="2"/>
      </tp>
      <tp t="s">
        <v>#N/A N/A</v>
        <stp/>
        <stp>BDP|9913577512677873824</stp>
        <tr r="I4392" s="2"/>
      </tp>
      <tp t="s">
        <v>#N/A N/A</v>
        <stp/>
        <stp>BDP|4300525281438202342</stp>
        <tr r="B2467" s="2"/>
      </tp>
      <tp t="s">
        <v>#N/A N/A</v>
        <stp/>
        <stp>BDP|9466053836500752866</stp>
        <tr r="H2823" s="2"/>
      </tp>
      <tp t="s">
        <v>#N/A N/A</v>
        <stp/>
        <stp>BDP|8782844985558286222</stp>
        <tr r="I797" s="2"/>
      </tp>
      <tp t="s">
        <v>#N/A N/A</v>
        <stp/>
        <stp>BDP|5513681999299719150</stp>
        <tr r="B904" s="2"/>
      </tp>
      <tp t="s">
        <v>#N/A N/A</v>
        <stp/>
        <stp>BDP|9568331659324867911</stp>
        <tr r="C1517" s="2"/>
      </tp>
      <tp t="s">
        <v>#N/A N/A</v>
        <stp/>
        <stp>BDP|4088053680999352705</stp>
        <tr r="I1375" s="2"/>
      </tp>
      <tp t="s">
        <v>#N/A N/A</v>
        <stp/>
        <stp>BDP|6572552030041036364</stp>
        <tr r="I4925" s="2"/>
      </tp>
      <tp t="s">
        <v>#N/A N/A</v>
        <stp/>
        <stp>BDP|9429430432724573860</stp>
        <tr r="B2514" s="2"/>
      </tp>
      <tp t="s">
        <v>#N/A N/A</v>
        <stp/>
        <stp>BDP|6436373640487055453</stp>
        <tr r="I3073" s="2"/>
      </tp>
      <tp t="s">
        <v>#N/A N/A</v>
        <stp/>
        <stp>BDP|6439322332705543170</stp>
        <tr r="F3782" s="2"/>
      </tp>
      <tp t="s">
        <v>#N/A N/A</v>
        <stp/>
        <stp>BDP|7692396963307891727</stp>
        <tr r="I2018" s="2"/>
      </tp>
      <tp t="s">
        <v>#N/A N/A</v>
        <stp/>
        <stp>BDP|4789018215457045052</stp>
        <tr r="I4550" s="2"/>
      </tp>
      <tp t="s">
        <v>#N/A N/A</v>
        <stp/>
        <stp>BDP|9790420656318682237</stp>
        <tr r="F3709" s="2"/>
      </tp>
      <tp t="s">
        <v>#N/A N/A</v>
        <stp/>
        <stp>BDP|3942695408944842369</stp>
        <tr r="F2933" s="2"/>
      </tp>
      <tp t="s">
        <v>#N/A N/A</v>
        <stp/>
        <stp>BDP|2332665702212985489</stp>
        <tr r="F3376" s="2"/>
      </tp>
      <tp t="s">
        <v>#N/A N/A</v>
        <stp/>
        <stp>BDP|1455006875405271155</stp>
        <tr r="F1203" s="2"/>
      </tp>
      <tp t="s">
        <v>#N/A N/A</v>
        <stp/>
        <stp>BDP|5469905297670635733</stp>
        <tr r="D2761" s="2"/>
      </tp>
      <tp t="s">
        <v>#N/A N/A</v>
        <stp/>
        <stp>BDP|5778244409577860245</stp>
        <tr r="H2966" s="2"/>
      </tp>
      <tp t="s">
        <v>#N/A N/A</v>
        <stp/>
        <stp>BDP|4950185129760723591</stp>
        <tr r="A1478" s="2"/>
      </tp>
      <tp t="s">
        <v>#N/A N/A</v>
        <stp/>
        <stp>BDP|9696236090158421878</stp>
        <tr r="B84" s="2"/>
      </tp>
      <tp t="s">
        <v>#N/A N/A</v>
        <stp/>
        <stp>BDP|3007357012883223039</stp>
        <tr r="C4677" s="2"/>
      </tp>
      <tp t="s">
        <v>#N/A N/A</v>
        <stp/>
        <stp>BDP|5351789540093991741</stp>
        <tr r="I3125" s="2"/>
      </tp>
      <tp t="s">
        <v>#N/A N/A</v>
        <stp/>
        <stp>BDP|5636258347550699143</stp>
        <tr r="I623" s="2"/>
      </tp>
      <tp t="s">
        <v>#N/A N/A</v>
        <stp/>
        <stp>BDP|4417614090681425875</stp>
        <tr r="D1679" s="2"/>
      </tp>
      <tp t="s">
        <v>#N/A N/A</v>
        <stp/>
        <stp>BDP|8837358949704505978</stp>
        <tr r="G1397" s="2"/>
      </tp>
      <tp t="s">
        <v>#N/A N/A</v>
        <stp/>
        <stp>BDP|1063770869011098388</stp>
        <tr r="D4959" s="2"/>
      </tp>
      <tp t="s">
        <v>#N/A N/A</v>
        <stp/>
        <stp>BDP|9608372616088848191</stp>
        <tr r="A4356" s="2"/>
      </tp>
      <tp t="s">
        <v>#N/A N/A</v>
        <stp/>
        <stp>BDP|3636768829350672498</stp>
        <tr r="A291" s="2"/>
      </tp>
      <tp t="s">
        <v>#N/A N/A</v>
        <stp/>
        <stp>BDP|5758664610424615413</stp>
        <tr r="B421" s="2"/>
      </tp>
      <tp t="s">
        <v>#N/A N/A</v>
        <stp/>
        <stp>BDP|4444353035730312617</stp>
        <tr r="F3284" s="2"/>
      </tp>
      <tp t="s">
        <v>#N/A N/A</v>
        <stp/>
        <stp>BDP|5329257606280450524</stp>
        <tr r="G2386" s="2"/>
      </tp>
      <tp t="s">
        <v>#N/A N/A</v>
        <stp/>
        <stp>BDP|1634356251372471707</stp>
        <tr r="I315" s="2"/>
      </tp>
      <tp t="s">
        <v>#N/A N/A</v>
        <stp/>
        <stp>BDP|4835723719332250270</stp>
        <tr r="I2261" s="2"/>
      </tp>
      <tp t="s">
        <v>#N/A N/A</v>
        <stp/>
        <stp>BDP|8234579485646385152</stp>
        <tr r="H810" s="2"/>
      </tp>
      <tp t="s">
        <v>#N/A N/A</v>
        <stp/>
        <stp>BDP|1331694864425817604</stp>
        <tr r="D1234" s="2"/>
      </tp>
      <tp t="s">
        <v>#N/A N/A</v>
        <stp/>
        <stp>BDP|1484312913513193210</stp>
        <tr r="F4318" s="2"/>
      </tp>
      <tp t="s">
        <v>#N/A N/A</v>
        <stp/>
        <stp>BDP|9033957964813330749</stp>
        <tr r="H3090" s="2"/>
      </tp>
      <tp t="s">
        <v>#N/A N/A</v>
        <stp/>
        <stp>BDP|1772051546060690756</stp>
        <tr r="B568" s="2"/>
      </tp>
      <tp t="s">
        <v>#N/A N/A</v>
        <stp/>
        <stp>BDP|6552459249253667781</stp>
        <tr r="B4207" s="2"/>
      </tp>
      <tp t="s">
        <v>#N/A N/A</v>
        <stp/>
        <stp>BDP|8080383318761417934</stp>
        <tr r="I4365" s="2"/>
      </tp>
      <tp t="s">
        <v>#N/A N/A</v>
        <stp/>
        <stp>BDP|9941597340028432239</stp>
        <tr r="C1687" s="2"/>
      </tp>
      <tp t="s">
        <v>#N/A N/A</v>
        <stp/>
        <stp>BDP|2009010457077289231</stp>
        <tr r="I3693" s="2"/>
      </tp>
      <tp t="s">
        <v>#N/A N/A</v>
        <stp/>
        <stp>BDP|6890732220692416385</stp>
        <tr r="D2590" s="2"/>
      </tp>
      <tp t="s">
        <v>#N/A N/A</v>
        <stp/>
        <stp>BDP|7968329421755510180</stp>
        <tr r="F4626" s="2"/>
      </tp>
      <tp t="s">
        <v>#N/A N/A</v>
        <stp/>
        <stp>BDP|3894669472080902029</stp>
        <tr r="I617" s="2"/>
      </tp>
      <tp t="s">
        <v>#N/A N/A</v>
        <stp/>
        <stp>BDP|7249930535148052739</stp>
        <tr r="C3055" s="2"/>
      </tp>
      <tp t="s">
        <v>#N/A N/A</v>
        <stp/>
        <stp>BDP|6851071831851068692</stp>
        <tr r="C4409" s="2"/>
      </tp>
      <tp t="s">
        <v>#N/A N/A</v>
        <stp/>
        <stp>BDP|8675604180824970084</stp>
        <tr r="H247" s="2"/>
      </tp>
      <tp t="s">
        <v>#N/A N/A</v>
        <stp/>
        <stp>BDP|4902988852823403908</stp>
        <tr r="A2789" s="2"/>
      </tp>
      <tp t="s">
        <v>#N/A N/A</v>
        <stp/>
        <stp>BDP|8792450849479436386</stp>
        <tr r="I3154" s="2"/>
      </tp>
      <tp t="s">
        <v>#N/A N/A</v>
        <stp/>
        <stp>BDP|9687050946007095829</stp>
        <tr r="D171" s="2"/>
      </tp>
      <tp t="s">
        <v>#N/A N/A</v>
        <stp/>
        <stp>BDP|5971773644872856652</stp>
        <tr r="G1665" s="2"/>
      </tp>
      <tp t="s">
        <v>#N/A N/A</v>
        <stp/>
        <stp>BDP|9083833903224078775</stp>
        <tr r="H4829" s="2"/>
      </tp>
      <tp t="s">
        <v>#N/A N/A</v>
        <stp/>
        <stp>BDP|7772149325364556243</stp>
        <tr r="C4947" s="2"/>
      </tp>
      <tp t="s">
        <v>#N/A N/A</v>
        <stp/>
        <stp>BDP|8124302054175131939</stp>
        <tr r="D1010" s="2"/>
      </tp>
      <tp t="s">
        <v>#N/A N/A</v>
        <stp/>
        <stp>BDP|2950345265855938060</stp>
        <tr r="G2918" s="2"/>
      </tp>
      <tp t="s">
        <v>#N/A N/A</v>
        <stp/>
        <stp>BDP|6229180244776176789</stp>
        <tr r="G4089" s="2"/>
      </tp>
      <tp t="s">
        <v>#N/A N/A</v>
        <stp/>
        <stp>BDP|8210836304414599671</stp>
        <tr r="F1504" s="2"/>
      </tp>
      <tp t="s">
        <v>#N/A N/A</v>
        <stp/>
        <stp>BDP|3082629512623081575</stp>
        <tr r="D4444" s="2"/>
      </tp>
      <tp t="s">
        <v>#N/A N/A</v>
        <stp/>
        <stp>BDP|2305248426210565036</stp>
        <tr r="C3603" s="2"/>
      </tp>
      <tp t="s">
        <v>#N/A N/A</v>
        <stp/>
        <stp>BDP|2267339908171854261</stp>
        <tr r="D786" s="2"/>
      </tp>
      <tp t="s">
        <v>#N/A N/A</v>
        <stp/>
        <stp>BDP|8810796571013249959</stp>
        <tr r="H992" s="2"/>
      </tp>
      <tp t="s">
        <v>#N/A N/A</v>
        <stp/>
        <stp>BDP|3507384647822874456</stp>
        <tr r="G1404" s="2"/>
      </tp>
      <tp t="s">
        <v>#N/A N/A</v>
        <stp/>
        <stp>BDP|4424548566533165604</stp>
        <tr r="G452" s="2"/>
      </tp>
      <tp t="s">
        <v>#N/A N/A</v>
        <stp/>
        <stp>BDP|8042826505825817786</stp>
        <tr r="I3493" s="2"/>
      </tp>
      <tp t="s">
        <v>#N/A N/A</v>
        <stp/>
        <stp>BDP|7815697006547466449</stp>
        <tr r="H2020" s="2"/>
      </tp>
      <tp t="s">
        <v>#N/A N/A</v>
        <stp/>
        <stp>BDP|7885564578431074613</stp>
        <tr r="F325" s="2"/>
      </tp>
      <tp t="s">
        <v>#N/A N/A</v>
        <stp/>
        <stp>BDP|5163700014636080724</stp>
        <tr r="A4481" s="2"/>
      </tp>
      <tp t="s">
        <v>#N/A N/A</v>
        <stp/>
        <stp>BDP|3242128866930908689</stp>
        <tr r="D4662" s="2"/>
      </tp>
      <tp t="s">
        <v>#N/A N/A</v>
        <stp/>
        <stp>BDP|4789795255702859643</stp>
        <tr r="H2120" s="2"/>
      </tp>
      <tp t="s">
        <v>#N/A N/A</v>
        <stp/>
        <stp>BDP|7330593215588818908</stp>
        <tr r="G4206" s="2"/>
      </tp>
      <tp t="s">
        <v>#N/A N/A</v>
        <stp/>
        <stp>BDP|3715623073908376820</stp>
        <tr r="I2491" s="2"/>
      </tp>
      <tp t="s">
        <v>#N/A N/A</v>
        <stp/>
        <stp>BDP|8758945144562613568</stp>
        <tr r="H2986" s="2"/>
      </tp>
      <tp t="s">
        <v>#N/A N/A</v>
        <stp/>
        <stp>BDP|3907965091599987804</stp>
        <tr r="A3069" s="2"/>
      </tp>
      <tp t="s">
        <v>#N/A N/A</v>
        <stp/>
        <stp>BDP|8883283943979064548</stp>
        <tr r="G1719" s="2"/>
      </tp>
      <tp t="s">
        <v>#N/A N/A</v>
        <stp/>
        <stp>BDP|4588918907586789932</stp>
        <tr r="F3136" s="2"/>
      </tp>
      <tp t="s">
        <v>#N/A N/A</v>
        <stp/>
        <stp>BDP|7999106559357407633</stp>
        <tr r="C4962" s="2"/>
      </tp>
      <tp t="s">
        <v>#N/A N/A</v>
        <stp/>
        <stp>BDP|1974713571553862069</stp>
        <tr r="H3925" s="2"/>
      </tp>
      <tp t="s">
        <v>#N/A N/A</v>
        <stp/>
        <stp>BDP|3156759131420355513</stp>
        <tr r="C2421" s="2"/>
      </tp>
      <tp t="s">
        <v>#N/A N/A</v>
        <stp/>
        <stp>BDP|8019849762575041117</stp>
        <tr r="B980" s="2"/>
      </tp>
      <tp t="s">
        <v>#N/A N/A</v>
        <stp/>
        <stp>BDP|1955399665361382716</stp>
        <tr r="G4534" s="2"/>
      </tp>
      <tp t="s">
        <v>#N/A N/A</v>
        <stp/>
        <stp>BDP|7538623795979588300</stp>
        <tr r="B1113" s="2"/>
      </tp>
      <tp t="s">
        <v>#N/A N/A</v>
        <stp/>
        <stp>BDP|5202340244841595100</stp>
        <tr r="B3146" s="2"/>
      </tp>
      <tp t="s">
        <v>#N/A N/A</v>
        <stp/>
        <stp>BDP|7678721114392360143</stp>
        <tr r="I1504" s="2"/>
      </tp>
      <tp t="s">
        <v>#N/A N/A</v>
        <stp/>
        <stp>BDP|8388589972769747192</stp>
        <tr r="G3494" s="2"/>
      </tp>
      <tp t="s">
        <v>#N/A N/A</v>
        <stp/>
        <stp>BDP|7900213074804815439</stp>
        <tr r="F4999" s="2"/>
      </tp>
      <tp t="s">
        <v>#N/A N/A</v>
        <stp/>
        <stp>BDP|2530741484217473864</stp>
        <tr r="A3368" s="2"/>
      </tp>
      <tp t="s">
        <v>#N/A N/A</v>
        <stp/>
        <stp>BDP|2562512629136330195</stp>
        <tr r="H3733" s="2"/>
      </tp>
      <tp t="s">
        <v>#N/A N/A</v>
        <stp/>
        <stp>BDP|6711740965091942486</stp>
        <tr r="F3272" s="2"/>
      </tp>
      <tp t="s">
        <v>#N/A N/A</v>
        <stp/>
        <stp>BDP|3683399568420828484</stp>
        <tr r="I326" s="2"/>
      </tp>
      <tp t="s">
        <v>#N/A N/A</v>
        <stp/>
        <stp>BDP|7476315111223659456</stp>
        <tr r="C1612" s="2"/>
      </tp>
      <tp t="s">
        <v>#N/A N/A</v>
        <stp/>
        <stp>BDP|8958596985353039420</stp>
        <tr r="C2158" s="2"/>
      </tp>
      <tp t="s">
        <v>#N/A N/A</v>
        <stp/>
        <stp>BDP|1524527162596672644</stp>
        <tr r="A2056" s="2"/>
      </tp>
      <tp t="s">
        <v>#N/A N/A</v>
        <stp/>
        <stp>BDP|9294002285496140518</stp>
        <tr r="G4630" s="2"/>
      </tp>
      <tp t="s">
        <v>#N/A N/A</v>
        <stp/>
        <stp>BDP|4713458064496082216</stp>
        <tr r="G2894" s="2"/>
      </tp>
      <tp t="s">
        <v>#N/A N/A</v>
        <stp/>
        <stp>BDP|6378675161513672743</stp>
        <tr r="F4916" s="2"/>
      </tp>
      <tp t="s">
        <v>#N/A N/A</v>
        <stp/>
        <stp>BDP|5413744213872582317</stp>
        <tr r="F3162" s="2"/>
      </tp>
      <tp t="s">
        <v>#N/A N/A</v>
        <stp/>
        <stp>BDP|7640091080324156991</stp>
        <tr r="B794" s="2"/>
      </tp>
      <tp t="s">
        <v>#N/A N/A</v>
        <stp/>
        <stp>BDP|9535701299573275692</stp>
        <tr r="H4899" s="2"/>
      </tp>
      <tp t="s">
        <v>#N/A N/A</v>
        <stp/>
        <stp>BDP|3271108720126293475</stp>
        <tr r="F4869" s="2"/>
      </tp>
      <tp t="s">
        <v>#N/A N/A</v>
        <stp/>
        <stp>BDP|3683342605906022403</stp>
        <tr r="H377" s="2"/>
      </tp>
      <tp t="s">
        <v>#N/A N/A</v>
        <stp/>
        <stp>BDP|4423214734430000760</stp>
        <tr r="A888" s="2"/>
      </tp>
      <tp t="s">
        <v>#N/A N/A</v>
        <stp/>
        <stp>BDP|2194218043822427409</stp>
        <tr r="D4369" s="2"/>
      </tp>
      <tp t="s">
        <v>#N/A N/A</v>
        <stp/>
        <stp>BDP|8337845035447231673</stp>
        <tr r="H3300" s="2"/>
      </tp>
      <tp t="s">
        <v>#N/A N/A</v>
        <stp/>
        <stp>BDP|9646880545592828541</stp>
        <tr r="I2336" s="2"/>
      </tp>
      <tp t="s">
        <v>#N/A N/A</v>
        <stp/>
        <stp>BDP|5255897994785057382</stp>
        <tr r="B360" s="2"/>
      </tp>
      <tp t="s">
        <v>#N/A N/A</v>
        <stp/>
        <stp>BDP|1354173824563366347</stp>
        <tr r="C502" s="2"/>
      </tp>
      <tp t="s">
        <v>#N/A N/A</v>
        <stp/>
        <stp>BDP|4135087918043365450</stp>
        <tr r="C301" s="2"/>
      </tp>
      <tp t="s">
        <v>#N/A N/A</v>
        <stp/>
        <stp>BDP|8243979906126661528</stp>
        <tr r="I4051" s="2"/>
      </tp>
      <tp t="s">
        <v>#N/A N/A</v>
        <stp/>
        <stp>BDP|2364957970896253839</stp>
        <tr r="D3514" s="2"/>
      </tp>
      <tp t="s">
        <v>#N/A N/A</v>
        <stp/>
        <stp>BDP|2897188514006240610</stp>
        <tr r="F1518" s="2"/>
      </tp>
      <tp t="s">
        <v>#N/A N/A</v>
        <stp/>
        <stp>BDP|6045271483996111828</stp>
        <tr r="F687" s="2"/>
      </tp>
      <tp t="s">
        <v>#N/A N/A</v>
        <stp/>
        <stp>BDP|3911595971863685001</stp>
        <tr r="I2753" s="2"/>
      </tp>
      <tp t="s">
        <v>#N/A N/A</v>
        <stp/>
        <stp>BDP|7073450947373448614</stp>
        <tr r="I144" s="2"/>
      </tp>
      <tp t="s">
        <v>#N/A N/A</v>
        <stp/>
        <stp>BDP|1092153572456491343</stp>
        <tr r="I2743" s="2"/>
      </tp>
      <tp t="s">
        <v>#N/A N/A</v>
        <stp/>
        <stp>BDP|2095709904664427370</stp>
        <tr r="F1193" s="2"/>
      </tp>
      <tp t="s">
        <v>#N/A N/A</v>
        <stp/>
        <stp>BDP|1719685782265217883</stp>
        <tr r="H4215" s="2"/>
      </tp>
      <tp t="s">
        <v>#N/A N/A</v>
        <stp/>
        <stp>BDP|7558125719690939501</stp>
        <tr r="I444" s="2"/>
      </tp>
      <tp t="s">
        <v>#N/A N/A</v>
        <stp/>
        <stp>BDP|5240518105320016219</stp>
        <tr r="D3779" s="2"/>
      </tp>
      <tp t="s">
        <v>#N/A N/A</v>
        <stp/>
        <stp>BDP|4958220348083225360</stp>
        <tr r="C1664" s="2"/>
      </tp>
      <tp t="s">
        <v>#N/A N/A</v>
        <stp/>
        <stp>BDP|9979517424788825432</stp>
        <tr r="F259" s="2"/>
      </tp>
      <tp t="s">
        <v>#N/A N/A</v>
        <stp/>
        <stp>BDP|3317285017545272791</stp>
        <tr r="G1034" s="2"/>
      </tp>
      <tp t="s">
        <v>#N/A N/A</v>
        <stp/>
        <stp>BDP|1562398383111803908</stp>
        <tr r="D694" s="2"/>
      </tp>
      <tp t="s">
        <v>#N/A N/A</v>
        <stp/>
        <stp>BDP|3151544205305247150</stp>
        <tr r="H1640" s="2"/>
      </tp>
      <tp t="s">
        <v>#N/A N/A</v>
        <stp/>
        <stp>BDP|7365614221063125256</stp>
        <tr r="B3899" s="2"/>
      </tp>
      <tp t="s">
        <v>#N/A N/A</v>
        <stp/>
        <stp>BDP|4360177649244934736</stp>
        <tr r="I751" s="2"/>
      </tp>
      <tp t="s">
        <v>#N/A N/A</v>
        <stp/>
        <stp>BDP|6440190029756032136</stp>
        <tr r="I2964" s="2"/>
      </tp>
      <tp t="s">
        <v>#N/A N/A</v>
        <stp/>
        <stp>BDP|2241487306510912421</stp>
        <tr r="B4478" s="2"/>
      </tp>
      <tp t="s">
        <v>#N/A N/A</v>
        <stp/>
        <stp>BDP|3691268519280767293</stp>
        <tr r="B1987" s="2"/>
      </tp>
      <tp t="s">
        <v>#N/A N/A</v>
        <stp/>
        <stp>BDP|4762877755612973989</stp>
        <tr r="G1439" s="2"/>
      </tp>
      <tp t="s">
        <v>#N/A N/A</v>
        <stp/>
        <stp>BDP|5723055173106182647</stp>
        <tr r="A3857" s="2"/>
      </tp>
      <tp t="s">
        <v>#N/A N/A</v>
        <stp/>
        <stp>BDP|8637887332268870908</stp>
        <tr r="I4792" s="2"/>
      </tp>
      <tp t="s">
        <v>#N/A N/A</v>
        <stp/>
        <stp>BDP|5930110803562983466</stp>
        <tr r="F1127" s="2"/>
      </tp>
      <tp t="s">
        <v>#N/A N/A</v>
        <stp/>
        <stp>BDP|7281403746015409043</stp>
        <tr r="A355" s="2"/>
      </tp>
      <tp t="s">
        <v>#N/A N/A</v>
        <stp/>
        <stp>BDP|1897139838256625718</stp>
        <tr r="H1650" s="2"/>
      </tp>
      <tp t="s">
        <v>#N/A N/A</v>
        <stp/>
        <stp>BDP|8441905221959649874</stp>
        <tr r="D1121" s="2"/>
      </tp>
      <tp t="s">
        <v>#N/A N/A</v>
        <stp/>
        <stp>BDP|1217645373090554249</stp>
        <tr r="D417" s="2"/>
      </tp>
      <tp t="s">
        <v>#N/A N/A</v>
        <stp/>
        <stp>BDP|9838880036201481161</stp>
        <tr r="H2365" s="2"/>
      </tp>
      <tp t="s">
        <v>#N/A N/A</v>
        <stp/>
        <stp>BDP|6153195705974808111</stp>
        <tr r="G4797" s="2"/>
      </tp>
      <tp t="s">
        <v>#N/A N/A</v>
        <stp/>
        <stp>BDP|1976389006334340402</stp>
        <tr r="F4615" s="2"/>
      </tp>
      <tp t="s">
        <v>#N/A N/A</v>
        <stp/>
        <stp>BDP|7212264956985626705</stp>
        <tr r="C2443" s="2"/>
      </tp>
      <tp t="s">
        <v>#N/A N/A</v>
        <stp/>
        <stp>BDP|1983437713714546287</stp>
        <tr r="A4359" s="2"/>
      </tp>
      <tp t="s">
        <v>#N/A N/A</v>
        <stp/>
        <stp>BDP|5197871617169062755</stp>
        <tr r="B3939" s="2"/>
      </tp>
      <tp t="s">
        <v>#N/A N/A</v>
        <stp/>
        <stp>BDP|5092290243874890562</stp>
        <tr r="F2921" s="2"/>
      </tp>
      <tp t="s">
        <v>#N/A N/A</v>
        <stp/>
        <stp>BDP|6319344010913555563</stp>
        <tr r="I2707" s="2"/>
      </tp>
      <tp t="s">
        <v>#N/A N/A</v>
        <stp/>
        <stp>BDP|1217211831974336650</stp>
        <tr r="I3034" s="2"/>
      </tp>
      <tp t="s">
        <v>#N/A N/A</v>
        <stp/>
        <stp>BDP|3001468857630344060</stp>
        <tr r="G2094" s="2"/>
      </tp>
      <tp t="s">
        <v>#N/A N/A</v>
        <stp/>
        <stp>BDP|1739076717562621058</stp>
        <tr r="C1833" s="2"/>
      </tp>
      <tp t="s">
        <v>#N/A N/A</v>
        <stp/>
        <stp>BDP|5424637494809006170</stp>
        <tr r="A2518" s="2"/>
      </tp>
      <tp t="s">
        <v>#N/A N/A</v>
        <stp/>
        <stp>BDP|7791266075178674864</stp>
        <tr r="A4373" s="2"/>
      </tp>
      <tp t="s">
        <v>#N/A N/A</v>
        <stp/>
        <stp>BDP|1775375933860264351</stp>
        <tr r="I1524" s="2"/>
      </tp>
      <tp t="s">
        <v>#N/A N/A</v>
        <stp/>
        <stp>BDP|4624198879340357011</stp>
        <tr r="I2635" s="2"/>
      </tp>
      <tp t="s">
        <v>#N/A N/A</v>
        <stp/>
        <stp>BDP|8345758020018490769</stp>
        <tr r="B1333" s="2"/>
      </tp>
      <tp t="s">
        <v>#N/A N/A</v>
        <stp/>
        <stp>BDP|3083671505254206347</stp>
        <tr r="C4978" s="2"/>
      </tp>
      <tp t="s">
        <v>#N/A N/A</v>
        <stp/>
        <stp>BDP|4391613707042977281</stp>
        <tr r="G2924" s="2"/>
      </tp>
      <tp t="s">
        <v>#N/A N/A</v>
        <stp/>
        <stp>BDP|9702238704288338175</stp>
        <tr r="D273" s="2"/>
      </tp>
      <tp t="s">
        <v>#N/A N/A</v>
        <stp/>
        <stp>BDP|5335633068600435789</stp>
        <tr r="D4775" s="2"/>
      </tp>
      <tp t="s">
        <v>#N/A N/A</v>
        <stp/>
        <stp>BDP|6758430562182584470</stp>
        <tr r="B3947" s="2"/>
      </tp>
      <tp t="s">
        <v>#N/A N/A</v>
        <stp/>
        <stp>BDP|9253879545134456304</stp>
        <tr r="B2235" s="2"/>
      </tp>
      <tp t="s">
        <v>#N/A N/A</v>
        <stp/>
        <stp>BDP|6033748824561626020</stp>
        <tr r="H4752" s="2"/>
      </tp>
      <tp t="s">
        <v>#N/A N/A</v>
        <stp/>
        <stp>BDP|1354487833711429588</stp>
        <tr r="I4689" s="2"/>
      </tp>
      <tp t="s">
        <v>#N/A N/A</v>
        <stp/>
        <stp>BDP|1015310023246297445</stp>
        <tr r="H1742" s="2"/>
      </tp>
      <tp t="s">
        <v>#N/A N/A</v>
        <stp/>
        <stp>BDP|2514056425184694670</stp>
        <tr r="F4859" s="2"/>
      </tp>
      <tp t="s">
        <v>#N/A N/A</v>
        <stp/>
        <stp>BDP|5411808653723169927</stp>
        <tr r="I1059" s="2"/>
      </tp>
      <tp t="s">
        <v>#N/A N/A</v>
        <stp/>
        <stp>BDP|1528013410441427348</stp>
        <tr r="F4452" s="2"/>
      </tp>
      <tp t="s">
        <v>#N/A N/A</v>
        <stp/>
        <stp>BDP|9068951179415990015</stp>
        <tr r="C2087" s="2"/>
      </tp>
      <tp t="s">
        <v>#N/A N/A</v>
        <stp/>
        <stp>BDP|9180227894455704544</stp>
        <tr r="A1157" s="2"/>
      </tp>
      <tp t="s">
        <v>#N/A N/A</v>
        <stp/>
        <stp>BDP|8618139050568304622</stp>
        <tr r="I692" s="2"/>
      </tp>
      <tp t="s">
        <v>#N/A N/A</v>
        <stp/>
        <stp>BDP|6409919787654250145</stp>
        <tr r="C2747" s="2"/>
      </tp>
      <tp t="s">
        <v>#N/A N/A</v>
        <stp/>
        <stp>BDP|2684097612028865917</stp>
        <tr r="D1360" s="2"/>
      </tp>
      <tp t="s">
        <v>#N/A N/A</v>
        <stp/>
        <stp>BDP|5586647814114542444</stp>
        <tr r="H2497" s="2"/>
      </tp>
      <tp t="s">
        <v>#N/A N/A</v>
        <stp/>
        <stp>BDP|7193073927336776120</stp>
        <tr r="H713" s="2"/>
      </tp>
      <tp t="s">
        <v>#N/A N/A</v>
        <stp/>
        <stp>BDP|5879004515263192586</stp>
        <tr r="C2645" s="2"/>
      </tp>
      <tp t="s">
        <v>#N/A N/A</v>
        <stp/>
        <stp>BDP|9625889951365232395</stp>
        <tr r="B3613" s="2"/>
      </tp>
      <tp t="s">
        <v>#N/A N/A</v>
        <stp/>
        <stp>BDP|2552607530841748460</stp>
        <tr r="I1276" s="2"/>
      </tp>
      <tp t="s">
        <v>#N/A N/A</v>
        <stp/>
        <stp>BDP|3243902335029063231</stp>
        <tr r="D820" s="2"/>
      </tp>
      <tp t="s">
        <v>#N/A N/A</v>
        <stp/>
        <stp>BDP|2077045122172122030</stp>
        <tr r="G1908" s="2"/>
      </tp>
      <tp t="s">
        <v>#N/A N/A</v>
        <stp/>
        <stp>BDP|2625461714361587459</stp>
        <tr r="H3457" s="2"/>
      </tp>
      <tp t="s">
        <v>#N/A N/A</v>
        <stp/>
        <stp>BDP|8002329990217187772</stp>
        <tr r="A3517" s="2"/>
      </tp>
      <tp t="s">
        <v>#N/A N/A</v>
        <stp/>
        <stp>BDP|8704370585467119604</stp>
        <tr r="G1609" s="2"/>
      </tp>
      <tp t="s">
        <v>#N/A N/A</v>
        <stp/>
        <stp>BDP|1416005820119706874</stp>
        <tr r="I3812" s="2"/>
      </tp>
      <tp t="s">
        <v>#N/A N/A</v>
        <stp/>
        <stp>BDP|8082679702865396920</stp>
        <tr r="F2500" s="2"/>
      </tp>
      <tp t="s">
        <v>#N/A N/A</v>
        <stp/>
        <stp>BDP|4872731610613613391</stp>
        <tr r="B49" s="2"/>
      </tp>
      <tp t="s">
        <v>#N/A N/A</v>
        <stp/>
        <stp>BDP|5957453675001417597</stp>
        <tr r="D3264" s="2"/>
      </tp>
      <tp t="s">
        <v>#N/A N/A</v>
        <stp/>
        <stp>BDP|2958492958030422185</stp>
        <tr r="B4112" s="2"/>
      </tp>
      <tp t="s">
        <v>#N/A N/A</v>
        <stp/>
        <stp>BDP|5626452029643652283</stp>
        <tr r="I4163" s="2"/>
      </tp>
      <tp t="s">
        <v>#N/A N/A</v>
        <stp/>
        <stp>BDP|1988636998949538534</stp>
        <tr r="B620" s="2"/>
      </tp>
      <tp t="s">
        <v>#N/A N/A</v>
        <stp/>
        <stp>BDP|1161558700976334037</stp>
        <tr r="C752" s="2"/>
      </tp>
      <tp t="s">
        <v>#N/A N/A</v>
        <stp/>
        <stp>BDP|4033116370715123543</stp>
        <tr r="I869" s="2"/>
      </tp>
      <tp t="s">
        <v>#N/A N/A</v>
        <stp/>
        <stp>BDP|9329844137422729233</stp>
        <tr r="C320" s="2"/>
      </tp>
      <tp t="s">
        <v>#N/A N/A</v>
        <stp/>
        <stp>BDP|6783601346096295073</stp>
        <tr r="G4817" s="2"/>
      </tp>
      <tp t="s">
        <v>#N/A N/A</v>
        <stp/>
        <stp>BDP|8878323281541815073</stp>
        <tr r="B3662" s="2"/>
      </tp>
      <tp t="s">
        <v>#N/A N/A</v>
        <stp/>
        <stp>BDP|8237640717855183841</stp>
        <tr r="G3326" s="2"/>
      </tp>
      <tp t="s">
        <v>#N/A N/A</v>
        <stp/>
        <stp>BDP|7358204413091225761</stp>
        <tr r="F3508" s="2"/>
      </tp>
      <tp t="s">
        <v>#N/A N/A</v>
        <stp/>
        <stp>BDP|3212534605712854685</stp>
        <tr r="D2251" s="2"/>
      </tp>
      <tp t="s">
        <v>#N/A N/A</v>
        <stp/>
        <stp>BDP|5676970054322526944</stp>
        <tr r="D4412" s="2"/>
      </tp>
      <tp t="s">
        <v>#N/A N/A</v>
        <stp/>
        <stp>BDP|6050218937025077028</stp>
        <tr r="C2176" s="2"/>
      </tp>
      <tp t="s">
        <v>#N/A N/A</v>
        <stp/>
        <stp>BDP|2226705413063559500</stp>
        <tr r="B410" s="2"/>
      </tp>
      <tp t="s">
        <v>#N/A N/A</v>
        <stp/>
        <stp>BDP|2287739801307396079</stp>
        <tr r="B4973" s="2"/>
      </tp>
      <tp t="s">
        <v>#N/A N/A</v>
        <stp/>
        <stp>BDP|5032245823481199629</stp>
        <tr r="G4550" s="2"/>
      </tp>
      <tp t="s">
        <v>#N/A N/A</v>
        <stp/>
        <stp>BDP|4534504641962497542</stp>
        <tr r="B2401" s="2"/>
      </tp>
      <tp t="s">
        <v>#N/A N/A</v>
        <stp/>
        <stp>BDP|8130031871605622813</stp>
        <tr r="D791" s="2"/>
      </tp>
      <tp t="s">
        <v>#N/A N/A</v>
        <stp/>
        <stp>BDP|2422310494448129241</stp>
        <tr r="C1084" s="2"/>
      </tp>
      <tp t="s">
        <v>#N/A N/A</v>
        <stp/>
        <stp>BDP|6192607820652342268</stp>
        <tr r="I3625" s="2"/>
      </tp>
      <tp t="s">
        <v>#N/A N/A</v>
        <stp/>
        <stp>BDP|4609617355417275240</stp>
        <tr r="I4457" s="2"/>
      </tp>
      <tp t="s">
        <v>#N/A N/A</v>
        <stp/>
        <stp>BDP|2929897690322225360</stp>
        <tr r="C1142" s="2"/>
      </tp>
      <tp t="s">
        <v>#N/A N/A</v>
        <stp/>
        <stp>BDP|6677414604510508022</stp>
        <tr r="A115" s="2"/>
      </tp>
      <tp t="s">
        <v>#N/A N/A</v>
        <stp/>
        <stp>BDP|8852991012325730703</stp>
        <tr r="A238" s="2"/>
      </tp>
      <tp t="s">
        <v>#N/A N/A</v>
        <stp/>
        <stp>BDP|5846724833340979343</stp>
        <tr r="D3007" s="2"/>
      </tp>
      <tp t="s">
        <v>#N/A N/A</v>
        <stp/>
        <stp>BDP|7549820075122416823</stp>
        <tr r="G665" s="2"/>
      </tp>
      <tp t="s">
        <v>#N/A N/A</v>
        <stp/>
        <stp>BDP|8709836430070937192</stp>
        <tr r="C4010" s="2"/>
      </tp>
      <tp t="s">
        <v>#N/A N/A</v>
        <stp/>
        <stp>BDP|5664441314072308010</stp>
        <tr r="H1832" s="2"/>
      </tp>
      <tp t="s">
        <v>#N/A N/A</v>
        <stp/>
        <stp>BDP|3007270526834584506</stp>
        <tr r="I4337" s="2"/>
      </tp>
      <tp t="s">
        <v>#N/A N/A</v>
        <stp/>
        <stp>BDP|3954890585750572143</stp>
        <tr r="G4807" s="2"/>
      </tp>
      <tp t="s">
        <v>#N/A N/A</v>
        <stp/>
        <stp>BDP|9432724587146423212</stp>
        <tr r="F32" s="2"/>
      </tp>
      <tp t="s">
        <v>#N/A N/A</v>
        <stp/>
        <stp>BDP|7505273454180235207</stp>
        <tr r="H1296" s="2"/>
      </tp>
      <tp t="s">
        <v>#N/A N/A</v>
        <stp/>
        <stp>BDP|2481364553694540208</stp>
        <tr r="I3080" s="2"/>
      </tp>
      <tp t="s">
        <v>#N/A N/A</v>
        <stp/>
        <stp>BDP|2433803766547478924</stp>
        <tr r="D4184" s="2"/>
      </tp>
      <tp t="s">
        <v>#N/A N/A</v>
        <stp/>
        <stp>BDP|5252263626874698301</stp>
        <tr r="F2832" s="2"/>
      </tp>
      <tp t="s">
        <v>#N/A N/A</v>
        <stp/>
        <stp>BDP|7415042672763453138</stp>
        <tr r="C2459" s="2"/>
      </tp>
      <tp t="s">
        <v>#N/A N/A</v>
        <stp/>
        <stp>BDP|3020280669357294261</stp>
        <tr r="D4591" s="2"/>
      </tp>
      <tp t="s">
        <v>#N/A N/A</v>
        <stp/>
        <stp>BDP|7147335274774575568</stp>
        <tr r="B4818" s="2"/>
      </tp>
      <tp t="s">
        <v>#N/A N/A</v>
        <stp/>
        <stp>BDP|1010952961724658878</stp>
        <tr r="H4413" s="2"/>
      </tp>
      <tp t="s">
        <v>#N/A N/A</v>
        <stp/>
        <stp>BDP|5809599508475976753</stp>
        <tr r="F368" s="2"/>
      </tp>
      <tp t="s">
        <v>#N/A N/A</v>
        <stp/>
        <stp>BDP|1649068241311664620</stp>
        <tr r="G3671" s="2"/>
      </tp>
      <tp t="s">
        <v>#N/A N/A</v>
        <stp/>
        <stp>BDP|1685750977312056117</stp>
        <tr r="H4898" s="2"/>
      </tp>
      <tp t="s">
        <v>#N/A N/A</v>
        <stp/>
        <stp>BDP|3167662740665732659</stp>
        <tr r="I768" s="2"/>
      </tp>
      <tp t="s">
        <v>#N/A N/A</v>
        <stp/>
        <stp>BDP|7501498413563867323</stp>
        <tr r="F4751" s="2"/>
      </tp>
      <tp t="s">
        <v>#N/A N/A</v>
        <stp/>
        <stp>BDP|3764733239533992611</stp>
        <tr r="I3922" s="2"/>
      </tp>
      <tp t="s">
        <v>#N/A N/A</v>
        <stp/>
        <stp>BDP|4727309186265640825</stp>
        <tr r="F417" s="2"/>
      </tp>
      <tp t="s">
        <v>#N/A N/A</v>
        <stp/>
        <stp>BDP|2684777003387042070</stp>
        <tr r="C4523" s="2"/>
      </tp>
      <tp t="s">
        <v>#N/A N/A</v>
        <stp/>
        <stp>BDP|9595951148681444792</stp>
        <tr r="D944" s="2"/>
      </tp>
      <tp t="s">
        <v>#N/A N/A</v>
        <stp/>
        <stp>BDP|6869341469770590151</stp>
        <tr r="D1239" s="2"/>
      </tp>
      <tp t="s">
        <v>#N/A N/A</v>
        <stp/>
        <stp>BDP|9947881163784724108</stp>
        <tr r="C4660" s="2"/>
      </tp>
      <tp t="s">
        <v>#N/A N/A</v>
        <stp/>
        <stp>BDP|9104921407294019619</stp>
        <tr r="B614" s="2"/>
      </tp>
      <tp t="s">
        <v>#N/A N/A</v>
        <stp/>
        <stp>BDP|7709482319959123922</stp>
        <tr r="G4358" s="2"/>
      </tp>
      <tp t="s">
        <v>#N/A N/A</v>
        <stp/>
        <stp>BDP|8296216959765734880</stp>
        <tr r="D3627" s="2"/>
      </tp>
      <tp t="s">
        <v>#N/A N/A</v>
        <stp/>
        <stp>BDP|4881325952042525284</stp>
        <tr r="B1088" s="2"/>
      </tp>
      <tp t="s">
        <v>#N/A N/A</v>
        <stp/>
        <stp>BDP|6382357042587173406</stp>
        <tr r="F1563" s="2"/>
      </tp>
      <tp t="s">
        <v>#N/A N/A</v>
        <stp/>
        <stp>BDP|6088477078742308592</stp>
        <tr r="B1468" s="2"/>
      </tp>
      <tp t="s">
        <v>#N/A N/A</v>
        <stp/>
        <stp>BDP|9328461441992323922</stp>
        <tr r="G3851" s="2"/>
      </tp>
      <tp t="s">
        <v>#N/A N/A</v>
        <stp/>
        <stp>BDP|5107685490169464188</stp>
        <tr r="B1243" s="2"/>
      </tp>
      <tp t="s">
        <v>#N/A N/A</v>
        <stp/>
        <stp>BDP|6854293660047054749</stp>
        <tr r="H1435" s="2"/>
      </tp>
      <tp t="s">
        <v>#N/A N/A</v>
        <stp/>
        <stp>BDP|6498079432571786637</stp>
        <tr r="G1622" s="2"/>
      </tp>
      <tp t="s">
        <v>#N/A N/A</v>
        <stp/>
        <stp>BDP|2987215755613079486</stp>
        <tr r="I2997" s="2"/>
      </tp>
      <tp t="s">
        <v>#N/A N/A</v>
        <stp/>
        <stp>BDP|1242940472628580547</stp>
        <tr r="B2202" s="2"/>
      </tp>
      <tp t="s">
        <v>#N/A N/A</v>
        <stp/>
        <stp>BDP|2240901047575753878</stp>
        <tr r="C2145" s="2"/>
      </tp>
      <tp t="s">
        <v>#N/A N/A</v>
        <stp/>
        <stp>BDP|9741323693411662058</stp>
        <tr r="G366" s="2"/>
      </tp>
      <tp t="s">
        <v>#N/A N/A</v>
        <stp/>
        <stp>BDP|8237850605944622615</stp>
        <tr r="C1716" s="2"/>
      </tp>
      <tp t="s">
        <v>#N/A N/A</v>
        <stp/>
        <stp>BDP|4916586376963613742</stp>
        <tr r="H738" s="2"/>
      </tp>
      <tp t="s">
        <v>#N/A N/A</v>
        <stp/>
        <stp>BDP|5270545924803038374</stp>
        <tr r="G1751" s="2"/>
      </tp>
      <tp t="s">
        <v>#N/A N/A</v>
        <stp/>
        <stp>BDP|6664325471395648569</stp>
        <tr r="B3929" s="2"/>
      </tp>
      <tp t="s">
        <v>#N/A N/A</v>
        <stp/>
        <stp>BDP|3422689237872964678</stp>
        <tr r="A3448" s="2"/>
      </tp>
      <tp t="s">
        <v>#N/A N/A</v>
        <stp/>
        <stp>BDP|4995514757010949634</stp>
        <tr r="F440" s="2"/>
      </tp>
      <tp t="s">
        <v>#N/A N/A</v>
        <stp/>
        <stp>BDP|3661007200314777549</stp>
        <tr r="C2997" s="2"/>
      </tp>
      <tp t="s">
        <v>#N/A N/A</v>
        <stp/>
        <stp>BDP|5993545478582749771</stp>
        <tr r="C2629" s="2"/>
      </tp>
      <tp t="s">
        <v>#N/A N/A</v>
        <stp/>
        <stp>BDP|1096103344205525346</stp>
        <tr r="H3986" s="2"/>
      </tp>
      <tp t="s">
        <v>#N/A N/A</v>
        <stp/>
        <stp>BDP|6928234569098403829</stp>
        <tr r="I1775" s="2"/>
      </tp>
      <tp t="s">
        <v>#N/A N/A</v>
        <stp/>
        <stp>BDP|5412812281266196107</stp>
        <tr r="D3754" s="2"/>
      </tp>
      <tp t="s">
        <v>#N/A N/A</v>
        <stp/>
        <stp>BDP|6129552409586884702</stp>
        <tr r="H2393" s="2"/>
      </tp>
      <tp t="s">
        <v>#N/A N/A</v>
        <stp/>
        <stp>BDP|9544169189025976765</stp>
        <tr r="C2767" s="2"/>
      </tp>
      <tp t="s">
        <v>#N/A N/A</v>
        <stp/>
        <stp>BDP|9246655553428285033</stp>
        <tr r="F3099" s="2"/>
      </tp>
      <tp t="s">
        <v>#N/A N/A</v>
        <stp/>
        <stp>BDP|4926247100330082480</stp>
        <tr r="D774" s="2"/>
      </tp>
      <tp t="s">
        <v>#N/A N/A</v>
        <stp/>
        <stp>BDP|9099027523230049946</stp>
        <tr r="I4384" s="2"/>
      </tp>
      <tp t="s">
        <v>#N/A N/A</v>
        <stp/>
        <stp>BDP|7845109183009745597</stp>
        <tr r="I1883" s="2"/>
      </tp>
      <tp t="s">
        <v>#N/A N/A</v>
        <stp/>
        <stp>BDP|9117822900522110179</stp>
        <tr r="C4430" s="2"/>
      </tp>
      <tp t="s">
        <v>#N/A N/A</v>
        <stp/>
        <stp>BDP|8116030193684792730</stp>
        <tr r="H356" s="2"/>
      </tp>
      <tp t="s">
        <v>#N/A N/A</v>
        <stp/>
        <stp>BDP|2426341534996332627</stp>
        <tr r="B2623" s="2"/>
      </tp>
      <tp t="s">
        <v>#N/A N/A</v>
        <stp/>
        <stp>BDP|5635546280469578328</stp>
        <tr r="H2520" s="2"/>
      </tp>
      <tp t="s">
        <v>#N/A N/A</v>
        <stp/>
        <stp>BDP|5870098131696521205</stp>
        <tr r="A106" s="2"/>
      </tp>
      <tp t="s">
        <v>#N/A N/A</v>
        <stp/>
        <stp>BDP|3903586012777631203</stp>
        <tr r="H3159" s="2"/>
      </tp>
      <tp t="s">
        <v>#N/A N/A</v>
        <stp/>
        <stp>BDP|8404744181873385675</stp>
        <tr r="H584" s="2"/>
      </tp>
      <tp t="s">
        <v>#N/A N/A</v>
        <stp/>
        <stp>BDP|8136290881722553290</stp>
        <tr r="H1535" s="2"/>
      </tp>
      <tp t="s">
        <v>#N/A N/A</v>
        <stp/>
        <stp>BDP|3451951485286147603</stp>
        <tr r="G4132" s="2"/>
      </tp>
      <tp t="s">
        <v>#N/A N/A</v>
        <stp/>
        <stp>BDP|4071178446631112258</stp>
        <tr r="D2273" s="2"/>
      </tp>
      <tp t="s">
        <v>#N/A N/A</v>
        <stp/>
        <stp>BDP|4393050607872446405</stp>
        <tr r="A694" s="2"/>
      </tp>
      <tp t="s">
        <v>#N/A N/A</v>
        <stp/>
        <stp>BDP|8951558488004195304</stp>
        <tr r="H8" s="2"/>
      </tp>
      <tp t="s">
        <v>#N/A N/A</v>
        <stp/>
        <stp>BDP|4167526857441619775</stp>
        <tr r="G4835" s="2"/>
      </tp>
      <tp t="s">
        <v>#N/A N/A</v>
        <stp/>
        <stp>BDP|3208121462487558120</stp>
        <tr r="G1713" s="2"/>
      </tp>
      <tp t="s">
        <v>#N/A N/A</v>
        <stp/>
        <stp>BDP|7986724858602422528</stp>
        <tr r="B3696" s="2"/>
      </tp>
      <tp t="s">
        <v>#N/A N/A</v>
        <stp/>
        <stp>BDP|6575701776893762718</stp>
        <tr r="A128" s="2"/>
      </tp>
      <tp t="s">
        <v>#N/A N/A</v>
        <stp/>
        <stp>BDP|1213519413977336061</stp>
        <tr r="H1954" s="2"/>
      </tp>
      <tp t="s">
        <v>#N/A N/A</v>
        <stp/>
        <stp>BDP|6326571090591743961</stp>
        <tr r="C814" s="2"/>
      </tp>
      <tp t="s">
        <v>#N/A N/A</v>
        <stp/>
        <stp>BDP|3663761375766648767</stp>
        <tr r="D459" s="2"/>
      </tp>
      <tp t="s">
        <v>#N/A N/A</v>
        <stp/>
        <stp>BDP|1220382955106830321</stp>
        <tr r="F3280" s="2"/>
      </tp>
      <tp t="s">
        <v>#N/A N/A</v>
        <stp/>
        <stp>BDP|6760733067424108173</stp>
        <tr r="F3407" s="2"/>
      </tp>
      <tp t="s">
        <v>#N/A N/A</v>
        <stp/>
        <stp>BDP|3834054125573905047</stp>
        <tr r="G2941" s="2"/>
      </tp>
      <tp t="s">
        <v>#N/A N/A</v>
        <stp/>
        <stp>BDP|1114931592324751723</stp>
        <tr r="H1343" s="2"/>
      </tp>
      <tp t="s">
        <v>#N/A N/A</v>
        <stp/>
        <stp>BDP|4650231595164681938</stp>
        <tr r="I2983" s="2"/>
      </tp>
      <tp t="s">
        <v>#N/A N/A</v>
        <stp/>
        <stp>BDP|7368360770242189319</stp>
        <tr r="H1233" s="2"/>
      </tp>
      <tp t="s">
        <v>#N/A N/A</v>
        <stp/>
        <stp>BDP|7648634041056732166</stp>
        <tr r="I514" s="2"/>
      </tp>
      <tp t="s">
        <v>#N/A N/A</v>
        <stp/>
        <stp>BDP|6157316812311216754</stp>
        <tr r="A3485" s="2"/>
      </tp>
      <tp t="s">
        <v>#N/A N/A</v>
        <stp/>
        <stp>BDP|6968652618337525440</stp>
        <tr r="G401" s="2"/>
      </tp>
      <tp t="s">
        <v>#N/A N/A</v>
        <stp/>
        <stp>BDP|7239806749131749894</stp>
        <tr r="G381" s="2"/>
      </tp>
      <tp t="s">
        <v>#N/A N/A</v>
        <stp/>
        <stp>BDP|6226657214224217742</stp>
        <tr r="C2392" s="2"/>
      </tp>
      <tp t="s">
        <v>#N/A N/A</v>
        <stp/>
        <stp>BDP|2824802792962959368</stp>
        <tr r="I4359" s="2"/>
      </tp>
      <tp t="s">
        <v>#N/A N/A</v>
        <stp/>
        <stp>BDP|5927302268297260560</stp>
        <tr r="F1914" s="2"/>
      </tp>
      <tp t="s">
        <v>#N/A N/A</v>
        <stp/>
        <stp>BDP|6148625554163730457</stp>
        <tr r="D553" s="2"/>
      </tp>
      <tp t="s">
        <v>#N/A N/A</v>
        <stp/>
        <stp>BDP|5126895092004803270</stp>
        <tr r="A4260" s="2"/>
      </tp>
      <tp t="s">
        <v>#N/A N/A</v>
        <stp/>
        <stp>BDP|9371229360617665829</stp>
        <tr r="C1376" s="2"/>
      </tp>
      <tp t="s">
        <v>#N/A N/A</v>
        <stp/>
        <stp>BDP|1128955713218549376</stp>
        <tr r="B4420" s="2"/>
      </tp>
      <tp t="s">
        <v>#N/A N/A</v>
        <stp/>
        <stp>BDP|5687384615252685781</stp>
        <tr r="C1375" s="2"/>
      </tp>
      <tp t="s">
        <v>#N/A N/A</v>
        <stp/>
        <stp>BDP|6922606209527763520</stp>
        <tr r="F480" s="2"/>
      </tp>
      <tp t="s">
        <v>#N/A N/A</v>
        <stp/>
        <stp>BDP|7987813950051954949</stp>
        <tr r="D588" s="2"/>
      </tp>
      <tp t="s">
        <v>#N/A N/A</v>
        <stp/>
        <stp>BDP|3873484801302330774</stp>
        <tr r="B1491" s="2"/>
      </tp>
      <tp t="s">
        <v>#N/A N/A</v>
        <stp/>
        <stp>BDP|4706809020864524875</stp>
        <tr r="H1786" s="2"/>
      </tp>
      <tp t="s">
        <v>#N/A N/A</v>
        <stp/>
        <stp>BDP|5466309119675186097</stp>
        <tr r="I2308" s="2"/>
      </tp>
      <tp t="s">
        <v>#N/A N/A</v>
        <stp/>
        <stp>BDP|1878394876155334217</stp>
        <tr r="D4795" s="2"/>
      </tp>
      <tp t="s">
        <v>#N/A N/A</v>
        <stp/>
        <stp>BDP|5630607872921997782</stp>
        <tr r="I4911" s="2"/>
      </tp>
      <tp t="s">
        <v>#N/A N/A</v>
        <stp/>
        <stp>BDP|6668825161709741376</stp>
        <tr r="H1990" s="2"/>
      </tp>
      <tp t="s">
        <v>#N/A N/A</v>
        <stp/>
        <stp>BDP|2255580946116816713</stp>
        <tr r="A4777" s="2"/>
      </tp>
      <tp t="s">
        <v>#N/A N/A</v>
        <stp/>
        <stp>BDP|5476407317575729711</stp>
        <tr r="G3355" s="2"/>
      </tp>
      <tp t="s">
        <v>#N/A N/A</v>
        <stp/>
        <stp>BDP|6630062916494593095</stp>
        <tr r="B2007" s="2"/>
      </tp>
      <tp t="s">
        <v>#N/A N/A</v>
        <stp/>
        <stp>BDP|1157443979861441023</stp>
        <tr r="A623" s="2"/>
      </tp>
      <tp t="s">
        <v>#N/A N/A</v>
        <stp/>
        <stp>BDP|4911099422564107195</stp>
        <tr r="D882" s="2"/>
      </tp>
      <tp t="s">
        <v>#N/A N/A</v>
        <stp/>
        <stp>BDP|6483400034143321193</stp>
        <tr r="B1362" s="2"/>
      </tp>
      <tp t="s">
        <v>#N/A N/A</v>
        <stp/>
        <stp>BDP|1901260308756996646</stp>
        <tr r="B4330" s="2"/>
      </tp>
      <tp t="s">
        <v>#N/A N/A</v>
        <stp/>
        <stp>BDP|3769894844984176814</stp>
        <tr r="I4431" s="2"/>
      </tp>
      <tp t="s">
        <v>#N/A N/A</v>
        <stp/>
        <stp>BDP|7181109260243293091</stp>
        <tr r="H4434" s="2"/>
      </tp>
      <tp t="s">
        <v>#N/A N/A</v>
        <stp/>
        <stp>BDP|5375891182156457069</stp>
        <tr r="F4666" s="2"/>
      </tp>
      <tp t="s">
        <v>#N/A N/A</v>
        <stp/>
        <stp>BDP|8538191833988628132</stp>
        <tr r="F2613" s="2"/>
      </tp>
      <tp t="s">
        <v>#N/A N/A</v>
        <stp/>
        <stp>BDP|7892524017755419530</stp>
        <tr r="I2992" s="2"/>
      </tp>
      <tp t="s">
        <v>#N/A N/A</v>
        <stp/>
        <stp>BDP|3050285957792648538</stp>
        <tr r="D3577" s="2"/>
      </tp>
      <tp t="s">
        <v>#N/A N/A</v>
        <stp/>
        <stp>BDP|6058787601825776746</stp>
        <tr r="G310" s="2"/>
      </tp>
      <tp t="s">
        <v>#N/A N/A</v>
        <stp/>
        <stp>BDP|2572989037083101815</stp>
        <tr r="F1768" s="2"/>
      </tp>
      <tp t="s">
        <v>#N/A N/A</v>
        <stp/>
        <stp>BDP|5237773318233512329</stp>
        <tr r="A76" s="2"/>
      </tp>
      <tp t="s">
        <v>#N/A N/A</v>
        <stp/>
        <stp>BDP|1570168647602971574</stp>
        <tr r="D2916" s="2"/>
      </tp>
      <tp t="s">
        <v>#N/A N/A</v>
        <stp/>
        <stp>BDP|2340491152532123238</stp>
        <tr r="D3036" s="2"/>
      </tp>
      <tp t="s">
        <v>#N/A N/A</v>
        <stp/>
        <stp>BDP|2478487354553784357</stp>
        <tr r="D2399" s="2"/>
      </tp>
      <tp t="s">
        <v>#N/A N/A</v>
        <stp/>
        <stp>BDP|6580277213333887539</stp>
        <tr r="C637" s="2"/>
      </tp>
      <tp t="s">
        <v>#N/A N/A</v>
        <stp/>
        <stp>BDP|4548566329497791772</stp>
        <tr r="A4880" s="2"/>
      </tp>
      <tp t="s">
        <v>#N/A N/A</v>
        <stp/>
        <stp>BDP|5154829089383710573</stp>
        <tr r="H1189" s="2"/>
      </tp>
      <tp t="s">
        <v>#N/A N/A</v>
        <stp/>
        <stp>BDP|5193861410498832752</stp>
        <tr r="A4557" s="2"/>
      </tp>
      <tp t="s">
        <v>#N/A N/A</v>
        <stp/>
        <stp>BDP|8820544497895970284</stp>
        <tr r="G2810" s="2"/>
      </tp>
      <tp t="s">
        <v>#N/A N/A</v>
        <stp/>
        <stp>BDP|7550409269144798219</stp>
        <tr r="A4148" s="2"/>
      </tp>
      <tp t="s">
        <v>#N/A N/A</v>
        <stp/>
        <stp>BDP|7646565250781382593</stp>
        <tr r="A1666" s="2"/>
      </tp>
      <tp t="s">
        <v>#N/A N/A</v>
        <stp/>
        <stp>BDP|4382620708390256113</stp>
        <tr r="D4639" s="2"/>
      </tp>
      <tp t="s">
        <v>#N/A N/A</v>
        <stp/>
        <stp>BDP|4606598605533126113</stp>
        <tr r="A1232" s="2"/>
      </tp>
      <tp t="s">
        <v>#N/A N/A</v>
        <stp/>
        <stp>BDP|4995545146532572442</stp>
        <tr r="C678" s="2"/>
      </tp>
      <tp t="s">
        <v>#N/A N/A</v>
        <stp/>
        <stp>BDP|3531435067276397481</stp>
        <tr r="B2406" s="2"/>
      </tp>
      <tp t="s">
        <v>#N/A N/A</v>
        <stp/>
        <stp>BDP|5850646905942765240</stp>
        <tr r="D2084" s="2"/>
      </tp>
      <tp t="s">
        <v>#N/A N/A</v>
        <stp/>
        <stp>BDP|4891402560893084627</stp>
        <tr r="F3323" s="2"/>
      </tp>
      <tp t="s">
        <v>#N/A N/A</v>
        <stp/>
        <stp>BDP|9038476345938111291</stp>
        <tr r="G1274" s="2"/>
      </tp>
      <tp t="s">
        <v>#N/A N/A</v>
        <stp/>
        <stp>BDP|2421494536627392126</stp>
        <tr r="A3256" s="2"/>
      </tp>
      <tp t="s">
        <v>#N/A N/A</v>
        <stp/>
        <stp>BDP|4934470643032583524</stp>
        <tr r="F1852" s="2"/>
      </tp>
      <tp t="s">
        <v>#N/A N/A</v>
        <stp/>
        <stp>BDP|3071829509010066817</stp>
        <tr r="F3570" s="2"/>
      </tp>
      <tp t="s">
        <v>#N/A N/A</v>
        <stp/>
        <stp>BDP|9174960564982815710</stp>
        <tr r="C1446" s="2"/>
      </tp>
      <tp t="s">
        <v>#N/A N/A</v>
        <stp/>
        <stp>BDP|9429958333450952014</stp>
        <tr r="C1177" s="2"/>
      </tp>
      <tp t="s">
        <v>#N/A N/A</v>
        <stp/>
        <stp>BDP|6171040846062896311</stp>
        <tr r="B1917" s="2"/>
      </tp>
      <tp t="s">
        <v>#N/A N/A</v>
        <stp/>
        <stp>BDP|6668480162824780319</stp>
        <tr r="H1802" s="2"/>
      </tp>
      <tp t="s">
        <v>#N/A N/A</v>
        <stp/>
        <stp>BDP|9250360429492566928</stp>
        <tr r="A776" s="2"/>
      </tp>
      <tp t="s">
        <v>#N/A N/A</v>
        <stp/>
        <stp>BDP|5070297452161687077</stp>
        <tr r="B2801" s="2"/>
      </tp>
      <tp t="s">
        <v>#N/A N/A</v>
        <stp/>
        <stp>BDP|6947074375430294233</stp>
        <tr r="A433" s="2"/>
      </tp>
      <tp t="s">
        <v>#N/A N/A</v>
        <stp/>
        <stp>BDP|9741837895172390985</stp>
        <tr r="D2619" s="2"/>
      </tp>
      <tp t="s">
        <v>#N/A N/A</v>
        <stp/>
        <stp>BDP|3680788400185448204</stp>
        <tr r="C1527" s="2"/>
      </tp>
      <tp t="s">
        <v>#N/A N/A</v>
        <stp/>
        <stp>BDP|4121233041311001093</stp>
        <tr r="H2850" s="2"/>
      </tp>
      <tp t="s">
        <v>#N/A N/A</v>
        <stp/>
        <stp>BDP|5364296931151339623</stp>
        <tr r="F1378" s="2"/>
      </tp>
      <tp t="s">
        <v>#N/A N/A</v>
        <stp/>
        <stp>BDP|4533618514914374494</stp>
        <tr r="D4148" s="2"/>
      </tp>
      <tp t="s">
        <v>#N/A N/A</v>
        <stp/>
        <stp>BDP|9690382537583782947</stp>
        <tr r="G653" s="2"/>
      </tp>
      <tp t="s">
        <v>#N/A N/A</v>
        <stp/>
        <stp>BDP|5967563773144211045</stp>
        <tr r="F697" s="2"/>
      </tp>
      <tp t="s">
        <v>#N/A N/A</v>
        <stp/>
        <stp>BDP|5555572174844877048</stp>
        <tr r="G23" s="2"/>
      </tp>
      <tp t="s">
        <v>#N/A N/A</v>
        <stp/>
        <stp>BDP|1573014301126851477</stp>
        <tr r="H3616" s="2"/>
      </tp>
      <tp t="s">
        <v>#N/A N/A</v>
        <stp/>
        <stp>BDP|9404691658379659097</stp>
        <tr r="I2888" s="2"/>
      </tp>
      <tp t="s">
        <v>#N/A N/A</v>
        <stp/>
        <stp>BDP|7874523936640606202</stp>
        <tr r="C3609" s="2"/>
      </tp>
      <tp t="s">
        <v>#N/A N/A</v>
        <stp/>
        <stp>BDP|2999629011666237025</stp>
        <tr r="I2776" s="2"/>
      </tp>
      <tp t="s">
        <v>#N/A N/A</v>
        <stp/>
        <stp>BDP|2489296118443995163</stp>
        <tr r="C4109" s="2"/>
      </tp>
      <tp t="s">
        <v>#N/A N/A</v>
        <stp/>
        <stp>BDP|2202029405944668596</stp>
        <tr r="I4727" s="2"/>
      </tp>
      <tp t="s">
        <v>#N/A N/A</v>
        <stp/>
        <stp>BDP|9619211693106969774</stp>
        <tr r="F2782" s="2"/>
      </tp>
      <tp t="s">
        <v>#N/A N/A</v>
        <stp/>
        <stp>BDP|3705368528256007739</stp>
        <tr r="H1904" s="2"/>
      </tp>
      <tp t="s">
        <v>#N/A N/A</v>
        <stp/>
        <stp>BDP|5854159841610595330</stp>
        <tr r="C4334" s="2"/>
      </tp>
      <tp t="s">
        <v>#N/A N/A</v>
        <stp/>
        <stp>BDP|5877736933012057027</stp>
        <tr r="D2168" s="2"/>
      </tp>
      <tp t="s">
        <v>#N/A N/A</v>
        <stp/>
        <stp>BDP|8476251447414817941</stp>
        <tr r="G2707" s="2"/>
      </tp>
      <tp t="s">
        <v>#N/A N/A</v>
        <stp/>
        <stp>BDP|5833564904272548153</stp>
        <tr r="B3952" s="2"/>
      </tp>
      <tp t="s">
        <v>#N/A N/A</v>
        <stp/>
        <stp>BDP|7102115060464201783</stp>
        <tr r="H1542" s="2"/>
      </tp>
      <tp t="s">
        <v>#N/A N/A</v>
        <stp/>
        <stp>BDP|3576985700500551920</stp>
        <tr r="H3583" s="2"/>
      </tp>
      <tp t="s">
        <v>#N/A N/A</v>
        <stp/>
        <stp>BDP|3611351299338793278</stp>
        <tr r="C4828" s="2"/>
      </tp>
      <tp t="s">
        <v>#N/A N/A</v>
        <stp/>
        <stp>BDP|6065249423650488593</stp>
        <tr r="H4023" s="2"/>
      </tp>
      <tp t="s">
        <v>#N/A N/A</v>
        <stp/>
        <stp>BDP|2823518210986186329</stp>
        <tr r="G1504" s="2"/>
      </tp>
      <tp t="s">
        <v>#N/A N/A</v>
        <stp/>
        <stp>BDP|8802463627685555862</stp>
        <tr r="B1354" s="2"/>
      </tp>
      <tp t="s">
        <v>#N/A N/A</v>
        <stp/>
        <stp>BDP|6318366510770750787</stp>
        <tr r="H651" s="2"/>
      </tp>
      <tp t="s">
        <v>#N/A N/A</v>
        <stp/>
        <stp>BDP|3987355770621409529</stp>
        <tr r="C4181" s="2"/>
      </tp>
      <tp t="s">
        <v>#N/A N/A</v>
        <stp/>
        <stp>BDP|2743919104831897909</stp>
        <tr r="H918" s="2"/>
      </tp>
      <tp t="s">
        <v>#N/A N/A</v>
        <stp/>
        <stp>BDP|1496744469812100120</stp>
        <tr r="I2742" s="2"/>
      </tp>
      <tp t="s">
        <v>#N/A N/A</v>
        <stp/>
        <stp>BDP|2763671337685526186</stp>
        <tr r="G98" s="2"/>
      </tp>
      <tp t="s">
        <v>#N/A N/A</v>
        <stp/>
        <stp>BDP|1689841095952846151</stp>
        <tr r="C736" s="2"/>
      </tp>
      <tp t="s">
        <v>#N/A N/A</v>
        <stp/>
        <stp>BDP|6555695518327641583</stp>
        <tr r="A3697" s="2"/>
      </tp>
      <tp t="s">
        <v>#N/A N/A</v>
        <stp/>
        <stp>BDP|1968285174612664597</stp>
        <tr r="F2621" s="2"/>
      </tp>
      <tp t="s">
        <v>#N/A N/A</v>
        <stp/>
        <stp>BDP|9460900951243762586</stp>
        <tr r="B1809" s="2"/>
      </tp>
      <tp t="s">
        <v>#N/A N/A</v>
        <stp/>
        <stp>BDP|3535491184785308912</stp>
        <tr r="B2082" s="2"/>
      </tp>
      <tp t="s">
        <v>#N/A N/A</v>
        <stp/>
        <stp>BDP|4437416419834427628</stp>
        <tr r="H3012" s="2"/>
      </tp>
      <tp t="s">
        <v>#N/A N/A</v>
        <stp/>
        <stp>BDP|1631485555213558046</stp>
        <tr r="I2285" s="2"/>
      </tp>
      <tp t="s">
        <v>#N/A N/A</v>
        <stp/>
        <stp>BDP|7789731184519322299</stp>
        <tr r="G2221" s="2"/>
      </tp>
      <tp t="s">
        <v>#N/A N/A</v>
        <stp/>
        <stp>BDP|6765587614523047216</stp>
        <tr r="F14" s="2"/>
      </tp>
      <tp t="s">
        <v>#N/A N/A</v>
        <stp/>
        <stp>BDP|4979207792288031417</stp>
        <tr r="F4261" s="2"/>
      </tp>
      <tp t="s">
        <v>#N/A N/A</v>
        <stp/>
        <stp>BDP|5808678840316581205</stp>
        <tr r="A2622" s="2"/>
      </tp>
      <tp t="s">
        <v>#N/A N/A</v>
        <stp/>
        <stp>BDP|6586861329328047708</stp>
        <tr r="G1501" s="2"/>
      </tp>
      <tp t="s">
        <v>#N/A N/A</v>
        <stp/>
        <stp>BDP|4048710944254649094</stp>
        <tr r="D2309" s="2"/>
      </tp>
      <tp t="s">
        <v>#N/A N/A</v>
        <stp/>
        <stp>BDP|1606641959273940281</stp>
        <tr r="H1599" s="2"/>
      </tp>
      <tp t="s">
        <v>#N/A N/A</v>
        <stp/>
        <stp>BDP|2716848998824226435</stp>
        <tr r="C982" s="2"/>
      </tp>
      <tp t="s">
        <v>#N/A N/A</v>
        <stp/>
        <stp>BDP|2263680056962661010</stp>
        <tr r="A4437" s="2"/>
      </tp>
      <tp t="s">
        <v>#N/A N/A</v>
        <stp/>
        <stp>BDP|2846359393229032255</stp>
        <tr r="I108" s="2"/>
      </tp>
      <tp t="s">
        <v>#N/A N/A</v>
        <stp/>
        <stp>BDP|4731141016207897060</stp>
        <tr r="B2438" s="2"/>
      </tp>
      <tp t="s">
        <v>#N/A N/A</v>
        <stp/>
        <stp>BDP|9642260388656024639</stp>
        <tr r="F3753" s="2"/>
      </tp>
      <tp t="s">
        <v>#N/A N/A</v>
        <stp/>
        <stp>BDP|7508319530006763286</stp>
        <tr r="G230" s="2"/>
      </tp>
      <tp t="s">
        <v>#N/A N/A</v>
        <stp/>
        <stp>BDP|3991260824733072300</stp>
        <tr r="F3799" s="2"/>
      </tp>
      <tp t="s">
        <v>#N/A N/A</v>
        <stp/>
        <stp>BDP|8849929215794328771</stp>
        <tr r="G963" s="2"/>
      </tp>
      <tp t="s">
        <v>#N/A N/A</v>
        <stp/>
        <stp>BDP|2971699903390004785</stp>
        <tr r="H563" s="2"/>
      </tp>
      <tp t="s">
        <v>#N/A N/A</v>
        <stp/>
        <stp>BDP|7662359553612275096</stp>
        <tr r="I3444" s="2"/>
      </tp>
      <tp t="s">
        <v>#N/A N/A</v>
        <stp/>
        <stp>BDP|8619996573937562220</stp>
        <tr r="B2587" s="2"/>
      </tp>
      <tp t="s">
        <v>#N/A N/A</v>
        <stp/>
        <stp>BDP|5864650828613682180</stp>
        <tr r="D3415" s="2"/>
      </tp>
      <tp t="s">
        <v>#N/A N/A</v>
        <stp/>
        <stp>BDP|9444422530975463892</stp>
        <tr r="I1308" s="2"/>
      </tp>
      <tp t="s">
        <v>#N/A N/A</v>
        <stp/>
        <stp>BDP|7523982109125892873</stp>
        <tr r="A3438" s="2"/>
      </tp>
      <tp t="s">
        <v>#N/A N/A</v>
        <stp/>
        <stp>BDP|3304057649856048240</stp>
        <tr r="G1205" s="2"/>
      </tp>
      <tp t="s">
        <v>#N/A N/A</v>
        <stp/>
        <stp>BDP|8096866344064005395</stp>
        <tr r="G3610" s="2"/>
      </tp>
      <tp t="s">
        <v>#N/A N/A</v>
        <stp/>
        <stp>BDP|2680475212310053481</stp>
        <tr r="I2823" s="2"/>
      </tp>
      <tp t="s">
        <v>#N/A N/A</v>
        <stp/>
        <stp>BDP|9043563203547616889</stp>
        <tr r="I714" s="2"/>
      </tp>
      <tp t="s">
        <v>#N/A N/A</v>
        <stp/>
        <stp>BDP|3669279336061404085</stp>
        <tr r="A1635" s="2"/>
      </tp>
      <tp t="s">
        <v>#N/A N/A</v>
        <stp/>
        <stp>BDP|7469374024687889246</stp>
        <tr r="B3408" s="2"/>
      </tp>
      <tp t="s">
        <v>#N/A N/A</v>
        <stp/>
        <stp>BDP|3603120814727293794</stp>
        <tr r="G2279" s="2"/>
      </tp>
      <tp t="s">
        <v>#N/A N/A</v>
        <stp/>
        <stp>BDP|7212416012634984534</stp>
        <tr r="G4213" s="2"/>
      </tp>
      <tp t="s">
        <v>#N/A N/A</v>
        <stp/>
        <stp>BDP|1194362322434612783</stp>
        <tr r="A1632" s="2"/>
      </tp>
      <tp t="s">
        <v>#N/A N/A</v>
        <stp/>
        <stp>BDP|5877608131096538571</stp>
        <tr r="I2977" s="2"/>
      </tp>
      <tp t="s">
        <v>#N/A N/A</v>
        <stp/>
        <stp>BDP|6651356566215652589</stp>
        <tr r="I2549" s="2"/>
      </tp>
      <tp t="s">
        <v>#N/A N/A</v>
        <stp/>
        <stp>BDP|9923942876383193717</stp>
        <tr r="H3887" s="2"/>
      </tp>
      <tp t="s">
        <v>#N/A N/A</v>
        <stp/>
        <stp>BDP|6585503031323845071</stp>
        <tr r="F3530" s="2"/>
      </tp>
      <tp t="s">
        <v>#N/A N/A</v>
        <stp/>
        <stp>BDP|1197334523163247085</stp>
        <tr r="D287" s="2"/>
      </tp>
      <tp t="s">
        <v>#N/A N/A</v>
        <stp/>
        <stp>BDP|3799603066820387097</stp>
        <tr r="A2408" s="2"/>
      </tp>
      <tp t="s">
        <v>#N/A N/A</v>
        <stp/>
        <stp>BDP|6929083228072550579</stp>
        <tr r="A917" s="2"/>
      </tp>
      <tp t="s">
        <v>#N/A N/A</v>
        <stp/>
        <stp>BDP|9938188242828876709</stp>
        <tr r="D282" s="2"/>
      </tp>
      <tp t="s">
        <v>#N/A N/A</v>
        <stp/>
        <stp>BDP|9692977696818586292</stp>
        <tr r="F4887" s="2"/>
      </tp>
      <tp t="s">
        <v>#N/A N/A</v>
        <stp/>
        <stp>BDP|2328091318551184182</stp>
        <tr r="H2416" s="2"/>
      </tp>
      <tp t="s">
        <v>#N/A N/A</v>
        <stp/>
        <stp>BDP|2967783889359508769</stp>
        <tr r="A2643" s="2"/>
      </tp>
      <tp t="s">
        <v>#N/A N/A</v>
        <stp/>
        <stp>BDP|1422298660125049360</stp>
        <tr r="H2482" s="2"/>
      </tp>
      <tp t="s">
        <v>#N/A N/A</v>
        <stp/>
        <stp>BDP|6746939399337309251</stp>
        <tr r="G4049" s="2"/>
      </tp>
      <tp t="s">
        <v>#N/A N/A</v>
        <stp/>
        <stp>BDP|9899283881774909432</stp>
        <tr r="I2917" s="2"/>
      </tp>
      <tp t="s">
        <v>#N/A N/A</v>
        <stp/>
        <stp>BDP|4945477084993606875</stp>
        <tr r="H1508" s="2"/>
      </tp>
      <tp t="s">
        <v>#N/A N/A</v>
        <stp/>
        <stp>BDP|5535190922494781121</stp>
        <tr r="A3566" s="2"/>
      </tp>
      <tp t="s">
        <v>#N/A N/A</v>
        <stp/>
        <stp>BDP|8985106223141857994</stp>
        <tr r="I4961" s="2"/>
      </tp>
      <tp t="s">
        <v>#N/A N/A</v>
        <stp/>
        <stp>BDP|1682991883853779008</stp>
        <tr r="G4025" s="2"/>
      </tp>
      <tp t="s">
        <v>#N/A N/A</v>
        <stp/>
        <stp>BDP|3285496750370759176</stp>
        <tr r="B2377" s="2"/>
      </tp>
      <tp t="s">
        <v>#N/A N/A</v>
        <stp/>
        <stp>BDP|8633019198994486605</stp>
        <tr r="C3005" s="2"/>
      </tp>
      <tp t="s">
        <v>#N/A N/A</v>
        <stp/>
        <stp>BDP|1142657011277731293</stp>
        <tr r="F3654" s="2"/>
      </tp>
      <tp t="s">
        <v>#N/A N/A</v>
        <stp/>
        <stp>BDP|4543881877120739866</stp>
        <tr r="H3264" s="2"/>
      </tp>
      <tp t="s">
        <v>#N/A N/A</v>
        <stp/>
        <stp>BDP|5393299376734172761</stp>
        <tr r="F1964" s="2"/>
      </tp>
      <tp t="s">
        <v>#N/A N/A</v>
        <stp/>
        <stp>BDP|9974358516890045812</stp>
        <tr r="D4231" s="2"/>
      </tp>
      <tp t="s">
        <v>#N/A N/A</v>
        <stp/>
        <stp>BDP|6820347986907590944</stp>
        <tr r="D4214" s="2"/>
      </tp>
      <tp t="s">
        <v>#N/A N/A</v>
        <stp/>
        <stp>BDP|6839495139020103227</stp>
        <tr r="C4616" s="2"/>
      </tp>
      <tp t="s">
        <v>#N/A N/A</v>
        <stp/>
        <stp>BDP|9274710710508158496</stp>
        <tr r="D3516" s="2"/>
      </tp>
      <tp t="s">
        <v>#N/A N/A</v>
        <stp/>
        <stp>BDP|3468646650397222491</stp>
        <tr r="D4399" s="2"/>
      </tp>
      <tp t="s">
        <v>#N/A N/A</v>
        <stp/>
        <stp>BDP|7186844033266565988</stp>
        <tr r="D272" s="2"/>
      </tp>
      <tp t="s">
        <v>#N/A N/A</v>
        <stp/>
        <stp>BDP|3053126974345449394</stp>
        <tr r="H123" s="2"/>
      </tp>
      <tp t="s">
        <v>#N/A N/A</v>
        <stp/>
        <stp>BDP|3244905519171951995</stp>
        <tr r="G2565" s="2"/>
      </tp>
      <tp t="s">
        <v>#N/A N/A</v>
        <stp/>
        <stp>BDP|8643037942526816947</stp>
        <tr r="G2078" s="2"/>
      </tp>
      <tp t="s">
        <v>#N/A N/A</v>
        <stp/>
        <stp>BDP|1303017604120568280</stp>
        <tr r="B3023" s="2"/>
      </tp>
      <tp t="s">
        <v>#N/A N/A</v>
        <stp/>
        <stp>BDP|8949245305739056033</stp>
        <tr r="A2946" s="2"/>
      </tp>
      <tp t="s">
        <v>#N/A N/A</v>
        <stp/>
        <stp>BDP|6037431339786505445</stp>
        <tr r="H4037" s="2"/>
      </tp>
      <tp t="s">
        <v>#N/A N/A</v>
        <stp/>
        <stp>BDP|4995852092965618333</stp>
        <tr r="G4481" s="2"/>
      </tp>
      <tp t="s">
        <v>#N/A N/A</v>
        <stp/>
        <stp>BDP|3091423086774663898</stp>
        <tr r="A1277" s="2"/>
      </tp>
      <tp t="s">
        <v>#N/A N/A</v>
        <stp/>
        <stp>BDP|4312766239035616615</stp>
        <tr r="A598" s="2"/>
      </tp>
      <tp t="s">
        <v>#N/A N/A</v>
        <stp/>
        <stp>BDP|9971817718163321080</stp>
        <tr r="F4883" s="2"/>
      </tp>
      <tp t="s">
        <v>#N/A N/A</v>
        <stp/>
        <stp>BDP|6863365355862184110</stp>
        <tr r="D3373" s="2"/>
      </tp>
      <tp t="s">
        <v>#N/A N/A</v>
        <stp/>
        <stp>BDP|5227421995132840965</stp>
        <tr r="B4896" s="2"/>
      </tp>
      <tp t="s">
        <v>#N/A N/A</v>
        <stp/>
        <stp>BDP|8291466384333975429</stp>
        <tr r="A581" s="2"/>
      </tp>
      <tp t="s">
        <v>#N/A N/A</v>
        <stp/>
        <stp>BDP|5137347519724340045</stp>
        <tr r="F1242" s="2"/>
      </tp>
      <tp t="s">
        <v>#N/A N/A</v>
        <stp/>
        <stp>BDP|3141683023706519243</stp>
        <tr r="F1240" s="2"/>
      </tp>
      <tp t="s">
        <v>#N/A N/A</v>
        <stp/>
        <stp>BDP|4674726898028759101</stp>
        <tr r="F1352" s="2"/>
      </tp>
      <tp t="s">
        <v>#N/A N/A</v>
        <stp/>
        <stp>BDP|7874075156585742456</stp>
        <tr r="C2472" s="2"/>
      </tp>
      <tp t="s">
        <v>#N/A N/A</v>
        <stp/>
        <stp>BDP|5376724059374526066</stp>
        <tr r="D4568" s="2"/>
      </tp>
      <tp t="s">
        <v>#N/A N/A</v>
        <stp/>
        <stp>BDP|2671094514131847182</stp>
        <tr r="B2888" s="2"/>
      </tp>
      <tp t="s">
        <v>#N/A N/A</v>
        <stp/>
        <stp>BDP|8988310007630099843</stp>
        <tr r="C440" s="2"/>
      </tp>
      <tp t="s">
        <v>#N/A N/A</v>
        <stp/>
        <stp>BDP|4407947850758323386</stp>
        <tr r="G462" s="2"/>
      </tp>
      <tp t="s">
        <v>#N/A N/A</v>
        <stp/>
        <stp>BDP|9931725315199461515</stp>
        <tr r="G1804" s="2"/>
      </tp>
      <tp t="s">
        <v>#N/A N/A</v>
        <stp/>
        <stp>BDP|7402063037103652480</stp>
        <tr r="A1843" s="2"/>
      </tp>
      <tp t="s">
        <v>#N/A N/A</v>
        <stp/>
        <stp>BDP|7394904884810441586</stp>
        <tr r="B3349" s="2"/>
      </tp>
      <tp t="s">
        <v>#N/A N/A</v>
        <stp/>
        <stp>BDP|1866177410491635321</stp>
        <tr r="D3179" s="2"/>
      </tp>
      <tp t="s">
        <v>#N/A N/A</v>
        <stp/>
        <stp>BDP|3334442707027939325</stp>
        <tr r="B2035" s="2"/>
      </tp>
      <tp t="s">
        <v>#N/A N/A</v>
        <stp/>
        <stp>BDP|6220116810296116391</stp>
        <tr r="B581" s="2"/>
      </tp>
      <tp t="s">
        <v>#N/A N/A</v>
        <stp/>
        <stp>BDP|5053844337065047883</stp>
        <tr r="C2816" s="2"/>
      </tp>
      <tp t="s">
        <v>#N/A N/A</v>
        <stp/>
        <stp>BDP|2086936379938365727</stp>
        <tr r="B1699" s="2"/>
      </tp>
      <tp t="s">
        <v>#N/A N/A</v>
        <stp/>
        <stp>BDP|5921412311663407060</stp>
        <tr r="C3999" s="2"/>
      </tp>
      <tp t="s">
        <v>#N/A N/A</v>
        <stp/>
        <stp>BDP|5623596375305782156</stp>
        <tr r="F1573" s="2"/>
      </tp>
      <tp t="s">
        <v>#N/A N/A</v>
        <stp/>
        <stp>BDP|9223237206920601895</stp>
        <tr r="F3648" s="2"/>
      </tp>
      <tp t="s">
        <v>#N/A N/A</v>
        <stp/>
        <stp>BDP|4305048065448372992</stp>
        <tr r="F1083" s="2"/>
      </tp>
      <tp t="s">
        <v>#N/A N/A</v>
        <stp/>
        <stp>BDP|7692744175491906560</stp>
        <tr r="C2877" s="2"/>
      </tp>
      <tp t="s">
        <v>#N/A N/A</v>
        <stp/>
        <stp>BDP|2056147299769258079</stp>
        <tr r="D4150" s="2"/>
      </tp>
      <tp t="s">
        <v>#N/A N/A</v>
        <stp/>
        <stp>BDP|7037195432804106226</stp>
        <tr r="F2232" s="2"/>
      </tp>
      <tp t="s">
        <v>#N/A N/A</v>
        <stp/>
        <stp>BDP|5723451612714184794</stp>
        <tr r="F4725" s="2"/>
      </tp>
      <tp t="s">
        <v>#N/A N/A</v>
        <stp/>
        <stp>BDP|9860321103148877199</stp>
        <tr r="B3641" s="2"/>
      </tp>
      <tp t="s">
        <v>#N/A N/A</v>
        <stp/>
        <stp>BDP|6129816420946936916</stp>
        <tr r="D3399" s="2"/>
      </tp>
      <tp t="s">
        <v>#N/A N/A</v>
        <stp/>
        <stp>BDP|9893958047221798652</stp>
        <tr r="F384" s="2"/>
      </tp>
      <tp t="s">
        <v>#N/A N/A</v>
        <stp/>
        <stp>BDP|2196682447215506632</stp>
        <tr r="H837" s="2"/>
      </tp>
      <tp t="s">
        <v>#N/A N/A</v>
        <stp/>
        <stp>BDP|5380627413008243980</stp>
        <tr r="B1037" s="2"/>
      </tp>
      <tp t="s">
        <v>#N/A N/A</v>
        <stp/>
        <stp>BDP|2321796330822232704</stp>
        <tr r="D4059" s="2"/>
      </tp>
      <tp t="s">
        <v>#N/A N/A</v>
        <stp/>
        <stp>BDP|6896295216262710484</stp>
        <tr r="I2287" s="2"/>
      </tp>
      <tp t="s">
        <v>#N/A N/A</v>
        <stp/>
        <stp>BDP|7516393206896771156</stp>
        <tr r="I207" s="2"/>
      </tp>
      <tp t="s">
        <v>#N/A N/A</v>
        <stp/>
        <stp>BDP|3700354918843067121</stp>
        <tr r="H475" s="2"/>
      </tp>
      <tp t="s">
        <v>#N/A N/A</v>
        <stp/>
        <stp>BDP|3792475561041923304</stp>
        <tr r="B3835" s="2"/>
      </tp>
      <tp t="s">
        <v>#N/A N/A</v>
        <stp/>
        <stp>BDP|1105274403370531089</stp>
        <tr r="I2033" s="2"/>
      </tp>
      <tp t="s">
        <v>#N/A N/A</v>
        <stp/>
        <stp>BDP|7574695501770587200</stp>
        <tr r="C4476" s="2"/>
      </tp>
      <tp t="s">
        <v>#N/A N/A</v>
        <stp/>
        <stp>BDP|8967111271814477955</stp>
        <tr r="C3420" s="2"/>
      </tp>
      <tp t="s">
        <v>#N/A N/A</v>
        <stp/>
        <stp>BDP|1400307156384904039</stp>
        <tr r="A391" s="2"/>
      </tp>
      <tp t="s">
        <v>#N/A N/A</v>
        <stp/>
        <stp>BDP|3863462942907163756</stp>
        <tr r="C3665" s="2"/>
      </tp>
      <tp t="s">
        <v>#N/A N/A</v>
        <stp/>
        <stp>BDP|8084881062742101732</stp>
        <tr r="A2148" s="2"/>
      </tp>
      <tp t="s">
        <v>#N/A N/A</v>
        <stp/>
        <stp>BDP|1449342259407586346</stp>
        <tr r="A700" s="2"/>
      </tp>
      <tp t="s">
        <v>#N/A N/A</v>
        <stp/>
        <stp>BDP|4139499079964982007</stp>
        <tr r="B1340" s="2"/>
      </tp>
      <tp t="s">
        <v>#N/A N/A</v>
        <stp/>
        <stp>BDP|4196190934467483209</stp>
        <tr r="F1082" s="2"/>
      </tp>
      <tp t="s">
        <v>#N/A N/A</v>
        <stp/>
        <stp>BDP|8944677289847718286</stp>
        <tr r="F1088" s="2"/>
      </tp>
      <tp t="s">
        <v>#N/A N/A</v>
        <stp/>
        <stp>BDP|2392683517825185355</stp>
        <tr r="F2096" s="2"/>
      </tp>
      <tp t="s">
        <v>#N/A N/A</v>
        <stp/>
        <stp>BDP|3883147443520035576</stp>
        <tr r="F652" s="2"/>
      </tp>
      <tp t="s">
        <v>#N/A N/A</v>
        <stp/>
        <stp>BDP|7747176528025690265</stp>
        <tr r="B338" s="2"/>
      </tp>
      <tp t="s">
        <v>#N/A N/A</v>
        <stp/>
        <stp>BDP|9705594973881765924</stp>
        <tr r="A3437" s="2"/>
      </tp>
      <tp t="s">
        <v>#N/A N/A</v>
        <stp/>
        <stp>BDP|6537614743864744385</stp>
        <tr r="C3176" s="2"/>
      </tp>
      <tp t="s">
        <v>#N/A N/A</v>
        <stp/>
        <stp>BDP|5209280536531268662</stp>
        <tr r="I3570" s="2"/>
      </tp>
      <tp t="s">
        <v>#N/A N/A</v>
        <stp/>
        <stp>BDP|5840946326708202504</stp>
        <tr r="F971" s="2"/>
      </tp>
      <tp t="s">
        <v>#N/A N/A</v>
        <stp/>
        <stp>BDP|7766099071451732209</stp>
        <tr r="H3167" s="2"/>
      </tp>
      <tp t="s">
        <v>#N/A N/A</v>
        <stp/>
        <stp>BDP|2484708572367715693</stp>
        <tr r="I4900" s="2"/>
      </tp>
      <tp t="s">
        <v>#N/A N/A</v>
        <stp/>
        <stp>BDP|3610644870076313795</stp>
        <tr r="C4110" s="2"/>
      </tp>
      <tp t="s">
        <v>#N/A N/A</v>
        <stp/>
        <stp>BDP|8068833445756606183</stp>
        <tr r="F3259" s="2"/>
      </tp>
      <tp t="s">
        <v>#N/A N/A</v>
        <stp/>
        <stp>BDP|5510043142456924424</stp>
        <tr r="G3094" s="2"/>
      </tp>
      <tp t="s">
        <v>#N/A N/A</v>
        <stp/>
        <stp>BDP|6751006271370926272</stp>
        <tr r="H4326" s="2"/>
      </tp>
      <tp t="s">
        <v>#N/A N/A</v>
        <stp/>
        <stp>BDP|1484083954674542359</stp>
        <tr r="G4930" s="2"/>
      </tp>
      <tp t="s">
        <v>#N/A N/A</v>
        <stp/>
        <stp>BDP|7376345638575301144</stp>
        <tr r="H820" s="2"/>
      </tp>
      <tp t="s">
        <v>#N/A N/A</v>
        <stp/>
        <stp>BDP|8636956817781931252</stp>
        <tr r="A3844" s="2"/>
      </tp>
      <tp t="s">
        <v>#N/A N/A</v>
        <stp/>
        <stp>BDP|3793299716312795179</stp>
        <tr r="H1230" s="2"/>
      </tp>
      <tp t="s">
        <v>#N/A N/A</v>
        <stp/>
        <stp>BDP|9830031295672348153</stp>
        <tr r="G4319" s="2"/>
      </tp>
      <tp t="s">
        <v>#N/A N/A</v>
        <stp/>
        <stp>BDP|5435405531985552489</stp>
        <tr r="B80" s="2"/>
      </tp>
      <tp t="s">
        <v>#N/A N/A</v>
        <stp/>
        <stp>BDP|2406436767870843308</stp>
        <tr r="A4220" s="2"/>
      </tp>
      <tp t="s">
        <v>#N/A N/A</v>
        <stp/>
        <stp>BDP|1172285221682040002</stp>
        <tr r="H4918" s="2"/>
      </tp>
      <tp t="s">
        <v>#N/A N/A</v>
        <stp/>
        <stp>BDP|1130391947431653411</stp>
        <tr r="F2599" s="2"/>
      </tp>
      <tp t="s">
        <v>#N/A N/A</v>
        <stp/>
        <stp>BDP|9393153048459082663</stp>
        <tr r="H3057" s="2"/>
      </tp>
      <tp t="s">
        <v>#N/A N/A</v>
        <stp/>
        <stp>BDP|1360911700019320290</stp>
        <tr r="B2320" s="2"/>
      </tp>
      <tp t="s">
        <v>#N/A N/A</v>
        <stp/>
        <stp>BDP|4028826886617827045</stp>
        <tr r="A134" s="2"/>
      </tp>
      <tp t="s">
        <v>#N/A N/A</v>
        <stp/>
        <stp>BDP|2785385702931741325</stp>
        <tr r="C1382" s="2"/>
      </tp>
      <tp t="s">
        <v>#N/A N/A</v>
        <stp/>
        <stp>BDP|4227055761219759895</stp>
        <tr r="I2845" s="2"/>
      </tp>
      <tp t="s">
        <v>#N/A N/A</v>
        <stp/>
        <stp>BDP|3100295629735021594</stp>
        <tr r="A1333" s="2"/>
      </tp>
      <tp t="s">
        <v>#N/A N/A</v>
        <stp/>
        <stp>BDP|2640194847782576654</stp>
        <tr r="H2195" s="2"/>
      </tp>
      <tp t="s">
        <v>#N/A N/A</v>
        <stp/>
        <stp>BDP|8190576556928107392</stp>
        <tr r="A1194" s="2"/>
      </tp>
      <tp t="s">
        <v>#N/A N/A</v>
        <stp/>
        <stp>BDP|2938704443265427763</stp>
        <tr r="A2168" s="2"/>
      </tp>
      <tp t="s">
        <v>#N/A N/A</v>
        <stp/>
        <stp>BDP|8426120839430632911</stp>
        <tr r="I3910" s="2"/>
      </tp>
      <tp t="s">
        <v>#N/A N/A</v>
        <stp/>
        <stp>BDP|3949725239030860423</stp>
        <tr r="I2795" s="2"/>
      </tp>
      <tp t="s">
        <v>#N/A N/A</v>
        <stp/>
        <stp>BDP|7934722630113567361</stp>
        <tr r="D478" s="2"/>
      </tp>
      <tp t="s">
        <v>#N/A N/A</v>
        <stp/>
        <stp>BDP|3130122869202528576</stp>
        <tr r="D400" s="2"/>
      </tp>
      <tp t="s">
        <v>#N/A N/A</v>
        <stp/>
        <stp>BDP|7301531528034017707</stp>
        <tr r="F3625" s="2"/>
      </tp>
      <tp t="s">
        <v>#N/A N/A</v>
        <stp/>
        <stp>BDP|5594561482572834919</stp>
        <tr r="G18" s="2"/>
      </tp>
      <tp t="s">
        <v>#N/A N/A</v>
        <stp/>
        <stp>BDP|6175790141037884198</stp>
        <tr r="I422" s="2"/>
      </tp>
      <tp t="s">
        <v>#N/A N/A</v>
        <stp/>
        <stp>BDP|7435505408140626122</stp>
        <tr r="A1238" s="2"/>
      </tp>
      <tp t="s">
        <v>#N/A N/A</v>
        <stp/>
        <stp>BDP|1270928998945400741</stp>
        <tr r="H240" s="2"/>
      </tp>
      <tp t="s">
        <v>#N/A N/A</v>
        <stp/>
        <stp>BDP|1945861684980525269</stp>
        <tr r="G242" s="2"/>
      </tp>
      <tp t="s">
        <v>#N/A N/A</v>
        <stp/>
        <stp>BDP|3182666252411599284</stp>
        <tr r="G2197" s="2"/>
      </tp>
      <tp t="s">
        <v>#N/A N/A</v>
        <stp/>
        <stp>BDP|3070083241086473254</stp>
        <tr r="I2873" s="2"/>
      </tp>
      <tp t="s">
        <v>#N/A N/A</v>
        <stp/>
        <stp>BDP|1214463998827694824</stp>
        <tr r="D4940" s="2"/>
      </tp>
      <tp t="s">
        <v>#N/A N/A</v>
        <stp/>
        <stp>BDP|6935010401081012415</stp>
        <tr r="F1068" s="2"/>
      </tp>
      <tp t="s">
        <v>#N/A N/A</v>
        <stp/>
        <stp>BDP|8954793394516522397</stp>
        <tr r="G3812" s="2"/>
      </tp>
      <tp t="s">
        <v>#N/A N/A</v>
        <stp/>
        <stp>BDP|7707027128250775624</stp>
        <tr r="I1085" s="2"/>
      </tp>
      <tp t="s">
        <v>#N/A N/A</v>
        <stp/>
        <stp>BDP|6247821675358426292</stp>
        <tr r="B4062" s="2"/>
      </tp>
      <tp t="s">
        <v>#N/A N/A</v>
        <stp/>
        <stp>BDP|6745244869470576175</stp>
        <tr r="B4374" s="2"/>
      </tp>
      <tp t="s">
        <v>#N/A N/A</v>
        <stp/>
        <stp>BDP|7794228681777898949</stp>
        <tr r="B3961" s="2"/>
      </tp>
      <tp t="s">
        <v>#N/A N/A</v>
        <stp/>
        <stp>BDP|5811550840727165046</stp>
        <tr r="G284" s="2"/>
      </tp>
      <tp t="s">
        <v>#N/A N/A</v>
        <stp/>
        <stp>BDP|6881950282754363050</stp>
        <tr r="H2105" s="2"/>
      </tp>
      <tp t="s">
        <v>#N/A N/A</v>
        <stp/>
        <stp>BDP|7506689630762613326</stp>
        <tr r="G420" s="2"/>
      </tp>
      <tp t="s">
        <v>#N/A N/A</v>
        <stp/>
        <stp>BDP|1684789292935642935</stp>
        <tr r="F1989" s="2"/>
      </tp>
      <tp t="s">
        <v>#N/A N/A</v>
        <stp/>
        <stp>BDP|5918028460137067727</stp>
        <tr r="A2977" s="2"/>
      </tp>
      <tp t="s">
        <v>#N/A N/A</v>
        <stp/>
        <stp>BDP|1323313961850316791</stp>
        <tr r="C77" s="2"/>
      </tp>
      <tp t="s">
        <v>#N/A N/A</v>
        <stp/>
        <stp>BDP|3315391051597655149</stp>
        <tr r="A3787" s="2"/>
      </tp>
      <tp t="s">
        <v>#N/A N/A</v>
        <stp/>
        <stp>BDP|4214109908465022337</stp>
        <tr r="F4278" s="2"/>
      </tp>
      <tp t="s">
        <v>#N/A N/A</v>
        <stp/>
        <stp>BDP|4740299072430529202</stp>
        <tr r="I2049" s="2"/>
      </tp>
      <tp t="s">
        <v>#N/A N/A</v>
        <stp/>
        <stp>BDP|6008342961057991753</stp>
        <tr r="H419" s="2"/>
      </tp>
      <tp t="s">
        <v>#N/A N/A</v>
        <stp/>
        <stp>BDP|5914332544645245459</stp>
        <tr r="H3860" s="2"/>
      </tp>
      <tp t="s">
        <v>#N/A N/A</v>
        <stp/>
        <stp>BDP|5788358928352335508</stp>
        <tr r="D4260" s="2"/>
      </tp>
      <tp t="s">
        <v>#N/A N/A</v>
        <stp/>
        <stp>BDP|4606770409979319920</stp>
        <tr r="B2847" s="2"/>
      </tp>
      <tp t="s">
        <v>#N/A N/A</v>
        <stp/>
        <stp>BDP|7970589757393773782</stp>
        <tr r="D4449" s="2"/>
      </tp>
      <tp t="s">
        <v>#N/A N/A</v>
        <stp/>
        <stp>BDP|6849415902079021828</stp>
        <tr r="C2584" s="2"/>
      </tp>
      <tp t="s">
        <v>#N/A N/A</v>
        <stp/>
        <stp>BDP|2096153959674656132</stp>
        <tr r="I4307" s="2"/>
      </tp>
      <tp t="s">
        <v>#N/A N/A</v>
        <stp/>
        <stp>BDP|8468379098213301216</stp>
        <tr r="I1300" s="2"/>
      </tp>
      <tp t="s">
        <v>#N/A N/A</v>
        <stp/>
        <stp>BDP|9622983810705350748</stp>
        <tr r="I3819" s="2"/>
      </tp>
      <tp t="s">
        <v>#N/A N/A</v>
        <stp/>
        <stp>BDP|7831640266960395409</stp>
        <tr r="A1366" s="2"/>
      </tp>
      <tp t="s">
        <v>#N/A N/A</v>
        <stp/>
        <stp>BDP|5252489742074333225</stp>
        <tr r="B1287" s="2"/>
      </tp>
      <tp t="s">
        <v>#N/A N/A</v>
        <stp/>
        <stp>BDP|8404782804795094916</stp>
        <tr r="D1473" s="2"/>
      </tp>
      <tp t="s">
        <v>#N/A N/A</v>
        <stp/>
        <stp>BDP|1252513641921928227</stp>
        <tr r="B1195" s="2"/>
      </tp>
      <tp t="s">
        <v>#N/A N/A</v>
        <stp/>
        <stp>BDP|9491875824029834965</stp>
        <tr r="G3410" s="2"/>
      </tp>
      <tp t="s">
        <v>#N/A N/A</v>
        <stp/>
        <stp>BDP|9212397126742041948</stp>
        <tr r="G3908" s="2"/>
      </tp>
      <tp t="s">
        <v>#N/A N/A</v>
        <stp/>
        <stp>BDP|2342745779271195067</stp>
        <tr r="A2354" s="2"/>
      </tp>
      <tp t="s">
        <v>#N/A N/A</v>
        <stp/>
        <stp>BDP|5004609329566366437</stp>
        <tr r="G3228" s="2"/>
      </tp>
      <tp t="s">
        <v>#N/A N/A</v>
        <stp/>
        <stp>BDP|7533851737648780791</stp>
        <tr r="G4887" s="2"/>
      </tp>
      <tp t="s">
        <v>#N/A N/A</v>
        <stp/>
        <stp>BDP|1542594017075187335</stp>
        <tr r="A3501" s="2"/>
      </tp>
      <tp t="s">
        <v>#N/A N/A</v>
        <stp/>
        <stp>BDP|9307379099475542514</stp>
        <tr r="I3182" s="2"/>
      </tp>
      <tp t="s">
        <v>#N/A N/A</v>
        <stp/>
        <stp>BDP|7078491031853513042</stp>
        <tr r="H2622" s="2"/>
      </tp>
      <tp t="s">
        <v>#N/A N/A</v>
        <stp/>
        <stp>BDP|4745661344412558799</stp>
        <tr r="D4077" s="2"/>
      </tp>
      <tp t="s">
        <v>#N/A N/A</v>
        <stp/>
        <stp>BDP|9840025581992613044</stp>
        <tr r="A182" s="2"/>
      </tp>
      <tp t="s">
        <v>#N/A N/A</v>
        <stp/>
        <stp>BDP|4206851069681197863</stp>
        <tr r="B851" s="2"/>
      </tp>
      <tp t="s">
        <v>#N/A N/A</v>
        <stp/>
        <stp>BDP|5032164246235919609</stp>
        <tr r="F3598" s="2"/>
      </tp>
      <tp t="s">
        <v>#N/A N/A</v>
        <stp/>
        <stp>BDP|1873787677886759491</stp>
        <tr r="I2784" s="2"/>
      </tp>
      <tp t="s">
        <v>#N/A N/A</v>
        <stp/>
        <stp>BDP|8047337337853551882</stp>
        <tr r="A2040" s="2"/>
      </tp>
      <tp t="s">
        <v>#N/A N/A</v>
        <stp/>
        <stp>BDP|2371285837767700729</stp>
        <tr r="C3080" s="2"/>
      </tp>
      <tp t="s">
        <v>#N/A N/A</v>
        <stp/>
        <stp>BDP|2998675366518005915</stp>
        <tr r="B102" s="2"/>
      </tp>
      <tp t="s">
        <v>#N/A N/A</v>
        <stp/>
        <stp>BDP|3324519248940068138</stp>
        <tr r="F1074" s="2"/>
      </tp>
      <tp t="s">
        <v>#N/A N/A</v>
        <stp/>
        <stp>BDP|7590292860085324566</stp>
        <tr r="G3762" s="2"/>
      </tp>
      <tp t="s">
        <v>#N/A N/A</v>
        <stp/>
        <stp>BDP|4810961436104966988</stp>
        <tr r="C985" s="2"/>
      </tp>
      <tp t="s">
        <v>#N/A N/A</v>
        <stp/>
        <stp>BDP|7437335309130309748</stp>
        <tr r="H4402" s="2"/>
      </tp>
      <tp t="s">
        <v>#N/A N/A</v>
        <stp/>
        <stp>BDP|2987135487439049142</stp>
        <tr r="H3052" s="2"/>
      </tp>
      <tp t="s">
        <v>#N/A N/A</v>
        <stp/>
        <stp>BDP|1790890760174734805</stp>
        <tr r="H1227" s="2"/>
      </tp>
      <tp t="s">
        <v>#N/A N/A</v>
        <stp/>
        <stp>BDP|1269435548790322238</stp>
        <tr r="C2065" s="2"/>
      </tp>
      <tp t="s">
        <v>#N/A N/A</v>
        <stp/>
        <stp>BDP|4097462368954196165</stp>
        <tr r="I1333" s="2"/>
      </tp>
      <tp t="s">
        <v>#N/A N/A</v>
        <stp/>
        <stp>BDP|2112591850389092814</stp>
        <tr r="A1072" s="2"/>
      </tp>
      <tp t="s">
        <v>#N/A N/A</v>
        <stp/>
        <stp>BDP|3176388919070944205</stp>
        <tr r="I2344" s="2"/>
      </tp>
      <tp t="s">
        <v>#N/A N/A</v>
        <stp/>
        <stp>BDP|9750884776434539158</stp>
        <tr r="A1814" s="2"/>
      </tp>
      <tp t="s">
        <v>#N/A N/A</v>
        <stp/>
        <stp>BDP|2865326220565756541</stp>
        <tr r="I1391" s="2"/>
      </tp>
      <tp t="s">
        <v>#N/A N/A</v>
        <stp/>
        <stp>BDP|2360060853723716781</stp>
        <tr r="D87" s="2"/>
      </tp>
      <tp t="s">
        <v>#N/A N/A</v>
        <stp/>
        <stp>BDP|4958833020415249816</stp>
        <tr r="D277" s="2"/>
      </tp>
      <tp t="s">
        <v>#N/A N/A</v>
        <stp/>
        <stp>BDP|8841495138148328432</stp>
        <tr r="B2378" s="2"/>
      </tp>
      <tp t="s">
        <v>#N/A N/A</v>
        <stp/>
        <stp>BDP|8022826834320922065</stp>
        <tr r="H1372" s="2"/>
      </tp>
      <tp t="s">
        <v>#N/A N/A</v>
        <stp/>
        <stp>BDP|6893348090216720922</stp>
        <tr r="H2769" s="2"/>
      </tp>
      <tp t="s">
        <v>#N/A N/A</v>
        <stp/>
        <stp>BDP|8236965721016522697</stp>
        <tr r="I3689" s="2"/>
      </tp>
      <tp t="s">
        <v>#N/A N/A</v>
        <stp/>
        <stp>BDP|1418983511122243864</stp>
        <tr r="A2111" s="2"/>
      </tp>
      <tp t="s">
        <v>#N/A N/A</v>
        <stp/>
        <stp>BDP|5015080941456477441</stp>
        <tr r="G3571" s="2"/>
      </tp>
      <tp t="s">
        <v>#N/A N/A</v>
        <stp/>
        <stp>BDP|5059127086138802750</stp>
        <tr r="F3960" s="2"/>
      </tp>
      <tp t="s">
        <v>#N/A N/A</v>
        <stp/>
        <stp>BDP|1309495511566043127</stp>
        <tr r="A1423" s="2"/>
      </tp>
      <tp t="s">
        <v>#N/A N/A</v>
        <stp/>
        <stp>BDP|8072592983564647257</stp>
        <tr r="I3782" s="2"/>
      </tp>
      <tp t="s">
        <v>#N/A N/A</v>
        <stp/>
        <stp>BDP|1206320518387340724</stp>
        <tr r="G4869" s="2"/>
      </tp>
      <tp t="s">
        <v>#N/A N/A</v>
        <stp/>
        <stp>BDP|1010141438020363064</stp>
        <tr r="C2630" s="2"/>
      </tp>
      <tp t="s">
        <v>#N/A N/A</v>
        <stp/>
        <stp>BDP|7352290335653721613</stp>
        <tr r="A921" s="2"/>
      </tp>
      <tp t="s">
        <v>#N/A N/A</v>
        <stp/>
        <stp>BDP|9466881144465424353</stp>
        <tr r="F4374" s="2"/>
      </tp>
      <tp t="s">
        <v>#N/A N/A</v>
        <stp/>
        <stp>BDP|7004064163556443487</stp>
        <tr r="H4963" s="2"/>
      </tp>
      <tp t="s">
        <v>#N/A N/A</v>
        <stp/>
        <stp>BDP|6760723480089560391</stp>
        <tr r="I2826" s="2"/>
      </tp>
      <tp t="s">
        <v>#N/A N/A</v>
        <stp/>
        <stp>BDP|1914766565090266313</stp>
        <tr r="G551" s="2"/>
      </tp>
      <tp t="s">
        <v>#N/A N/A</v>
        <stp/>
        <stp>BDP|8364518950939961223</stp>
        <tr r="D2864" s="2"/>
      </tp>
      <tp t="s">
        <v>#N/A N/A</v>
        <stp/>
        <stp>BDP|9438661782620824414</stp>
        <tr r="C2721" s="2"/>
      </tp>
      <tp t="s">
        <v>#N/A N/A</v>
        <stp/>
        <stp>BDP|6166997113294244905</stp>
        <tr r="F1433" s="2"/>
      </tp>
      <tp t="s">
        <v>#N/A N/A</v>
        <stp/>
        <stp>BDP|2412726984289966726</stp>
        <tr r="D2844" s="2"/>
      </tp>
      <tp t="s">
        <v>#N/A N/A</v>
        <stp/>
        <stp>BDP|7724255094368991768</stp>
        <tr r="D2651" s="2"/>
      </tp>
      <tp t="s">
        <v>#N/A N/A</v>
        <stp/>
        <stp>BDP|7971114762916684557</stp>
        <tr r="A495" s="2"/>
      </tp>
      <tp t="s">
        <v>#N/A N/A</v>
        <stp/>
        <stp>BDP|6599015521921523692</stp>
        <tr r="G4250" s="2"/>
      </tp>
      <tp t="s">
        <v>#N/A N/A</v>
        <stp/>
        <stp>BDP|9009802026216670692</stp>
        <tr r="G3900" s="2"/>
      </tp>
      <tp t="s">
        <v>#N/A N/A</v>
        <stp/>
        <stp>BDP|7466457619259221835</stp>
        <tr r="I543" s="2"/>
      </tp>
      <tp t="s">
        <v>#N/A N/A</v>
        <stp/>
        <stp>BDP|7977871184201792549</stp>
        <tr r="H113" s="2"/>
      </tp>
      <tp t="s">
        <v>#N/A N/A</v>
        <stp/>
        <stp>BDP|9225438508956740873</stp>
        <tr r="F171" s="2"/>
      </tp>
      <tp t="s">
        <v>#N/A N/A</v>
        <stp/>
        <stp>BDP|2356729049604270639</stp>
        <tr r="F445" s="2"/>
      </tp>
      <tp t="s">
        <v>#N/A N/A</v>
        <stp/>
        <stp>BDP|3260855346654859804</stp>
        <tr r="A1908" s="2"/>
      </tp>
      <tp t="s">
        <v>#N/A N/A</v>
        <stp/>
        <stp>BDP|7956514875061077742</stp>
        <tr r="H2026" s="2"/>
      </tp>
      <tp t="s">
        <v>#N/A N/A</v>
        <stp/>
        <stp>BDP|9454824202366558483</stp>
        <tr r="H1865" s="2"/>
      </tp>
      <tp t="s">
        <v>#N/A N/A</v>
        <stp/>
        <stp>BDP|6569587333490618310</stp>
        <tr r="H1986" s="2"/>
      </tp>
      <tp t="s">
        <v>#N/A N/A</v>
        <stp/>
        <stp>BDP|3776285217314801796</stp>
        <tr r="G909" s="2"/>
      </tp>
      <tp t="s">
        <v>#N/A N/A</v>
        <stp/>
        <stp>BDP|3929172609631859064</stp>
        <tr r="B4178" s="2"/>
      </tp>
      <tp t="s">
        <v>#N/A N/A</v>
        <stp/>
        <stp>BDP|8573767618635607841</stp>
        <tr r="D575" s="2"/>
      </tp>
      <tp t="s">
        <v>#N/A N/A</v>
        <stp/>
        <stp>BDP|3385928982083276280</stp>
        <tr r="F2623" s="2"/>
      </tp>
      <tp t="s">
        <v>#N/A N/A</v>
        <stp/>
        <stp>BDP|3925355451065104350</stp>
        <tr r="I3423" s="2"/>
      </tp>
      <tp t="s">
        <v>#N/A N/A</v>
        <stp/>
        <stp>BDP|4228076048131237261</stp>
        <tr r="I608" s="2"/>
      </tp>
      <tp t="s">
        <v>#N/A N/A</v>
        <stp/>
        <stp>BDP|7773487928343706194</stp>
        <tr r="C881" s="2"/>
      </tp>
      <tp t="s">
        <v>#N/A N/A</v>
        <stp/>
        <stp>BDP|9631536867348375186</stp>
        <tr r="A4484" s="2"/>
      </tp>
      <tp t="s">
        <v>#N/A N/A</v>
        <stp/>
        <stp>BDP|2153908983656255699</stp>
        <tr r="D2430" s="2"/>
      </tp>
      <tp t="s">
        <v>#N/A N/A</v>
        <stp/>
        <stp>BDP|2561940572568346791</stp>
        <tr r="D2304" s="2"/>
      </tp>
      <tp t="s">
        <v>#N/A N/A</v>
        <stp/>
        <stp>BDP|3485201351824470380</stp>
        <tr r="A934" s="2"/>
      </tp>
      <tp t="s">
        <v>#N/A N/A</v>
        <stp/>
        <stp>BDP|9257692327957791921</stp>
        <tr r="H4447" s="2"/>
      </tp>
      <tp t="s">
        <v>#N/A N/A</v>
        <stp/>
        <stp>BDP|1941118341116480143</stp>
        <tr r="A3297" s="2"/>
      </tp>
      <tp t="s">
        <v>#N/A N/A</v>
        <stp/>
        <stp>BDP|7168595121424302731</stp>
        <tr r="B1200" s="2"/>
      </tp>
      <tp t="s">
        <v>#N/A N/A</v>
        <stp/>
        <stp>BDP|8073669861948706391</stp>
        <tr r="H4398" s="2"/>
      </tp>
      <tp t="s">
        <v>#N/A N/A</v>
        <stp/>
        <stp>BDP|9644586551832015812</stp>
        <tr r="C949" s="2"/>
      </tp>
      <tp t="s">
        <v>#N/A N/A</v>
        <stp/>
        <stp>BDP|5891245941546241614</stp>
        <tr r="A3171" s="2"/>
      </tp>
      <tp t="s">
        <v>#N/A N/A</v>
        <stp/>
        <stp>BDP|7174411312220598194</stp>
        <tr r="I1531" s="2"/>
      </tp>
      <tp t="s">
        <v>#N/A N/A</v>
        <stp/>
        <stp>BDP|1740327812005083592</stp>
        <tr r="B2150" s="2"/>
      </tp>
      <tp t="s">
        <v>#N/A N/A</v>
        <stp/>
        <stp>BDP|3803926436272786854</stp>
        <tr r="I4985" s="2"/>
      </tp>
      <tp t="s">
        <v>#N/A N/A</v>
        <stp/>
        <stp>BDP|3526328783163206883</stp>
        <tr r="A3223" s="2"/>
      </tp>
      <tp t="s">
        <v>#N/A N/A</v>
        <stp/>
        <stp>BDP|9965149384992573129</stp>
        <tr r="B274" s="2"/>
      </tp>
      <tp t="s">
        <v>#N/A N/A</v>
        <stp/>
        <stp>BDP|7271970053298847009</stp>
        <tr r="G2572" s="2"/>
      </tp>
      <tp t="s">
        <v>#N/A N/A</v>
        <stp/>
        <stp>BDP|1091726743782687398</stp>
        <tr r="F4431" s="2"/>
      </tp>
      <tp t="s">
        <v>#N/A N/A</v>
        <stp/>
        <stp>BDP|6287083144020574157</stp>
        <tr r="F681" s="2"/>
      </tp>
      <tp t="s">
        <v>#N/A N/A</v>
        <stp/>
        <stp>BDP|5803655076972409517</stp>
        <tr r="F4694" s="2"/>
      </tp>
      <tp t="s">
        <v>#N/A N/A</v>
        <stp/>
        <stp>BDP|7092487219491987069</stp>
        <tr r="D3188" s="2"/>
      </tp>
      <tp t="s">
        <v>#N/A N/A</v>
        <stp/>
        <stp>BDP|5298015344474813612</stp>
        <tr r="G3090" s="2"/>
      </tp>
      <tp t="s">
        <v>#N/A N/A</v>
        <stp/>
        <stp>BDP|5151235679920728321</stp>
        <tr r="F4631" s="2"/>
      </tp>
      <tp t="s">
        <v>#N/A N/A</v>
        <stp/>
        <stp>BDP|4691631778307158124</stp>
        <tr r="A2913" s="2"/>
      </tp>
      <tp t="s">
        <v>#N/A N/A</v>
        <stp/>
        <stp>BDP|6814272897168795611</stp>
        <tr r="I2461" s="2"/>
      </tp>
      <tp t="s">
        <v>#N/A N/A</v>
        <stp/>
        <stp>BDP|2055483852971002145</stp>
        <tr r="I1109" s="2"/>
      </tp>
      <tp t="s">
        <v>#N/A N/A</v>
        <stp/>
        <stp>BDP|8018783812308688523</stp>
        <tr r="A3725" s="2"/>
      </tp>
      <tp t="s">
        <v>#N/A N/A</v>
        <stp/>
        <stp>BDP|4693886467361528824</stp>
        <tr r="G348" s="2"/>
      </tp>
      <tp t="s">
        <v>#N/A N/A</v>
        <stp/>
        <stp>BDP|7853912613518366479</stp>
        <tr r="G3385" s="2"/>
      </tp>
      <tp t="s">
        <v>#N/A N/A</v>
        <stp/>
        <stp>BDP|7694560729176728507</stp>
        <tr r="C3897" s="2"/>
      </tp>
      <tp t="s">
        <v>#N/A N/A</v>
        <stp/>
        <stp>BDP|5126928030779899559</stp>
        <tr r="H666" s="2"/>
      </tp>
      <tp t="s">
        <v>#N/A N/A</v>
        <stp/>
        <stp>BDP|8899633932338429636</stp>
        <tr r="F2620" s="2"/>
      </tp>
      <tp t="s">
        <v>#N/A N/A</v>
        <stp/>
        <stp>BDP|8694611068392106906</stp>
        <tr r="A3082" s="2"/>
      </tp>
      <tp t="s">
        <v>#N/A N/A</v>
        <stp/>
        <stp>BDP|6883180628590688609</stp>
        <tr r="H4677" s="2"/>
      </tp>
      <tp t="s">
        <v>#N/A N/A</v>
        <stp/>
        <stp>BDP|4121059378620650044</stp>
        <tr r="A3080" s="2"/>
      </tp>
      <tp t="s">
        <v>#N/A N/A</v>
        <stp/>
        <stp>BDP|5017162938980956493</stp>
        <tr r="I3338" s="2"/>
      </tp>
      <tp t="s">
        <v>#N/A N/A</v>
        <stp/>
        <stp>BDP|3322273759446000139</stp>
        <tr r="A3388" s="2"/>
      </tp>
      <tp t="s">
        <v>#N/A N/A</v>
        <stp/>
        <stp>BDP|2260114156744988121</stp>
        <tr r="C2882" s="2"/>
      </tp>
      <tp t="s">
        <v>#N/A N/A</v>
        <stp/>
        <stp>BDP|3499085974382455526</stp>
        <tr r="C4006" s="2"/>
      </tp>
      <tp t="s">
        <v>#N/A N/A</v>
        <stp/>
        <stp>BDP|4713949728735473917</stp>
        <tr r="I4255" s="2"/>
      </tp>
      <tp t="s">
        <v>#N/A N/A</v>
        <stp/>
        <stp>BDP|3914724338407886356</stp>
        <tr r="H267" s="2"/>
      </tp>
      <tp t="s">
        <v>#N/A N/A</v>
        <stp/>
        <stp>BDP|5214670337600909358</stp>
        <tr r="G2446" s="2"/>
      </tp>
      <tp t="s">
        <v>#N/A N/A</v>
        <stp/>
        <stp>BDP|8116969948141504746</stp>
        <tr r="B4289" s="2"/>
      </tp>
      <tp t="s">
        <v>#N/A N/A</v>
        <stp/>
        <stp>BDP|3518242026806131687</stp>
        <tr r="I1468" s="2"/>
      </tp>
      <tp t="s">
        <v>#N/A N/A</v>
        <stp/>
        <stp>BDP|5879945895862652411</stp>
        <tr r="B1578" s="2"/>
      </tp>
      <tp t="s">
        <v>#N/A N/A</v>
        <stp/>
        <stp>BDP|7576596473031274738</stp>
        <tr r="C1764" s="2"/>
      </tp>
      <tp t="s">
        <v>#N/A N/A</v>
        <stp/>
        <stp>BDP|4119420475196185296</stp>
        <tr r="B1795" s="2"/>
      </tp>
      <tp t="s">
        <v>#N/A N/A</v>
        <stp/>
        <stp>BDP|9351829950087721080</stp>
        <tr r="A4754" s="2"/>
      </tp>
      <tp t="s">
        <v>#N/A N/A</v>
        <stp/>
        <stp>BDP|9742817626988701894</stp>
        <tr r="G3205" s="2"/>
      </tp>
      <tp t="s">
        <v>#N/A N/A</v>
        <stp/>
        <stp>BDP|5784072722107519394</stp>
        <tr r="F1284" s="2"/>
      </tp>
      <tp t="s">
        <v>#N/A N/A</v>
        <stp/>
        <stp>BDP|5150077627250926463</stp>
        <tr r="I4887" s="2"/>
      </tp>
      <tp t="s">
        <v>#N/A N/A</v>
        <stp/>
        <stp>BDP|9142471419019722666</stp>
        <tr r="A3127" s="2"/>
      </tp>
      <tp t="s">
        <v>#N/A N/A</v>
        <stp/>
        <stp>BDP|8144909900386972468</stp>
        <tr r="I421" s="2"/>
      </tp>
      <tp t="s">
        <v>#N/A N/A</v>
        <stp/>
        <stp>BDP|1914217917590817193</stp>
        <tr r="F4018" s="2"/>
      </tp>
      <tp t="s">
        <v>#N/A N/A</v>
        <stp/>
        <stp>BDP|3266147169394033310</stp>
        <tr r="I3386" s="2"/>
      </tp>
      <tp t="s">
        <v>#N/A N/A</v>
        <stp/>
        <stp>BDP|1038582225910693550</stp>
        <tr r="A3362" s="2"/>
      </tp>
      <tp t="s">
        <v>#N/A N/A</v>
        <stp/>
        <stp>BDP|1856554668592331386</stp>
        <tr r="F2072" s="2"/>
      </tp>
      <tp t="s">
        <v>#N/A N/A</v>
        <stp/>
        <stp>BDP|2249577022303100581</stp>
        <tr r="C908" s="2"/>
      </tp>
      <tp t="s">
        <v>#N/A N/A</v>
        <stp/>
        <stp>BDP|9098880000845167776</stp>
        <tr r="B3700" s="2"/>
      </tp>
      <tp t="s">
        <v>#N/A N/A</v>
        <stp/>
        <stp>BDP|3480217670802362781</stp>
        <tr r="I3778" s="2"/>
      </tp>
      <tp t="s">
        <v>#N/A N/A</v>
        <stp/>
        <stp>BDP|6220109319557791227</stp>
        <tr r="I2839" s="2"/>
      </tp>
      <tp t="s">
        <v>#N/A N/A</v>
        <stp/>
        <stp>BDP|2919121399421968852</stp>
        <tr r="D605" s="2"/>
      </tp>
      <tp t="s">
        <v>#N/A N/A</v>
        <stp/>
        <stp>BDP|8846814764887119229</stp>
        <tr r="D2899" s="2"/>
      </tp>
      <tp t="s">
        <v>#N/A N/A</v>
        <stp/>
        <stp>BDP|7665203347173670193</stp>
        <tr r="I3533" s="2"/>
      </tp>
      <tp t="s">
        <v>#N/A N/A</v>
        <stp/>
        <stp>BDP|4374439379530536428</stp>
        <tr r="G4512" s="2"/>
      </tp>
      <tp t="s">
        <v>#N/A N/A</v>
        <stp/>
        <stp>BDP|7947037750870583110</stp>
        <tr r="A2818" s="2"/>
      </tp>
      <tp t="s">
        <v>#N/A N/A</v>
        <stp/>
        <stp>BDP|5900445067225245160</stp>
        <tr r="G4562" s="2"/>
      </tp>
      <tp t="s">
        <v>#N/A N/A</v>
        <stp/>
        <stp>BDP|6551654116895197793</stp>
        <tr r="F1766" s="2"/>
      </tp>
      <tp t="s">
        <v>#N/A N/A</v>
        <stp/>
        <stp>BDP|1549997095460777203</stp>
        <tr r="I4436" s="2"/>
      </tp>
      <tp t="s">
        <v>#N/A N/A</v>
        <stp/>
        <stp>BDP|3496457148642499232</stp>
        <tr r="B1413" s="2"/>
      </tp>
      <tp t="s">
        <v>#N/A N/A</v>
        <stp/>
        <stp>BDP|1753402278281942082</stp>
        <tr r="D3622" s="2"/>
      </tp>
      <tp t="s">
        <v>#N/A N/A</v>
        <stp/>
        <stp>BDP|2101481583188718533</stp>
        <tr r="G1757" s="2"/>
      </tp>
      <tp t="s">
        <v>#N/A N/A</v>
        <stp/>
        <stp>BDP|5837016244052176020</stp>
        <tr r="D3189" s="2"/>
      </tp>
      <tp t="s">
        <v>#N/A N/A</v>
        <stp/>
        <stp>BDP|3508756874460854025</stp>
        <tr r="I4930" s="2"/>
      </tp>
      <tp t="s">
        <v>#N/A N/A</v>
        <stp/>
        <stp>BDP|7465147179176606415</stp>
        <tr r="B886" s="2"/>
      </tp>
      <tp t="s">
        <v>#N/A N/A</v>
        <stp/>
        <stp>BDP|4008390869546912471</stp>
        <tr r="F4066" s="2"/>
      </tp>
      <tp t="s">
        <v>#N/A N/A</v>
        <stp/>
        <stp>BDP|3460447470925654688</stp>
        <tr r="H856" s="2"/>
      </tp>
      <tp t="s">
        <v>#N/A N/A</v>
        <stp/>
        <stp>BDP|4407453840011742682</stp>
        <tr r="D3296" s="2"/>
      </tp>
      <tp t="s">
        <v>#N/A N/A</v>
        <stp/>
        <stp>BDP|7888569027656741506</stp>
        <tr r="I774" s="2"/>
      </tp>
      <tp t="s">
        <v>#N/A N/A</v>
        <stp/>
        <stp>BDP|2050298986108906389</stp>
        <tr r="D306" s="2"/>
      </tp>
      <tp t="s">
        <v>#N/A N/A</v>
        <stp/>
        <stp>BDP|5947037219661814650</stp>
        <tr r="C2529" s="2"/>
      </tp>
      <tp t="s">
        <v>#N/A N/A</v>
        <stp/>
        <stp>BDP|6926066617503047761</stp>
        <tr r="I1046" s="2"/>
      </tp>
      <tp t="s">
        <v>#N/A N/A</v>
        <stp/>
        <stp>BDP|7941665271730420540</stp>
        <tr r="D966" s="2"/>
      </tp>
      <tp t="s">
        <v>#N/A N/A</v>
        <stp/>
        <stp>BDP|7801647700356501470</stp>
        <tr r="C3964" s="2"/>
      </tp>
      <tp t="s">
        <v>#N/A N/A</v>
        <stp/>
        <stp>BDP|1557581347396454506</stp>
        <tr r="H2990" s="2"/>
      </tp>
      <tp t="s">
        <v>#N/A N/A</v>
        <stp/>
        <stp>BDP|4660525926776585698</stp>
        <tr r="G2825" s="2"/>
      </tp>
      <tp t="s">
        <v>#N/A N/A</v>
        <stp/>
        <stp>BDP|1044595062363526207</stp>
        <tr r="A2762" s="2"/>
      </tp>
      <tp t="s">
        <v>#N/A N/A</v>
        <stp/>
        <stp>BDP|6741373477450152181</stp>
        <tr r="G1594" s="2"/>
      </tp>
      <tp t="s">
        <v>#N/A N/A</v>
        <stp/>
        <stp>BDP|3619607184566902854</stp>
        <tr r="B525" s="2"/>
      </tp>
      <tp t="s">
        <v>#N/A N/A</v>
        <stp/>
        <stp>BDP|7777695446161048760</stp>
        <tr r="D4806" s="2"/>
      </tp>
      <tp t="s">
        <v>#N/A N/A</v>
        <stp/>
        <stp>BDP|8748386191037623667</stp>
        <tr r="H404" s="2"/>
      </tp>
      <tp t="s">
        <v>#N/A N/A</v>
        <stp/>
        <stp>BDP|7711095343527725745</stp>
        <tr r="H2211" s="2"/>
      </tp>
      <tp t="s">
        <v>#N/A N/A</v>
        <stp/>
        <stp>BDP|1237664000045283189</stp>
        <tr r="I2255" s="2"/>
      </tp>
      <tp t="s">
        <v>#N/A N/A</v>
        <stp/>
        <stp>BDP|4829964680641459743</stp>
        <tr r="H1134" s="2"/>
      </tp>
      <tp t="s">
        <v>#N/A N/A</v>
        <stp/>
        <stp>BDP|7298612560397868358</stp>
        <tr r="D2681" s="2"/>
      </tp>
      <tp t="s">
        <v>#N/A N/A</v>
        <stp/>
        <stp>BDP|5650379846237169691</stp>
        <tr r="A3581" s="2"/>
      </tp>
      <tp t="s">
        <v>#N/A N/A</v>
        <stp/>
        <stp>BDP|2170484549837645696</stp>
        <tr r="A3530" s="2"/>
      </tp>
      <tp t="s">
        <v>#N/A N/A</v>
        <stp/>
        <stp>BDP|6867358132680795578</stp>
        <tr r="F3" s="2"/>
      </tp>
      <tp t="s">
        <v>#N/A N/A</v>
        <stp/>
        <stp>BDP|6052332607857917126</stp>
        <tr r="I1546" s="2"/>
      </tp>
      <tp t="s">
        <v>#N/A N/A</v>
        <stp/>
        <stp>BDP|3396012609786639627</stp>
        <tr r="B801" s="2"/>
      </tp>
      <tp t="s">
        <v>#N/A N/A</v>
        <stp/>
        <stp>BDP|9777657324609848719</stp>
        <tr r="F586" s="2"/>
      </tp>
      <tp t="s">
        <v>#N/A N/A</v>
        <stp/>
        <stp>BDP|2620142004383005398</stp>
        <tr r="I1404" s="2"/>
      </tp>
      <tp t="s">
        <v>#N/A N/A</v>
        <stp/>
        <stp>BDP|5911771475490165659</stp>
        <tr r="C374" s="2"/>
      </tp>
      <tp t="s">
        <v>#N/A N/A</v>
        <stp/>
        <stp>BDP|4933909277309367025</stp>
        <tr r="I4330" s="2"/>
      </tp>
      <tp t="s">
        <v>#N/A N/A</v>
        <stp/>
        <stp>BDP|3789401829530725664</stp>
        <tr r="B210" s="2"/>
      </tp>
      <tp t="s">
        <v>#N/A N/A</v>
        <stp/>
        <stp>BDP|6859849400224403974</stp>
        <tr r="I4795" s="2"/>
      </tp>
      <tp t="s">
        <v>#N/A N/A</v>
        <stp/>
        <stp>BDP|2802139304733809384</stp>
        <tr r="A1130" s="2"/>
      </tp>
      <tp t="s">
        <v>#N/A N/A</v>
        <stp/>
        <stp>BDP|5254739565632344583</stp>
        <tr r="C4698" s="2"/>
      </tp>
      <tp t="s">
        <v>#N/A N/A</v>
        <stp/>
        <stp>BDP|3810881393830833146</stp>
        <tr r="B3028" s="2"/>
      </tp>
      <tp t="s">
        <v>#N/A N/A</v>
        <stp/>
        <stp>BDP|9642179514532809825</stp>
        <tr r="F1582" s="2"/>
      </tp>
      <tp t="s">
        <v>#N/A N/A</v>
        <stp/>
        <stp>BDP|6694214369592264333</stp>
        <tr r="H1138" s="2"/>
      </tp>
      <tp t="s">
        <v>#N/A N/A</v>
        <stp/>
        <stp>BDP|4983537920464742423</stp>
        <tr r="A354" s="2"/>
      </tp>
      <tp t="s">
        <v>#N/A N/A</v>
        <stp/>
        <stp>BDP|3855829001418000047</stp>
        <tr r="F425" s="2"/>
      </tp>
      <tp t="s">
        <v>#N/A N/A</v>
        <stp/>
        <stp>BDP|4896205442646123747</stp>
        <tr r="B3778" s="2"/>
      </tp>
      <tp t="s">
        <v>#N/A N/A</v>
        <stp/>
        <stp>BDP|1193290650226211355</stp>
        <tr r="H2553" s="2"/>
      </tp>
      <tp t="s">
        <v>#N/A N/A</v>
        <stp/>
        <stp>BDP|3848245062400798463</stp>
        <tr r="H1679" s="2"/>
      </tp>
      <tp t="s">
        <v>#N/A N/A</v>
        <stp/>
        <stp>BDP|2866185742601839559</stp>
        <tr r="B407" s="2"/>
      </tp>
      <tp t="s">
        <v>#N/A N/A</v>
        <stp/>
        <stp>BDP|1908015953537679028</stp>
        <tr r="F4702" s="2"/>
      </tp>
      <tp t="s">
        <v>#N/A N/A</v>
        <stp/>
        <stp>BDP|5685786733154427663</stp>
        <tr r="G1010" s="2"/>
      </tp>
      <tp t="s">
        <v>#N/A N/A</v>
        <stp/>
        <stp>BDP|4079070615896467097</stp>
        <tr r="C3809" s="2"/>
      </tp>
      <tp t="s">
        <v>#N/A N/A</v>
        <stp/>
        <stp>BDP|9645751904918110593</stp>
        <tr r="I366" s="2"/>
      </tp>
      <tp t="s">
        <v>#N/A N/A</v>
        <stp/>
        <stp>BDP|5822576939059086992</stp>
        <tr r="G2497" s="2"/>
      </tp>
      <tp t="s">
        <v>#N/A N/A</v>
        <stp/>
        <stp>BDP|3273221463920971459</stp>
        <tr r="B2047" s="2"/>
      </tp>
      <tp t="s">
        <v>#N/A N/A</v>
        <stp/>
        <stp>BDP|3626736002056106195</stp>
        <tr r="D3028" s="2"/>
      </tp>
      <tp t="s">
        <v>#N/A N/A</v>
        <stp/>
        <stp>BDP|5805585159123410524</stp>
        <tr r="B402" s="2"/>
      </tp>
      <tp t="s">
        <v>#N/A N/A</v>
        <stp/>
        <stp>BDP|6156092437763838582</stp>
        <tr r="I4181" s="2"/>
      </tp>
      <tp t="s">
        <v>#N/A N/A</v>
        <stp/>
        <stp>BDP|5705392668600017395</stp>
        <tr r="G3691" s="2"/>
      </tp>
      <tp t="s">
        <v>#N/A N/A</v>
        <stp/>
        <stp>BDP|2309429931667763189</stp>
        <tr r="G3913" s="2"/>
      </tp>
      <tp t="s">
        <v>#N/A N/A</v>
        <stp/>
        <stp>BDP|3217602463059814962</stp>
        <tr r="D610" s="2"/>
      </tp>
      <tp t="s">
        <v>#N/A N/A</v>
        <stp/>
        <stp>BDP|6332088117137332309</stp>
        <tr r="D3686" s="2"/>
      </tp>
      <tp t="s">
        <v>#N/A N/A</v>
        <stp/>
        <stp>BDP|3136003369031798709</stp>
        <tr r="I2955" s="2"/>
      </tp>
      <tp t="s">
        <v>#N/A N/A</v>
        <stp/>
        <stp>BDP|8888578750569232226</stp>
        <tr r="A137" s="2"/>
      </tp>
      <tp t="s">
        <v>#N/A N/A</v>
        <stp/>
        <stp>BDP|2672050494738916012</stp>
        <tr r="I3850" s="2"/>
      </tp>
      <tp t="s">
        <v>#N/A N/A</v>
        <stp/>
        <stp>BDP|3336526525561919622</stp>
        <tr r="A4155" s="2"/>
      </tp>
      <tp t="s">
        <v>#N/A N/A</v>
        <stp/>
        <stp>BDP|5786099233327390219</stp>
        <tr r="D2721" s="2"/>
      </tp>
      <tp t="s">
        <v>#N/A N/A</v>
        <stp/>
        <stp>BDP|2729740549794624635</stp>
        <tr r="H4018" s="2"/>
      </tp>
      <tp t="s">
        <v>#N/A N/A</v>
        <stp/>
        <stp>BDP|1602696811426337323</stp>
        <tr r="A2336" s="2"/>
      </tp>
      <tp t="s">
        <v>#N/A N/A</v>
        <stp/>
        <stp>BDP|4431054447490896318</stp>
        <tr r="B1563" s="2"/>
      </tp>
      <tp t="s">
        <v>#N/A N/A</v>
        <stp/>
        <stp>BDP|1938846681060223215</stp>
        <tr r="B2259" s="2"/>
      </tp>
      <tp t="s">
        <v>#N/A N/A</v>
        <stp/>
        <stp>BDP|2406442269596569534</stp>
        <tr r="H338" s="2"/>
      </tp>
      <tp t="s">
        <v>#N/A N/A</v>
        <stp/>
        <stp>BDP|4448487809957881427</stp>
        <tr r="G2360" s="2"/>
      </tp>
      <tp t="s">
        <v>#N/A N/A</v>
        <stp/>
        <stp>BDP|2521717360546801635</stp>
        <tr r="A2203" s="2"/>
      </tp>
      <tp t="s">
        <v>#N/A N/A</v>
        <stp/>
        <stp>BDP|9600304028149899299</stp>
        <tr r="G2788" s="2"/>
      </tp>
      <tp t="s">
        <v>#N/A N/A</v>
        <stp/>
        <stp>BDP|3950109997958284038</stp>
        <tr r="C998" s="2"/>
      </tp>
      <tp t="s">
        <v>#N/A N/A</v>
        <stp/>
        <stp>BDP|8891716452990739931</stp>
        <tr r="I1895" s="2"/>
      </tp>
      <tp t="s">
        <v>#N/A N/A</v>
        <stp/>
        <stp>BDP|4624152586556333892</stp>
        <tr r="G3185" s="2"/>
      </tp>
      <tp t="s">
        <v>#N/A N/A</v>
        <stp/>
        <stp>BDP|9867564871150361831</stp>
        <tr r="H2508" s="2"/>
      </tp>
      <tp t="s">
        <v>#N/A N/A</v>
        <stp/>
        <stp>BDP|1272037258306662102</stp>
        <tr r="A359" s="2"/>
      </tp>
      <tp t="s">
        <v>#N/A N/A</v>
        <stp/>
        <stp>BDP|5816230301433344766</stp>
        <tr r="B728" s="2"/>
      </tp>
      <tp t="s">
        <v>#N/A N/A</v>
        <stp/>
        <stp>BDP|4262582374937191203</stp>
        <tr r="G2164" s="2"/>
      </tp>
      <tp t="s">
        <v>#N/A N/A</v>
        <stp/>
        <stp>BDP|1487457078485483424</stp>
        <tr r="I640" s="2"/>
      </tp>
      <tp t="s">
        <v>#N/A N/A</v>
        <stp/>
        <stp>BDP|4822130891409784629</stp>
        <tr r="I122" s="2"/>
      </tp>
      <tp t="s">
        <v>#N/A N/A</v>
        <stp/>
        <stp>BDP|3188180277760396621</stp>
        <tr r="H129" s="2"/>
      </tp>
      <tp t="s">
        <v>#N/A N/A</v>
        <stp/>
        <stp>BDP|2025981563619254766</stp>
        <tr r="G4681" s="2"/>
      </tp>
      <tp t="s">
        <v>#N/A N/A</v>
        <stp/>
        <stp>BDP|5017153138956784255</stp>
        <tr r="H4657" s="2"/>
      </tp>
      <tp t="s">
        <v>#N/A N/A</v>
        <stp/>
        <stp>BDP|2906677764589654831</stp>
        <tr r="A1682" s="2"/>
      </tp>
      <tp t="s">
        <v>#N/A N/A</v>
        <stp/>
        <stp>BDP|5424761359634540028</stp>
        <tr r="D1268" s="2"/>
      </tp>
      <tp t="s">
        <v>#N/A N/A</v>
        <stp/>
        <stp>BDP|2091731316344944306</stp>
        <tr r="D644" s="2"/>
      </tp>
      <tp t="s">
        <v>#N/A N/A</v>
        <stp/>
        <stp>BDP|4826188282519707796</stp>
        <tr r="B2649" s="2"/>
      </tp>
      <tp t="s">
        <v>#N/A N/A</v>
        <stp/>
        <stp>BDP|9639796247828255161</stp>
        <tr r="F583" s="2"/>
      </tp>
      <tp t="s">
        <v>#N/A N/A</v>
        <stp/>
        <stp>BDP|2945610801043640439</stp>
        <tr r="I335" s="2"/>
      </tp>
      <tp t="s">
        <v>#N/A N/A</v>
        <stp/>
        <stp>BDP|5071113629246275369</stp>
        <tr r="H1453" s="2"/>
      </tp>
      <tp t="s">
        <v>#N/A N/A</v>
        <stp/>
        <stp>BDP|6679683944523385451</stp>
        <tr r="F4360" s="2"/>
      </tp>
      <tp t="s">
        <v>#N/A N/A</v>
        <stp/>
        <stp>BDP|1667099750221763643</stp>
        <tr r="D2339" s="2"/>
      </tp>
      <tp t="s">
        <v>#N/A N/A</v>
        <stp/>
        <stp>BDP|6060096183934640905</stp>
        <tr r="D2622" s="2"/>
      </tp>
      <tp t="s">
        <v>#N/A N/A</v>
        <stp/>
        <stp>BDP|2190489207985083029</stp>
        <tr r="B172" s="2"/>
      </tp>
      <tp t="s">
        <v>#N/A N/A</v>
        <stp/>
        <stp>BDP|4386336803150840473</stp>
        <tr r="I1563" s="2"/>
      </tp>
      <tp t="s">
        <v>#N/A N/A</v>
        <stp/>
        <stp>BDP|4612756092378965149</stp>
        <tr r="A1482" s="2"/>
      </tp>
      <tp t="s">
        <v>#N/A N/A</v>
        <stp/>
        <stp>BDP|3525412729885228331</stp>
        <tr r="I2251" s="2"/>
      </tp>
      <tp t="s">
        <v>#N/A N/A</v>
        <stp/>
        <stp>BDP|3884206430615744436</stp>
        <tr r="B2003" s="2"/>
      </tp>
      <tp t="s">
        <v>#N/A N/A</v>
        <stp/>
        <stp>BDP|5267656009032183232</stp>
        <tr r="I982" s="2"/>
      </tp>
      <tp t="s">
        <v>#N/A N/A</v>
        <stp/>
        <stp>BDP|1234030189299531318</stp>
        <tr r="B3679" s="2"/>
      </tp>
      <tp t="s">
        <v>#N/A N/A</v>
        <stp/>
        <stp>BDP|6008660429660257119</stp>
        <tr r="A4780" s="2"/>
      </tp>
      <tp t="s">
        <v>#N/A N/A</v>
        <stp/>
        <stp>BDP|3507381915707540518</stp>
        <tr r="A1566" s="2"/>
      </tp>
      <tp t="s">
        <v>#N/A N/A</v>
        <stp/>
        <stp>BDP|5084741297240929863</stp>
        <tr r="A3572" s="2"/>
      </tp>
      <tp t="s">
        <v>#N/A N/A</v>
        <stp/>
        <stp>BDP|9048261899525145429</stp>
        <tr r="C3725" s="2"/>
      </tp>
      <tp t="s">
        <v>#N/A N/A</v>
        <stp/>
        <stp>BDP|2669894792504637479</stp>
        <tr r="G4574" s="2"/>
      </tp>
      <tp t="s">
        <v>#N/A N/A</v>
        <stp/>
        <stp>BDP|1867266998908364192</stp>
        <tr r="G4321" s="2"/>
      </tp>
      <tp t="s">
        <v>#N/A N/A</v>
        <stp/>
        <stp>BDP|4410390823871109735</stp>
        <tr r="F3361" s="2"/>
      </tp>
      <tp t="s">
        <v>#N/A N/A</v>
        <stp/>
        <stp>BDP|1185989932820506826</stp>
        <tr r="I3664" s="2"/>
      </tp>
      <tp t="s">
        <v>#N/A N/A</v>
        <stp/>
        <stp>BDP|4091323058372100377</stp>
        <tr r="I1974" s="2"/>
      </tp>
      <tp t="s">
        <v>#N/A N/A</v>
        <stp/>
        <stp>BDP|7625921089104455159</stp>
        <tr r="I2822" s="2"/>
      </tp>
      <tp t="s">
        <v>#N/A N/A</v>
        <stp/>
        <stp>BDP|3655838751289809401</stp>
        <tr r="H3110" s="2"/>
      </tp>
      <tp t="s">
        <v>#N/A N/A</v>
        <stp/>
        <stp>BDP|1076150116882932062</stp>
        <tr r="F4996" s="2"/>
      </tp>
      <tp t="s">
        <v>#N/A N/A</v>
        <stp/>
        <stp>BDP|3649695218641900629</stp>
        <tr r="G3818" s="2"/>
      </tp>
      <tp t="s">
        <v>#N/A N/A</v>
        <stp/>
        <stp>BDP|8187149120611962900</stp>
        <tr r="D798" s="2"/>
      </tp>
      <tp t="s">
        <v>#N/A N/A</v>
        <stp/>
        <stp>BDP|1572287489560153891</stp>
        <tr r="D3429" s="2"/>
      </tp>
      <tp t="s">
        <v>#N/A N/A</v>
        <stp/>
        <stp>BDP|1356142478253362703</stp>
        <tr r="G1721" s="2"/>
      </tp>
      <tp t="s">
        <v>#N/A N/A</v>
        <stp/>
        <stp>BDP|9191486773030280947</stp>
        <tr r="D1552" s="2"/>
      </tp>
      <tp t="s">
        <v>#N/A N/A</v>
        <stp/>
        <stp>BDP|3230326240530427782</stp>
        <tr r="H4627" s="2"/>
      </tp>
      <tp t="s">
        <v>#N/A N/A</v>
        <stp/>
        <stp>BDP|4434458834084093492</stp>
        <tr r="A3995" s="2"/>
      </tp>
      <tp t="s">
        <v>#N/A N/A</v>
        <stp/>
        <stp>BDP|4963377390584709954</stp>
        <tr r="I2634" s="2"/>
      </tp>
      <tp t="s">
        <v>#N/A N/A</v>
        <stp/>
        <stp>BDP|7845152605461457407</stp>
        <tr r="A833" s="2"/>
      </tp>
      <tp t="s">
        <v>#N/A N/A</v>
        <stp/>
        <stp>BDP|5926346512037023336</stp>
        <tr r="G4242" s="2"/>
      </tp>
      <tp t="s">
        <v>#N/A N/A</v>
        <stp/>
        <stp>BDP|8031940858115060204</stp>
        <tr r="G3464" s="2"/>
      </tp>
      <tp t="s">
        <v>#N/A N/A</v>
        <stp/>
        <stp>BDP|1867647668516979413</stp>
        <tr r="F45" s="2"/>
      </tp>
      <tp t="s">
        <v>#N/A N/A</v>
        <stp/>
        <stp>BDP|5529613288491764970</stp>
        <tr r="B2687" s="2"/>
      </tp>
      <tp t="s">
        <v>#N/A N/A</v>
        <stp/>
        <stp>BDP|7266704768774174171</stp>
        <tr r="F4580" s="2"/>
      </tp>
      <tp t="s">
        <v>#N/A N/A</v>
        <stp/>
        <stp>BDP|6142699241151278678</stp>
        <tr r="A3913" s="2"/>
      </tp>
      <tp t="s">
        <v>#N/A N/A</v>
        <stp/>
        <stp>BDP|1210096914447262416</stp>
        <tr r="B1353" s="2"/>
      </tp>
      <tp t="s">
        <v>#N/A N/A</v>
        <stp/>
        <stp>BDP|5724405275051839467</stp>
        <tr r="C202" s="2"/>
      </tp>
      <tp t="s">
        <v>#N/A N/A</v>
        <stp/>
        <stp>BDP|6662841092744942056</stp>
        <tr r="H2992" s="2"/>
      </tp>
      <tp t="s">
        <v>#N/A N/A</v>
        <stp/>
        <stp>BDP|3096331879396712218</stp>
        <tr r="D3933" s="2"/>
      </tp>
      <tp t="s">
        <v>#N/A N/A</v>
        <stp/>
        <stp>BDP|5507455423212707285</stp>
        <tr r="I3650" s="2"/>
      </tp>
      <tp t="s">
        <v>#N/A N/A</v>
        <stp/>
        <stp>BDP|5513176593676966845</stp>
        <tr r="D2950" s="2"/>
      </tp>
      <tp t="s">
        <v>#N/A N/A</v>
        <stp/>
        <stp>BDP|7572439552905106095</stp>
        <tr r="D4734" s="2"/>
      </tp>
      <tp t="s">
        <v>#N/A N/A</v>
        <stp/>
        <stp>BDP|5930115402776420121</stp>
        <tr r="G3577" s="2"/>
      </tp>
      <tp t="s">
        <v>#N/A N/A</v>
        <stp/>
        <stp>BDP|2232564433490885739</stp>
        <tr r="G3849" s="2"/>
      </tp>
      <tp t="s">
        <v>#N/A N/A</v>
        <stp/>
        <stp>BDP|4743156497529848616</stp>
        <tr r="G2981" s="2"/>
      </tp>
      <tp t="s">
        <v>#N/A N/A</v>
        <stp/>
        <stp>BDP|2657452044744803534</stp>
        <tr r="C4746" s="2"/>
      </tp>
      <tp t="s">
        <v>#N/A N/A</v>
        <stp/>
        <stp>BDP|3120357368145364036</stp>
        <tr r="H1713" s="2"/>
      </tp>
      <tp t="s">
        <v>#N/A N/A</v>
        <stp/>
        <stp>BDP|4294328829023530506</stp>
        <tr r="A2853" s="2"/>
      </tp>
      <tp t="s">
        <v>#N/A N/A</v>
        <stp/>
        <stp>BDP|6426910342658808030</stp>
        <tr r="H1687" s="2"/>
      </tp>
      <tp t="s">
        <v>#N/A N/A</v>
        <stp/>
        <stp>BDP|4309110740570763297</stp>
        <tr r="H3996" s="2"/>
      </tp>
      <tp t="s">
        <v>#N/A N/A</v>
        <stp/>
        <stp>BDP|3508219571812078791</stp>
        <tr r="I832" s="2"/>
      </tp>
      <tp t="s">
        <v>#N/A N/A</v>
        <stp/>
        <stp>BDP|9536932442735074286</stp>
        <tr r="B775" s="2"/>
      </tp>
      <tp t="s">
        <v>#N/A N/A</v>
        <stp/>
        <stp>BDP|1157300074094818213</stp>
        <tr r="A2209" s="2"/>
      </tp>
      <tp t="s">
        <v>#N/A N/A</v>
        <stp/>
        <stp>BDP|1774688249562847229</stp>
        <tr r="H3315" s="2"/>
      </tp>
      <tp t="s">
        <v>#N/A N/A</v>
        <stp/>
        <stp>BDP|4578051955284878614</stp>
        <tr r="D1727" s="2"/>
      </tp>
      <tp t="s">
        <v>#N/A N/A</v>
        <stp/>
        <stp>BDP|6224326879794424516</stp>
        <tr r="C3568" s="2"/>
      </tp>
      <tp t="s">
        <v>#N/A N/A</v>
        <stp/>
        <stp>BDP|6922209764573591240</stp>
        <tr r="A3200" s="2"/>
      </tp>
      <tp t="s">
        <v>#N/A N/A</v>
        <stp/>
        <stp>BDP|3962573035180644617</stp>
        <tr r="F4535" s="2"/>
      </tp>
      <tp t="s">
        <v>#N/A N/A</v>
        <stp/>
        <stp>BDP|3901743876094326447</stp>
        <tr r="G4951" s="2"/>
      </tp>
      <tp t="s">
        <v>#N/A N/A</v>
        <stp/>
        <stp>BDP|9385358057758560487</stp>
        <tr r="C716" s="2"/>
      </tp>
      <tp t="s">
        <v>#N/A N/A</v>
        <stp/>
        <stp>BDP|7193785021574375578</stp>
        <tr r="C2164" s="2"/>
      </tp>
      <tp t="s">
        <v>#N/A N/A</v>
        <stp/>
        <stp>BDP|9793932538893863383</stp>
        <tr r="F2186" s="2"/>
      </tp>
      <tp t="s">
        <v>#N/A N/A</v>
        <stp/>
        <stp>BDP|6952156704120209464</stp>
        <tr r="F4412" s="2"/>
      </tp>
      <tp t="s">
        <v>#N/A N/A</v>
        <stp/>
        <stp>BDP|8316830899059241373</stp>
        <tr r="I2793" s="2"/>
      </tp>
      <tp t="s">
        <v>#N/A N/A</v>
        <stp/>
        <stp>BDP|9049499356302300908</stp>
        <tr r="C4888" s="2"/>
      </tp>
      <tp t="s">
        <v>#N/A N/A</v>
        <stp/>
        <stp>BDP|1067867923799080187</stp>
        <tr r="C2548" s="2"/>
      </tp>
      <tp t="s">
        <v>#N/A N/A</v>
        <stp/>
        <stp>BDP|6370850735978967671</stp>
        <tr r="C3421" s="2"/>
      </tp>
      <tp t="s">
        <v>#N/A N/A</v>
        <stp/>
        <stp>BDP|2301639507614831324</stp>
        <tr r="A407" s="2"/>
      </tp>
      <tp t="s">
        <v>#N/A N/A</v>
        <stp/>
        <stp>BDP|7508189992215615942</stp>
        <tr r="A4379" s="2"/>
      </tp>
      <tp t="s">
        <v>#N/A N/A</v>
        <stp/>
        <stp>BDP|5473669539697069466</stp>
        <tr r="F3595" s="2"/>
      </tp>
      <tp t="s">
        <v>#N/A N/A</v>
        <stp/>
        <stp>BDP|6845331948202865069</stp>
        <tr r="C4836" s="2"/>
      </tp>
      <tp t="s">
        <v>#N/A N/A</v>
        <stp/>
        <stp>BDP|3580833029242220800</stp>
        <tr r="H4454" s="2"/>
      </tp>
      <tp t="s">
        <v>#N/A N/A</v>
        <stp/>
        <stp>BDP|8228007623879879041</stp>
        <tr r="A1093" s="2"/>
      </tp>
      <tp t="s">
        <v>#N/A N/A</v>
        <stp/>
        <stp>BDP|6953067655964681418</stp>
        <tr r="C468" s="2"/>
      </tp>
      <tp t="s">
        <v>#N/A N/A</v>
        <stp/>
        <stp>BDP|5674785306900078157</stp>
        <tr r="G3365" s="2"/>
      </tp>
      <tp t="s">
        <v>#N/A N/A</v>
        <stp/>
        <stp>BDP|2906153510856342725</stp>
        <tr r="A2061" s="2"/>
      </tp>
      <tp t="s">
        <v>#N/A N/A</v>
        <stp/>
        <stp>BDP|6841670461174787147</stp>
        <tr r="C4927" s="2"/>
      </tp>
      <tp t="s">
        <v>#N/A N/A</v>
        <stp/>
        <stp>BDP|8965021159689939768</stp>
        <tr r="F146" s="2"/>
      </tp>
      <tp t="s">
        <v>#N/A N/A</v>
        <stp/>
        <stp>BDP|5710589008353955034</stp>
        <tr r="G208" s="2"/>
      </tp>
      <tp t="s">
        <v>#N/A N/A</v>
        <stp/>
        <stp>BDP|4982764117275746420</stp>
        <tr r="F930" s="2"/>
      </tp>
      <tp t="s">
        <v>#N/A N/A</v>
        <stp/>
        <stp>BDP|6926789330306847746</stp>
        <tr r="G2215" s="2"/>
      </tp>
      <tp t="s">
        <v>#N/A N/A</v>
        <stp/>
        <stp>BDP|6166494273025089360</stp>
        <tr r="A280" s="2"/>
      </tp>
      <tp t="s">
        <v>#N/A N/A</v>
        <stp/>
        <stp>BDP|7048042872500918328</stp>
        <tr r="C3893" s="2"/>
      </tp>
      <tp t="s">
        <v>#N/A N/A</v>
        <stp/>
        <stp>BDP|4921374042784422459</stp>
        <tr r="H2339" s="2"/>
      </tp>
      <tp t="s">
        <v>#N/A N/A</v>
        <stp/>
        <stp>BDP|3118167378872248407</stp>
        <tr r="C4650" s="2"/>
      </tp>
      <tp t="s">
        <v>#N/A N/A</v>
        <stp/>
        <stp>BDP|3080558680629897402</stp>
        <tr r="I4266" s="2"/>
      </tp>
      <tp t="s">
        <v>#N/A N/A</v>
        <stp/>
        <stp>BDP|3646566159182794237</stp>
        <tr r="G557" s="2"/>
      </tp>
      <tp t="s">
        <v>#N/A N/A</v>
        <stp/>
        <stp>BDP|7836295899019488612</stp>
        <tr r="D1659" s="2"/>
      </tp>
      <tp t="s">
        <v>#N/A N/A</v>
        <stp/>
        <stp>BDP|4451465079507281341</stp>
        <tr r="G3982" s="2"/>
      </tp>
      <tp t="s">
        <v>#N/A N/A</v>
        <stp/>
        <stp>BDP|6819599174136868103</stp>
        <tr r="D1673" s="2"/>
      </tp>
      <tp t="s">
        <v>#N/A N/A</v>
        <stp/>
        <stp>BDP|9297245659474569972</stp>
        <tr r="A4682" s="2"/>
      </tp>
      <tp t="s">
        <v>#N/A N/A</v>
        <stp/>
        <stp>BDP|5410318923686315181</stp>
        <tr r="C2532" s="2"/>
      </tp>
      <tp t="s">
        <v>#N/A N/A</v>
        <stp/>
        <stp>BDP|7831956914259288560</stp>
        <tr r="B315" s="2"/>
      </tp>
      <tp t="s">
        <v>#N/A N/A</v>
        <stp/>
        <stp>BDP|1693473348451713330</stp>
        <tr r="D1037" s="2"/>
      </tp>
      <tp t="s">
        <v>#N/A N/A</v>
        <stp/>
        <stp>BDP|3359088430162201143</stp>
        <tr r="A2096" s="2"/>
      </tp>
      <tp t="s">
        <v>#N/A N/A</v>
        <stp/>
        <stp>BDP|5990803893164232356</stp>
        <tr r="F4479" s="2"/>
      </tp>
      <tp t="s">
        <v>#N/A N/A</v>
        <stp/>
        <stp>BDP|7877973032537268929</stp>
        <tr r="H893" s="2"/>
      </tp>
      <tp t="s">
        <v>#N/A N/A</v>
        <stp/>
        <stp>BDP|3684242511095726696</stp>
        <tr r="I3937" s="2"/>
      </tp>
      <tp t="s">
        <v>#N/A N/A</v>
        <stp/>
        <stp>BDP|3303778210160993601</stp>
        <tr r="B2310" s="2"/>
      </tp>
      <tp t="s">
        <v>#N/A N/A</v>
        <stp/>
        <stp>BDP|7795229968096140615</stp>
        <tr r="D2755" s="2"/>
      </tp>
      <tp t="s">
        <v>#N/A N/A</v>
        <stp/>
        <stp>BDP|7794239517575861262</stp>
        <tr r="I4678" s="2"/>
      </tp>
      <tp t="s">
        <v>#N/A N/A</v>
        <stp/>
        <stp>BDP|9073503709149342670</stp>
        <tr r="F2746" s="2"/>
      </tp>
      <tp t="s">
        <v>#N/A N/A</v>
        <stp/>
        <stp>BDP|4410849799441440709</stp>
        <tr r="H778" s="2"/>
      </tp>
      <tp t="s">
        <v>#N/A N/A</v>
        <stp/>
        <stp>BDP|7981068455439065873</stp>
        <tr r="F2028" s="2"/>
      </tp>
      <tp t="s">
        <v>#N/A N/A</v>
        <stp/>
        <stp>BDP|4938072672471937187</stp>
        <tr r="I957" s="2"/>
      </tp>
      <tp t="s">
        <v>#N/A N/A</v>
        <stp/>
        <stp>BDP|6489585403243173339</stp>
        <tr r="F2888" s="2"/>
      </tp>
      <tp t="s">
        <v>#N/A N/A</v>
        <stp/>
        <stp>BDP|1310293093328529112</stp>
        <tr r="G474" s="2"/>
      </tp>
      <tp t="s">
        <v>#N/A N/A</v>
        <stp/>
        <stp>BDP|6500404904277909656</stp>
        <tr r="C2554" s="2"/>
      </tp>
      <tp t="s">
        <v>#N/A N/A</v>
        <stp/>
        <stp>BDP|2605628195647480986</stp>
        <tr r="D793" s="2"/>
      </tp>
      <tp t="s">
        <v>#N/A N/A</v>
        <stp/>
        <stp>BDP|8720798732106387923</stp>
        <tr r="I3605" s="2"/>
      </tp>
      <tp t="s">
        <v>#N/A N/A</v>
        <stp/>
        <stp>BDP|8615903872237913201</stp>
        <tr r="D3357" s="2"/>
      </tp>
      <tp t="s">
        <v>#N/A N/A</v>
        <stp/>
        <stp>BDP|1534622019793768643</stp>
        <tr r="H1734" s="2"/>
      </tp>
      <tp t="s">
        <v>#N/A N/A</v>
        <stp/>
        <stp>BDP|3796530402574293196</stp>
        <tr r="D4091" s="2"/>
      </tp>
      <tp t="s">
        <v>#N/A N/A</v>
        <stp/>
        <stp>BDP|7878587904562040392</stp>
        <tr r="C927" s="2"/>
      </tp>
      <tp t="s">
        <v>#N/A N/A</v>
        <stp/>
        <stp>BDP|4077552419805682676</stp>
        <tr r="C3699" s="2"/>
      </tp>
      <tp t="s">
        <v>#N/A N/A</v>
        <stp/>
        <stp>BDP|3142399855010197617</stp>
        <tr r="G1762" s="2"/>
      </tp>
      <tp t="s">
        <v>#N/A N/A</v>
        <stp/>
        <stp>BDP|7930246873298519965</stp>
        <tr r="A4254" s="2"/>
      </tp>
      <tp t="s">
        <v>#N/A N/A</v>
        <stp/>
        <stp>BDP|6912106265814448658</stp>
        <tr r="C4108" s="2"/>
      </tp>
      <tp t="s">
        <v>#N/A N/A</v>
        <stp/>
        <stp>BDP|4197994468938804056</stp>
        <tr r="I4344" s="2"/>
      </tp>
      <tp t="s">
        <v>#N/A N/A</v>
        <stp/>
        <stp>BDP|7322931593475865163</stp>
        <tr r="A3344" s="2"/>
      </tp>
      <tp t="s">
        <v>#N/A N/A</v>
        <stp/>
        <stp>BDP|1673387574483219557</stp>
        <tr r="D1011" s="2"/>
      </tp>
      <tp t="s">
        <v>#N/A N/A</v>
        <stp/>
        <stp>BDP|4345244632905893302</stp>
        <tr r="H3155" s="2"/>
      </tp>
      <tp t="s">
        <v>#N/A N/A</v>
        <stp/>
        <stp>BDP|2510419279232693061</stp>
        <tr r="C1059" s="2"/>
      </tp>
      <tp t="s">
        <v>#N/A N/A</v>
        <stp/>
        <stp>BDP|6822997396255858020</stp>
        <tr r="F1271" s="2"/>
      </tp>
      <tp t="s">
        <v>#N/A N/A</v>
        <stp/>
        <stp>BDP|1610857226080044880</stp>
        <tr r="D2502" s="2"/>
      </tp>
      <tp t="s">
        <v>#N/A N/A</v>
        <stp/>
        <stp>BDP|8821407840588118343</stp>
        <tr r="H308" s="2"/>
      </tp>
      <tp t="s">
        <v>#N/A N/A</v>
        <stp/>
        <stp>BDP|1058223019394484528</stp>
        <tr r="H2895" s="2"/>
      </tp>
      <tp t="s">
        <v>#N/A N/A</v>
        <stp/>
        <stp>BDP|6117550263537356194</stp>
        <tr r="B4642" s="2"/>
      </tp>
      <tp t="s">
        <v>#N/A N/A</v>
        <stp/>
        <stp>BDP|8465694975092507807</stp>
        <tr r="I4635" s="2"/>
      </tp>
      <tp t="s">
        <v>#N/A N/A</v>
        <stp/>
        <stp>BDP|7979647140883558558</stp>
        <tr r="H2344" s="2"/>
      </tp>
      <tp t="s">
        <v>#N/A N/A</v>
        <stp/>
        <stp>BDP|5009340716372853673</stp>
        <tr r="F4944" s="2"/>
      </tp>
      <tp t="s">
        <v>#N/A N/A</v>
        <stp/>
        <stp>BDP|3237416803702534684</stp>
        <tr r="C4758" s="2"/>
      </tp>
      <tp t="s">
        <v>#N/A N/A</v>
        <stp/>
        <stp>BDP|5900544875584711024</stp>
        <tr r="H1035" s="2"/>
      </tp>
      <tp t="s">
        <v>#N/A N/A</v>
        <stp/>
        <stp>BDP|4386474674994935042</stp>
        <tr r="D4965" s="2"/>
      </tp>
      <tp t="s">
        <v>#N/A N/A</v>
        <stp/>
        <stp>BDP|5369752494279707182</stp>
        <tr r="B487" s="2"/>
      </tp>
      <tp t="s">
        <v>#N/A N/A</v>
        <stp/>
        <stp>BDP|5932078517874466302</stp>
        <tr r="D3679" s="2"/>
      </tp>
      <tp t="s">
        <v>#N/A N/A</v>
        <stp/>
        <stp>BDP|1342193375835283100</stp>
        <tr r="I1416" s="2"/>
      </tp>
      <tp t="s">
        <v>#N/A N/A</v>
        <stp/>
        <stp>BDP|6817963480533151725</stp>
        <tr r="B4453" s="2"/>
      </tp>
      <tp t="s">
        <v>#N/A N/A</v>
        <stp/>
        <stp>BDP|8665575676539893028</stp>
        <tr r="C439" s="2"/>
      </tp>
      <tp t="s">
        <v>#N/A N/A</v>
        <stp/>
        <stp>BDP|2120053030555169785</stp>
        <tr r="G825" s="2"/>
      </tp>
      <tp t="s">
        <v>#N/A N/A</v>
        <stp/>
        <stp>BDP|8913321663597503902</stp>
        <tr r="F4485" s="2"/>
      </tp>
      <tp t="s">
        <v>#N/A N/A</v>
        <stp/>
        <stp>BDP|6955173917016174356</stp>
        <tr r="H2109" s="2"/>
      </tp>
      <tp t="s">
        <v>#N/A N/A</v>
        <stp/>
        <stp>BDP|3879049009313883302</stp>
        <tr r="F4737" s="2"/>
      </tp>
      <tp t="s">
        <v>#N/A N/A</v>
        <stp/>
        <stp>BDP|6036133396229141490</stp>
        <tr r="C4918" s="2"/>
      </tp>
      <tp t="s">
        <v>#N/A N/A</v>
        <stp/>
        <stp>BDP|3806071413661643075</stp>
        <tr r="C588" s="2"/>
      </tp>
      <tp t="s">
        <v>#N/A N/A</v>
        <stp/>
        <stp>BDP|3762626135420803552</stp>
        <tr r="I4740" s="2"/>
      </tp>
      <tp t="s">
        <v>#N/A N/A</v>
        <stp/>
        <stp>BDP|8652471372099617183</stp>
        <tr r="C3198" s="2"/>
      </tp>
      <tp t="s">
        <v>#N/A N/A</v>
        <stp/>
        <stp>BDP|2573616228431848497</stp>
        <tr r="G4650" s="2"/>
      </tp>
      <tp t="s">
        <v>#N/A N/A</v>
        <stp/>
        <stp>BDP|1479277854807514200</stp>
        <tr r="B2504" s="2"/>
      </tp>
      <tp t="s">
        <v>#N/A N/A</v>
        <stp/>
        <stp>BDP|2899225229392977381</stp>
        <tr r="G4026" s="2"/>
      </tp>
      <tp t="s">
        <v>#N/A N/A</v>
        <stp/>
        <stp>BDP|2941869037343900937</stp>
        <tr r="G567" s="2"/>
      </tp>
      <tp t="s">
        <v>#N/A N/A</v>
        <stp/>
        <stp>BDP|1932558926193134690</stp>
        <tr r="H3230" s="2"/>
      </tp>
      <tp t="s">
        <v>#N/A N/A</v>
        <stp/>
        <stp>BDP|4383150363228405833</stp>
        <tr r="D2657" s="2"/>
      </tp>
      <tp t="s">
        <v>#N/A N/A</v>
        <stp/>
        <stp>BDP|1277906899197086591</stp>
        <tr r="H1285" s="2"/>
      </tp>
      <tp t="s">
        <v>#N/A N/A</v>
        <stp/>
        <stp>BDP|5198138974740495006</stp>
        <tr r="D2036" s="2"/>
      </tp>
      <tp t="s">
        <v>#N/A N/A</v>
        <stp/>
        <stp>BDP|8546156378345800828</stp>
        <tr r="H4802" s="2"/>
      </tp>
      <tp t="s">
        <v>#N/A N/A</v>
        <stp/>
        <stp>BDP|1700866687632516018</stp>
        <tr r="F2401" s="2"/>
      </tp>
      <tp t="s">
        <v>#N/A N/A</v>
        <stp/>
        <stp>BDP|4788528971852389759</stp>
        <tr r="D1437" s="2"/>
      </tp>
      <tp t="s">
        <v>#N/A N/A</v>
        <stp/>
        <stp>BDP|7577538437092640052</stp>
        <tr r="B347" s="2"/>
      </tp>
      <tp t="s">
        <v>#N/A N/A</v>
        <stp/>
        <stp>BDP|9940463827279855529</stp>
        <tr r="H1858" s="2"/>
      </tp>
      <tp t="s">
        <v>#N/A N/A</v>
        <stp/>
        <stp>BDP|6491010146964912589</stp>
        <tr r="D426" s="2"/>
      </tp>
      <tp t="s">
        <v>#N/A N/A</v>
        <stp/>
        <stp>BDP|2015277425745983491</stp>
        <tr r="H2972" s="2"/>
      </tp>
      <tp t="s">
        <v>#N/A N/A</v>
        <stp/>
        <stp>BDP|5146148221294451123</stp>
        <tr r="B462" s="2"/>
      </tp>
      <tp t="s">
        <v>#N/A N/A</v>
        <stp/>
        <stp>BDP|3356037844355215148</stp>
        <tr r="B3533" s="2"/>
      </tp>
      <tp t="s">
        <v>#N/A N/A</v>
        <stp/>
        <stp>BDP|4240038513627139111</stp>
        <tr r="A905" s="2"/>
      </tp>
      <tp t="s">
        <v>#N/A N/A</v>
        <stp/>
        <stp>BDP|1155700045894346551</stp>
        <tr r="H4654" s="2"/>
      </tp>
      <tp t="s">
        <v>#N/A N/A</v>
        <stp/>
        <stp>BDP|2835677035553920718</stp>
        <tr r="F3017" s="2"/>
      </tp>
      <tp t="s">
        <v>#N/A N/A</v>
        <stp/>
        <stp>BDP|1081575915033516557</stp>
        <tr r="H1620" s="2"/>
      </tp>
      <tp t="s">
        <v>#N/A N/A</v>
        <stp/>
        <stp>BDP|3626211164494053019</stp>
        <tr r="A4927" s="2"/>
      </tp>
      <tp t="s">
        <v>#N/A N/A</v>
        <stp/>
        <stp>BDP|3827946042999471481</stp>
        <tr r="A1079" s="2"/>
      </tp>
      <tp t="s">
        <v>#N/A N/A</v>
        <stp/>
        <stp>BDP|9434884924749336998</stp>
        <tr r="G863" s="2"/>
      </tp>
      <tp t="s">
        <v>#N/A N/A</v>
        <stp/>
        <stp>BDP|7839646428027767718</stp>
        <tr r="I2866" s="2"/>
      </tp>
      <tp t="s">
        <v>#N/A N/A</v>
        <stp/>
        <stp>BDP|4498125132366449321</stp>
        <tr r="B3435" s="2"/>
      </tp>
      <tp t="s">
        <v>#N/A N/A</v>
        <stp/>
        <stp>BDP|1021742280619685404</stp>
        <tr r="G4546" s="2"/>
      </tp>
      <tp t="s">
        <v>#N/A N/A</v>
        <stp/>
        <stp>BDP|6407678001424809786</stp>
        <tr r="A3879" s="2"/>
      </tp>
      <tp t="s">
        <v>#N/A N/A</v>
        <stp/>
        <stp>BDP|7514358570562209206</stp>
        <tr r="B924" s="2"/>
      </tp>
      <tp t="s">
        <v>#N/A N/A</v>
        <stp/>
        <stp>BDP|6486605566666141312</stp>
        <tr r="I2200" s="2"/>
      </tp>
      <tp t="s">
        <v>#N/A N/A</v>
        <stp/>
        <stp>BDP|1279303433887012530</stp>
        <tr r="F3294" s="2"/>
      </tp>
      <tp t="s">
        <v>#N/A N/A</v>
        <stp/>
        <stp>BDP|1618348953504556064</stp>
        <tr r="C832" s="2"/>
      </tp>
      <tp t="s">
        <v>#N/A N/A</v>
        <stp/>
        <stp>BDP|4561563506935745705</stp>
        <tr r="I4300" s="2"/>
      </tp>
      <tp t="s">
        <v>#N/A N/A</v>
        <stp/>
        <stp>BDP|2971330380912060885</stp>
        <tr r="D3419" s="2"/>
      </tp>
      <tp t="s">
        <v>#N/A N/A</v>
        <stp/>
        <stp>BDP|4661535785143481967</stp>
        <tr r="D4804" s="2"/>
      </tp>
      <tp t="s">
        <v>#N/A N/A</v>
        <stp/>
        <stp>BDP|9656381305890101981</stp>
        <tr r="I626" s="2"/>
      </tp>
      <tp t="s">
        <v>#N/A N/A</v>
        <stp/>
        <stp>BDP|5049937811796210828</stp>
        <tr r="I101" s="2"/>
      </tp>
      <tp t="s">
        <v>#N/A N/A</v>
        <stp/>
        <stp>BDP|8729266031733570979</stp>
        <tr r="G2058" s="2"/>
      </tp>
      <tp t="s">
        <v>#N/A N/A</v>
        <stp/>
        <stp>BDP|7674701526555271408</stp>
        <tr r="F1864" s="2"/>
      </tp>
      <tp t="s">
        <v>#N/A N/A</v>
        <stp/>
        <stp>BDP|6286211249762074185</stp>
        <tr r="B4632" s="2"/>
      </tp>
      <tp t="s">
        <v>#N/A N/A</v>
        <stp/>
        <stp>BDP|5872500523928812913</stp>
        <tr r="A424" s="2"/>
      </tp>
      <tp t="s">
        <v>#N/A N/A</v>
        <stp/>
        <stp>BDP|8054933239964957516</stp>
        <tr r="H695" s="2"/>
      </tp>
      <tp t="s">
        <v>#N/A N/A</v>
        <stp/>
        <stp>BDP|2376609031372631662</stp>
        <tr r="C1062" s="2"/>
      </tp>
      <tp t="s">
        <v>#N/A N/A</v>
        <stp/>
        <stp>BDP|3421798459576160475</stp>
        <tr r="B317" s="2"/>
      </tp>
      <tp t="s">
        <v>#N/A N/A</v>
        <stp/>
        <stp>BDP|2354152606133582372</stp>
        <tr r="F454" s="2"/>
      </tp>
      <tp t="s">
        <v>#N/A N/A</v>
        <stp/>
        <stp>BDP|5121525063850149537</stp>
        <tr r="H490" s="2"/>
      </tp>
      <tp t="s">
        <v>#N/A N/A</v>
        <stp/>
        <stp>BDP|2539216357601575748</stp>
        <tr r="A2945" s="2"/>
      </tp>
      <tp t="s">
        <v>#N/A N/A</v>
        <stp/>
        <stp>BDP|6251519536191267257</stp>
        <tr r="I500" s="2"/>
      </tp>
      <tp t="s">
        <v>#N/A N/A</v>
        <stp/>
        <stp>BDP|2895938934912469991</stp>
        <tr r="G3437" s="2"/>
      </tp>
      <tp t="s">
        <v>#N/A N/A</v>
        <stp/>
        <stp>BDP|7271785378937756371</stp>
        <tr r="I3400" s="2"/>
      </tp>
      <tp t="s">
        <v>#N/A N/A</v>
        <stp/>
        <stp>BDP|4745537275650382502</stp>
        <tr r="F3988" s="2"/>
      </tp>
      <tp t="s">
        <v>#N/A N/A</v>
        <stp/>
        <stp>BDP|3060578370034051654</stp>
        <tr r="I2902" s="2"/>
      </tp>
      <tp t="s">
        <v>#N/A N/A</v>
        <stp/>
        <stp>BDP|3740442374817370466</stp>
        <tr r="B1047" s="2"/>
      </tp>
      <tp t="s">
        <v>#N/A N/A</v>
        <stp/>
        <stp>BDP|4573088372950486091</stp>
        <tr r="D3584" s="2"/>
      </tp>
      <tp t="s">
        <v>#N/A N/A</v>
        <stp/>
        <stp>BDP|1135774845829973887</stp>
        <tr r="H4218" s="2"/>
      </tp>
      <tp t="s">
        <v>#N/A N/A</v>
        <stp/>
        <stp>BDP|9491535206079528661</stp>
        <tr r="C2224" s="2"/>
      </tp>
      <tp t="s">
        <v>#N/A N/A</v>
        <stp/>
        <stp>BDP|5690680946505951136</stp>
        <tr r="D4540" s="2"/>
      </tp>
      <tp t="s">
        <v>#N/A N/A</v>
        <stp/>
        <stp>BDP|4733279664442468127</stp>
        <tr r="G472" s="2"/>
      </tp>
      <tp t="s">
        <v>#N/A N/A</v>
        <stp/>
        <stp>BDP|3497482306604853006</stp>
        <tr r="G1917" s="2"/>
      </tp>
      <tp t="s">
        <v>#N/A N/A</v>
        <stp/>
        <stp>BDP|5978081565756284647</stp>
        <tr r="I2293" s="2"/>
      </tp>
      <tp t="s">
        <v>#N/A N/A</v>
        <stp/>
        <stp>BDP|2150075407517038638</stp>
        <tr r="D2394" s="2"/>
      </tp>
      <tp t="s">
        <v>#N/A N/A</v>
        <stp/>
        <stp>BDP|6105156770541148279</stp>
        <tr r="I1016" s="2"/>
      </tp>
      <tp t="s">
        <v>#N/A N/A</v>
        <stp/>
        <stp>BDP|9488505784874720359</stp>
        <tr r="B701" s="2"/>
      </tp>
      <tp t="s">
        <v>#N/A N/A</v>
        <stp/>
        <stp>BDP|3441365783293728840</stp>
        <tr r="H4822" s="2"/>
      </tp>
      <tp t="s">
        <v>#N/A N/A</v>
        <stp/>
        <stp>BDP|6466170603952495667</stp>
        <tr r="C1570" s="2"/>
      </tp>
      <tp t="s">
        <v>#N/A N/A</v>
        <stp/>
        <stp>BDP|4450405252254765235</stp>
        <tr r="F3252" s="2"/>
      </tp>
      <tp t="s">
        <v>#N/A N/A</v>
        <stp/>
        <stp>BDP|7025485955553737680</stp>
        <tr r="D1225" s="2"/>
      </tp>
      <tp t="s">
        <v>#N/A N/A</v>
        <stp/>
        <stp>BDP|2919773506824991232</stp>
        <tr r="B1294" s="2"/>
      </tp>
      <tp t="s">
        <v>#N/A N/A</v>
        <stp/>
        <stp>BDP|2839354508651560326</stp>
        <tr r="G1556" s="2"/>
      </tp>
      <tp t="s">
        <v>#N/A N/A</v>
        <stp/>
        <stp>BDP|4661374752792456351</stp>
        <tr r="C4531" s="2"/>
      </tp>
      <tp t="s">
        <v>#N/A N/A</v>
        <stp/>
        <stp>BDP|5362776519763828374</stp>
        <tr r="H3442" s="2"/>
      </tp>
      <tp t="s">
        <v>#N/A N/A</v>
        <stp/>
        <stp>BDP|8140658685995145020</stp>
        <tr r="H2001" s="2"/>
      </tp>
      <tp t="s">
        <v>#N/A N/A</v>
        <stp/>
        <stp>BDP|9134933719116198489</stp>
        <tr r="D1778" s="2"/>
      </tp>
      <tp t="s">
        <v>#N/A N/A</v>
        <stp/>
        <stp>BDP|1233646441149178942</stp>
        <tr r="D872" s="2"/>
      </tp>
      <tp t="s">
        <v>#N/A N/A</v>
        <stp/>
        <stp>BDP|4196247308964638195</stp>
        <tr r="A4731" s="2"/>
      </tp>
      <tp t="s">
        <v>#N/A N/A</v>
        <stp/>
        <stp>BDP|1644026560073370755</stp>
        <tr r="I3655" s="2"/>
      </tp>
      <tp t="s">
        <v>#N/A N/A</v>
        <stp/>
        <stp>BDP|9868491216596323960</stp>
        <tr r="C2633" s="2"/>
      </tp>
      <tp t="s">
        <v>#N/A N/A</v>
        <stp/>
        <stp>BDP|1320298159567386227</stp>
        <tr r="B3683" s="2"/>
      </tp>
      <tp t="s">
        <v>#N/A N/A</v>
        <stp/>
        <stp>BDP|3635193676066930020</stp>
        <tr r="B100" s="2"/>
      </tp>
      <tp t="s">
        <v>#N/A N/A</v>
        <stp/>
        <stp>BDP|4724765732656871595</stp>
        <tr r="G2314" s="2"/>
      </tp>
      <tp t="s">
        <v>#N/A N/A</v>
        <stp/>
        <stp>BDP|6131425310708625870</stp>
        <tr r="B4825" s="2"/>
      </tp>
      <tp t="s">
        <v>#N/A N/A</v>
        <stp/>
        <stp>BDP|2883450510003827779</stp>
        <tr r="F3725" s="2"/>
      </tp>
      <tp t="s">
        <v>#N/A N/A</v>
        <stp/>
        <stp>BDP|8655415986194006332</stp>
        <tr r="F2653" s="2"/>
      </tp>
      <tp t="s">
        <v>#N/A N/A</v>
        <stp/>
        <stp>BDP|1345822434580434933</stp>
        <tr r="H1830" s="2"/>
      </tp>
      <tp t="s">
        <v>#N/A N/A</v>
        <stp/>
        <stp>BDP|1609074212360800394</stp>
        <tr r="D2922" s="2"/>
      </tp>
      <tp t="s">
        <v>#N/A N/A</v>
        <stp/>
        <stp>BDP|9212866846152877482</stp>
        <tr r="D4455" s="2"/>
      </tp>
      <tp t="s">
        <v>#N/A N/A</v>
        <stp/>
        <stp>BDP|9019531028058867515</stp>
        <tr r="D984" s="2"/>
      </tp>
      <tp t="s">
        <v>#N/A N/A</v>
        <stp/>
        <stp>BDP|6013813712164194808</stp>
        <tr r="G3101" s="2"/>
      </tp>
      <tp t="s">
        <v>#N/A N/A</v>
        <stp/>
        <stp>BDP|6130677527439450877</stp>
        <tr r="D692" s="2"/>
      </tp>
      <tp t="s">
        <v>#N/A N/A</v>
        <stp/>
        <stp>BDP|1404342546546564313</stp>
        <tr r="B4280" s="2"/>
      </tp>
      <tp t="s">
        <v>#N/A N/A</v>
        <stp/>
        <stp>BDP|1087539729344896109</stp>
        <tr r="A4266" s="2"/>
      </tp>
      <tp t="s">
        <v>#N/A N/A</v>
        <stp/>
        <stp>BDP|9693602396762165738</stp>
        <tr r="C271" s="2"/>
      </tp>
      <tp t="s">
        <v>#N/A N/A</v>
        <stp/>
        <stp>BDP|2715745881907682967</stp>
        <tr r="F2453" s="2"/>
      </tp>
      <tp t="s">
        <v>#N/A N/A</v>
        <stp/>
        <stp>BDP|2504174464584661225</stp>
        <tr r="G204" s="2"/>
      </tp>
      <tp t="s">
        <v>#N/A N/A</v>
        <stp/>
        <stp>BDP|3343438972536180513</stp>
        <tr r="B206" s="2"/>
      </tp>
      <tp t="s">
        <v>#N/A N/A</v>
        <stp/>
        <stp>BDP|9318966713643452106</stp>
        <tr r="G3150" s="2"/>
      </tp>
      <tp t="s">
        <v>#N/A N/A</v>
        <stp/>
        <stp>BDP|6652465913784237431</stp>
        <tr r="C137" s="2"/>
      </tp>
      <tp t="s">
        <v>#N/A N/A</v>
        <stp/>
        <stp>BDP|4284186334510983556</stp>
        <tr r="I3447" s="2"/>
      </tp>
      <tp t="s">
        <v>#N/A N/A</v>
        <stp/>
        <stp>BDP|8714508075870524956</stp>
        <tr r="C3344" s="2"/>
      </tp>
      <tp t="s">
        <v>#N/A N/A</v>
        <stp/>
        <stp>BDP|8753470980212138531</stp>
        <tr r="G2619" s="2"/>
      </tp>
      <tp t="s">
        <v>#N/A N/A</v>
        <stp/>
        <stp>BDP|3216155601797164650</stp>
        <tr r="B4948" s="2"/>
      </tp>
      <tp t="s">
        <v>#N/A N/A</v>
        <stp/>
        <stp>BDP|3609255800390567245</stp>
        <tr r="F1443" s="2"/>
      </tp>
      <tp t="s">
        <v>#N/A N/A</v>
        <stp/>
        <stp>BDP|4306444613365539731</stp>
        <tr r="D2183" s="2"/>
      </tp>
      <tp t="s">
        <v>#N/A N/A</v>
        <stp/>
        <stp>BDP|1212815583523277102</stp>
        <tr r="D1339" s="2"/>
      </tp>
      <tp t="s">
        <v>#N/A N/A</v>
        <stp/>
        <stp>BDP|2529987446144000890</stp>
        <tr r="A3688" s="2"/>
      </tp>
      <tp t="s">
        <v>#N/A N/A</v>
        <stp/>
        <stp>BDP|8243662736988135618</stp>
        <tr r="H2659" s="2"/>
      </tp>
      <tp t="s">
        <v>#N/A N/A</v>
        <stp/>
        <stp>BDP|1892283223531489353</stp>
        <tr r="A390" s="2"/>
      </tp>
      <tp t="s">
        <v>#N/A N/A</v>
        <stp/>
        <stp>BDP|5488668247015319146</stp>
        <tr r="G2019" s="2"/>
      </tp>
      <tp t="s">
        <v>#N/A N/A</v>
        <stp/>
        <stp>BDP|7748625338260960162</stp>
        <tr r="A1694" s="2"/>
      </tp>
      <tp t="s">
        <v>#N/A N/A</v>
        <stp/>
        <stp>BDP|9272914205591564217</stp>
        <tr r="C4362" s="2"/>
      </tp>
      <tp t="s">
        <v>#N/A N/A</v>
        <stp/>
        <stp>BDP|7060979504338782562</stp>
        <tr r="I83" s="2"/>
      </tp>
      <tp t="s">
        <v>#N/A N/A</v>
        <stp/>
        <stp>BDP|2370149232685394647</stp>
        <tr r="A3713" s="2"/>
      </tp>
      <tp t="s">
        <v>#N/A N/A</v>
        <stp/>
        <stp>BDP|4340975746913593948</stp>
        <tr r="G1990" s="2"/>
      </tp>
      <tp t="s">
        <v>#N/A N/A</v>
        <stp/>
        <stp>BDP|8791261790870287001</stp>
        <tr r="C3087" s="2"/>
      </tp>
      <tp t="s">
        <v>#N/A N/A</v>
        <stp/>
        <stp>BDP|1019372228057989452</stp>
        <tr r="I4570" s="2"/>
      </tp>
      <tp t="s">
        <v>#N/A N/A</v>
        <stp/>
        <stp>BDP|6564781515523992022</stp>
        <tr r="H4342" s="2"/>
      </tp>
      <tp t="s">
        <v>#N/A N/A</v>
        <stp/>
        <stp>BDP|6851381927114156059</stp>
        <tr r="F3461" s="2"/>
      </tp>
      <tp t="s">
        <v>#N/A N/A</v>
        <stp/>
        <stp>BDP|9685721280134053175</stp>
        <tr r="I4368" s="2"/>
      </tp>
      <tp t="s">
        <v>#N/A N/A</v>
        <stp/>
        <stp>BDP|3780011066523071533</stp>
        <tr r="A4914" s="2"/>
      </tp>
      <tp t="s">
        <v>#N/A N/A</v>
        <stp/>
        <stp>BDP|6544397714043839438</stp>
        <tr r="D2979" s="2"/>
      </tp>
      <tp t="s">
        <v>#N/A N/A</v>
        <stp/>
        <stp>BDP|6093846944811572868</stp>
        <tr r="D3068" s="2"/>
      </tp>
      <tp t="s">
        <v>#N/A N/A</v>
        <stp/>
        <stp>BDP|8198864617424115620</stp>
        <tr r="D1549" s="2"/>
      </tp>
      <tp t="s">
        <v>#N/A N/A</v>
        <stp/>
        <stp>BDP|3625677307725081351</stp>
        <tr r="F841" s="2"/>
      </tp>
      <tp t="s">
        <v>#N/A N/A</v>
        <stp/>
        <stp>BDP|9745629756489678065</stp>
        <tr r="F421" s="2"/>
      </tp>
      <tp t="s">
        <v>#N/A N/A</v>
        <stp/>
        <stp>BDP|7906692545876653005</stp>
        <tr r="G4618" s="2"/>
      </tp>
      <tp t="s">
        <v>#N/A N/A</v>
        <stp/>
        <stp>BDP|6633249792608334605</stp>
        <tr r="H289" s="2"/>
      </tp>
      <tp t="s">
        <v>#N/A N/A</v>
        <stp/>
        <stp>BDP|3422700819402754499</stp>
        <tr r="C1063" s="2"/>
      </tp>
      <tp t="s">
        <v>#N/A N/A</v>
        <stp/>
        <stp>BDP|8061728300685761964</stp>
        <tr r="A2862" s="2"/>
      </tp>
      <tp t="s">
        <v>#N/A N/A</v>
        <stp/>
        <stp>BDP|7681415656626461360</stp>
        <tr r="D4504" s="2"/>
      </tp>
      <tp t="s">
        <v>#N/A N/A</v>
        <stp/>
        <stp>BDP|5191262421012752423</stp>
        <tr r="G2963" s="2"/>
      </tp>
      <tp t="s">
        <v>#N/A N/A</v>
        <stp/>
        <stp>BDP|5299253173276008575</stp>
        <tr r="B2765" s="2"/>
      </tp>
      <tp t="s">
        <v>#N/A N/A</v>
        <stp/>
        <stp>BDP|8245824172314282036</stp>
        <tr r="F640" s="2"/>
      </tp>
      <tp t="s">
        <v>#N/A N/A</v>
        <stp/>
        <stp>BDP|9840820146964756285</stp>
        <tr r="F2056" s="2"/>
      </tp>
      <tp t="s">
        <v>#N/A N/A</v>
        <stp/>
        <stp>BDP|1508663338011887606</stp>
        <tr r="B105" s="2"/>
      </tp>
      <tp t="s">
        <v>#N/A N/A</v>
        <stp/>
        <stp>BDP|9928961332237945778</stp>
        <tr r="H4269" s="2"/>
      </tp>
      <tp t="s">
        <v>#N/A N/A</v>
        <stp/>
        <stp>BDP|7698500610746271674</stp>
        <tr r="C605" s="2"/>
      </tp>
      <tp t="s">
        <v>#N/A N/A</v>
        <stp/>
        <stp>BDP|3054508468407930426</stp>
        <tr r="H4536" s="2"/>
      </tp>
      <tp t="s">
        <v>#N/A N/A</v>
        <stp/>
        <stp>BDP|5013014647471343369</stp>
        <tr r="F3217" s="2"/>
      </tp>
      <tp t="s">
        <v>#N/A N/A</v>
        <stp/>
        <stp>BDP|4791581669021516505</stp>
        <tr r="H4851" s="2"/>
      </tp>
      <tp t="s">
        <v>#N/A N/A</v>
        <stp/>
        <stp>BDP|8763906239852428396</stp>
        <tr r="I2197" s="2"/>
      </tp>
      <tp t="s">
        <v>#N/A N/A</v>
        <stp/>
        <stp>BDP|4033104065988315853</stp>
        <tr r="A4252" s="2"/>
      </tp>
      <tp t="s">
        <v>#N/A N/A</v>
        <stp/>
        <stp>BDP|4608500649870541690</stp>
        <tr r="F4558" s="2"/>
      </tp>
      <tp t="s">
        <v>#N/A N/A</v>
        <stp/>
        <stp>BDP|9084393788497753656</stp>
        <tr r="A599" s="2"/>
      </tp>
      <tp t="s">
        <v>#N/A N/A</v>
        <stp/>
        <stp>BDP|6607989374269924206</stp>
        <tr r="B4494" s="2"/>
      </tp>
      <tp t="s">
        <v>#N/A N/A</v>
        <stp/>
        <stp>BDP|1084876738340560994</stp>
        <tr r="H1845" s="2"/>
      </tp>
      <tp t="s">
        <v>#N/A N/A</v>
        <stp/>
        <stp>BDP|6738085737507298195</stp>
        <tr r="B2714" s="2"/>
      </tp>
      <tp t="s">
        <v>#N/A N/A</v>
        <stp/>
        <stp>BDP|3309550953069164979</stp>
        <tr r="A2326" s="2"/>
      </tp>
      <tp t="s">
        <v>#N/A N/A</v>
        <stp/>
        <stp>BDP|4649275222443088403</stp>
        <tr r="B4600" s="2"/>
      </tp>
      <tp t="s">
        <v>#N/A N/A</v>
        <stp/>
        <stp>BDP|9738615297787363219</stp>
        <tr r="D2973" s="2"/>
      </tp>
      <tp t="s">
        <v>#N/A N/A</v>
        <stp/>
        <stp>BDP|5852176441110427391</stp>
        <tr r="H4599" s="2"/>
      </tp>
      <tp t="s">
        <v>#N/A N/A</v>
        <stp/>
        <stp>BDP|4440361541277653763</stp>
        <tr r="F4190" s="2"/>
      </tp>
      <tp t="s">
        <v>#N/A N/A</v>
        <stp/>
        <stp>BDP|8819273989387694639</stp>
        <tr r="C2894" s="2"/>
      </tp>
      <tp t="s">
        <v>#N/A N/A</v>
        <stp/>
        <stp>BDP|9289499083136902021</stp>
        <tr r="F2450" s="2"/>
      </tp>
      <tp t="s">
        <v>#N/A N/A</v>
        <stp/>
        <stp>BDP|3565388120942604387</stp>
        <tr r="H2463" s="2"/>
      </tp>
      <tp t="s">
        <v>#N/A N/A</v>
        <stp/>
        <stp>BDP|3654031051000120566</stp>
        <tr r="C4912" s="2"/>
      </tp>
      <tp t="s">
        <v>#N/A N/A</v>
        <stp/>
        <stp>BDP|9556677176519233254</stp>
        <tr r="I4746" s="2"/>
      </tp>
      <tp t="s">
        <v>#N/A N/A</v>
        <stp/>
        <stp>BDP|2610057032400140236</stp>
        <tr r="D2937" s="2"/>
      </tp>
      <tp t="s">
        <v>#N/A N/A</v>
        <stp/>
        <stp>BDP|7541010663672370075</stp>
        <tr r="B1118" s="2"/>
      </tp>
      <tp t="s">
        <v>#N/A N/A</v>
        <stp/>
        <stp>BDP|7259785401774018786</stp>
        <tr r="F3901" s="2"/>
      </tp>
      <tp t="s">
        <v>#N/A N/A</v>
        <stp/>
        <stp>BDP|5196637201416336639</stp>
        <tr r="I3615" s="2"/>
      </tp>
      <tp t="s">
        <v>#N/A N/A</v>
        <stp/>
        <stp>BDP|7717003305246923282</stp>
        <tr r="A2824" s="2"/>
      </tp>
      <tp t="s">
        <v>#N/A N/A</v>
        <stp/>
        <stp>BDP|8145488983992966503</stp>
        <tr r="I4062" s="2"/>
      </tp>
      <tp t="s">
        <v>#N/A N/A</v>
        <stp/>
        <stp>BDP|6162100846213267362</stp>
        <tr r="G899" s="2"/>
      </tp>
      <tp t="s">
        <v>#N/A N/A</v>
        <stp/>
        <stp>BDP|6706608137780673058</stp>
        <tr r="B3007" s="2"/>
      </tp>
      <tp t="s">
        <v>#N/A N/A</v>
        <stp/>
        <stp>BDP|7629381756137949525</stp>
        <tr r="A2201" s="2"/>
      </tp>
      <tp t="s">
        <v>#N/A N/A</v>
        <stp/>
        <stp>BDP|4147719392828521144</stp>
        <tr r="I3480" s="2"/>
      </tp>
      <tp t="s">
        <v>#N/A N/A</v>
        <stp/>
        <stp>BDP|4607448477276313258</stp>
        <tr r="F2967" s="2"/>
      </tp>
      <tp t="s">
        <v>#N/A N/A</v>
        <stp/>
        <stp>BDP|5474067231324753175</stp>
        <tr r="H641" s="2"/>
      </tp>
      <tp t="s">
        <v>#N/A N/A</v>
        <stp/>
        <stp>BDP|4779325266084153614</stp>
        <tr r="G3294" s="2"/>
      </tp>
      <tp t="s">
        <v>#N/A N/A</v>
        <stp/>
        <stp>BDP|3340622933112279733</stp>
        <tr r="C3607" s="2"/>
      </tp>
      <tp t="s">
        <v>#N/A N/A</v>
        <stp/>
        <stp>BDP|7132822816609555431</stp>
        <tr r="B2124" s="2"/>
      </tp>
      <tp t="s">
        <v>#N/A N/A</v>
        <stp/>
        <stp>BDP|1538432311376645125</stp>
        <tr r="I2408" s="2"/>
      </tp>
      <tp t="s">
        <v>#N/A N/A</v>
        <stp/>
        <stp>BDP|8612845671061308537</stp>
        <tr r="C4416" s="2"/>
      </tp>
      <tp t="s">
        <v>#N/A N/A</v>
        <stp/>
        <stp>BDP|5601063295716179970</stp>
        <tr r="H1114" s="2"/>
      </tp>
      <tp t="s">
        <v>#N/A N/A</v>
        <stp/>
        <stp>BDP|3086490671855823630</stp>
        <tr r="F4031" s="2"/>
      </tp>
      <tp t="s">
        <v>#N/A N/A</v>
        <stp/>
        <stp>BDP|3758617137280432561</stp>
        <tr r="F4383" s="2"/>
      </tp>
      <tp t="s">
        <v>#N/A N/A</v>
        <stp/>
        <stp>BDP|6127849865953559865</stp>
        <tr r="A2936" s="2"/>
      </tp>
      <tp t="s">
        <v>#N/A N/A</v>
        <stp/>
        <stp>BDP|9253266039099841265</stp>
        <tr r="G2524" s="2"/>
      </tp>
      <tp t="s">
        <v>#N/A N/A</v>
        <stp/>
        <stp>BDP|3178528755496563608</stp>
        <tr r="H1625" s="2"/>
      </tp>
      <tp t="s">
        <v>#N/A N/A</v>
        <stp/>
        <stp>BDP|3763190699908385072</stp>
        <tr r="H1162" s="2"/>
      </tp>
      <tp t="s">
        <v>#N/A N/A</v>
        <stp/>
        <stp>BDP|8896626619605540958</stp>
        <tr r="H333" s="2"/>
      </tp>
      <tp t="s">
        <v>#N/A N/A</v>
        <stp/>
        <stp>BDP|3699286466170288493</stp>
        <tr r="H809" s="2"/>
      </tp>
      <tp t="s">
        <v>#N/A N/A</v>
        <stp/>
        <stp>BDP|9507194498421273352</stp>
        <tr r="F3163" s="2"/>
      </tp>
      <tp t="s">
        <v>#N/A N/A</v>
        <stp/>
        <stp>BDP|2266615734922070648</stp>
        <tr r="D3908" s="2"/>
      </tp>
      <tp t="s">
        <v>#N/A N/A</v>
        <stp/>
        <stp>BDP|9127498833248055588</stp>
        <tr r="C609" s="2"/>
      </tp>
      <tp t="s">
        <v>#N/A N/A</v>
        <stp/>
        <stp>BDP|7236243328391404596</stp>
        <tr r="C4123" s="2"/>
      </tp>
      <tp t="s">
        <v>#N/A N/A</v>
        <stp/>
        <stp>BDP|7439078350711590050</stp>
        <tr r="I1942" s="2"/>
      </tp>
      <tp t="s">
        <v>#N/A N/A</v>
        <stp/>
        <stp>BDP|5445092663328571886</stp>
        <tr r="H4300" s="2"/>
      </tp>
      <tp t="s">
        <v>#N/A N/A</v>
        <stp/>
        <stp>BDP|8372015763745430862</stp>
        <tr r="F3962" s="2"/>
      </tp>
      <tp t="s">
        <v>#N/A N/A</v>
        <stp/>
        <stp>BDP|6190559705661373115</stp>
        <tr r="C2468" s="2"/>
      </tp>
      <tp t="s">
        <v>#N/A N/A</v>
        <stp/>
        <stp>BDP|6693439072490359675</stp>
        <tr r="G2151" s="2"/>
      </tp>
      <tp t="s">
        <v>#N/A N/A</v>
        <stp/>
        <stp>BDP|7634756620896788771</stp>
        <tr r="A610" s="2"/>
      </tp>
      <tp t="s">
        <v>#N/A N/A</v>
        <stp/>
        <stp>BDP|9975831719015849686</stp>
        <tr r="I4108" s="2"/>
      </tp>
      <tp t="s">
        <v>#N/A N/A</v>
        <stp/>
        <stp>BDP|1260953632660425826</stp>
        <tr r="B4143" s="2"/>
      </tp>
      <tp t="s">
        <v>#N/A N/A</v>
        <stp/>
        <stp>BDP|6007634060900281522</stp>
        <tr r="H4643" s="2"/>
      </tp>
      <tp t="s">
        <v>#N/A N/A</v>
        <stp/>
        <stp>BDP|2666515522262726414</stp>
        <tr r="C746" s="2"/>
      </tp>
      <tp t="s">
        <v>#N/A N/A</v>
        <stp/>
        <stp>BDP|8087669795700118410</stp>
        <tr r="D1755" s="2"/>
      </tp>
      <tp t="s">
        <v>#N/A N/A</v>
        <stp/>
        <stp>BDP|2874851188291775014</stp>
        <tr r="I2481" s="2"/>
      </tp>
      <tp t="s">
        <v>#N/A N/A</v>
        <stp/>
        <stp>BDP|9518976709126094588</stp>
        <tr r="D2802" s="2"/>
      </tp>
      <tp t="s">
        <v>#N/A N/A</v>
        <stp/>
        <stp>BDP|6422317270278677906</stp>
        <tr r="B3482" s="2"/>
      </tp>
      <tp t="s">
        <v>#N/A N/A</v>
        <stp/>
        <stp>BDP|1389411070394842598</stp>
        <tr r="H4912" s="2"/>
      </tp>
      <tp t="s">
        <v>#N/A N/A</v>
        <stp/>
        <stp>BDP|4771010174699735964</stp>
        <tr r="F2173" s="2"/>
      </tp>
      <tp t="s">
        <v>#N/A N/A</v>
        <stp/>
        <stp>BDP|1384326311852409270</stp>
        <tr r="D1595" s="2"/>
      </tp>
      <tp t="s">
        <v>#N/A N/A</v>
        <stp/>
        <stp>BDP|4037617872675933397</stp>
        <tr r="A1481" s="2"/>
      </tp>
      <tp t="s">
        <v>#N/A N/A</v>
        <stp/>
        <stp>BDP|4553000264021148037</stp>
        <tr r="D2018" s="2"/>
      </tp>
      <tp t="s">
        <v>#N/A N/A</v>
        <stp/>
        <stp>BDP|6196046895628589458</stp>
        <tr r="D1508" s="2"/>
      </tp>
      <tp t="s">
        <v>#N/A N/A</v>
        <stp/>
        <stp>BDP|4196129145787179579</stp>
        <tr r="B3325" s="2"/>
      </tp>
      <tp t="s">
        <v>#N/A N/A</v>
        <stp/>
        <stp>BDP|9678450987983449503</stp>
        <tr r="F679" s="2"/>
      </tp>
      <tp t="s">
        <v>#N/A N/A</v>
        <stp/>
        <stp>BDP|6289464626743449066</stp>
        <tr r="H3650" s="2"/>
      </tp>
      <tp t="s">
        <v>#N/A N/A</v>
        <stp/>
        <stp>BDP|1278032320162852298</stp>
        <tr r="I471" s="2"/>
      </tp>
      <tp t="s">
        <v>#N/A N/A</v>
        <stp/>
        <stp>BDP|4487603498138938050</stp>
        <tr r="F3606" s="2"/>
      </tp>
      <tp t="s">
        <v>#N/A N/A</v>
        <stp/>
        <stp>BDP|2934032207560844158</stp>
        <tr r="F2729" s="2"/>
      </tp>
      <tp t="s">
        <v>#N/A N/A</v>
        <stp/>
        <stp>BDP|6041649648583529492</stp>
        <tr r="D1003" s="2"/>
      </tp>
      <tp t="s">
        <v>#N/A N/A</v>
        <stp/>
        <stp>BDP|6491939790333794602</stp>
        <tr r="A386" s="2"/>
      </tp>
      <tp t="s">
        <v>#N/A N/A</v>
        <stp/>
        <stp>BDP|2206830408669966008</stp>
        <tr r="H40" s="2"/>
      </tp>
      <tp t="s">
        <v>#N/A N/A</v>
        <stp/>
        <stp>BDP|9580911320338491908</stp>
        <tr r="H3852" s="2"/>
      </tp>
      <tp t="s">
        <v>#N/A N/A</v>
        <stp/>
        <stp>BDP|2718666721693789672</stp>
        <tr r="G3740" s="2"/>
      </tp>
      <tp t="s">
        <v>#N/A N/A</v>
        <stp/>
        <stp>BDP|1906960025741988834</stp>
        <tr r="B4583" s="2"/>
      </tp>
      <tp t="s">
        <v>#N/A N/A</v>
        <stp/>
        <stp>BDP|3295462912764631104</stp>
        <tr r="I1034" s="2"/>
      </tp>
      <tp t="s">
        <v>#N/A N/A</v>
        <stp/>
        <stp>BDP|3426736627814146112</stp>
        <tr r="B1591" s="2"/>
      </tp>
      <tp t="s">
        <v>#N/A N/A</v>
        <stp/>
        <stp>BDP|3696546066411530212</stp>
        <tr r="D30" s="2"/>
      </tp>
      <tp t="s">
        <v>#N/A N/A</v>
        <stp/>
        <stp>BDP|4830357243650690081</stp>
        <tr r="C1175" s="2"/>
      </tp>
      <tp t="s">
        <v>#N/A N/A</v>
        <stp/>
        <stp>BDP|4839205786904937976</stp>
        <tr r="I2091" s="2"/>
      </tp>
      <tp t="s">
        <v>#N/A N/A</v>
        <stp/>
        <stp>BDP|2183310010430366337</stp>
        <tr r="D2015" s="2"/>
      </tp>
      <tp t="s">
        <v>#N/A N/A</v>
        <stp/>
        <stp>BDP|7386331670533785379</stp>
        <tr r="H4456" s="2"/>
      </tp>
      <tp t="s">
        <v>#N/A N/A</v>
        <stp/>
        <stp>BDP|9672173783847651444</stp>
        <tr r="C4340" s="2"/>
      </tp>
      <tp t="s">
        <v>#N/A N/A</v>
        <stp/>
        <stp>BDP|6594539054973422666</stp>
        <tr r="A3384" s="2"/>
      </tp>
      <tp t="s">
        <v>#N/A N/A</v>
        <stp/>
        <stp>BDP|2080820605558779107</stp>
        <tr r="C1580" s="2"/>
      </tp>
      <tp t="s">
        <v>#N/A N/A</v>
        <stp/>
        <stp>BDP|3366195944854770191</stp>
        <tr r="D2280" s="2"/>
      </tp>
      <tp t="s">
        <v>#N/A N/A</v>
        <stp/>
        <stp>BDP|1262052573523650628</stp>
        <tr r="I2329" s="2"/>
      </tp>
      <tp t="s">
        <v>#N/A N/A</v>
        <stp/>
        <stp>BDP|7640498549024171077</stp>
        <tr r="B3180" s="2"/>
      </tp>
      <tp t="s">
        <v>#N/A N/A</v>
        <stp/>
        <stp>BDP|7553586116873225395</stp>
        <tr r="B976" s="2"/>
      </tp>
      <tp t="s">
        <v>#N/A N/A</v>
        <stp/>
        <stp>BDP|5056382587145935869</stp>
        <tr r="A2551" s="2"/>
      </tp>
      <tp t="s">
        <v>#N/A N/A</v>
        <stp/>
        <stp>BDP|9788362777256466822</stp>
        <tr r="A4570" s="2"/>
      </tp>
      <tp t="s">
        <v>#N/A N/A</v>
        <stp/>
        <stp>BDP|3739460518664805119</stp>
        <tr r="G3677" s="2"/>
      </tp>
      <tp t="s">
        <v>#N/A N/A</v>
        <stp/>
        <stp>BDP|1292166916540157233</stp>
        <tr r="C2320" s="2"/>
      </tp>
      <tp t="s">
        <v>#N/A N/A</v>
        <stp/>
        <stp>BDP|2092327221083230311</stp>
        <tr r="C4047" s="2"/>
      </tp>
      <tp t="s">
        <v>#N/A N/A</v>
        <stp/>
        <stp>BDP|7545008051366335773</stp>
        <tr r="A389" s="2"/>
      </tp>
      <tp t="s">
        <v>#N/A N/A</v>
        <stp/>
        <stp>BDP|1848033578386782343</stp>
        <tr r="A824" s="2"/>
      </tp>
      <tp t="s">
        <v>#N/A N/A</v>
        <stp/>
        <stp>BDP|6585373586506440805</stp>
        <tr r="H2429" s="2"/>
      </tp>
      <tp t="s">
        <v>#N/A N/A</v>
        <stp/>
        <stp>BDP|9640727134318390636</stp>
        <tr r="A4354" s="2"/>
      </tp>
      <tp t="s">
        <v>#N/A N/A</v>
        <stp/>
        <stp>BDP|6257589061410369681</stp>
        <tr r="I1529" s="2"/>
      </tp>
      <tp t="s">
        <v>#N/A N/A</v>
        <stp/>
        <stp>BDP|8042323961816632853</stp>
        <tr r="I3429" s="2"/>
      </tp>
      <tp t="s">
        <v>#N/A N/A</v>
        <stp/>
        <stp>BDP|3277868173947089871</stp>
        <tr r="H669" s="2"/>
      </tp>
      <tp t="s">
        <v>#N/A N/A</v>
        <stp/>
        <stp>BDP|9007329095143737305</stp>
        <tr r="A4588" s="2"/>
      </tp>
      <tp t="s">
        <v>#N/A N/A</v>
        <stp/>
        <stp>BDP|4011492356836674092</stp>
        <tr r="F2027" s="2"/>
      </tp>
      <tp t="s">
        <v>#N/A N/A</v>
        <stp/>
        <stp>BDP|4044678606143350226</stp>
        <tr r="F451" s="2"/>
      </tp>
      <tp t="s">
        <v>#N/A N/A</v>
        <stp/>
        <stp>BDP|7078122923446697176</stp>
        <tr r="H1913" s="2"/>
      </tp>
      <tp t="s">
        <v>#N/A N/A</v>
        <stp/>
        <stp>BDP|7072850846819474176</stp>
        <tr r="F1682" s="2"/>
      </tp>
      <tp t="s">
        <v>#N/A N/A</v>
        <stp/>
        <stp>BDP|7355822402309628558</stp>
        <tr r="B453" s="2"/>
      </tp>
      <tp t="s">
        <v>#N/A N/A</v>
        <stp/>
        <stp>BDP|7620367341990720360</stp>
        <tr r="C4358" s="2"/>
      </tp>
      <tp t="s">
        <v>#N/A N/A</v>
        <stp/>
        <stp>BDP|1162231124122722015</stp>
        <tr r="A3605" s="2"/>
      </tp>
      <tp t="s">
        <v>#N/A N/A</v>
        <stp/>
        <stp>BDP|9435425678088826165</stp>
        <tr r="F2785" s="2"/>
      </tp>
      <tp t="s">
        <v>#N/A N/A</v>
        <stp/>
        <stp>BDP|6305060027680326715</stp>
        <tr r="G2292" s="2"/>
      </tp>
      <tp t="s">
        <v>#N/A N/A</v>
        <stp/>
        <stp>BDP|9933140530991499993</stp>
        <tr r="F2256" s="2"/>
      </tp>
      <tp t="s">
        <v>#N/A N/A</v>
        <stp/>
        <stp>BDP|5988546520840819157</stp>
        <tr r="D4156" s="2"/>
      </tp>
      <tp t="s">
        <v>#N/A N/A</v>
        <stp/>
        <stp>BDP|1967081758466809113</stp>
        <tr r="F863" s="2"/>
      </tp>
      <tp t="s">
        <v>#N/A N/A</v>
        <stp/>
        <stp>BDP|5736730730407628525</stp>
        <tr r="G960" s="2"/>
      </tp>
      <tp t="s">
        <v>#N/A N/A</v>
        <stp/>
        <stp>BDP|2821904537088910364</stp>
        <tr r="C4680" s="2"/>
      </tp>
      <tp t="s">
        <v>#N/A N/A</v>
        <stp/>
        <stp>BDP|6453142762570727252</stp>
        <tr r="H2123" s="2"/>
      </tp>
      <tp t="s">
        <v>#N/A N/A</v>
        <stp/>
        <stp>BDP|2017537372656647576</stp>
        <tr r="G1121" s="2"/>
      </tp>
      <tp t="s">
        <v>#N/A N/A</v>
        <stp/>
        <stp>BDP|5533212274326203520</stp>
        <tr r="G179" s="2"/>
      </tp>
      <tp t="s">
        <v>#N/A N/A</v>
        <stp/>
        <stp>BDP|9164094603312962825</stp>
        <tr r="C4027" s="2"/>
      </tp>
      <tp t="s">
        <v>#N/A N/A</v>
        <stp/>
        <stp>BDP|7003152989395971854</stp>
        <tr r="B1072" s="2"/>
      </tp>
      <tp t="s">
        <v>#N/A N/A</v>
        <stp/>
        <stp>BDP|9879782485760417511</stp>
        <tr r="F3445" s="2"/>
      </tp>
      <tp t="s">
        <v>#N/A N/A</v>
        <stp/>
        <stp>BDP|8683743627898031652</stp>
        <tr r="F388" s="2"/>
      </tp>
      <tp t="s">
        <v>#N/A N/A</v>
        <stp/>
        <stp>BDP|8667675918029113580</stp>
        <tr r="B1133" s="2"/>
      </tp>
      <tp t="s">
        <v>#N/A N/A</v>
        <stp/>
        <stp>BDP|3134456950525476405</stp>
        <tr r="D3587" s="2"/>
      </tp>
      <tp t="s">
        <v>#N/A N/A</v>
        <stp/>
        <stp>BDP|8700531591181677635</stp>
        <tr r="C3887" s="2"/>
      </tp>
      <tp t="s">
        <v>#N/A N/A</v>
        <stp/>
        <stp>BDP|7393021221014845289</stp>
        <tr r="C2356" s="2"/>
      </tp>
      <tp t="s">
        <v>#N/A N/A</v>
        <stp/>
        <stp>BDP|2403273842316856190</stp>
        <tr r="I3331" s="2"/>
      </tp>
      <tp t="s">
        <v>#N/A N/A</v>
        <stp/>
        <stp>BDP|3563431636686672163</stp>
        <tr r="H3808" s="2"/>
      </tp>
      <tp t="s">
        <v>#N/A N/A</v>
        <stp/>
        <stp>BDP|5175406071796804383</stp>
        <tr r="D2568" s="2"/>
      </tp>
      <tp t="s">
        <v>#N/A N/A</v>
        <stp/>
        <stp>BDP|6911467519486265641</stp>
        <tr r="I1263" s="2"/>
      </tp>
      <tp t="s">
        <v>#N/A N/A</v>
        <stp/>
        <stp>BDP|8480678032139217734</stp>
        <tr r="H3021" s="2"/>
      </tp>
      <tp t="s">
        <v>#N/A N/A</v>
        <stp/>
        <stp>BDP|9527362335122200845</stp>
        <tr r="D3932" s="2"/>
      </tp>
      <tp t="s">
        <v>#N/A N/A</v>
        <stp/>
        <stp>BDP|3057750191708234665</stp>
        <tr r="H4895" s="2"/>
      </tp>
      <tp t="s">
        <v>#N/A N/A</v>
        <stp/>
        <stp>BDP|8416435086180427753</stp>
        <tr r="I404" s="2"/>
      </tp>
      <tp t="s">
        <v>#N/A N/A</v>
        <stp/>
        <stp>BDP|3164723364270255155</stp>
        <tr r="I723" s="2"/>
      </tp>
      <tp t="s">
        <v>#N/A N/A</v>
        <stp/>
        <stp>BDP|4973595334675762435</stp>
        <tr r="I4874" s="2"/>
      </tp>
      <tp t="s">
        <v>#N/A N/A</v>
        <stp/>
        <stp>BDP|2505530477157042412</stp>
        <tr r="C747" s="2"/>
      </tp>
      <tp t="s">
        <v>#N/A N/A</v>
        <stp/>
        <stp>BDP|4255860341053764824</stp>
        <tr r="A4144" s="2"/>
      </tp>
      <tp t="s">
        <v>#N/A N/A</v>
        <stp/>
        <stp>BDP|5233685549192677657</stp>
        <tr r="H3983" s="2"/>
      </tp>
      <tp t="s">
        <v>#N/A N/A</v>
        <stp/>
        <stp>BDP|7174326955441473325</stp>
        <tr r="D3368" s="2"/>
      </tp>
      <tp t="s">
        <v>#N/A N/A</v>
        <stp/>
        <stp>BDP|8056688403824830930</stp>
        <tr r="I1130" s="2"/>
      </tp>
      <tp t="s">
        <v>#N/A N/A</v>
        <stp/>
        <stp>BDP|9468181309193593809</stp>
        <tr r="C2987" s="2"/>
      </tp>
      <tp t="s">
        <v>#N/A N/A</v>
        <stp/>
        <stp>BDP|5843621314646758790</stp>
        <tr r="C675" s="2"/>
      </tp>
      <tp t="s">
        <v>#N/A N/A</v>
        <stp/>
        <stp>BDP|9748209084575563568</stp>
        <tr r="D4929" s="2"/>
      </tp>
      <tp t="s">
        <v>#N/A N/A</v>
        <stp/>
        <stp>BDP|6498888063452702983</stp>
        <tr r="A1621" s="2"/>
      </tp>
      <tp t="s">
        <v>#N/A N/A</v>
        <stp/>
        <stp>BDP|6175629241000742743</stp>
        <tr r="D3523" s="2"/>
      </tp>
      <tp t="s">
        <v>#N/A N/A</v>
        <stp/>
        <stp>BDP|6210608370155711140</stp>
        <tr r="A1772" s="2"/>
      </tp>
      <tp t="s">
        <v>#N/A N/A</v>
        <stp/>
        <stp>BDP|1172738816585770124</stp>
        <tr r="D3528" s="2"/>
      </tp>
      <tp t="s">
        <v>#N/A N/A</v>
        <stp/>
        <stp>BDP|8589750149508175093</stp>
        <tr r="C4143" s="2"/>
      </tp>
      <tp t="s">
        <v>#N/A N/A</v>
        <stp/>
        <stp>BDP|4121130041461079328</stp>
        <tr r="G630" s="2"/>
      </tp>
      <tp t="s">
        <v>#N/A N/A</v>
        <stp/>
        <stp>BDP|2578830423852723934</stp>
        <tr r="G2127" s="2"/>
      </tp>
      <tp t="s">
        <v>#N/A N/A</v>
        <stp/>
        <stp>BDP|5128248183779604514</stp>
        <tr r="C1677" s="2"/>
      </tp>
      <tp t="s">
        <v>#N/A N/A</v>
        <stp/>
        <stp>BDP|5770614930920021371</stp>
        <tr r="C3160" s="2"/>
      </tp>
      <tp t="s">
        <v>#N/A N/A</v>
        <stp/>
        <stp>BDP|8226824677324551038</stp>
        <tr r="D1890" s="2"/>
      </tp>
      <tp t="s">
        <v>#N/A N/A</v>
        <stp/>
        <stp>BDP|5826083144316798423</stp>
        <tr r="H1357" s="2"/>
      </tp>
      <tp t="s">
        <v>#N/A N/A</v>
        <stp/>
        <stp>BDP|1179839190820795347</stp>
        <tr r="F1362" s="2"/>
      </tp>
      <tp t="s">
        <v>#N/A N/A</v>
        <stp/>
        <stp>BDP|9604943921645341419</stp>
        <tr r="G3253" s="2"/>
      </tp>
      <tp t="s">
        <v>#N/A N/A</v>
        <stp/>
        <stp>BDP|2702119415264249507</stp>
        <tr r="G4552" s="2"/>
      </tp>
      <tp t="s">
        <v>#N/A N/A</v>
        <stp/>
        <stp>BDP|2240827928752056999</stp>
        <tr r="I4476" s="2"/>
      </tp>
      <tp t="s">
        <v>#N/A N/A</v>
        <stp/>
        <stp>BDP|8536916636926140723</stp>
        <tr r="G1316" s="2"/>
      </tp>
      <tp t="s">
        <v>#N/A N/A</v>
        <stp/>
        <stp>BDP|5259592743636823118</stp>
        <tr r="C1455" s="2"/>
      </tp>
      <tp t="s">
        <v>#N/A N/A</v>
        <stp/>
        <stp>BDP|7742941597880440412</stp>
        <tr r="H2836" s="2"/>
      </tp>
      <tp t="s">
        <v>#N/A N/A</v>
        <stp/>
        <stp>BDP|5591511726056734741</stp>
        <tr r="C2194" s="2"/>
      </tp>
      <tp t="s">
        <v>#N/A N/A</v>
        <stp/>
        <stp>BDP|7316245517953565441</stp>
        <tr r="D1765" s="2"/>
      </tp>
      <tp t="s">
        <v>#N/A N/A</v>
        <stp/>
        <stp>BDP|6909928941669349180</stp>
        <tr r="G3240" s="2"/>
      </tp>
      <tp t="s">
        <v>#N/A N/A</v>
        <stp/>
        <stp>BDP|9987902976224708095</stp>
        <tr r="D4565" s="2"/>
      </tp>
      <tp t="s">
        <v>#N/A N/A</v>
        <stp/>
        <stp>BDP|2724448726153526414</stp>
        <tr r="I4303" s="2"/>
      </tp>
      <tp t="s">
        <v>#N/A N/A</v>
        <stp/>
        <stp>BDP|4651115357474907789</stp>
        <tr r="G4798" s="2"/>
      </tp>
      <tp t="s">
        <v>#N/A N/A</v>
        <stp/>
        <stp>BDP|9111522507946238974</stp>
        <tr r="H4260" s="2"/>
      </tp>
      <tp t="s">
        <v>#N/A N/A</v>
        <stp/>
        <stp>BDP|1909274204090987020</stp>
        <tr r="I3096" s="2"/>
      </tp>
      <tp t="s">
        <v>#N/A N/A</v>
        <stp/>
        <stp>BDP|1903322335133872178</stp>
        <tr r="B3395" s="2"/>
      </tp>
      <tp t="s">
        <v>#N/A N/A</v>
        <stp/>
        <stp>BDP|1228436492976448965</stp>
        <tr r="C879" s="2"/>
      </tp>
      <tp t="s">
        <v>#N/A N/A</v>
        <stp/>
        <stp>BDP|1989187474303027742</stp>
        <tr r="I2807" s="2"/>
      </tp>
      <tp t="s">
        <v>#N/A N/A</v>
        <stp/>
        <stp>BDP|4308606277103590502</stp>
        <tr r="F4612" s="2"/>
      </tp>
      <tp t="s">
        <v>#N/A N/A</v>
        <stp/>
        <stp>BDP|6677868873088567276</stp>
        <tr r="A2357" s="2"/>
      </tp>
      <tp t="s">
        <v>#N/A N/A</v>
        <stp/>
        <stp>BDP|8657460180830245736</stp>
        <tr r="B3166" s="2"/>
      </tp>
      <tp t="s">
        <v>#N/A N/A</v>
        <stp/>
        <stp>BDP|3277898143058092499</stp>
        <tr r="G3997" s="2"/>
      </tp>
      <tp t="s">
        <v>#N/A N/A</v>
        <stp/>
        <stp>BDP|7615063152753520268</stp>
        <tr r="G2118" s="2"/>
      </tp>
      <tp t="s">
        <v>#N/A N/A</v>
        <stp/>
        <stp>BDP|9507214853838430520</stp>
        <tr r="C4586" s="2"/>
      </tp>
      <tp t="s">
        <v>#N/A N/A</v>
        <stp/>
        <stp>BDP|2169973693850704132</stp>
        <tr r="A2686" s="2"/>
      </tp>
      <tp t="s">
        <v>#N/A N/A</v>
        <stp/>
        <stp>BDP|5415930440972628905</stp>
        <tr r="I1068" s="2"/>
      </tp>
      <tp t="s">
        <v>#N/A N/A</v>
        <stp/>
        <stp>BDP|1559629049775851571</stp>
        <tr r="A3509" s="2"/>
      </tp>
      <tp t="s">
        <v>#N/A N/A</v>
        <stp/>
        <stp>BDP|2889533522643053587</stp>
        <tr r="B761" s="2"/>
      </tp>
      <tp t="s">
        <v>#N/A N/A</v>
        <stp/>
        <stp>BDP|8510980627573326388</stp>
        <tr r="C1383" s="2"/>
      </tp>
      <tp t="s">
        <v>#N/A N/A</v>
        <stp/>
        <stp>BDP|3825677693188527788</stp>
        <tr r="I3538" s="2"/>
      </tp>
      <tp t="s">
        <v>#N/A N/A</v>
        <stp/>
        <stp>BDP|9289523290247431154</stp>
        <tr r="G3901" s="2"/>
      </tp>
      <tp t="s">
        <v>#N/A N/A</v>
        <stp/>
        <stp>BDP|6000745856432592566</stp>
        <tr r="A3207" s="2"/>
      </tp>
      <tp t="s">
        <v>#N/A N/A</v>
        <stp/>
        <stp>BDP|3117058492411718802</stp>
        <tr r="A1483" s="2"/>
      </tp>
      <tp t="s">
        <v>#N/A N/A</v>
        <stp/>
        <stp>BDP|4686773420115438747</stp>
        <tr r="G3811" s="2"/>
      </tp>
      <tp t="s">
        <v>#N/A N/A</v>
        <stp/>
        <stp>BDP|9167772684416244315</stp>
        <tr r="A4979" s="2"/>
      </tp>
      <tp t="s">
        <v>#N/A N/A</v>
        <stp/>
        <stp>BDP|9023354357324724846</stp>
        <tr r="F537" s="2"/>
      </tp>
      <tp t="s">
        <v>#N/A N/A</v>
        <stp/>
        <stp>BDP|9558926543295224272</stp>
        <tr r="D2777" s="2"/>
      </tp>
      <tp t="s">
        <v>#N/A N/A</v>
        <stp/>
        <stp>BDP|1499048961112990698</stp>
        <tr r="F190" s="2"/>
      </tp>
      <tp t="s">
        <v>#N/A N/A</v>
        <stp/>
        <stp>BDP|7984888797503272653</stp>
        <tr r="A1895" s="2"/>
      </tp>
      <tp t="s">
        <v>#N/A N/A</v>
        <stp/>
        <stp>BDP|6545075900147587269</stp>
        <tr r="C4791" s="2"/>
      </tp>
      <tp t="s">
        <v>#N/A N/A</v>
        <stp/>
        <stp>BDP|7074368676880255033</stp>
        <tr r="H4041" s="2"/>
      </tp>
      <tp t="s">
        <v>#N/A N/A</v>
        <stp/>
        <stp>BDP|1152676444345178526</stp>
        <tr r="H1529" s="2"/>
      </tp>
      <tp t="s">
        <v>#N/A N/A</v>
        <stp/>
        <stp>BDP|2281939474496736937</stp>
        <tr r="H3290" s="2"/>
      </tp>
      <tp t="s">
        <v>#N/A N/A</v>
        <stp/>
        <stp>BDP|6732713472265654037</stp>
        <tr r="A4827" s="2"/>
      </tp>
      <tp t="s">
        <v>#N/A N/A</v>
        <stp/>
        <stp>BDP|8431572262628721075</stp>
        <tr r="C2256" s="2"/>
      </tp>
      <tp t="s">
        <v>#N/A N/A</v>
        <stp/>
        <stp>BDP|6685038743272537321</stp>
        <tr r="C1830" s="2"/>
      </tp>
      <tp t="s">
        <v>#N/A N/A</v>
        <stp/>
        <stp>BDP|8825067359136236847</stp>
        <tr r="H2163" s="2"/>
      </tp>
      <tp t="s">
        <v>#N/A N/A</v>
        <stp/>
        <stp>BDP|6805143459556608726</stp>
        <tr r="G1896" s="2"/>
      </tp>
      <tp t="s">
        <v>#N/A N/A</v>
        <stp/>
        <stp>BDP|2553979162388667679</stp>
        <tr r="I3389" s="2"/>
      </tp>
      <tp t="s">
        <v>#N/A N/A</v>
        <stp/>
        <stp>BDP|1625013583343144945</stp>
        <tr r="F861" s="2"/>
      </tp>
      <tp t="s">
        <v>#N/A N/A</v>
        <stp/>
        <stp>BDP|3584069097379243075</stp>
        <tr r="B466" s="2"/>
      </tp>
      <tp t="s">
        <v>#N/A N/A</v>
        <stp/>
        <stp>BDP|2635023174002235430</stp>
        <tr r="B1521" s="2"/>
      </tp>
      <tp t="s">
        <v>#N/A N/A</v>
        <stp/>
        <stp>BDP|6766290730555835173</stp>
        <tr r="G1958" s="2"/>
      </tp>
      <tp t="s">
        <v>#N/A N/A</v>
        <stp/>
        <stp>BDP|2587126223115599705</stp>
        <tr r="A4600" s="2"/>
      </tp>
      <tp t="s">
        <v>#N/A N/A</v>
        <stp/>
        <stp>BDP|3939764940756842566</stp>
        <tr r="B749" s="2"/>
      </tp>
      <tp t="s">
        <v>#N/A N/A</v>
        <stp/>
        <stp>BDP|1268361640911797425</stp>
        <tr r="G4541" s="2"/>
      </tp>
      <tp t="s">
        <v>#N/A N/A</v>
        <stp/>
        <stp>BDP|1133083932689313892</stp>
        <tr r="G4947" s="2"/>
      </tp>
      <tp t="s">
        <v>#N/A N/A</v>
        <stp/>
        <stp>BDP|5989543928701401009</stp>
        <tr r="F2799" s="2"/>
      </tp>
      <tp t="s">
        <v>#N/A N/A</v>
        <stp/>
        <stp>BDP|1752251617290721131</stp>
        <tr r="A2974" s="2"/>
      </tp>
      <tp t="s">
        <v>#N/A N/A</v>
        <stp/>
        <stp>BDP|2733556860420034237</stp>
        <tr r="H218" s="2"/>
      </tp>
      <tp t="s">
        <v>#N/A N/A</v>
        <stp/>
        <stp>BDP|8404420799184806264</stp>
        <tr r="I2685" s="2"/>
      </tp>
      <tp t="s">
        <v>#N/A N/A</v>
        <stp/>
        <stp>BDP|2985249760691945456</stp>
        <tr r="G2995" s="2"/>
      </tp>
      <tp t="s">
        <v>#N/A N/A</v>
        <stp/>
        <stp>BDP|2752366474482054747</stp>
        <tr r="B3574" s="2"/>
      </tp>
      <tp t="s">
        <v>#N/A N/A</v>
        <stp/>
        <stp>BDP|6670404127237038407</stp>
        <tr r="H1729" s="2"/>
      </tp>
      <tp t="s">
        <v>#N/A N/A</v>
        <stp/>
        <stp>BDP|7204985890071301580</stp>
        <tr r="I871" s="2"/>
      </tp>
      <tp t="s">
        <v>#N/A N/A</v>
        <stp/>
        <stp>BDP|3754311756717056112</stp>
        <tr r="C889" s="2"/>
      </tp>
      <tp t="s">
        <v>#N/A N/A</v>
        <stp/>
        <stp>BDP|4142673454371561566</stp>
        <tr r="I1620" s="2"/>
      </tp>
      <tp t="s">
        <v>#N/A N/A</v>
        <stp/>
        <stp>BDP|6298877746921111832</stp>
        <tr r="F3502" s="2"/>
      </tp>
      <tp t="s">
        <v>#N/A N/A</v>
        <stp/>
        <stp>BDP|8085013585453689033</stp>
        <tr r="C508" s="2"/>
      </tp>
      <tp t="s">
        <v>#N/A N/A</v>
        <stp/>
        <stp>BDP|3604843363739339733</stp>
        <tr r="A3739" s="2"/>
      </tp>
      <tp t="s">
        <v>#N/A N/A</v>
        <stp/>
        <stp>BDP|4758358722232486453</stp>
        <tr r="F1187" s="2"/>
      </tp>
      <tp t="s">
        <v>#N/A N/A</v>
        <stp/>
        <stp>BDP|2920498724180694736</stp>
        <tr r="A1676" s="2"/>
      </tp>
      <tp t="s">
        <v>#N/A N/A</v>
        <stp/>
        <stp>BDP|7744969460243710879</stp>
        <tr r="B3288" s="2"/>
      </tp>
      <tp t="s">
        <v>#N/A N/A</v>
        <stp/>
        <stp>BDP|1327222348094948013</stp>
        <tr r="B4932" s="2"/>
      </tp>
      <tp t="s">
        <v>#N/A N/A</v>
        <stp/>
        <stp>BDP|8918894919475147792</stp>
        <tr r="I2421" s="2"/>
      </tp>
      <tp t="s">
        <v>#N/A N/A</v>
        <stp/>
        <stp>BDP|2173671834734570061</stp>
        <tr r="G3738" s="2"/>
      </tp>
      <tp t="s">
        <v>#N/A N/A</v>
        <stp/>
        <stp>BDP|5010345523136331150</stp>
        <tr r="D1568" s="2"/>
      </tp>
      <tp t="s">
        <v>#N/A N/A</v>
        <stp/>
        <stp>BDP|5153173141176602501</stp>
        <tr r="C4969" s="2"/>
      </tp>
      <tp t="s">
        <v>#N/A N/A</v>
        <stp/>
        <stp>BDP|5730388115230895436</stp>
        <tr r="D348" s="2"/>
      </tp>
      <tp t="s">
        <v>#N/A N/A</v>
        <stp/>
        <stp>BDP|3839606918681918684</stp>
        <tr r="D1621" s="2"/>
      </tp>
      <tp t="s">
        <v>#N/A N/A</v>
        <stp/>
        <stp>BDP|5158217516345138064</stp>
        <tr r="I611" s="2"/>
      </tp>
      <tp t="s">
        <v>#N/A N/A</v>
        <stp/>
        <stp>BDP|1491074403622644079</stp>
        <tr r="D1926" s="2"/>
      </tp>
      <tp t="s">
        <v>#N/A N/A</v>
        <stp/>
        <stp>BDP|9229885358206704143</stp>
        <tr r="H3395" s="2"/>
      </tp>
      <tp t="s">
        <v>#N/A N/A</v>
        <stp/>
        <stp>BDP|9185259193548718913</stp>
        <tr r="D631" s="2"/>
      </tp>
      <tp t="s">
        <v>#N/A N/A</v>
        <stp/>
        <stp>BDP|4844188197078607775</stp>
        <tr r="F4640" s="2"/>
      </tp>
      <tp t="s">
        <v>#N/A N/A</v>
        <stp/>
        <stp>BDP|3531104707526034748</stp>
        <tr r="C1397" s="2"/>
      </tp>
      <tp t="s">
        <v>#N/A N/A</v>
        <stp/>
        <stp>BDP|3229747170723680363</stp>
        <tr r="D2872" s="2"/>
      </tp>
      <tp t="s">
        <v>#N/A N/A</v>
        <stp/>
        <stp>BDP|4874432003173795095</stp>
        <tr r="F3617" s="2"/>
      </tp>
      <tp t="s">
        <v>#N/A N/A</v>
        <stp/>
        <stp>BDP|4742227507641684425</stp>
        <tr r="C892" s="2"/>
      </tp>
      <tp t="s">
        <v>#N/A N/A</v>
        <stp/>
        <stp>BDP|4157171151933914084</stp>
        <tr r="F542" s="2"/>
      </tp>
      <tp t="s">
        <v>#N/A N/A</v>
        <stp/>
        <stp>BDP|5595141764292709342</stp>
        <tr r="B1127" s="2"/>
      </tp>
      <tp t="s">
        <v>#N/A N/A</v>
        <stp/>
        <stp>BDP|7096361882208553777</stp>
        <tr r="G2933" s="2"/>
      </tp>
      <tp t="s">
        <v>#N/A N/A</v>
        <stp/>
        <stp>BDP|7103178588998992510</stp>
        <tr r="B3098" s="2"/>
      </tp>
      <tp t="s">
        <v>#N/A N/A</v>
        <stp/>
        <stp>BDP|1181910632798666021</stp>
        <tr r="C4488" s="2"/>
      </tp>
      <tp t="s">
        <v>#N/A N/A</v>
        <stp/>
        <stp>BDP|7086456331085504676</stp>
        <tr r="D2097" s="2"/>
      </tp>
      <tp t="s">
        <v>#N/A N/A</v>
        <stp/>
        <stp>BDP|6286005423725086279</stp>
        <tr r="C4454" s="2"/>
      </tp>
      <tp t="s">
        <v>#N/A N/A</v>
        <stp/>
        <stp>BDP|7626970295825191138</stp>
        <tr r="A385" s="2"/>
      </tp>
      <tp t="s">
        <v>#N/A N/A</v>
        <stp/>
        <stp>BDP|7807027026125342399</stp>
        <tr r="B3085" s="2"/>
      </tp>
      <tp t="s">
        <v>#N/A N/A</v>
        <stp/>
        <stp>BDP|6999632045207978005</stp>
        <tr r="H2064" s="2"/>
      </tp>
      <tp t="s">
        <v>#N/A N/A</v>
        <stp/>
        <stp>BDP|9552037177444594924</stp>
        <tr r="C559" s="2"/>
      </tp>
      <tp t="s">
        <v>#N/A N/A</v>
        <stp/>
        <stp>BDP|6728764529772625288</stp>
        <tr r="D2895" s="2"/>
      </tp>
      <tp t="s">
        <v>#N/A N/A</v>
        <stp/>
        <stp>BDP|5018651153945905092</stp>
        <tr r="C4462" s="2"/>
      </tp>
      <tp t="s">
        <v>#N/A N/A</v>
        <stp/>
        <stp>BDP|9466133993777110538</stp>
        <tr r="D3738" s="2"/>
      </tp>
      <tp t="s">
        <v>#N/A N/A</v>
        <stp/>
        <stp>BDP|9441850654082166529</stp>
        <tr r="I1807" s="2"/>
      </tp>
      <tp t="s">
        <v>#N/A N/A</v>
        <stp/>
        <stp>BDP|7310545530335642779</stp>
        <tr r="I1248" s="2"/>
      </tp>
      <tp t="s">
        <v>#N/A N/A</v>
        <stp/>
        <stp>BDP|6984450139147051536</stp>
        <tr r="G1623" s="2"/>
      </tp>
      <tp t="s">
        <v>#N/A N/A</v>
        <stp/>
        <stp>BDP|4436688738963206108</stp>
        <tr r="C2995" s="2"/>
      </tp>
      <tp t="s">
        <v>#N/A N/A</v>
        <stp/>
        <stp>BDP|1440855331711250849</stp>
        <tr r="I1179" s="2"/>
      </tp>
      <tp t="s">
        <v>#N/A N/A</v>
        <stp/>
        <stp>BDP|3442045013664197544</stp>
        <tr r="D4986" s="2"/>
      </tp>
      <tp t="s">
        <v>#N/A N/A</v>
        <stp/>
        <stp>BDP|4326533445270509669</stp>
        <tr r="I2317" s="2"/>
      </tp>
      <tp t="s">
        <v>#N/A N/A</v>
        <stp/>
        <stp>BDP|1395504252372364045</stp>
        <tr r="B925" s="2"/>
      </tp>
      <tp t="s">
        <v>#N/A N/A</v>
        <stp/>
        <stp>BDP|2925199704738365817</stp>
        <tr r="D2709" s="2"/>
      </tp>
      <tp t="s">
        <v>#N/A N/A</v>
        <stp/>
        <stp>BDP|3811967200711853809</stp>
        <tr r="C4635" s="2"/>
      </tp>
      <tp t="s">
        <v>#N/A N/A</v>
        <stp/>
        <stp>BDP|6563243576148210838</stp>
        <tr r="A3338" s="2"/>
      </tp>
      <tp t="s">
        <v>#N/A N/A</v>
        <stp/>
        <stp>BDP|5917470388538004209</stp>
        <tr r="G64" s="2"/>
      </tp>
      <tp t="s">
        <v>#N/A N/A</v>
        <stp/>
        <stp>BDP|6723658495419844396</stp>
        <tr r="B4427" s="2"/>
      </tp>
      <tp t="s">
        <v>#N/A N/A</v>
        <stp/>
        <stp>BDP|9179347278917928927</stp>
        <tr r="C431" s="2"/>
      </tp>
      <tp t="s">
        <v>#N/A N/A</v>
        <stp/>
        <stp>BDP|9177834965934530045</stp>
        <tr r="G4357" s="2"/>
      </tp>
      <tp t="s">
        <v>#N/A N/A</v>
        <stp/>
        <stp>BDP|5174066760949458951</stp>
        <tr r="A573" s="2"/>
      </tp>
      <tp t="s">
        <v>#N/A N/A</v>
        <stp/>
        <stp>BDP|1217031030043388244</stp>
        <tr r="I4580" s="2"/>
      </tp>
      <tp t="s">
        <v>#N/A N/A</v>
        <stp/>
        <stp>BDP|1957632471466893555</stp>
        <tr r="I3321" s="2"/>
      </tp>
      <tp t="s">
        <v>#N/A N/A</v>
        <stp/>
        <stp>BDP|1987496036163567656</stp>
        <tr r="H4869" s="2"/>
      </tp>
      <tp t="s">
        <v>#N/A N/A</v>
        <stp/>
        <stp>BDP|7958944384092984766</stp>
        <tr r="H3074" s="2"/>
      </tp>
      <tp t="s">
        <v>#N/A N/A</v>
        <stp/>
        <stp>BDP|1069359443382964795</stp>
        <tr r="I3704" s="2"/>
      </tp>
      <tp t="s">
        <v>#N/A N/A</v>
        <stp/>
        <stp>BDP|2631582368892314037</stp>
        <tr r="A4845" s="2"/>
      </tp>
      <tp t="s">
        <v>#N/A N/A</v>
        <stp/>
        <stp>BDP|2733779274380452163</stp>
        <tr r="G652" s="2"/>
      </tp>
      <tp t="s">
        <v>#N/A N/A</v>
        <stp/>
        <stp>BDP|2292881491759933942</stp>
        <tr r="C2161" s="2"/>
      </tp>
      <tp t="s">
        <v>#N/A N/A</v>
        <stp/>
        <stp>BDP|5569879080275335370</stp>
        <tr r="A2067" s="2"/>
      </tp>
      <tp t="s">
        <v>#N/A N/A</v>
        <stp/>
        <stp>BDP|3477427712350407562</stp>
        <tr r="A368" s="2"/>
      </tp>
      <tp t="s">
        <v>#N/A N/A</v>
        <stp/>
        <stp>BDP|9732985582828997326</stp>
        <tr r="I1175" s="2"/>
      </tp>
      <tp t="s">
        <v>#N/A N/A</v>
        <stp/>
        <stp>BDP|4000215572255408716</stp>
        <tr r="B1303" s="2"/>
      </tp>
      <tp t="s">
        <v>#N/A N/A</v>
        <stp/>
        <stp>BDP|1436084120830372098</stp>
        <tr r="D544" s="2"/>
      </tp>
      <tp t="s">
        <v>#N/A N/A</v>
        <stp/>
        <stp>BDP|4259135955117177436</stp>
        <tr r="I2779" s="2"/>
      </tp>
      <tp t="s">
        <v>#N/A N/A</v>
        <stp/>
        <stp>BDP|3734529612074127008</stp>
        <tr r="A2126" s="2"/>
      </tp>
      <tp t="s">
        <v>#N/A N/A</v>
        <stp/>
        <stp>BDP|3015032855482979790</stp>
        <tr r="H4997" s="2"/>
      </tp>
      <tp t="s">
        <v>#N/A N/A</v>
        <stp/>
        <stp>BDP|7843083353651572005</stp>
        <tr r="I98" s="2"/>
      </tp>
      <tp t="s">
        <v>#N/A N/A</v>
        <stp/>
        <stp>BDP|5032366552472531271</stp>
        <tr r="D1560" s="2"/>
      </tp>
      <tp t="s">
        <v>#N/A N/A</v>
        <stp/>
        <stp>BDP|5265503445823382426</stp>
        <tr r="D967" s="2"/>
      </tp>
      <tp t="s">
        <v>#N/A N/A</v>
        <stp/>
        <stp>BDP|8038718182473085754</stp>
        <tr r="G3147" s="2"/>
      </tp>
      <tp t="s">
        <v>#N/A N/A</v>
        <stp/>
        <stp>BDP|6613382478124121512</stp>
        <tr r="H2708" s="2"/>
      </tp>
      <tp t="s">
        <v>#N/A N/A</v>
        <stp/>
        <stp>BDP|8822831643605772290</stp>
        <tr r="H2688" s="2"/>
      </tp>
      <tp t="s">
        <v>#N/A N/A</v>
        <stp/>
        <stp>BDP|2873592641351353151</stp>
        <tr r="A955" s="2"/>
      </tp>
      <tp t="s">
        <v>#N/A N/A</v>
        <stp/>
        <stp>BDP|8795616044939015045</stp>
        <tr r="D523" s="2"/>
      </tp>
      <tp t="s">
        <v>#N/A N/A</v>
        <stp/>
        <stp>BDP|2839681109104962367</stp>
        <tr r="D2434" s="2"/>
      </tp>
      <tp t="s">
        <v>#N/A N/A</v>
        <stp/>
        <stp>BDP|3015069525037256578</stp>
        <tr r="A1504" s="2"/>
      </tp>
      <tp t="s">
        <v>#N/A N/A</v>
        <stp/>
        <stp>BDP|8374816458127852140</stp>
        <tr r="F4851" s="2"/>
      </tp>
      <tp t="s">
        <v>#N/A N/A</v>
        <stp/>
        <stp>BDP|2389897965267187880</stp>
        <tr r="C1200" s="2"/>
      </tp>
      <tp t="s">
        <v>#N/A N/A</v>
        <stp/>
        <stp>BDP|7323977741139795048</stp>
        <tr r="I3193" s="2"/>
      </tp>
      <tp t="s">
        <v>#N/A N/A</v>
        <stp/>
        <stp>BDP|1427350144590223510</stp>
        <tr r="H1086" s="2"/>
      </tp>
      <tp t="s">
        <v>#N/A N/A</v>
        <stp/>
        <stp>BDP|2381806973157521938</stp>
        <tr r="C4544" s="2"/>
      </tp>
      <tp t="s">
        <v>#N/A N/A</v>
        <stp/>
        <stp>BDP|5571910775568647012</stp>
        <tr r="B4901" s="2"/>
      </tp>
      <tp t="s">
        <v>#N/A N/A</v>
        <stp/>
        <stp>BDP|8299545790844249324</stp>
        <tr r="D4126" s="2"/>
      </tp>
      <tp t="s">
        <v>#N/A N/A</v>
        <stp/>
        <stp>BDP|2616224174722500635</stp>
        <tr r="A664" s="2"/>
      </tp>
      <tp t="s">
        <v>#N/A N/A</v>
        <stp/>
        <stp>BDP|3856598678450970269</stp>
        <tr r="D992" s="2"/>
      </tp>
      <tp t="s">
        <v>#N/A N/A</v>
        <stp/>
        <stp>BDP|8331116487253647154</stp>
        <tr r="A2715" s="2"/>
      </tp>
      <tp t="s">
        <v>#N/A N/A</v>
        <stp/>
        <stp>BDP|2574240556993398520</stp>
        <tr r="A2550" s="2"/>
      </tp>
      <tp t="s">
        <v>#N/A N/A</v>
        <stp/>
        <stp>BDP|6969520891348875145</stp>
        <tr r="G3538" s="2"/>
      </tp>
      <tp t="s">
        <v>#N/A N/A</v>
        <stp/>
        <stp>BDP|1031882021790715880</stp>
        <tr r="H217" s="2"/>
      </tp>
      <tp t="s">
        <v>#N/A N/A</v>
        <stp/>
        <stp>BDP|4503212923233233434</stp>
        <tr r="C4527" s="2"/>
      </tp>
      <tp t="s">
        <v>#N/A N/A</v>
        <stp/>
        <stp>BDP|3064940919431908924</stp>
        <tr r="D4652" s="2"/>
      </tp>
      <tp t="s">
        <v>#N/A N/A</v>
        <stp/>
        <stp>BDP|3010858076489698632</stp>
        <tr r="I4282" s="2"/>
      </tp>
      <tp t="s">
        <v>#N/A N/A</v>
        <stp/>
        <stp>BDP|5214646537932282150</stp>
        <tr r="H2935" s="2"/>
      </tp>
      <tp t="s">
        <v>#N/A N/A</v>
        <stp/>
        <stp>BDP|3420224322380769055</stp>
        <tr r="G4269" s="2"/>
      </tp>
      <tp t="s">
        <v>#N/A N/A</v>
        <stp/>
        <stp>BDP|4647331248496860631</stp>
        <tr r="B1059" s="2"/>
      </tp>
      <tp t="s">
        <v>#N/A N/A</v>
        <stp/>
        <stp>BDP|2369168500948305801</stp>
        <tr r="D4384" s="2"/>
      </tp>
      <tp t="s">
        <v>#N/A N/A</v>
        <stp/>
        <stp>BDP|8689442317818725646</stp>
        <tr r="D2873" s="2"/>
      </tp>
      <tp t="s">
        <v>#N/A N/A</v>
        <stp/>
        <stp>BDP|8248168660959224501</stp>
        <tr r="F3640" s="2"/>
      </tp>
      <tp t="s">
        <v>#N/A N/A</v>
        <stp/>
        <stp>BDP|7985404218972548327</stp>
        <tr r="F3737" s="2"/>
      </tp>
      <tp t="s">
        <v>#N/A N/A</v>
        <stp/>
        <stp>BDP|4862414818383558122</stp>
        <tr r="B2213" s="2"/>
      </tp>
      <tp t="s">
        <v>#N/A N/A</v>
        <stp/>
        <stp>BDP|5775129883436885984</stp>
        <tr r="F3893" s="2"/>
      </tp>
      <tp t="s">
        <v>#N/A N/A</v>
        <stp/>
        <stp>BDP|6448889029049529676</stp>
        <tr r="D3527" s="2"/>
      </tp>
      <tp t="s">
        <v>#N/A N/A</v>
        <stp/>
        <stp>BDP|1687328750864391008</stp>
        <tr r="I3090" s="2"/>
      </tp>
      <tp t="s">
        <v>#N/A N/A</v>
        <stp/>
        <stp>BDP|6608012850847739770</stp>
        <tr r="D869" s="2"/>
      </tp>
      <tp t="s">
        <v>#N/A N/A</v>
        <stp/>
        <stp>BDP|1060319771510260654</stp>
        <tr r="G1743" s="2"/>
      </tp>
      <tp t="s">
        <v>#N/A N/A</v>
        <stp/>
        <stp>BDP|8746220037953372962</stp>
        <tr r="C3987" s="2"/>
      </tp>
      <tp t="s">
        <v>#N/A N/A</v>
        <stp/>
        <stp>BDP|5130179039746158290</stp>
        <tr r="A1105" s="2"/>
      </tp>
      <tp t="s">
        <v>#N/A N/A</v>
        <stp/>
        <stp>BDP|1021905647838959792</stp>
        <tr r="A2425" s="2"/>
      </tp>
      <tp t="s">
        <v>#N/A N/A</v>
        <stp/>
        <stp>BDP|6550463830903475100</stp>
        <tr r="A2386" s="2"/>
      </tp>
      <tp t="s">
        <v>#N/A N/A</v>
        <stp/>
        <stp>BDP|8923764768262766879</stp>
        <tr r="B3676" s="2"/>
      </tp>
      <tp t="s">
        <v>#N/A N/A</v>
        <stp/>
        <stp>BDP|5456113593269563749</stp>
        <tr r="F4417" s="2"/>
      </tp>
      <tp t="s">
        <v>#N/A N/A</v>
        <stp/>
        <stp>BDP|8046473001989558640</stp>
        <tr r="D876" s="2"/>
      </tp>
      <tp t="s">
        <v>#N/A N/A</v>
        <stp/>
        <stp>BDP|6574005152862713270</stp>
        <tr r="B561" s="2"/>
      </tp>
      <tp t="s">
        <v>#N/A N/A</v>
        <stp/>
        <stp>BDP|6386413571080547614</stp>
        <tr r="D506" s="2"/>
      </tp>
      <tp t="s">
        <v>#N/A N/A</v>
        <stp/>
        <stp>BDP|3976634085819129792</stp>
        <tr r="D3667" s="2"/>
      </tp>
      <tp t="s">
        <v>#N/A N/A</v>
        <stp/>
        <stp>BDP|8776813014304399665</stp>
        <tr r="H2899" s="2"/>
      </tp>
      <tp t="s">
        <v>#N/A N/A</v>
        <stp/>
        <stp>BDP|2086049441337695241</stp>
        <tr r="C1852" s="2"/>
      </tp>
      <tp t="s">
        <v>#N/A N/A</v>
        <stp/>
        <stp>BDP|2374064405427199664</stp>
        <tr r="C4020" s="2"/>
      </tp>
      <tp t="s">
        <v>#N/A N/A</v>
        <stp/>
        <stp>BDP|4697591100643907113</stp>
        <tr r="I1239" s="2"/>
      </tp>
      <tp t="s">
        <v>#N/A N/A</v>
        <stp/>
        <stp>BDP|3440838430652836984</stp>
        <tr r="B1265" s="2"/>
      </tp>
      <tp t="s">
        <v>#N/A N/A</v>
        <stp/>
        <stp>BDP|3577117147343295667</stp>
        <tr r="I1213" s="2"/>
      </tp>
      <tp t="s">
        <v>#N/A N/A</v>
        <stp/>
        <stp>BDP|6111609027437430652</stp>
        <tr r="D3098" s="2"/>
      </tp>
      <tp t="s">
        <v>#N/A N/A</v>
        <stp/>
        <stp>BDP|2809606105691292684</stp>
        <tr r="D726" s="2"/>
      </tp>
      <tp t="s">
        <v>#N/A N/A</v>
        <stp/>
        <stp>BDP|7183156418311398589</stp>
        <tr r="A1946" s="2"/>
      </tp>
      <tp t="s">
        <v>#N/A N/A</v>
        <stp/>
        <stp>BDP|8669910572667340219</stp>
        <tr r="B2399" s="2"/>
      </tp>
      <tp t="s">
        <v>#N/A N/A</v>
        <stp/>
        <stp>BDP|8321145188923106192</stp>
        <tr r="G3859" s="2"/>
      </tp>
      <tp t="s">
        <v>#N/A N/A</v>
        <stp/>
        <stp>BDP|9661959626282198338</stp>
        <tr r="I2159" s="2"/>
      </tp>
      <tp t="s">
        <v>#N/A N/A</v>
        <stp/>
        <stp>BDP|2419931262816215805</stp>
        <tr r="G1312" s="2"/>
      </tp>
      <tp t="s">
        <v>#N/A N/A</v>
        <stp/>
        <stp>BDP|4125491579883574733</stp>
        <tr r="C2974" s="2"/>
      </tp>
      <tp t="s">
        <v>#N/A N/A</v>
        <stp/>
        <stp>BDP|7714977172449789325</stp>
        <tr r="I1623" s="2"/>
      </tp>
      <tp t="s">
        <v>#N/A N/A</v>
        <stp/>
        <stp>BDP|4650392939533043419</stp>
        <tr r="H2776" s="2"/>
      </tp>
      <tp t="s">
        <v>#N/A N/A</v>
        <stp/>
        <stp>BDP|3192797430837901368</stp>
        <tr r="A4068" s="2"/>
      </tp>
      <tp t="s">
        <v>#N/A N/A</v>
        <stp/>
        <stp>BDP|3381069509887958722</stp>
        <tr r="C1760" s="2"/>
      </tp>
      <tp t="s">
        <v>#N/A N/A</v>
        <stp/>
        <stp>BDP|7952229221330517480</stp>
        <tr r="H4587" s="2"/>
      </tp>
      <tp t="s">
        <v>#N/A N/A</v>
        <stp/>
        <stp>BDP|2442200776504790026</stp>
        <tr r="A3234" s="2"/>
      </tp>
      <tp t="s">
        <v>#N/A N/A</v>
        <stp/>
        <stp>BDP|9464037778155093887</stp>
        <tr r="I3954" s="2"/>
      </tp>
      <tp t="s">
        <v>#N/A N/A</v>
        <stp/>
        <stp>BDP|2851774547341786384</stp>
        <tr r="I216" s="2"/>
      </tp>
      <tp t="s">
        <v>#N/A N/A</v>
        <stp/>
        <stp>BDP|5656077463668136849</stp>
        <tr r="H4634" s="2"/>
      </tp>
      <tp t="s">
        <v>#N/A N/A</v>
        <stp/>
        <stp>BDP|1327822380352699004</stp>
        <tr r="B4247" s="2"/>
      </tp>
      <tp t="s">
        <v>#N/A N/A</v>
        <stp/>
        <stp>BDP|4706164380589476728</stp>
        <tr r="G704" s="2"/>
      </tp>
      <tp t="s">
        <v>#N/A N/A</v>
        <stp/>
        <stp>BDP|8560255426378835392</stp>
        <tr r="A1148" s="2"/>
      </tp>
      <tp t="s">
        <v>#N/A N/A</v>
        <stp/>
        <stp>BDP|1331977743658044707</stp>
        <tr r="I1414" s="2"/>
      </tp>
      <tp t="s">
        <v>#N/A N/A</v>
        <stp/>
        <stp>BDP|7540430623360527274</stp>
        <tr r="F1168" s="2"/>
      </tp>
      <tp t="s">
        <v>#N/A N/A</v>
        <stp/>
        <stp>BDP|6212502404760453050</stp>
        <tr r="C3800" s="2"/>
      </tp>
      <tp t="s">
        <v>#N/A N/A</v>
        <stp/>
        <stp>BDP|3716754703745739210</stp>
        <tr r="G1977" s="2"/>
      </tp>
      <tp t="s">
        <v>#N/A N/A</v>
        <stp/>
        <stp>BDP|6608419432330320219</stp>
        <tr r="B520" s="2"/>
      </tp>
      <tp t="s">
        <v>#N/A N/A</v>
        <stp/>
        <stp>BDP|4510613970492136425</stp>
        <tr r="F4836" s="2"/>
      </tp>
      <tp t="s">
        <v>#N/A N/A</v>
        <stp/>
        <stp>BDP|3238530465371145224</stp>
        <tr r="A265" s="2"/>
      </tp>
      <tp t="s">
        <v>#N/A N/A</v>
        <stp/>
        <stp>BDP|7714141349919918848</stp>
        <tr r="A3101" s="2"/>
      </tp>
      <tp t="s">
        <v>#N/A N/A</v>
        <stp/>
        <stp>BDP|1659165338274739482</stp>
        <tr r="F2747" s="2"/>
      </tp>
      <tp t="s">
        <v>#N/A N/A</v>
        <stp/>
        <stp>BDP|1914076811484020782</stp>
        <tr r="I3523" s="2"/>
      </tp>
      <tp t="s">
        <v>#N/A N/A</v>
        <stp/>
        <stp>BDP|3144031113541555036</stp>
        <tr r="F4204" s="2"/>
      </tp>
      <tp t="s">
        <v>#N/A N/A</v>
        <stp/>
        <stp>BDP|9449074611998721328</stp>
        <tr r="C1362" s="2"/>
      </tp>
      <tp t="s">
        <v>#N/A N/A</v>
        <stp/>
        <stp>BDP|6018112605257478375</stp>
        <tr r="I1410" s="2"/>
      </tp>
      <tp t="s">
        <v>#N/A N/A</v>
        <stp/>
        <stp>BDP|2722338849370991633</stp>
        <tr r="H25" s="2"/>
      </tp>
      <tp t="s">
        <v>#N/A N/A</v>
        <stp/>
        <stp>BDP|7064403550640289558</stp>
        <tr r="F2611" s="2"/>
      </tp>
      <tp t="s">
        <v>#N/A N/A</v>
        <stp/>
        <stp>BDP|1625638705584097075</stp>
        <tr r="H4291" s="2"/>
      </tp>
      <tp t="s">
        <v>#N/A N/A</v>
        <stp/>
        <stp>BDP|1861059288832709854</stp>
        <tr r="G3792" s="2"/>
      </tp>
      <tp t="s">
        <v>#N/A N/A</v>
        <stp/>
        <stp>BDP|9571722660609963297</stp>
        <tr r="I258" s="2"/>
      </tp>
      <tp t="s">
        <v>#N/A N/A</v>
        <stp/>
        <stp>BDP|2604636633473710761</stp>
        <tr r="H4523" s="2"/>
      </tp>
      <tp t="s">
        <v>#N/A N/A</v>
        <stp/>
        <stp>BDP|4019836181183751421</stp>
        <tr r="D3537" s="2"/>
      </tp>
      <tp t="s">
        <v>#N/A N/A</v>
        <stp/>
        <stp>BDP|2755550801160167450</stp>
        <tr r="I1027" s="2"/>
      </tp>
      <tp t="s">
        <v>#N/A N/A</v>
        <stp/>
        <stp>BDP|6321830888375610092</stp>
        <tr r="I1265" s="2"/>
      </tp>
      <tp t="s">
        <v>#N/A N/A</v>
        <stp/>
        <stp>BDP|7267583139811198356</stp>
        <tr r="F842" s="2"/>
      </tp>
      <tp t="s">
        <v>#N/A N/A</v>
        <stp/>
        <stp>BDP|1521040021936285656</stp>
        <tr r="H2807" s="2"/>
      </tp>
      <tp t="s">
        <v>#N/A N/A</v>
        <stp/>
        <stp>BDP|4829306960941613399</stp>
        <tr r="I2589" s="2"/>
      </tp>
      <tp t="s">
        <v>#N/A N/A</v>
        <stp/>
        <stp>BDP|2086393368060773419</stp>
        <tr r="C1335" s="2"/>
      </tp>
      <tp t="s">
        <v>#N/A N/A</v>
        <stp/>
        <stp>BDP|3845282060042003673</stp>
        <tr r="D3906" s="2"/>
      </tp>
      <tp t="s">
        <v>#N/A N/A</v>
        <stp/>
        <stp>BDP|6746655114794963685</stp>
        <tr r="C4682" s="2"/>
      </tp>
      <tp t="s">
        <v>#N/A N/A</v>
        <stp/>
        <stp>BDP|1085860995522490101</stp>
        <tr r="G3509" s="2"/>
      </tp>
      <tp t="s">
        <v>#N/A N/A</v>
        <stp/>
        <stp>BDP|2310162408741379196</stp>
        <tr r="B2564" s="2"/>
      </tp>
      <tp t="s">
        <v>#N/A N/A</v>
        <stp/>
        <stp>BDP|5598327177842176064</stp>
        <tr r="I203" s="2"/>
      </tp>
      <tp t="s">
        <v>#N/A N/A</v>
        <stp/>
        <stp>BDP|2296036256832457646</stp>
        <tr r="C568" s="2"/>
      </tp>
      <tp t="s">
        <v>#N/A N/A</v>
        <stp/>
        <stp>BDP|4307370343415605560</stp>
        <tr r="B3371" s="2"/>
      </tp>
      <tp t="s">
        <v>#N/A N/A</v>
        <stp/>
        <stp>BDP|9230532281605571224</stp>
        <tr r="A4944" s="2"/>
      </tp>
      <tp t="s">
        <v>#N/A N/A</v>
        <stp/>
        <stp>BDP|9336972238639824931</stp>
        <tr r="F28" s="2"/>
      </tp>
      <tp t="s">
        <v>#N/A N/A</v>
        <stp/>
        <stp>BDP|3017039307987662753</stp>
        <tr r="H913" s="2"/>
      </tp>
      <tp t="s">
        <v>#N/A N/A</v>
        <stp/>
        <stp>BDP|8216272602170179911</stp>
        <tr r="I3882" s="2"/>
      </tp>
      <tp t="s">
        <v>#N/A N/A</v>
        <stp/>
        <stp>BDP|8933994506117308522</stp>
        <tr r="A369" s="2"/>
      </tp>
      <tp t="s">
        <v>#N/A N/A</v>
        <stp/>
        <stp>BDP|1740381629143758065</stp>
        <tr r="B2426" s="2"/>
      </tp>
      <tp t="s">
        <v>#N/A N/A</v>
        <stp/>
        <stp>BDP|5887128458010038257</stp>
        <tr r="D3250" s="2"/>
      </tp>
      <tp t="s">
        <v>#N/A N/A</v>
        <stp/>
        <stp>BDP|5473790508602503376</stp>
        <tr r="B2810" s="2"/>
      </tp>
      <tp t="s">
        <v>#N/A N/A</v>
        <stp/>
        <stp>BDP|9151962126282168374</stp>
        <tr r="D1720" s="2"/>
      </tp>
      <tp t="s">
        <v>#N/A N/A</v>
        <stp/>
        <stp>BDP|1396422201424189260</stp>
        <tr r="B4766" s="2"/>
      </tp>
      <tp t="s">
        <v>#N/A N/A</v>
        <stp/>
        <stp>BDP|4575333300373679777</stp>
        <tr r="H3465" s="2"/>
      </tp>
      <tp t="s">
        <v>#N/A N/A</v>
        <stp/>
        <stp>BDP|5098973807188292755</stp>
        <tr r="H3910" s="2"/>
      </tp>
      <tp t="s">
        <v>#N/A N/A</v>
        <stp/>
        <stp>BDP|3251026635373235005</stp>
        <tr r="F4359" s="2"/>
      </tp>
      <tp t="s">
        <v>#N/A N/A</v>
        <stp/>
        <stp>BDP|9376064380606425461</stp>
        <tr r="D4761" s="2"/>
      </tp>
      <tp t="s">
        <v>#N/A N/A</v>
        <stp/>
        <stp>BDP|3634814789135181588</stp>
        <tr r="B3398" s="2"/>
      </tp>
      <tp t="s">
        <v>#N/A N/A</v>
        <stp/>
        <stp>BDP|7176679126165292550</stp>
        <tr r="H638" s="2"/>
      </tp>
      <tp t="s">
        <v>#N/A N/A</v>
        <stp/>
        <stp>BDP|3648081709615763573</stp>
        <tr r="G377" s="2"/>
      </tp>
      <tp t="s">
        <v>#N/A N/A</v>
        <stp/>
        <stp>BDP|4279001870194576406</stp>
        <tr r="I3303" s="2"/>
      </tp>
      <tp t="s">
        <v>#N/A N/A</v>
        <stp/>
        <stp>BDP|9027953864493759616</stp>
        <tr r="H2386" s="2"/>
      </tp>
      <tp t="s">
        <v>#N/A N/A</v>
        <stp/>
        <stp>BDP|6203012020076422139</stp>
        <tr r="G5001" s="2"/>
      </tp>
      <tp t="s">
        <v>#N/A N/A</v>
        <stp/>
        <stp>BDP|8380863004011326260</stp>
        <tr r="I484" s="2"/>
      </tp>
      <tp t="s">
        <v>#N/A N/A</v>
        <stp/>
        <stp>BDP|8256929621289446913</stp>
        <tr r="I1839" s="2"/>
      </tp>
      <tp t="s">
        <v>#N/A N/A</v>
        <stp/>
        <stp>BDP|4183924288991882774</stp>
        <tr r="F1007" s="2"/>
      </tp>
      <tp t="s">
        <v>#N/A N/A</v>
        <stp/>
        <stp>BDP|6101657989283844819</stp>
        <tr r="G4224" s="2"/>
      </tp>
      <tp t="s">
        <v>#N/A N/A</v>
        <stp/>
        <stp>BDP|1702563254600095214</stp>
        <tr r="G1485" s="2"/>
      </tp>
      <tp t="s">
        <v>#N/A N/A</v>
        <stp/>
        <stp>BDP|3670955594109630958</stp>
        <tr r="G3603" s="2"/>
      </tp>
      <tp t="s">
        <v>#N/A N/A</v>
        <stp/>
        <stp>BDP|5759135757083513129</stp>
        <tr r="F1952" s="2"/>
      </tp>
      <tp t="s">
        <v>#N/A N/A</v>
        <stp/>
        <stp>BDP|7396427427562303013</stp>
        <tr r="I1449" s="2"/>
      </tp>
      <tp t="s">
        <v>#N/A N/A</v>
        <stp/>
        <stp>BDP|5976285434796884195</stp>
        <tr r="D1275" s="2"/>
      </tp>
      <tp t="s">
        <v>#N/A N/A</v>
        <stp/>
        <stp>BDP|2343362465895017147</stp>
        <tr r="A117" s="2"/>
      </tp>
      <tp t="s">
        <v>#N/A N/A</v>
        <stp/>
        <stp>BDP|6373176910993019601</stp>
        <tr r="C2598" s="2"/>
      </tp>
      <tp t="s">
        <v>#N/A N/A</v>
        <stp/>
        <stp>BDP|4756461303446225549</stp>
        <tr r="F2887" s="2"/>
      </tp>
      <tp t="s">
        <v>#N/A N/A</v>
        <stp/>
        <stp>BDP|1540877237818662176</stp>
        <tr r="H460" s="2"/>
      </tp>
      <tp t="s">
        <v>#N/A N/A</v>
        <stp/>
        <stp>BDP|1313468911251231623</stp>
        <tr r="G1290" s="2"/>
      </tp>
      <tp t="s">
        <v>#N/A N/A</v>
        <stp/>
        <stp>BDP|6628927676809037265</stp>
        <tr r="I3947" s="2"/>
      </tp>
      <tp t="s">
        <v>#N/A N/A</v>
        <stp/>
        <stp>BDP|7284056821711446766</stp>
        <tr r="A2598" s="2"/>
      </tp>
      <tp t="s">
        <v>#N/A N/A</v>
        <stp/>
        <stp>BDP|1025814124631529948</stp>
        <tr r="C3345" s="2"/>
      </tp>
      <tp t="s">
        <v>#N/A N/A</v>
        <stp/>
        <stp>BDP|9638650054928280118</stp>
        <tr r="H4044" s="2"/>
      </tp>
      <tp t="s">
        <v>#N/A N/A</v>
        <stp/>
        <stp>BDP|7752320129863011681</stp>
        <tr r="H3793" s="2"/>
      </tp>
      <tp t="s">
        <v>#N/A N/A</v>
        <stp/>
        <stp>BDP|3281152360311336607</stp>
        <tr r="D443" s="2"/>
      </tp>
      <tp t="s">
        <v>#N/A N/A</v>
        <stp/>
        <stp>BDP|4506182352824830734</stp>
        <tr r="F3351" s="2"/>
      </tp>
      <tp t="s">
        <v>#N/A N/A</v>
        <stp/>
        <stp>BDP|9655711655871645905</stp>
        <tr r="B4529" s="2"/>
      </tp>
      <tp t="s">
        <v>#N/A N/A</v>
        <stp/>
        <stp>BDP|8244302257805624871</stp>
        <tr r="B1545" s="2"/>
      </tp>
      <tp t="s">
        <v>#N/A N/A</v>
        <stp/>
        <stp>BDP|2367651500512690546</stp>
        <tr r="G1175" s="2"/>
      </tp>
      <tp t="s">
        <v>#N/A N/A</v>
        <stp/>
        <stp>BDP|9443871257803994498</stp>
        <tr r="A3799" s="2"/>
      </tp>
      <tp t="s">
        <v>#N/A N/A</v>
        <stp/>
        <stp>BDP|7126784441297914059</stp>
        <tr r="A1906" s="2"/>
      </tp>
      <tp t="s">
        <v>#N/A N/A</v>
        <stp/>
        <stp>BDP|4181934488170801662</stp>
        <tr r="F4130" s="2"/>
      </tp>
      <tp t="s">
        <v>#N/A N/A</v>
        <stp/>
        <stp>BDP|5283501211970475238</stp>
        <tr r="C1676" s="2"/>
      </tp>
      <tp t="s">
        <v>#N/A N/A</v>
        <stp/>
        <stp>BDP|5633100931606183222</stp>
        <tr r="A3824" s="2"/>
      </tp>
      <tp t="s">
        <v>#N/A N/A</v>
        <stp/>
        <stp>BDP|6786225414984788222</stp>
        <tr r="I662" s="2"/>
      </tp>
      <tp t="s">
        <v>#N/A N/A</v>
        <stp/>
        <stp>BDP|4268774136464293751</stp>
        <tr r="I1743" s="2"/>
      </tp>
      <tp t="s">
        <v>#N/A N/A</v>
        <stp/>
        <stp>BDP|5486897998426537146</stp>
        <tr r="B2867" s="2"/>
      </tp>
      <tp t="s">
        <v>#N/A N/A</v>
        <stp/>
        <stp>BDP|4534178811670470734</stp>
        <tr r="H4689" s="2"/>
      </tp>
      <tp t="s">
        <v>#N/A N/A</v>
        <stp/>
        <stp>BDP|7092134363471410209</stp>
        <tr r="C1039" s="2"/>
      </tp>
      <tp t="s">
        <v>#N/A N/A</v>
        <stp/>
        <stp>BDP|4712430742673333415</stp>
        <tr r="G2679" s="2"/>
      </tp>
      <tp t="s">
        <v>#N/A N/A</v>
        <stp/>
        <stp>BDP|4917006115064123294</stp>
        <tr r="B3377" s="2"/>
      </tp>
      <tp t="s">
        <v>#N/A N/A</v>
        <stp/>
        <stp>BDP|3978060483900980817</stp>
        <tr r="C3217" s="2"/>
      </tp>
      <tp t="s">
        <v>#N/A N/A</v>
        <stp/>
        <stp>BDP|4561660057240539456</stp>
        <tr r="H3477" s="2"/>
      </tp>
      <tp t="s">
        <v>#N/A N/A</v>
        <stp/>
        <stp>BDP|3209564894178759431</stp>
        <tr r="D4471" s="2"/>
      </tp>
      <tp t="s">
        <v>#N/A N/A</v>
        <stp/>
        <stp>BDP|8253744834028780718</stp>
        <tr r="B4733" s="2"/>
      </tp>
      <tp t="s">
        <v>#N/A N/A</v>
        <stp/>
        <stp>BDP|6211793552362939543</stp>
        <tr r="G3304" s="2"/>
      </tp>
      <tp t="s">
        <v>#N/A N/A</v>
        <stp/>
        <stp>BDP|1642069296043457868</stp>
        <tr r="F874" s="2"/>
      </tp>
      <tp t="s">
        <v>#N/A N/A</v>
        <stp/>
        <stp>BDP|2457754813536102174</stp>
        <tr r="I1049" s="2"/>
      </tp>
      <tp t="s">
        <v>#N/A N/A</v>
        <stp/>
        <stp>BDP|1599850528800425883</stp>
        <tr r="B79" s="2"/>
      </tp>
      <tp t="s">
        <v>#N/A N/A</v>
        <stp/>
        <stp>BDP|5962139828940737515</stp>
        <tr r="F3213" s="2"/>
      </tp>
      <tp t="s">
        <v>#N/A N/A</v>
        <stp/>
        <stp>BDP|7020222124306308213</stp>
        <tr r="A1587" s="2"/>
      </tp>
      <tp t="s">
        <v>#N/A N/A</v>
        <stp/>
        <stp>BDP|1653118973877967393</stp>
        <tr r="A2880" s="2"/>
      </tp>
      <tp t="s">
        <v>#N/A N/A</v>
        <stp/>
        <stp>BDP|4961752950111813404</stp>
        <tr r="A2017" s="2"/>
      </tp>
      <tp t="s">
        <v>#N/A N/A</v>
        <stp/>
        <stp>BDP|7320942326528343762</stp>
        <tr r="C4369" s="2"/>
      </tp>
      <tp t="s">
        <v>#N/A N/A</v>
        <stp/>
        <stp>BDP|9914480491033131451</stp>
        <tr r="H2091" s="2"/>
      </tp>
      <tp t="s">
        <v>#N/A N/A</v>
        <stp/>
        <stp>BDP|5102373281018227513</stp>
        <tr r="I4803" s="2"/>
      </tp>
      <tp t="s">
        <v>#N/A N/A</v>
        <stp/>
        <stp>BDP|3544165103546721734</stp>
        <tr r="G75" s="2"/>
      </tp>
      <tp t="s">
        <v>#N/A N/A</v>
        <stp/>
        <stp>BDP|5230603475664612355</stp>
        <tr r="C845" s="2"/>
      </tp>
      <tp t="s">
        <v>#N/A N/A</v>
        <stp/>
        <stp>BDP|3056505450577324775</stp>
        <tr r="A1539" s="2"/>
      </tp>
      <tp t="s">
        <v>#N/A N/A</v>
        <stp/>
        <stp>BDP|6943233262753427280</stp>
        <tr r="I2295" s="2"/>
      </tp>
      <tp t="s">
        <v>#N/A N/A</v>
        <stp/>
        <stp>BDP|3259787954781854322</stp>
        <tr r="I1790" s="2"/>
      </tp>
      <tp t="s">
        <v>#N/A N/A</v>
        <stp/>
        <stp>BDP|5430476665484042027</stp>
        <tr r="A3968" s="2"/>
      </tp>
      <tp t="s">
        <v>#N/A N/A</v>
        <stp/>
        <stp>BDP|3835925846229801406</stp>
        <tr r="D2659" s="2"/>
      </tp>
      <tp t="s">
        <v>#N/A N/A</v>
        <stp/>
        <stp>BDP|2136790131990895551</stp>
        <tr r="H568" s="2"/>
      </tp>
      <tp t="s">
        <v>#N/A N/A</v>
        <stp/>
        <stp>BDP|2539913186694725411</stp>
        <tr r="I307" s="2"/>
      </tp>
      <tp t="s">
        <v>#N/A N/A</v>
        <stp/>
        <stp>BDP|4371070333014657057</stp>
        <tr r="F4628" s="2"/>
      </tp>
      <tp t="s">
        <v>#N/A N/A</v>
        <stp/>
        <stp>BDP|2120725135845194033</stp>
        <tr r="I3951" s="2"/>
      </tp>
      <tp t="s">
        <v>#N/A N/A</v>
        <stp/>
        <stp>BDP|4742970253822504928</stp>
        <tr r="A3434" s="2"/>
      </tp>
      <tp t="s">
        <v>#N/A N/A</v>
        <stp/>
        <stp>BDP|8681105435920360946</stp>
        <tr r="F4461" s="2"/>
      </tp>
      <tp t="s">
        <v>#N/A N/A</v>
        <stp/>
        <stp>BDP|9605752087360840581</stp>
        <tr r="G1083" s="2"/>
      </tp>
      <tp t="s">
        <v>#N/A N/A</v>
        <stp/>
        <stp>BDP|2327176837013417031</stp>
        <tr r="H4220" s="2"/>
      </tp>
      <tp t="s">
        <v>#N/A N/A</v>
        <stp/>
        <stp>BDP|9151065493382944193</stp>
        <tr r="D2207" s="2"/>
      </tp>
      <tp t="s">
        <v>#N/A N/A</v>
        <stp/>
        <stp>BDP|5234007671385410432</stp>
        <tr r="D3051" s="2"/>
      </tp>
      <tp t="s">
        <v>#N/A N/A</v>
        <stp/>
        <stp>BDP|6128341465939685926</stp>
        <tr r="H722" s="2"/>
      </tp>
      <tp t="s">
        <v>#N/A N/A</v>
        <stp/>
        <stp>BDP|8236436080373194448</stp>
        <tr r="A4159" s="2"/>
      </tp>
      <tp t="s">
        <v>#N/A N/A</v>
        <stp/>
        <stp>BDP|4212190572435405492</stp>
        <tr r="B1962" s="2"/>
      </tp>
      <tp t="s">
        <v>#N/A N/A</v>
        <stp/>
        <stp>BDP|5917740398721418950</stp>
        <tr r="I806" s="2"/>
      </tp>
      <tp t="s">
        <v>#N/A N/A</v>
        <stp/>
        <stp>BDP|4850781659165858057</stp>
        <tr r="H4564" s="2"/>
      </tp>
      <tp t="s">
        <v>#N/A N/A</v>
        <stp/>
        <stp>BDP|4159577615642630110</stp>
        <tr r="I4245" s="2"/>
      </tp>
      <tp t="s">
        <v>#N/A N/A</v>
        <stp/>
        <stp>BDP|1947693046302452267</stp>
        <tr r="A64" s="2"/>
      </tp>
      <tp t="s">
        <v>#N/A N/A</v>
        <stp/>
        <stp>BDP|8665565668571467986</stp>
        <tr r="C4762" s="2"/>
      </tp>
      <tp t="s">
        <v>#N/A N/A</v>
        <stp/>
        <stp>BDP|5199443418646923508</stp>
        <tr r="H3343" s="2"/>
      </tp>
      <tp t="s">
        <v>#N/A N/A</v>
        <stp/>
        <stp>BDP|4046303606196592279</stp>
        <tr r="C901" s="2"/>
      </tp>
      <tp t="s">
        <v>#N/A N/A</v>
        <stp/>
        <stp>BDP|4730462025877091619</stp>
        <tr r="B1286" s="2"/>
      </tp>
      <tp t="s">
        <v>#N/A N/A</v>
        <stp/>
        <stp>BDP|1002457426175086167</stp>
        <tr r="A1169" s="2"/>
      </tp>
      <tp t="s">
        <v>#N/A N/A</v>
        <stp/>
        <stp>BDP|9282710087302145706</stp>
        <tr r="C3124" s="2"/>
      </tp>
      <tp t="s">
        <v>#N/A N/A</v>
        <stp/>
        <stp>BDP|6099094133180869673</stp>
        <tr r="A644" s="2"/>
      </tp>
      <tp t="s">
        <v>#N/A N/A</v>
        <stp/>
        <stp>BDP|6193803195342306621</stp>
        <tr r="I4025" s="2"/>
      </tp>
      <tp t="s">
        <v>#N/A N/A</v>
        <stp/>
        <stp>BDP|2761385343894965205</stp>
        <tr r="D3377" s="2"/>
      </tp>
      <tp t="s">
        <v>#N/A N/A</v>
        <stp/>
        <stp>BDP|4332381631355899270</stp>
        <tr r="I495" s="2"/>
      </tp>
      <tp t="s">
        <v>#N/A N/A</v>
        <stp/>
        <stp>BDP|3996700316682956432</stp>
        <tr r="F2088" s="2"/>
      </tp>
      <tp t="s">
        <v>#N/A N/A</v>
        <stp/>
        <stp>BDP|6537698030455159582</stp>
        <tr r="G3761" s="2"/>
      </tp>
      <tp t="s">
        <v>#N/A N/A</v>
        <stp/>
        <stp>BDP|9797847867297912386</stp>
        <tr r="D2221" s="2"/>
      </tp>
      <tp t="s">
        <v>#N/A N/A</v>
        <stp/>
        <stp>BDP|3477624002861977787</stp>
        <tr r="I3287" s="2"/>
      </tp>
      <tp t="s">
        <v>#N/A N/A</v>
        <stp/>
        <stp>BDP|7433887312634805939</stp>
        <tr r="A2093" s="2"/>
      </tp>
      <tp t="s">
        <v>#N/A N/A</v>
        <stp/>
        <stp>BDP|7060232078436932778</stp>
        <tr r="D4552" s="2"/>
      </tp>
      <tp t="s">
        <v>#N/A N/A</v>
        <stp/>
        <stp>BDP|3505355090462390863</stp>
        <tr r="A4980" s="2"/>
      </tp>
      <tp t="s">
        <v>#N/A N/A</v>
        <stp/>
        <stp>BDP|3450849913218467123</stp>
        <tr r="D4791" s="2"/>
      </tp>
      <tp t="s">
        <v>#N/A N/A</v>
        <stp/>
        <stp>BDP|9920411243492693885</stp>
        <tr r="G2476" s="2"/>
      </tp>
      <tp t="s">
        <v>#N/A N/A</v>
        <stp/>
        <stp>BDP|9590934754946299056</stp>
        <tr r="H985" s="2"/>
      </tp>
      <tp t="s">
        <v>#N/A N/A</v>
        <stp/>
        <stp>BDP|6807287406880700744</stp>
        <tr r="I4054" s="2"/>
      </tp>
      <tp t="s">
        <v>#N/A N/A</v>
        <stp/>
        <stp>BDP|4964230633347880147</stp>
        <tr r="F3653" s="2"/>
      </tp>
      <tp t="s">
        <v>#N/A N/A</v>
        <stp/>
        <stp>BDP|4287107409443940575</stp>
        <tr r="H2512" s="2"/>
      </tp>
      <tp t="s">
        <v>#N/A N/A</v>
        <stp/>
        <stp>BDP|5987583954170558655</stp>
        <tr r="D625" s="2"/>
      </tp>
      <tp t="s">
        <v>#N/A N/A</v>
        <stp/>
        <stp>BDP|4956313461042944058</stp>
        <tr r="H3339" s="2"/>
      </tp>
      <tp t="s">
        <v>#N/A N/A</v>
        <stp/>
        <stp>BDP|8364245994471389155</stp>
        <tr r="H50" s="2"/>
      </tp>
      <tp t="s">
        <v>#N/A N/A</v>
        <stp/>
        <stp>BDP|4673469515453178117</stp>
        <tr r="B3471" s="2"/>
      </tp>
      <tp t="s">
        <v>#N/A N/A</v>
        <stp/>
        <stp>BDP|7005691003413992161</stp>
        <tr r="I4113" s="2"/>
      </tp>
      <tp t="s">
        <v>#N/A N/A</v>
        <stp/>
        <stp>BDP|2074167329211996336</stp>
        <tr r="A2076" s="2"/>
      </tp>
      <tp t="s">
        <v>#N/A N/A</v>
        <stp/>
        <stp>BDP|3447729174117345745</stp>
        <tr r="I1302" s="2"/>
      </tp>
      <tp t="s">
        <v>#N/A N/A</v>
        <stp/>
        <stp>BDP|3925244179913877695</stp>
        <tr r="C3773" s="2"/>
      </tp>
      <tp t="s">
        <v>#N/A N/A</v>
        <stp/>
        <stp>BDP|9350879522426164623</stp>
        <tr r="B2904" s="2"/>
      </tp>
      <tp t="s">
        <v>#N/A N/A</v>
        <stp/>
        <stp>BDP|4370657217362578219</stp>
        <tr r="I4586" s="2"/>
      </tp>
      <tp t="s">
        <v>#N/A N/A</v>
        <stp/>
        <stp>BDP|2794431825436315170</stp>
        <tr r="F4086" s="2"/>
      </tp>
      <tp t="s">
        <v>#N/A N/A</v>
        <stp/>
        <stp>BDP|4181014062982413339</stp>
        <tr r="I1254" s="2"/>
      </tp>
      <tp t="s">
        <v>#N/A N/A</v>
        <stp/>
        <stp>BDP|7501472216059592847</stp>
        <tr r="G2920" s="2"/>
      </tp>
      <tp t="s">
        <v>#N/A N/A</v>
        <stp/>
        <stp>BDP|3781302331330007035</stp>
        <tr r="A2312" s="2"/>
      </tp>
      <tp t="s">
        <v>#N/A N/A</v>
        <stp/>
        <stp>BDP|5677029652964130728</stp>
        <tr r="F4467" s="2"/>
      </tp>
      <tp t="s">
        <v>#N/A N/A</v>
        <stp/>
        <stp>BDP|5694653216588179914</stp>
        <tr r="I3636" s="2"/>
      </tp>
      <tp t="s">
        <v>#N/A N/A</v>
        <stp/>
        <stp>BDP|9141945243536202118</stp>
        <tr r="D2615" s="2"/>
      </tp>
      <tp t="s">
        <v>#N/A N/A</v>
        <stp/>
        <stp>BDP|6307576332406768548</stp>
        <tr r="H401" s="2"/>
      </tp>
      <tp t="s">
        <v>#N/A N/A</v>
        <stp/>
        <stp>BDP|3708078262317750102</stp>
        <tr r="F2882" s="2"/>
      </tp>
      <tp t="s">
        <v>#N/A N/A</v>
        <stp/>
        <stp>BDP|6524021025757526029</stp>
        <tr r="A3743" s="2"/>
      </tp>
      <tp t="s">
        <v>#N/A N/A</v>
        <stp/>
        <stp>BDP|3085689969969019946</stp>
        <tr r="I2042" s="2"/>
      </tp>
      <tp t="s">
        <v>#N/A N/A</v>
        <stp/>
        <stp>BDP|6561711764852118641</stp>
        <tr r="B416" s="2"/>
      </tp>
      <tp t="s">
        <v>#N/A N/A</v>
        <stp/>
        <stp>BDP|7658297143993854110</stp>
        <tr r="C4749" s="2"/>
      </tp>
      <tp t="s">
        <v>#N/A N/A</v>
        <stp/>
        <stp>BDP|9852558489146566144</stp>
        <tr r="D4346" s="2"/>
      </tp>
      <tp t="s">
        <v>#N/A N/A</v>
        <stp/>
        <stp>BDP|1423176921225418439</stp>
        <tr r="F3792" s="2"/>
      </tp>
      <tp t="s">
        <v>#N/A N/A</v>
        <stp/>
        <stp>BDP|3600509012635043115</stp>
        <tr r="F3539" s="2"/>
      </tp>
      <tp t="s">
        <v>#N/A N/A</v>
        <stp/>
        <stp>BDP|2695292349446173126</stp>
        <tr r="H3206" s="2"/>
      </tp>
      <tp t="s">
        <v>#N/A N/A</v>
        <stp/>
        <stp>BDP|9083840673751173436</stp>
        <tr r="B1359" s="2"/>
      </tp>
      <tp t="s">
        <v>#N/A N/A</v>
        <stp/>
        <stp>BDP|3683333833453377306</stp>
        <tr r="I4948" s="2"/>
      </tp>
      <tp t="s">
        <v>#N/A N/A</v>
        <stp/>
        <stp>BDP|2227158905473422332</stp>
        <tr r="D4706" s="2"/>
      </tp>
      <tp t="s">
        <v>#N/A N/A</v>
        <stp/>
        <stp>BDP|5963679566352553488</stp>
        <tr r="A2852" s="2"/>
      </tp>
      <tp t="s">
        <v>#N/A N/A</v>
        <stp/>
        <stp>BDP|9550752491063270761</stp>
        <tr r="F2670" s="2"/>
      </tp>
      <tp t="s">
        <v>#N/A N/A</v>
        <stp/>
        <stp>BDP|2770592077622541196</stp>
        <tr r="A4923" s="2"/>
      </tp>
      <tp t="s">
        <v>#N/A N/A</v>
        <stp/>
        <stp>BDP|2067352533329069830</stp>
        <tr r="F437" s="2"/>
      </tp>
      <tp t="s">
        <v>#N/A N/A</v>
        <stp/>
        <stp>BDP|2229176182261765951</stp>
        <tr r="B1790" s="2"/>
      </tp>
      <tp t="s">
        <v>#N/A N/A</v>
        <stp/>
        <stp>BDP|6589702076344016169</stp>
        <tr r="I2326" s="2"/>
      </tp>
      <tp t="s">
        <v>#N/A N/A</v>
        <stp/>
        <stp>BDP|7407005059032841301</stp>
        <tr r="F2272" s="2"/>
      </tp>
      <tp t="s">
        <v>#N/A N/A</v>
        <stp/>
        <stp>BDP|6384811042979625032</stp>
        <tr r="A2669" s="2"/>
      </tp>
      <tp t="s">
        <v>#N/A N/A</v>
        <stp/>
        <stp>BDP|3155291541604977255</stp>
        <tr r="F2026" s="2"/>
      </tp>
      <tp t="s">
        <v>#N/A N/A</v>
        <stp/>
        <stp>BDP|8597124814089786215</stp>
        <tr r="C113" s="2"/>
      </tp>
      <tp t="s">
        <v>#N/A N/A</v>
        <stp/>
        <stp>BDP|9486381890977851715</stp>
        <tr r="D2745" s="2"/>
      </tp>
      <tp t="s">
        <v>#N/A N/A</v>
        <stp/>
        <stp>BDP|9291709787121511453</stp>
        <tr r="B836" s="2"/>
      </tp>
      <tp t="s">
        <v>#N/A N/A</v>
        <stp/>
        <stp>BDP|5711956027204347932</stp>
        <tr r="B1246" s="2"/>
      </tp>
      <tp t="s">
        <v>#N/A N/A</v>
        <stp/>
        <stp>BDP|6938371269385415563</stp>
        <tr r="G1492" s="2"/>
      </tp>
      <tp t="s">
        <v>#N/A N/A</v>
        <stp/>
        <stp>BDP|2761001233767735560</stp>
        <tr r="D2932" s="2"/>
      </tp>
      <tp t="s">
        <v>#N/A N/A</v>
        <stp/>
        <stp>BDP|9113855466541512523</stp>
        <tr r="I921" s="2"/>
      </tp>
      <tp t="s">
        <v>#N/A N/A</v>
        <stp/>
        <stp>BDP|1534501275992094251</stp>
        <tr r="H2155" s="2"/>
      </tp>
      <tp t="s">
        <v>#N/A N/A</v>
        <stp/>
        <stp>BDP|2827483528261450694</stp>
        <tr r="G3513" s="2"/>
      </tp>
      <tp t="s">
        <v>#N/A N/A</v>
        <stp/>
        <stp>BDP|6404623949603228485</stp>
        <tr r="C4281" s="2"/>
      </tp>
      <tp t="s">
        <v>#N/A N/A</v>
        <stp/>
        <stp>BDP|9526240081275567504</stp>
        <tr r="I1294" s="2"/>
      </tp>
      <tp t="s">
        <v>#N/A N/A</v>
        <stp/>
        <stp>BDP|6702373283727505936</stp>
        <tr r="I2948" s="2"/>
      </tp>
      <tp t="s">
        <v>#N/A N/A</v>
        <stp/>
        <stp>BDP|1462230180690439861</stp>
        <tr r="G1887" s="2"/>
      </tp>
      <tp t="s">
        <v>#N/A N/A</v>
        <stp/>
        <stp>BDP|2473242557582776455</stp>
        <tr r="B1193" s="2"/>
      </tp>
      <tp t="s">
        <v>#N/A N/A</v>
        <stp/>
        <stp>BDP|3911072736793917047</stp>
        <tr r="G683" s="2"/>
      </tp>
      <tp t="s">
        <v>#N/A N/A</v>
        <stp/>
        <stp>BDP|3192056840675597142</stp>
        <tr r="H2666" s="2"/>
      </tp>
      <tp t="s">
        <v>#N/A N/A</v>
        <stp/>
        <stp>BDP|6609816057050657831</stp>
        <tr r="G1521" s="2"/>
      </tp>
      <tp t="s">
        <v>#N/A N/A</v>
        <stp/>
        <stp>BDP|6597764088342986873</stp>
        <tr r="C1096" s="2"/>
      </tp>
      <tp t="s">
        <v>#N/A N/A</v>
        <stp/>
        <stp>BDP|1834501548551344266</stp>
        <tr r="F3848" s="2"/>
      </tp>
      <tp t="s">
        <v>#N/A N/A</v>
        <stp/>
        <stp>BDP|9707677065268041204</stp>
        <tr r="G3423" s="2"/>
      </tp>
      <tp t="s">
        <v>#N/A N/A</v>
        <stp/>
        <stp>BDP|7144594529585768636</stp>
        <tr r="B1024" s="2"/>
      </tp>
      <tp t="s">
        <v>#N/A N/A</v>
        <stp/>
        <stp>BDP|7937595031064060645</stp>
        <tr r="C854" s="2"/>
      </tp>
      <tp t="s">
        <v>#N/A N/A</v>
        <stp/>
        <stp>BDP|5448127444027117467</stp>
        <tr r="C3878" s="2"/>
      </tp>
      <tp t="s">
        <v>#N/A N/A</v>
        <stp/>
        <stp>BDP|6418720925028138877</stp>
        <tr r="G233" s="2"/>
      </tp>
      <tp t="s">
        <v>#N/A N/A</v>
        <stp/>
        <stp>BDP|3389144853602954688</stp>
        <tr r="B4040" s="2"/>
      </tp>
      <tp t="s">
        <v>#N/A N/A</v>
        <stp/>
        <stp>BDP|5547817927599221543</stp>
        <tr r="B4461" s="2"/>
      </tp>
      <tp t="s">
        <v>#N/A N/A</v>
        <stp/>
        <stp>BDP|9632789257260596896</stp>
        <tr r="F555" s="2"/>
      </tp>
      <tp t="s">
        <v>#N/A N/A</v>
        <stp/>
        <stp>BDP|4234474183902297910</stp>
        <tr r="H3635" s="2"/>
      </tp>
      <tp t="s">
        <v>#N/A N/A</v>
        <stp/>
        <stp>BDP|8993324206898064084</stp>
        <tr r="C533" s="2"/>
      </tp>
      <tp t="s">
        <v>#N/A N/A</v>
        <stp/>
        <stp>BDP|4348806181364221354</stp>
        <tr r="H2436" s="2"/>
      </tp>
      <tp t="s">
        <v>#N/A N/A</v>
        <stp/>
        <stp>BDP|9792042699773889073</stp>
        <tr r="B481" s="2"/>
      </tp>
      <tp t="s">
        <v>#N/A N/A</v>
        <stp/>
        <stp>BDP|7406595069166234131</stp>
        <tr r="C1433" s="2"/>
      </tp>
      <tp t="s">
        <v>#N/A N/A</v>
        <stp/>
        <stp>BDP|7681530997988446033</stp>
        <tr r="C56" s="2"/>
      </tp>
      <tp t="s">
        <v>#N/A N/A</v>
        <stp/>
        <stp>BDP|9338175891643413147</stp>
        <tr r="H1514" s="2"/>
      </tp>
      <tp t="s">
        <v>#N/A N/A</v>
        <stp/>
        <stp>BDP|8250992687368043296</stp>
        <tr r="F548" s="2"/>
      </tp>
      <tp t="s">
        <v>#N/A N/A</v>
        <stp/>
        <stp>BDP|4138732144653460777</stp>
        <tr r="A512" s="2"/>
      </tp>
      <tp t="s">
        <v>#N/A N/A</v>
        <stp/>
        <stp>BDP|5252077475823499215</stp>
        <tr r="B1165" s="2"/>
      </tp>
      <tp t="s">
        <v>#N/A N/A</v>
        <stp/>
        <stp>BDP|7216058399519989422</stp>
        <tr r="A2011" s="2"/>
      </tp>
      <tp t="s">
        <v>#N/A N/A</v>
        <stp/>
        <stp>BDP|8379754307215246963</stp>
        <tr r="A405" s="2"/>
      </tp>
      <tp t="s">
        <v>#N/A N/A</v>
        <stp/>
        <stp>BDP|3188543761362776169</stp>
        <tr r="C3046" s="2"/>
      </tp>
      <tp t="s">
        <v>#N/A N/A</v>
        <stp/>
        <stp>BDP|9181326751785675918</stp>
        <tr r="C3810" s="2"/>
      </tp>
      <tp t="s">
        <v>#N/A N/A</v>
        <stp/>
        <stp>BDP|58975006407259759</stp>
        <tr r="F2978" s="2"/>
      </tp>
      <tp t="s">
        <v>#N/A N/A</v>
        <stp/>
        <stp>BDP|56722783586167079</stp>
        <tr r="F324" s="2"/>
      </tp>
      <tp t="s">
        <v>#N/A N/A</v>
        <stp/>
        <stp>BDP|82857505658353965</stp>
        <tr r="D1491" s="2"/>
      </tp>
      <tp t="s">
        <v>#N/A N/A</v>
        <stp/>
        <stp>BDP|13794762961777926</stp>
        <tr r="G3008" s="2"/>
      </tp>
      <tp t="s">
        <v>#N/A N/A</v>
        <stp/>
        <stp>BDP|13852386468850150</stp>
        <tr r="B4194" s="2"/>
      </tp>
      <tp t="s">
        <v>#N/A N/A</v>
        <stp/>
        <stp>BDP|61986569656702090</stp>
        <tr r="F922" s="2"/>
      </tp>
      <tp t="s">
        <v>#N/A N/A</v>
        <stp/>
        <stp>BDP|17075767907878856</stp>
        <tr r="G4846" s="2"/>
      </tp>
      <tp t="s">
        <v>#N/A N/A</v>
        <stp/>
        <stp>BDP|32930559114413177</stp>
        <tr r="I2545" s="2"/>
      </tp>
      <tp t="s">
        <v>#N/A N/A</v>
        <stp/>
        <stp>BDP|67606677191094815</stp>
        <tr r="B219" s="2"/>
      </tp>
      <tp t="s">
        <v>#N/A N/A</v>
        <stp/>
        <stp>BDP|66322093843673121</stp>
        <tr r="G2618" s="2"/>
      </tp>
      <tp t="s">
        <v>#N/A N/A</v>
        <stp/>
        <stp>BDP|14975747611638453</stp>
        <tr r="A991" s="2"/>
      </tp>
      <tp t="s">
        <v>#N/A N/A</v>
        <stp/>
        <stp>BDP|56828677136418115</stp>
        <tr r="B3524" s="2"/>
      </tp>
      <tp t="s">
        <v>#N/A N/A</v>
        <stp/>
        <stp>BDP|34255460884764821</stp>
        <tr r="A2327" s="2"/>
      </tp>
      <tp t="s">
        <v>#N/A N/A</v>
        <stp/>
        <stp>BDP|38412903935442968</stp>
        <tr r="F3990" s="2"/>
      </tp>
      <tp t="s">
        <v>#N/A N/A</v>
        <stp/>
        <stp>BDP|33000393417135625</stp>
        <tr r="B4682" s="2"/>
      </tp>
      <tp t="s">
        <v>#N/A N/A</v>
        <stp/>
        <stp>BDP|49942511029514915</stp>
        <tr r="D755" s="2"/>
      </tp>
      <tp t="s">
        <v>#N/A N/A</v>
        <stp/>
        <stp>BDP|66427142598960064</stp>
        <tr r="H2381" s="2"/>
      </tp>
      <tp t="s">
        <v>#N/A N/A</v>
        <stp/>
        <stp>BDP|53997744216774315</stp>
        <tr r="H1553" s="2"/>
      </tp>
      <tp t="s">
        <v>#N/A N/A</v>
        <stp/>
        <stp>BDP|75491715834645925</stp>
        <tr r="B3735" s="2"/>
      </tp>
      <tp t="s">
        <v>#N/A N/A</v>
        <stp/>
        <stp>BDP|57261015592979937</stp>
        <tr r="B1405" s="2"/>
      </tp>
      <tp t="s">
        <v>#N/A N/A</v>
        <stp/>
        <stp>BDP|60828048101594567</stp>
        <tr r="G1836" s="2"/>
      </tp>
      <tp t="s">
        <v>#N/A N/A</v>
        <stp/>
        <stp>BDP|31434083160064493</stp>
        <tr r="C1146" s="2"/>
      </tp>
      <tp t="s">
        <v>#N/A N/A</v>
        <stp/>
        <stp>BDP|93338326453538964</stp>
        <tr r="A3116" s="2"/>
      </tp>
      <tp t="s">
        <v>#N/A N/A</v>
        <stp/>
        <stp>BDP|81007330591099976</stp>
        <tr r="C4254" s="2"/>
      </tp>
      <tp t="s">
        <v>#N/A N/A</v>
        <stp/>
        <stp>BDP|82800170782627621</stp>
        <tr r="D2193" s="2"/>
      </tp>
      <tp t="s">
        <v>#N/A N/A</v>
        <stp/>
        <stp>BDP|43257486426476739</stp>
        <tr r="A1231" s="2"/>
      </tp>
      <tp t="s">
        <v>#N/A N/A</v>
        <stp/>
        <stp>BDP|52971063145072179</stp>
        <tr r="A304" s="2"/>
      </tp>
      <tp t="s">
        <v>#N/A N/A</v>
        <stp/>
        <stp>BDP|10662504794818994</stp>
        <tr r="H3444" s="2"/>
      </tp>
      <tp t="s">
        <v>#N/A N/A</v>
        <stp/>
        <stp>BDP|24877670037499333</stp>
        <tr r="A4181" s="2"/>
      </tp>
      <tp t="s">
        <v>#N/A N/A</v>
        <stp/>
        <stp>BDP|78966420848044865</stp>
        <tr r="F3767" s="2"/>
      </tp>
      <tp t="s">
        <v>#N/A N/A</v>
        <stp/>
        <stp>BDP|15328580399459987</stp>
        <tr r="A3551" s="2"/>
      </tp>
      <tp t="s">
        <v>#N/A N/A</v>
        <stp/>
        <stp>BDP|31684253608145068</stp>
        <tr r="B1911" s="2"/>
      </tp>
      <tp t="s">
        <v>#N/A N/A</v>
        <stp/>
        <stp>BDP|34993977601767458</stp>
        <tr r="C4045" s="2"/>
      </tp>
      <tp t="s">
        <v>#N/A N/A</v>
        <stp/>
        <stp>BDP|45975092192008986</stp>
        <tr r="D3402" s="2"/>
      </tp>
      <tp t="s">
        <v>#N/A N/A</v>
        <stp/>
        <stp>BDP|55537993391542685</stp>
        <tr r="B501" s="2"/>
      </tp>
      <tp t="s">
        <v>#N/A N/A</v>
        <stp/>
        <stp>BDP|31146434030546982</stp>
        <tr r="D2389" s="2"/>
      </tp>
      <tp t="s">
        <v>#N/A N/A</v>
        <stp/>
        <stp>BDP|59868708904640721</stp>
        <tr r="D2528" s="2"/>
      </tp>
      <tp t="s">
        <v>#N/A N/A</v>
        <stp/>
        <stp>BDP|51737023247910929</stp>
        <tr r="H132" s="2"/>
      </tp>
      <tp t="s">
        <v>#N/A N/A</v>
        <stp/>
        <stp>BDP|17043977098338496</stp>
        <tr r="F4195" s="2"/>
      </tp>
      <tp t="s">
        <v>#N/A N/A</v>
        <stp/>
        <stp>BDP|23169751229758770</stp>
        <tr r="G3502" s="2"/>
      </tp>
      <tp t="s">
        <v>#N/A N/A</v>
        <stp/>
        <stp>BDP|14156066795288860</stp>
        <tr r="A2422" s="2"/>
      </tp>
      <tp t="s">
        <v>#N/A N/A</v>
        <stp/>
        <stp>BDP|72618256539085005</stp>
        <tr r="H1927" s="2"/>
      </tp>
      <tp t="s">
        <v>#N/A N/A</v>
        <stp/>
        <stp>BDP|36230191149799810</stp>
        <tr r="A4322" s="2"/>
      </tp>
      <tp t="s">
        <v>#N/A N/A</v>
        <stp/>
        <stp>BDP|42572956509482377</stp>
        <tr r="B169" s="2"/>
      </tp>
      <tp t="s">
        <v>#N/A N/A</v>
        <stp/>
        <stp>BDP|29203734398000356</stp>
        <tr r="B2753" s="2"/>
      </tp>
      <tp t="s">
        <v>#N/A N/A</v>
        <stp/>
        <stp>BDP|84449620324921822</stp>
        <tr r="I4827" s="2"/>
      </tp>
      <tp t="s">
        <v>#N/A N/A</v>
        <stp/>
        <stp>BDP|99212894354629584</stp>
        <tr r="B103" s="2"/>
      </tp>
      <tp t="s">
        <v>#N/A N/A</v>
        <stp/>
        <stp>BDP|78776202293937996</stp>
        <tr r="D435" s="2"/>
      </tp>
      <tp t="s">
        <v>#N/A N/A</v>
        <stp/>
        <stp>BDP|61478660117104848</stp>
        <tr r="F1777" s="2"/>
      </tp>
      <tp t="s">
        <v>#N/A N/A</v>
        <stp/>
        <stp>BDP|55872513611756516</stp>
        <tr r="G2989" s="2"/>
      </tp>
      <tp t="s">
        <v>#N/A N/A</v>
        <stp/>
        <stp>BDP|68109544339297151</stp>
        <tr r="F4961" s="2"/>
      </tp>
      <tp t="s">
        <v>#N/A N/A</v>
        <stp/>
        <stp>BDP|85945511630172551</stp>
        <tr r="A2250" s="2"/>
      </tp>
      <tp t="s">
        <v>#N/A N/A</v>
        <stp/>
        <stp>BDP|93276333749028551</stp>
        <tr r="F1845" s="2"/>
      </tp>
      <tp t="s">
        <v>#N/A N/A</v>
        <stp/>
        <stp>BDP|34807106616067388</stp>
        <tr r="F1250" s="2"/>
      </tp>
      <tp t="s">
        <v>#N/A N/A</v>
        <stp/>
        <stp>BDP|87859549195612457</stp>
        <tr r="G3872" s="2"/>
      </tp>
      <tp t="s">
        <v>#N/A N/A</v>
        <stp/>
        <stp>BDP|20178678762382937</stp>
        <tr r="B1437" s="2"/>
      </tp>
      <tp t="s">
        <v>#N/A N/A</v>
        <stp/>
        <stp>BDP|48738169388511420</stp>
        <tr r="D2404" s="2"/>
      </tp>
      <tp t="s">
        <v>#N/A N/A</v>
        <stp/>
        <stp>BDP|77819289999119440</stp>
        <tr r="I615" s="2"/>
      </tp>
      <tp t="s">
        <v>#N/A N/A</v>
        <stp/>
        <stp>BDP|18790483943567153</stp>
        <tr r="G1552" s="2"/>
      </tp>
      <tp t="s">
        <v>#N/A N/A</v>
        <stp/>
        <stp>BDP|91995182629439482</stp>
        <tr r="F3835" s="2"/>
      </tp>
      <tp t="s">
        <v>#N/A N/A</v>
        <stp/>
        <stp>BDP|56891134326948131</stp>
        <tr r="G3846" s="2"/>
      </tp>
      <tp t="s">
        <v>#N/A N/A</v>
        <stp/>
        <stp>BDP|70956182474092920</stp>
        <tr r="H1582" s="2"/>
      </tp>
      <tp t="s">
        <v>#N/A N/A</v>
        <stp/>
        <stp>BDP|55822792284347961</stp>
        <tr r="C1264" s="2"/>
      </tp>
      <tp t="s">
        <v>#N/A N/A</v>
        <stp/>
        <stp>BDP|67993809387636262</stp>
        <tr r="H561" s="2"/>
      </tp>
      <tp t="s">
        <v>#N/A N/A</v>
        <stp/>
        <stp>BDP|46727781506780552</stp>
        <tr r="B875" s="2"/>
      </tp>
      <tp t="s">
        <v>#N/A N/A</v>
        <stp/>
        <stp>BDP|41189880695737001</stp>
        <tr r="F2198" s="2"/>
      </tp>
      <tp t="s">
        <v>#N/A N/A</v>
        <stp/>
        <stp>BDP|15895187839305561</stp>
        <tr r="A3426" s="2"/>
      </tp>
      <tp t="s">
        <v>#N/A N/A</v>
        <stp/>
        <stp>BDP|29232706337514996</stp>
        <tr r="A851" s="2"/>
      </tp>
      <tp t="s">
        <v>#N/A N/A</v>
        <stp/>
        <stp>BDP|37772195447074642</stp>
        <tr r="D4801" s="2"/>
      </tp>
      <tp t="s">
        <v>#N/A N/A</v>
        <stp/>
        <stp>BDP|65425665899690456</stp>
        <tr r="G2270" s="2"/>
      </tp>
      <tp t="s">
        <v>#N/A N/A</v>
        <stp/>
        <stp>BDP|67451047107660818</stp>
        <tr r="I4242" s="2"/>
      </tp>
      <tp t="s">
        <v>#N/A N/A</v>
        <stp/>
        <stp>BDP|67679056618449472</stp>
        <tr r="A4674" s="2"/>
      </tp>
      <tp t="s">
        <v>#N/A N/A</v>
        <stp/>
        <stp>BDP|21107546018389254</stp>
        <tr r="G2442" s="2"/>
      </tp>
      <tp t="s">
        <v>#N/A N/A</v>
        <stp/>
        <stp>BDP|83687864078236712</stp>
        <tr r="I4621" s="2"/>
      </tp>
      <tp t="s">
        <v>#N/A N/A</v>
        <stp/>
        <stp>BDP|36881393068736635</stp>
        <tr r="G2299" s="2"/>
      </tp>
      <tp t="s">
        <v>#N/A N/A</v>
        <stp/>
        <stp>BDP|40834339266020253</stp>
        <tr r="A4651" s="2"/>
      </tp>
      <tp t="s">
        <v>#N/A N/A</v>
        <stp/>
        <stp>BDP|15119097665308286</stp>
        <tr r="G711" s="2"/>
      </tp>
      <tp t="s">
        <v>#N/A N/A</v>
        <stp/>
        <stp>BDP|20477418948247249</stp>
        <tr r="D1497" s="2"/>
      </tp>
      <tp t="s">
        <v>#N/A N/A</v>
        <stp/>
        <stp>BDP|80866645271266288</stp>
        <tr r="C4084" s="2"/>
      </tp>
      <tp t="s">
        <v>#N/A N/A</v>
        <stp/>
        <stp>BDP|67049862719578161</stp>
        <tr r="D4175" s="2"/>
      </tp>
      <tp t="s">
        <v>#N/A N/A</v>
        <stp/>
        <stp>BDP|21919965621894094</stp>
        <tr r="A3840" s="2"/>
      </tp>
      <tp t="s">
        <v>#N/A N/A</v>
        <stp/>
        <stp>BDP|38428797272601168</stp>
        <tr r="C2622" s="2"/>
      </tp>
      <tp t="s">
        <v>#N/A N/A</v>
        <stp/>
        <stp>BDP|76736281112510348</stp>
        <tr r="F3241" s="2"/>
      </tp>
      <tp t="s">
        <v>#N/A N/A</v>
        <stp/>
        <stp>BDP|32911110923294504</stp>
        <tr r="B3682" s="2"/>
      </tp>
      <tp t="s">
        <v>#N/A N/A</v>
        <stp/>
        <stp>BDP|88621279548341799</stp>
        <tr r="G1712" s="2"/>
      </tp>
      <tp t="s">
        <v>#N/A N/A</v>
        <stp/>
        <stp>BDP|13344489667319206</stp>
        <tr r="F608" s="2"/>
      </tp>
      <tp t="s">
        <v>#N/A N/A</v>
        <stp/>
        <stp>BDP|92198487494607363</stp>
        <tr r="I4828" s="2"/>
      </tp>
      <tp t="s">
        <v>#N/A N/A</v>
        <stp/>
        <stp>BDP|43861398487229838</stp>
        <tr r="B4195" s="2"/>
      </tp>
      <tp t="s">
        <v>#N/A N/A</v>
        <stp/>
        <stp>BDP|97046912449345690</stp>
        <tr r="C418" s="2"/>
      </tp>
      <tp t="s">
        <v>#N/A N/A</v>
        <stp/>
        <stp>BDP|45417586851351394</stp>
        <tr r="G1155" s="2"/>
      </tp>
      <tp t="s">
        <v>#N/A N/A</v>
        <stp/>
        <stp>BDP|11307821037427881</stp>
        <tr r="G504" s="2"/>
      </tp>
      <tp t="s">
        <v>#N/A N/A</v>
        <stp/>
        <stp>BDP|27600199309230863</stp>
        <tr r="G1750" s="2"/>
      </tp>
      <tp t="s">
        <v>#N/A N/A</v>
        <stp/>
        <stp>BDP|81140262409914064</stp>
        <tr r="B1779" s="2"/>
      </tp>
      <tp t="s">
        <v>#N/A N/A</v>
        <stp/>
        <stp>BDP|33604217683925588</stp>
        <tr r="G3223" s="2"/>
      </tp>
      <tp t="s">
        <v>#N/A N/A</v>
        <stp/>
        <stp>BDP|89974822039682348</stp>
        <tr r="D73" s="2"/>
      </tp>
      <tp t="s">
        <v>#N/A N/A</v>
        <stp/>
        <stp>BDP|36945281399078908</stp>
        <tr r="B957" s="2"/>
      </tp>
      <tp t="s">
        <v>#N/A N/A</v>
        <stp/>
        <stp>BDP|79458317862696615</stp>
        <tr r="H4371" s="2"/>
      </tp>
      <tp t="s">
        <v>#N/A N/A</v>
        <stp/>
        <stp>BDP|15070374515135370</stp>
        <tr r="I3979" s="2"/>
      </tp>
      <tp t="s">
        <v>#N/A N/A</v>
        <stp/>
        <stp>BDP|58004918670566083</stp>
        <tr r="D993" s="2"/>
      </tp>
      <tp t="s">
        <v>#N/A N/A</v>
        <stp/>
        <stp>BDP|98551376091090217</stp>
        <tr r="F3913" s="2"/>
      </tp>
      <tp t="s">
        <v>#N/A N/A</v>
        <stp/>
        <stp>BDP|32342250610311742</stp>
        <tr r="G1659" s="2"/>
      </tp>
      <tp t="s">
        <v>#N/A N/A</v>
        <stp/>
        <stp>BDP|90819345139314441</stp>
        <tr r="G913" s="2"/>
      </tp>
      <tp t="s">
        <v>#N/A N/A</v>
        <stp/>
        <stp>BDP|39327038542812329</stp>
        <tr r="I2120" s="2"/>
      </tp>
      <tp t="s">
        <v>#N/A N/A</v>
        <stp/>
        <stp>BDP|31790014235919245</stp>
        <tr r="G4376" s="2"/>
      </tp>
      <tp t="s">
        <v>#N/A N/A</v>
        <stp/>
        <stp>BDP|37805492081236102</stp>
        <tr r="H2236" s="2"/>
      </tp>
      <tp t="s">
        <v>#N/A N/A</v>
        <stp/>
        <stp>BDP|30700121885871187</stp>
        <tr r="F4427" s="2"/>
      </tp>
      <tp t="s">
        <v>#N/A N/A</v>
        <stp/>
        <stp>BDP|30926787489505915</stp>
        <tr r="H2295" s="2"/>
      </tp>
      <tp t="s">
        <v>#N/A N/A</v>
        <stp/>
        <stp>BDP|92261665527498262</stp>
        <tr r="D1772" s="2"/>
      </tp>
      <tp t="s">
        <v>#N/A N/A</v>
        <stp/>
        <stp>BDP|23702453961921243</stp>
        <tr r="D3484" s="2"/>
      </tp>
      <tp t="s">
        <v>#N/A N/A</v>
        <stp/>
        <stp>BDP|72208029650630112</stp>
        <tr r="G1012" s="2"/>
      </tp>
      <tp t="s">
        <v>#N/A N/A</v>
        <stp/>
        <stp>BDP|44180001850046059</stp>
        <tr r="G2860" s="2"/>
      </tp>
      <tp t="s">
        <v>#N/A N/A</v>
        <stp/>
        <stp>BDP|68197420211772331</stp>
        <tr r="A3686" s="2"/>
      </tp>
      <tp t="s">
        <v>#N/A N/A</v>
        <stp/>
        <stp>BDP|59506955435021485</stp>
        <tr r="F1194" s="2"/>
      </tp>
      <tp t="s">
        <v>#N/A N/A</v>
        <stp/>
        <stp>BDP|75887090714685445</stp>
        <tr r="H3330" s="2"/>
      </tp>
      <tp t="s">
        <v>#N/A N/A</v>
        <stp/>
        <stp>BDP|38616086036508998</stp>
        <tr r="C4268" s="2"/>
      </tp>
      <tp t="s">
        <v>#N/A N/A</v>
        <stp/>
        <stp>BDP|75657878269326958</stp>
        <tr r="H1073" s="2"/>
      </tp>
      <tp t="s">
        <v>#N/A N/A</v>
        <stp/>
        <stp>BDP|12998008859162188</stp>
        <tr r="H4830" s="2"/>
      </tp>
      <tp t="s">
        <v>#N/A N/A</v>
        <stp/>
        <stp>BDP|33197702478221818</stp>
        <tr r="C3905" s="2"/>
      </tp>
      <tp t="s">
        <v>#N/A N/A</v>
        <stp/>
        <stp>BDP|96159373760948766</stp>
        <tr r="D4437" s="2"/>
      </tp>
      <tp t="s">
        <v>#N/A N/A</v>
        <stp/>
        <stp>BDP|54718461372529337</stp>
        <tr r="G4249" s="2"/>
      </tp>
      <tp t="s">
        <v>#N/A N/A</v>
        <stp/>
        <stp>BDP|84206663246792200</stp>
        <tr r="A1815" s="2"/>
      </tp>
      <tp t="s">
        <v>#N/A N/A</v>
        <stp/>
        <stp>BDP|90687274055060498</stp>
        <tr r="G2602" s="2"/>
      </tp>
      <tp t="s">
        <v>#N/A N/A</v>
        <stp/>
        <stp>BDP|37369956241260704</stp>
        <tr r="G4764" s="2"/>
      </tp>
      <tp t="s">
        <v>#N/A N/A</v>
        <stp/>
        <stp>BDP|47146779544640282</stp>
        <tr r="B1421" s="2"/>
      </tp>
      <tp t="s">
        <v>#N/A N/A</v>
        <stp/>
        <stp>BDP|78658902087424131</stp>
        <tr r="H1052" s="2"/>
      </tp>
      <tp t="s">
        <v>#N/A N/A</v>
        <stp/>
        <stp>BDP|91999627803639897</stp>
        <tr r="F2115" s="2"/>
      </tp>
      <tp t="s">
        <v>#N/A N/A</v>
        <stp/>
        <stp>BDP|74080789331257923</stp>
        <tr r="C2210" s="2"/>
      </tp>
      <tp t="s">
        <v>#N/A N/A</v>
        <stp/>
        <stp>BDP|97994096971260134</stp>
        <tr r="G824" s="2"/>
      </tp>
      <tp t="s">
        <v>#N/A N/A</v>
        <stp/>
        <stp>BDP|19331687192243992</stp>
        <tr r="F3672" s="2"/>
      </tp>
      <tp t="s">
        <v>#N/A N/A</v>
        <stp/>
        <stp>BDP|97581456653495360</stp>
        <tr r="B4971" s="2"/>
      </tp>
      <tp t="s">
        <v>#N/A N/A</v>
        <stp/>
        <stp>BDP|49895936649197254</stp>
        <tr r="F828" s="2"/>
      </tp>
      <tp t="s">
        <v>#N/A N/A</v>
        <stp/>
        <stp>BDP|34113577900817660</stp>
        <tr r="B377" s="2"/>
      </tp>
      <tp t="s">
        <v>#N/A N/A</v>
        <stp/>
        <stp>BDP|72373138155990603</stp>
        <tr r="C2338" s="2"/>
      </tp>
      <tp t="s">
        <v>#N/A N/A</v>
        <stp/>
        <stp>BDP|17227110955760523</stp>
        <tr r="C836" s="2"/>
      </tp>
      <tp t="s">
        <v>#N/A N/A</v>
        <stp/>
        <stp>BDP|11463104410196745</stp>
        <tr r="F1449" s="2"/>
      </tp>
      <tp t="s">
        <v>#N/A N/A</v>
        <stp/>
        <stp>BDP|39606307507684255</stp>
        <tr r="A2814" s="2"/>
      </tp>
      <tp t="s">
        <v>#N/A N/A</v>
        <stp/>
        <stp>BDP|90494271714456491</stp>
        <tr r="C3925" s="2"/>
      </tp>
      <tp t="s">
        <v>#N/A N/A</v>
        <stp/>
        <stp>BDP|35968006059326313</stp>
        <tr r="C4754" s="2"/>
      </tp>
      <tp t="s">
        <v>#N/A N/A</v>
        <stp/>
        <stp>BDP|67687962595904611</stp>
        <tr r="F4963" s="2"/>
      </tp>
      <tp t="s">
        <v>#N/A N/A</v>
        <stp/>
        <stp>BDP|41743524136567066</stp>
        <tr r="A1496" s="2"/>
      </tp>
      <tp t="s">
        <v>#N/A N/A</v>
        <stp/>
        <stp>BDP|98021314634124667</stp>
        <tr r="F661" s="2"/>
      </tp>
      <tp t="s">
        <v>#N/A N/A</v>
        <stp/>
        <stp>BDP|57912098941194290</stp>
        <tr r="A3192" s="2"/>
      </tp>
      <tp t="s">
        <v>#N/A N/A</v>
        <stp/>
        <stp>BDP|81997387296602464</stp>
        <tr r="B3722" s="2"/>
      </tp>
      <tp t="s">
        <v>#N/A N/A</v>
        <stp/>
        <stp>BDP|39449240601958226</stp>
        <tr r="F1282" s="2"/>
      </tp>
      <tp t="s">
        <v>#N/A N/A</v>
        <stp/>
        <stp>BDP|77430749150592304</stp>
        <tr r="H1703" s="2"/>
      </tp>
      <tp t="s">
        <v>#N/A N/A</v>
        <stp/>
        <stp>BDP|48738691729616497</stp>
        <tr r="B83" s="2"/>
      </tp>
      <tp t="s">
        <v>#N/A N/A</v>
        <stp/>
        <stp>BDP|19648842020902127</stp>
        <tr r="C2691" s="2"/>
      </tp>
      <tp t="s">
        <v>#N/A N/A</v>
        <stp/>
        <stp>BDP|88214459472056655</stp>
        <tr r="D2815" s="2"/>
      </tp>
      <tp t="s">
        <v>#N/A N/A</v>
        <stp/>
        <stp>BDP|99816639709648137</stp>
        <tr r="F2110" s="2"/>
      </tp>
      <tp t="s">
        <v>#N/A N/A</v>
        <stp/>
        <stp>BDP|99420076173231206</stp>
        <tr r="F1782" s="2"/>
      </tp>
      <tp t="s">
        <v>#N/A N/A</v>
        <stp/>
        <stp>BDP|78742377643266175</stp>
        <tr r="D1875" s="2"/>
      </tp>
      <tp t="s">
        <v>#N/A N/A</v>
        <stp/>
        <stp>BDP|10308729012614188</stp>
        <tr r="D3943" s="2"/>
      </tp>
      <tp t="s">
        <v>#N/A N/A</v>
        <stp/>
        <stp>BDP|71318572415170369</stp>
        <tr r="C954" s="2"/>
      </tp>
      <tp t="s">
        <v>#N/A N/A</v>
        <stp/>
        <stp>BDP|57570402262739577</stp>
        <tr r="F1407" s="2"/>
      </tp>
      <tp t="s">
        <v>#N/A N/A</v>
        <stp/>
        <stp>BDP|38346455956079229</stp>
        <tr r="G4767" s="2"/>
      </tp>
      <tp t="s">
        <v>#N/A N/A</v>
        <stp/>
        <stp>BDP|99782978456626468</stp>
        <tr r="B4877" s="2"/>
      </tp>
      <tp t="s">
        <v>#N/A N/A</v>
        <stp/>
        <stp>BDP|97089700710800215</stp>
        <tr r="F3692" s="2"/>
      </tp>
      <tp t="s">
        <v>#N/A N/A</v>
        <stp/>
        <stp>BDP|23605399515319845</stp>
        <tr r="H857" s="2"/>
      </tp>
      <tp t="s">
        <v>#N/A N/A</v>
        <stp/>
        <stp>BDP|41390642573400607</stp>
        <tr r="A3798" s="2"/>
      </tp>
      <tp t="s">
        <v>#N/A N/A</v>
        <stp/>
        <stp>BDP|42612039745247254</stp>
        <tr r="F4364" s="2"/>
      </tp>
      <tp t="s">
        <v>#N/A N/A</v>
        <stp/>
        <stp>BDP|38256579514697366</stp>
        <tr r="B4861" s="2"/>
      </tp>
      <tp t="s">
        <v>#N/A N/A</v>
        <stp/>
        <stp>BDP|39980172399388510</stp>
        <tr r="C2214" s="2"/>
      </tp>
      <tp t="s">
        <v>#N/A N/A</v>
        <stp/>
        <stp>BDP|94891926429508134</stp>
        <tr r="A4304" s="2"/>
      </tp>
      <tp t="s">
        <v>#N/A N/A</v>
        <stp/>
        <stp>BDP|10494505866885738</stp>
        <tr r="F2372" s="2"/>
      </tp>
      <tp t="s">
        <v>#N/A N/A</v>
        <stp/>
        <stp>BDP|18028943499115874</stp>
        <tr r="I2787" s="2"/>
      </tp>
      <tp t="s">
        <v>#N/A N/A</v>
        <stp/>
        <stp>BDP|67643332771379123</stp>
        <tr r="H2213" s="2"/>
      </tp>
      <tp t="s">
        <v>#N/A N/A</v>
        <stp/>
        <stp>BDP|29039235281528701</stp>
        <tr r="G4658" s="2"/>
      </tp>
      <tp t="s">
        <v>#N/A N/A</v>
        <stp/>
        <stp>BDP|30096377367814562</stp>
        <tr r="H1889" s="2"/>
      </tp>
      <tp t="s">
        <v>#N/A N/A</v>
        <stp/>
        <stp>BDP|61886672299180356</stp>
        <tr r="H3715" s="2"/>
      </tp>
      <tp t="s">
        <v>#N/A N/A</v>
        <stp/>
        <stp>BDP|76888464982017920</stp>
        <tr r="C2873" s="2"/>
      </tp>
      <tp t="s">
        <v>#N/A N/A</v>
        <stp/>
        <stp>BDP|20074008986605357</stp>
        <tr r="H2246" s="2"/>
      </tp>
      <tp t="s">
        <v>#N/A N/A</v>
        <stp/>
        <stp>BDP|26487073307503147</stp>
        <tr r="G226" s="2"/>
      </tp>
      <tp t="s">
        <v>#N/A N/A</v>
        <stp/>
        <stp>BDP|51026511943559600</stp>
        <tr r="H4900" s="2"/>
      </tp>
      <tp t="s">
        <v>#N/A N/A</v>
        <stp/>
        <stp>BDP|69315612801062757</stp>
        <tr r="H1104" s="2"/>
      </tp>
      <tp t="s">
        <v>#N/A N/A</v>
        <stp/>
        <stp>BDP|22701108682842179</stp>
        <tr r="I4124" s="2"/>
      </tp>
      <tp t="s">
        <v>#N/A N/A</v>
        <stp/>
        <stp>BDP|54245870621667055</stp>
        <tr r="D4100" s="2"/>
      </tp>
      <tp t="s">
        <v>#N/A N/A</v>
        <stp/>
        <stp>BDP|18574310250718077</stp>
        <tr r="D2099" s="2"/>
      </tp>
      <tp t="s">
        <v>#N/A N/A</v>
        <stp/>
        <stp>BDP|54076004115142101</stp>
        <tr r="B3200" s="2"/>
      </tp>
      <tp t="s">
        <v>#N/A N/A</v>
        <stp/>
        <stp>BDP|49155010835759111</stp>
        <tr r="D3775" s="2"/>
      </tp>
      <tp t="s">
        <v>#N/A N/A</v>
        <stp/>
        <stp>BDP|55940531238181646</stp>
        <tr r="B2534" s="2"/>
      </tp>
      <tp t="s">
        <v>#N/A N/A</v>
        <stp/>
        <stp>BDP|42383658816726488</stp>
        <tr r="G786" s="2"/>
      </tp>
      <tp t="s">
        <v>#N/A N/A</v>
        <stp/>
        <stp>BDP|46986897807582354</stp>
        <tr r="D4331" s="2"/>
      </tp>
      <tp t="s">
        <v>#N/A N/A</v>
        <stp/>
        <stp>BDP|79008972095815604</stp>
        <tr r="A2042" s="2"/>
      </tp>
      <tp t="s">
        <v>#N/A N/A</v>
        <stp/>
        <stp>BDP|35893023346738842</stp>
        <tr r="H4940" s="2"/>
      </tp>
      <tp t="s">
        <v>#N/A N/A</v>
        <stp/>
        <stp>BDP|64774531582115118</stp>
        <tr r="F620" s="2"/>
      </tp>
      <tp t="s">
        <v>#N/A N/A</v>
        <stp/>
        <stp>BDP|72981373650763981</stp>
        <tr r="H783" s="2"/>
      </tp>
      <tp t="s">
        <v>#N/A N/A</v>
        <stp/>
        <stp>BDP|16233144235656457</stp>
        <tr r="F3569" s="2"/>
      </tp>
      <tp t="s">
        <v>#N/A N/A</v>
        <stp/>
        <stp>BDP|17055517617229152</stp>
        <tr r="D3079" s="2"/>
      </tp>
      <tp t="s">
        <v>#N/A N/A</v>
        <stp/>
        <stp>BDP|43495490228267298</stp>
        <tr r="D572" s="2"/>
      </tp>
      <tp t="s">
        <v>#N/A N/A</v>
        <stp/>
        <stp>BDP|76021174433526305</stp>
        <tr r="F2918" s="2"/>
      </tp>
      <tp t="s">
        <v>#N/A N/A</v>
        <stp/>
        <stp>BDP|34751535966967596</stp>
        <tr r="A24" s="2"/>
      </tp>
      <tp t="s">
        <v>#N/A N/A</v>
        <stp/>
        <stp>BDP|59461417921628398</stp>
        <tr r="A3468" s="2"/>
      </tp>
      <tp t="s">
        <v>#N/A N/A</v>
        <stp/>
        <stp>BDP|45779069873593579</stp>
        <tr r="F1670" s="2"/>
      </tp>
      <tp t="s">
        <v>#N/A N/A</v>
        <stp/>
        <stp>BDP|67536338757521645</stp>
        <tr r="A1912" s="2"/>
      </tp>
      <tp t="s">
        <v>#N/A N/A</v>
        <stp/>
        <stp>BDP|41423718331767353</stp>
        <tr r="H2803" s="2"/>
      </tp>
      <tp t="s">
        <v>#N/A N/A</v>
        <stp/>
        <stp>BDP|96378617210556409</stp>
        <tr r="C2198" s="2"/>
      </tp>
      <tp t="s">
        <v>#N/A N/A</v>
        <stp/>
        <stp>BDP|32872494387865084</stp>
        <tr r="C3526" s="2"/>
      </tp>
      <tp t="s">
        <v>#N/A N/A</v>
        <stp/>
        <stp>BDP|58537657561558722</stp>
        <tr r="H3895" s="2"/>
      </tp>
      <tp t="s">
        <v>#N/A N/A</v>
        <stp/>
        <stp>BDP|52501352523081526</stp>
        <tr r="D1407" s="2"/>
      </tp>
      <tp t="s">
        <v>#N/A N/A</v>
        <stp/>
        <stp>BDP|32549643783544420</stp>
        <tr r="F3829" s="2"/>
      </tp>
      <tp t="s">
        <v>#N/A N/A</v>
        <stp/>
        <stp>BDP|80704743970373506</stp>
        <tr r="D216" s="2"/>
      </tp>
      <tp t="s">
        <v>#N/A N/A</v>
        <stp/>
        <stp>BDP|45021022850021419</stp>
        <tr r="D75" s="2"/>
      </tp>
      <tp t="s">
        <v>#N/A N/A</v>
        <stp/>
        <stp>BDP|84606646301671518</stp>
        <tr r="D3765" s="2"/>
      </tp>
      <tp t="s">
        <v>#N/A N/A</v>
        <stp/>
        <stp>BDP|44697269057852171</stp>
        <tr r="D2357" s="2"/>
      </tp>
      <tp t="s">
        <v>#N/A N/A</v>
        <stp/>
        <stp>BDP|52091540294788622</stp>
        <tr r="C51" s="2"/>
      </tp>
      <tp t="s">
        <v>#N/A N/A</v>
        <stp/>
        <stp>BDP|13902354458089284</stp>
        <tr r="D2367" s="2"/>
      </tp>
      <tp t="s">
        <v>#N/A N/A</v>
        <stp/>
        <stp>BDP|56507851654818238</stp>
        <tr r="A3850" s="2"/>
      </tp>
      <tp t="s">
        <v>#N/A N/A</v>
        <stp/>
        <stp>BDP|71320859715345523</stp>
        <tr r="A142" s="2"/>
      </tp>
      <tp t="s">
        <v>#N/A N/A</v>
        <stp/>
        <stp>BDP|22668040567929343</stp>
        <tr r="I4243" s="2"/>
      </tp>
      <tp t="s">
        <v>#N/A N/A</v>
        <stp/>
        <stp>BDP|56750600329448899</stp>
        <tr r="B1685" s="2"/>
      </tp>
      <tp t="s">
        <v>#N/A N/A</v>
        <stp/>
        <stp>BDP|26382138313849506</stp>
        <tr r="C1370" s="2"/>
      </tp>
      <tp t="s">
        <v>#N/A N/A</v>
        <stp/>
        <stp>BDP|735397115696514128</stp>
        <tr r="D2764" s="2"/>
      </tp>
      <tp t="s">
        <v>#N/A N/A</v>
        <stp/>
        <stp>BDP|751516609862556265</stp>
        <tr r="C1855" s="2"/>
      </tp>
      <tp t="s">
        <v>#N/A N/A</v>
        <stp/>
        <stp>BDP|463314978052180302</stp>
        <tr r="G1755" s="2"/>
      </tp>
      <tp t="s">
        <v>#N/A N/A</v>
        <stp/>
        <stp>BDP|444619939069829987</stp>
        <tr r="C3178" s="2"/>
      </tp>
      <tp t="s">
        <v>#N/A N/A</v>
        <stp/>
        <stp>BDP|644866193823849772</stp>
        <tr r="B467" s="2"/>
      </tp>
      <tp t="s">
        <v>#N/A N/A</v>
        <stp/>
        <stp>BDP|601279246036807534</stp>
        <tr r="A335" s="2"/>
      </tp>
      <tp t="s">
        <v>#N/A N/A</v>
        <stp/>
        <stp>BDP|967044080155256834</stp>
        <tr r="B4911" s="2"/>
      </tp>
      <tp t="s">
        <v>#N/A N/A</v>
        <stp/>
        <stp>BDP|391040608723251618</stp>
        <tr r="G4598" s="2"/>
      </tp>
      <tp t="s">
        <v>#N/A N/A</v>
        <stp/>
        <stp>BDP|396143144976746684</stp>
        <tr r="I3728" s="2"/>
      </tp>
      <tp t="s">
        <v>#N/A N/A</v>
        <stp/>
        <stp>BDP|285964452700322999</stp>
        <tr r="A4262" s="2"/>
      </tp>
      <tp t="s">
        <v>#N/A N/A</v>
        <stp/>
        <stp>BDP|862194418554201176</stp>
        <tr r="C4214" s="2"/>
      </tp>
      <tp t="s">
        <v>#N/A N/A</v>
        <stp/>
        <stp>BDP|101250503120984737</stp>
        <tr r="F1784" s="2"/>
      </tp>
      <tp t="s">
        <v>#N/A N/A</v>
        <stp/>
        <stp>BDP|470142808590595407</stp>
        <tr r="A1425" s="2"/>
      </tp>
      <tp t="s">
        <v>#N/A N/A</v>
        <stp/>
        <stp>BDP|273217259295137763</stp>
        <tr r="B374" s="2"/>
      </tp>
      <tp t="s">
        <v>#N/A N/A</v>
        <stp/>
        <stp>BDP|504651699392470805</stp>
        <tr r="F2733" s="2"/>
      </tp>
      <tp t="s">
        <v>#N/A N/A</v>
        <stp/>
        <stp>BDP|279002472583408196</stp>
        <tr r="D1816" s="2"/>
      </tp>
      <tp t="s">
        <v>#N/A N/A</v>
        <stp/>
        <stp>BDP|526724644550914676</stp>
        <tr r="H2100" s="2"/>
      </tp>
      <tp t="s">
        <v>#N/A N/A</v>
        <stp/>
        <stp>BDP|638629848731711656</stp>
        <tr r="G917" s="2"/>
      </tp>
      <tp t="s">
        <v>#N/A N/A</v>
        <stp/>
        <stp>BDP|650904371388820310</stp>
        <tr r="B1500" s="2"/>
      </tp>
      <tp t="s">
        <v>#N/A N/A</v>
        <stp/>
        <stp>BDP|478156639321314652</stp>
        <tr r="D1637" s="2"/>
      </tp>
      <tp t="s">
        <v>#N/A N/A</v>
        <stp/>
        <stp>BDP|358964606029553585</stp>
        <tr r="B3651" s="2"/>
      </tp>
      <tp t="s">
        <v>#N/A N/A</v>
        <stp/>
        <stp>BDP|293785612934413720</stp>
        <tr r="D4051" s="2"/>
      </tp>
      <tp t="s">
        <v>#N/A N/A</v>
        <stp/>
        <stp>BDP|992429852326615209</stp>
        <tr r="D2024" s="2"/>
      </tp>
      <tp t="s">
        <v>#N/A N/A</v>
        <stp/>
        <stp>BDP|932257871432309218</stp>
        <tr r="B1250" s="2"/>
      </tp>
      <tp t="s">
        <v>#N/A N/A</v>
        <stp/>
        <stp>BDP|742323824625793196</stp>
        <tr r="C3462" s="2"/>
      </tp>
      <tp t="s">
        <v>#N/A N/A</v>
        <stp/>
        <stp>BDP|124949890714915131</stp>
        <tr r="I3030" s="2"/>
      </tp>
      <tp t="s">
        <v>#N/A N/A</v>
        <stp/>
        <stp>BDP|189560251110040591</stp>
        <tr r="F3532" s="2"/>
      </tp>
      <tp t="s">
        <v>#N/A N/A</v>
        <stp/>
        <stp>BDP|651305499137335837</stp>
        <tr r="D3062" s="2"/>
      </tp>
      <tp t="s">
        <v>#N/A N/A</v>
        <stp/>
        <stp>BDP|343661177970969431</stp>
        <tr r="I4697" s="2"/>
      </tp>
      <tp t="s">
        <v>#N/A N/A</v>
        <stp/>
        <stp>BDP|593601235912130299</stp>
        <tr r="I1689" s="2"/>
      </tp>
      <tp t="s">
        <v>#N/A N/A</v>
        <stp/>
        <stp>BDP|797726639246628726</stp>
        <tr r="F1448" s="2"/>
      </tp>
      <tp t="s">
        <v>#N/A N/A</v>
        <stp/>
        <stp>BDP|434844720596096985</stp>
        <tr r="C348" s="2"/>
      </tp>
      <tp t="s">
        <v>#N/A N/A</v>
        <stp/>
        <stp>BDP|238660148945177250</stp>
        <tr r="C1885" s="2"/>
      </tp>
      <tp t="s">
        <v>#N/A N/A</v>
        <stp/>
        <stp>BDP|140672199748460235</stp>
        <tr r="D229" s="2"/>
      </tp>
      <tp t="s">
        <v>#N/A N/A</v>
        <stp/>
        <stp>BDP|536288714033698574</stp>
        <tr r="B3336" s="2"/>
      </tp>
      <tp t="s">
        <v>#N/A N/A</v>
        <stp/>
        <stp>BDP|960625005102752111</stp>
        <tr r="I1259" s="2"/>
      </tp>
      <tp t="s">
        <v>#N/A N/A</v>
        <stp/>
        <stp>BDP|940902381307747374</stp>
        <tr r="F1275" s="2"/>
      </tp>
      <tp t="s">
        <v>#N/A N/A</v>
        <stp/>
        <stp>BDP|639373954891529296</stp>
        <tr r="C1916" s="2"/>
      </tp>
      <tp t="s">
        <v>#N/A N/A</v>
        <stp/>
        <stp>BDP|499083096215482972</stp>
        <tr r="H2293" s="2"/>
      </tp>
      <tp t="s">
        <v>#N/A N/A</v>
        <stp/>
        <stp>BDP|508128663343496190</stp>
        <tr r="D4722" s="2"/>
      </tp>
      <tp t="s">
        <v>#N/A N/A</v>
        <stp/>
        <stp>BDP|610099642010187153</stp>
        <tr r="B2478" s="2"/>
      </tp>
      <tp t="s">
        <v>#N/A N/A</v>
        <stp/>
        <stp>BDP|261538479521645678</stp>
        <tr r="A2949" s="2"/>
      </tp>
      <tp t="s">
        <v>#N/A N/A</v>
        <stp/>
        <stp>BDP|964537032471367224</stp>
        <tr r="I1311" s="2"/>
      </tp>
      <tp t="s">
        <v>#N/A N/A</v>
        <stp/>
        <stp>BDP|745951750698936124</stp>
        <tr r="A56" s="2"/>
      </tp>
      <tp t="s">
        <v>#N/A N/A</v>
        <stp/>
        <stp>BDP|103224149445653650</stp>
        <tr r="D4181" s="2"/>
      </tp>
      <tp t="s">
        <v>#N/A N/A</v>
        <stp/>
        <stp>BDP|331395871502801399</stp>
        <tr r="I3619" s="2"/>
      </tp>
      <tp t="s">
        <v>#N/A N/A</v>
        <stp/>
        <stp>BDP|962309363476877686</stp>
        <tr r="H179" s="2"/>
      </tp>
      <tp t="s">
        <v>#N/A N/A</v>
        <stp/>
        <stp>BDP|841909682546575255</stp>
        <tr r="I599" s="2"/>
      </tp>
      <tp t="s">
        <v>#N/A N/A</v>
        <stp/>
        <stp>BDP|799563118001113023</stp>
        <tr r="A2262" s="2"/>
      </tp>
      <tp t="s">
        <v>#N/A N/A</v>
        <stp/>
        <stp>BDP|201725468031786553</stp>
        <tr r="C1014" s="2"/>
      </tp>
      <tp t="s">
        <v>#N/A N/A</v>
        <stp/>
        <stp>BDP|124726213656299588</stp>
        <tr r="C4261" s="2"/>
      </tp>
      <tp t="s">
        <v>#N/A N/A</v>
        <stp/>
        <stp>BDP|742547129266639463</stp>
        <tr r="G4588" s="2"/>
      </tp>
      <tp t="s">
        <v>#N/A N/A</v>
        <stp/>
        <stp>BDP|246965959430311941</stp>
        <tr r="F4225" s="2"/>
      </tp>
      <tp t="s">
        <v>#N/A N/A</v>
        <stp/>
        <stp>BDP|724792162827357358</stp>
        <tr r="H357" s="2"/>
      </tp>
      <tp t="s">
        <v>#N/A N/A</v>
        <stp/>
        <stp>BDP|219293145204590702</stp>
        <tr r="A798" s="2"/>
      </tp>
      <tp t="s">
        <v>#N/A N/A</v>
        <stp/>
        <stp>BDP|196586801527210716</stp>
        <tr r="I1080" s="2"/>
      </tp>
      <tp t="s">
        <v>#N/A N/A</v>
        <stp/>
        <stp>BDP|190954967649173391</stp>
        <tr r="A3636" s="2"/>
      </tp>
      <tp t="s">
        <v>#N/A N/A</v>
        <stp/>
        <stp>BDP|818109570091306205</stp>
        <tr r="G412" s="2"/>
      </tp>
      <tp t="s">
        <v>#N/A N/A</v>
        <stp/>
        <stp>BDP|924639786939662219</stp>
        <tr r="H2959" s="2"/>
      </tp>
      <tp t="s">
        <v>#N/A N/A</v>
        <stp/>
        <stp>BDP|874276331744346060</stp>
        <tr r="C1087" s="2"/>
      </tp>
      <tp t="s">
        <v>#N/A N/A</v>
        <stp/>
        <stp>BDP|147820196312635687</stp>
        <tr r="G2490" s="2"/>
      </tp>
      <tp t="s">
        <v>#N/A N/A</v>
        <stp/>
        <stp>BDP|483831330219890742</stp>
        <tr r="F3176" s="2"/>
      </tp>
      <tp t="s">
        <v>#N/A N/A</v>
        <stp/>
        <stp>BDP|182725231601934008</stp>
        <tr r="I1827" s="2"/>
      </tp>
      <tp t="s">
        <v>#N/A N/A</v>
        <stp/>
        <stp>BDP|771141819744312121</stp>
        <tr r="B4502" s="2"/>
      </tp>
      <tp t="s">
        <v>#N/A N/A</v>
        <stp/>
        <stp>BDP|622628051985934371</stp>
        <tr r="D880" s="2"/>
      </tp>
      <tp t="s">
        <v>#N/A N/A</v>
        <stp/>
        <stp>BDP|833002093449569552</stp>
        <tr r="C1352" s="2"/>
      </tp>
      <tp t="s">
        <v>#N/A N/A</v>
        <stp/>
        <stp>BDP|431069716462673698</stp>
        <tr r="H1016" s="2"/>
      </tp>
      <tp t="s">
        <v>#N/A N/A</v>
        <stp/>
        <stp>BDP|862705764460552426</stp>
        <tr r="C4587" s="2"/>
      </tp>
      <tp t="s">
        <v>#N/A N/A</v>
        <stp/>
        <stp>BDP|948509257561268485</stp>
        <tr r="B3691" s="2"/>
      </tp>
      <tp t="s">
        <v>#N/A N/A</v>
        <stp/>
        <stp>BDP|189573462893787573</stp>
        <tr r="D3064" s="2"/>
      </tp>
      <tp t="s">
        <v>#N/A N/A</v>
        <stp/>
        <stp>BDP|370871412559768559</stp>
        <tr r="C1781" s="2"/>
      </tp>
      <tp t="s">
        <v>#N/A N/A</v>
        <stp/>
        <stp>BDP|584349412015219253</stp>
        <tr r="G4267" s="2"/>
      </tp>
      <tp t="s">
        <v>#N/A N/A</v>
        <stp/>
        <stp>BDP|407215568515128481</stp>
        <tr r="A2559" s="2"/>
      </tp>
      <tp t="s">
        <v>#N/A N/A</v>
        <stp/>
        <stp>BDP|525464024465715643</stp>
        <tr r="C1593" s="2"/>
      </tp>
      <tp t="s">
        <v>#N/A N/A</v>
        <stp/>
        <stp>BDP|885688202491645201</stp>
        <tr r="H98" s="2"/>
      </tp>
      <tp t="s">
        <v>#N/A N/A</v>
        <stp/>
        <stp>BDP|798962454840340921</stp>
        <tr r="G81" s="2"/>
      </tp>
      <tp t="s">
        <v>#N/A N/A</v>
        <stp/>
        <stp>BDP|811803768263016844</stp>
        <tr r="D2616" s="2"/>
      </tp>
      <tp t="s">
        <v>#N/A N/A</v>
        <stp/>
        <stp>BDP|448611730140672069</stp>
        <tr r="I1442" s="2"/>
      </tp>
      <tp t="s">
        <v>#N/A N/A</v>
        <stp/>
        <stp>BDP|693596546216569296</stp>
        <tr r="B691" s="2"/>
      </tp>
      <tp t="s">
        <v>#N/A N/A</v>
        <stp/>
        <stp>BDP|711514560107713148</stp>
        <tr r="G2166" s="2"/>
      </tp>
      <tp t="s">
        <v>#N/A N/A</v>
        <stp/>
        <stp>BDP|636277869641888059</stp>
        <tr r="I1874" s="2"/>
      </tp>
      <tp t="s">
        <v>#N/A N/A</v>
        <stp/>
        <stp>BDP|221705355252333515</stp>
        <tr r="A3817" s="2"/>
      </tp>
      <tp t="s">
        <v>#N/A N/A</v>
        <stp/>
        <stp>BDP|998079129460790760</stp>
        <tr r="B1533" s="2"/>
      </tp>
      <tp t="s">
        <v>#N/A N/A</v>
        <stp/>
        <stp>BDP|782115454994154550</stp>
        <tr r="C3618" s="2"/>
      </tp>
      <tp t="s">
        <v>#N/A N/A</v>
        <stp/>
        <stp>BDP|199045452598689877</stp>
        <tr r="D4354" s="2"/>
      </tp>
      <tp t="s">
        <v>#N/A N/A</v>
        <stp/>
        <stp>BDP|108364912002393508</stp>
        <tr r="C4664" s="2"/>
      </tp>
      <tp t="s">
        <v>#N/A N/A</v>
        <stp/>
        <stp>BDP|355479315333274340</stp>
        <tr r="H1838" s="2"/>
      </tp>
      <tp t="s">
        <v>#N/A N/A</v>
        <stp/>
        <stp>BDP|610645518210564288</stp>
        <tr r="C2166" s="2"/>
      </tp>
      <tp t="s">
        <v>#N/A N/A</v>
        <stp/>
        <stp>BDP|711432596380189840</stp>
        <tr r="I1871" s="2"/>
      </tp>
      <tp t="s">
        <v>#N/A N/A</v>
        <stp/>
        <stp>BDP|441006935964056267</stp>
        <tr r="D3683" s="2"/>
      </tp>
      <tp t="s">
        <v>#N/A N/A</v>
        <stp/>
        <stp>BDP|180202595898575668</stp>
        <tr r="A2272" s="2"/>
      </tp>
      <tp t="s">
        <v>#N/A N/A</v>
        <stp/>
        <stp>BDP|200542185481540912</stp>
        <tr r="D4463" s="2"/>
      </tp>
      <tp t="s">
        <v>#N/A N/A</v>
        <stp/>
        <stp>BDP|947681932134117455</stp>
        <tr r="C4114" s="2"/>
      </tp>
      <tp t="s">
        <v>#N/A N/A</v>
        <stp/>
        <stp>BDP|217103544174049411</stp>
        <tr r="D2252" s="2"/>
      </tp>
      <tp t="s">
        <v>#N/A N/A</v>
        <stp/>
        <stp>BDP|962933658068241177</stp>
        <tr r="A155" s="2"/>
      </tp>
      <tp t="s">
        <v>#N/A N/A</v>
        <stp/>
        <stp>BDP|501480438646668447</stp>
        <tr r="I4854" s="2"/>
      </tp>
      <tp t="s">
        <v>#N/A N/A</v>
        <stp/>
        <stp>BDP|872910608568351450</stp>
        <tr r="G2" s="2"/>
      </tp>
      <tp t="s">
        <v>#N/A N/A</v>
        <stp/>
        <stp>BDP|463836390254823087</stp>
        <tr r="F1641" s="2"/>
      </tp>
      <tp t="s">
        <v>#N/A N/A</v>
        <stp/>
        <stp>BDP|159907933877718850</stp>
        <tr r="F876" s="2"/>
      </tp>
      <tp t="s">
        <v>#N/A N/A</v>
        <stp/>
        <stp>BDP|659754933182087303</stp>
        <tr r="A2021" s="2"/>
      </tp>
      <tp t="s">
        <v>#N/A N/A</v>
        <stp/>
        <stp>BDP|746146972162190103</stp>
        <tr r="G654" s="2"/>
      </tp>
      <tp t="s">
        <v>#N/A N/A</v>
        <stp/>
        <stp>BDP|463413931053652129</stp>
        <tr r="B790" s="2"/>
      </tp>
      <tp t="s">
        <v>#N/A N/A</v>
        <stp/>
        <stp>BDP|991320478466355706</stp>
        <tr r="B3253" s="2"/>
      </tp>
      <tp t="s">
        <v>#N/A N/A</v>
        <stp/>
        <stp>BDP|401451270311318721</stp>
        <tr r="F1747" s="2"/>
      </tp>
      <tp t="s">
        <v>#N/A N/A</v>
        <stp/>
        <stp>BDP|865598902908474873</stp>
        <tr r="B3813" s="2"/>
      </tp>
      <tp t="s">
        <v>#N/A N/A</v>
        <stp/>
        <stp>BDP|395772813824291759</stp>
        <tr r="F2617" s="2"/>
      </tp>
      <tp t="s">
        <v>#N/A N/A</v>
        <stp/>
        <stp>BDP|971698979211151589</stp>
        <tr r="D2605" s="2"/>
      </tp>
      <tp t="s">
        <v>#N/A N/A</v>
        <stp/>
        <stp>BDP|380083909776180333</stp>
        <tr r="F3770" s="2"/>
      </tp>
      <tp t="s">
        <v>#N/A N/A</v>
        <stp/>
        <stp>BDP|727379498188074789</stp>
        <tr r="I2414" s="2"/>
      </tp>
      <tp t="s">
        <v>#N/A N/A</v>
        <stp/>
        <stp>BDP|715690023596590788</stp>
        <tr r="H3121" s="2"/>
      </tp>
      <tp t="s">
        <v>#N/A N/A</v>
        <stp/>
        <stp>BDP|209772661647435318</stp>
        <tr r="H2821" s="2"/>
      </tp>
      <tp t="s">
        <v>#N/A N/A</v>
        <stp/>
        <stp>BDP|125387541803098198</stp>
        <tr r="H1167" s="2"/>
      </tp>
      <tp t="s">
        <v>#N/A N/A</v>
        <stp/>
        <stp>BDP|497745525056155655</stp>
        <tr r="I2669" s="2"/>
      </tp>
      <tp t="s">
        <v>#N/A N/A</v>
        <stp/>
        <stp>BDP|280803800039668450</stp>
        <tr r="G4297" s="2"/>
      </tp>
      <tp t="s">
        <v>#N/A N/A</v>
        <stp/>
        <stp>BDP|256914419358302580</stp>
        <tr r="F2796" s="2"/>
      </tp>
      <tp t="s">
        <v>#N/A N/A</v>
        <stp/>
        <stp>BDP|959107669505140700</stp>
        <tr r="C1429" s="2"/>
      </tp>
      <tp t="s">
        <v>#N/A N/A</v>
        <stp/>
        <stp>BDP|281976947579389105</stp>
        <tr r="D4786" s="2"/>
      </tp>
      <tp t="s">
        <v>#N/A N/A</v>
        <stp/>
        <stp>BDP|692710864703467755</stp>
        <tr r="C2290" s="2"/>
      </tp>
      <tp t="s">
        <v>#N/A N/A</v>
        <stp/>
        <stp>BDP|431132304232594648</stp>
        <tr r="I3873" s="2"/>
      </tp>
      <tp t="s">
        <v>#N/A N/A</v>
        <stp/>
        <stp>BDP|195859564142334913</stp>
        <tr r="F2686" s="2"/>
      </tp>
      <tp t="s">
        <v>#N/A N/A</v>
        <stp/>
        <stp>BDP|623307131272596708</stp>
        <tr r="H1409" s="2"/>
      </tp>
      <tp t="s">
        <v>#N/A N/A</v>
        <stp/>
        <stp>BDP|235614346192585534</stp>
        <tr r="G3418" s="2"/>
      </tp>
      <tp t="s">
        <v>#N/A N/A</v>
        <stp/>
        <stp>BDP|400143342803249337</stp>
        <tr r="G3884" s="2"/>
      </tp>
      <tp t="s">
        <v>#N/A N/A</v>
        <stp/>
        <stp>BDP|843817435576725884</stp>
        <tr r="C2736" s="2"/>
      </tp>
      <tp t="s">
        <v>#N/A N/A</v>
        <stp/>
        <stp>BDP|974899673802370837</stp>
        <tr r="G249" s="2"/>
      </tp>
      <tp t="s">
        <v>#N/A N/A</v>
        <stp/>
        <stp>BDP|794148656530522133</stp>
        <tr r="F343" s="2"/>
      </tp>
      <tp t="s">
        <v>#N/A N/A</v>
        <stp/>
        <stp>BDP|599205861198969815</stp>
        <tr r="D1726" s="2"/>
      </tp>
      <tp t="s">
        <v>#N/A N/A</v>
        <stp/>
        <stp>BDP|539038557310419197</stp>
        <tr r="D978" s="2"/>
      </tp>
      <tp t="s">
        <v>#N/A N/A</v>
        <stp/>
        <stp>BDP|708491478882374592</stp>
        <tr r="G447" s="2"/>
      </tp>
      <tp t="s">
        <v>#N/A N/A</v>
        <stp/>
        <stp>BDP|209848169988182225</stp>
        <tr r="A1029" s="2"/>
      </tp>
      <tp t="s">
        <v>#N/A N/A</v>
        <stp/>
        <stp>BDP|385983192531573504</stp>
        <tr r="C4593" s="2"/>
      </tp>
      <tp t="s">
        <v>#N/A N/A</v>
        <stp/>
        <stp>BDP|295679424393974346</stp>
        <tr r="G1209" s="2"/>
      </tp>
      <tp t="s">
        <v>#N/A N/A</v>
        <stp/>
        <stp>BDP|263841486114547090</stp>
        <tr r="G3796" s="2"/>
      </tp>
      <tp t="s">
        <v>#N/A N/A</v>
        <stp/>
        <stp>BDP|125544901382832307</stp>
        <tr r="B1945" s="2"/>
      </tp>
      <tp t="s">
        <v>#N/A N/A</v>
        <stp/>
        <stp>BDP|189277378295723459</stp>
        <tr r="A409" s="2"/>
      </tp>
      <tp t="s">
        <v>#N/A N/A</v>
        <stp/>
        <stp>BDP|835164704761744411</stp>
        <tr r="H1996" s="2"/>
      </tp>
      <tp t="s">
        <v>#N/A N/A</v>
        <stp/>
        <stp>BDP|361036761195534799</stp>
        <tr r="I2738" s="2"/>
      </tp>
      <tp t="s">
        <v>#N/A N/A</v>
        <stp/>
        <stp>BDP|396319785787211889</stp>
        <tr r="B3356" s="2"/>
      </tp>
      <tp t="s">
        <v>#N/A N/A</v>
        <stp/>
        <stp>BDP|449596710055268528</stp>
        <tr r="B4640" s="2"/>
      </tp>
      <tp t="s">
        <v>#N/A N/A</v>
        <stp/>
        <stp>BDP|918646322133232305</stp>
        <tr r="D3383" s="2"/>
      </tp>
      <tp t="s">
        <v>#N/A N/A</v>
        <stp/>
        <stp>BDP|955864866423759930</stp>
        <tr r="I469" s="2"/>
      </tp>
      <tp t="s">
        <v>#N/A N/A</v>
        <stp/>
        <stp>BDP|900509272015768319</stp>
        <tr r="B2133" s="2"/>
      </tp>
      <tp t="s">
        <v>#N/A N/A</v>
        <stp/>
        <stp>BDP|767659352162410599</stp>
        <tr r="B3022" s="2"/>
      </tp>
      <tp t="s">
        <v>#N/A N/A</v>
        <stp/>
        <stp>BDP|598418213278268983</stp>
        <tr r="F912" s="2"/>
      </tp>
      <tp t="s">
        <v>#N/A N/A</v>
        <stp/>
        <stp>BDP|474571899331205952</stp>
        <tr r="A726" s="2"/>
      </tp>
      <tp t="s">
        <v>#N/A N/A</v>
        <stp/>
        <stp>BDP|515190716773435732</stp>
        <tr r="C2631" s="2"/>
      </tp>
      <tp t="s">
        <v>#N/A N/A</v>
        <stp/>
        <stp>BDP|261086186554078816</stp>
        <tr r="F200" s="2"/>
      </tp>
      <tp t="s">
        <v>#N/A N/A</v>
        <stp/>
        <stp>BDP|269701343977436088</stp>
        <tr r="F4314" s="2"/>
      </tp>
      <tp t="s">
        <v>#N/A N/A</v>
        <stp/>
        <stp>BDP|396097048134956453</stp>
        <tr r="C793" s="2"/>
      </tp>
      <tp t="s">
        <v>#N/A N/A</v>
        <stp/>
        <stp>BDP|180020621527432187</stp>
        <tr r="C4919" s="2"/>
      </tp>
      <tp t="s">
        <v>#N/A N/A</v>
        <stp/>
        <stp>BDP|242184341801756023</stp>
        <tr r="I1991" s="2"/>
      </tp>
      <tp t="s">
        <v>#N/A N/A</v>
        <stp/>
        <stp>BDP|269619822900706088</stp>
        <tr r="C1904" s="2"/>
      </tp>
      <tp t="s">
        <v>#N/A N/A</v>
        <stp/>
        <stp>BDP|906045198535995826</stp>
        <tr r="D1279" s="2"/>
      </tp>
      <tp t="s">
        <v>#N/A N/A</v>
        <stp/>
        <stp>BDP|389712834834912410</stp>
        <tr r="G4427" s="2"/>
      </tp>
      <tp t="s">
        <v>#N/A N/A</v>
        <stp/>
        <stp>BDP|618478978856025174</stp>
        <tr r="B4437" s="2"/>
      </tp>
      <tp t="s">
        <v>#N/A N/A</v>
        <stp/>
        <stp>BDP|397211170028418990</stp>
        <tr r="B2896" s="2"/>
      </tp>
      <tp t="s">
        <v>#N/A N/A</v>
        <stp/>
        <stp>BDP|699855195837998204</stp>
        <tr r="C4162" s="2"/>
      </tp>
      <tp t="s">
        <v>#N/A N/A</v>
        <stp/>
        <stp>BDP|647235462327144794</stp>
        <tr r="G385" s="2"/>
      </tp>
      <tp t="s">
        <v>#N/A N/A</v>
        <stp/>
        <stp>BDP|795400534704557799</stp>
        <tr r="A2071" s="2"/>
      </tp>
      <tp t="s">
        <v>#N/A N/A</v>
        <stp/>
        <stp>BDP|958142802593996698</stp>
        <tr r="B4511" s="2"/>
      </tp>
      <tp t="s">
        <v>#N/A N/A</v>
        <stp/>
        <stp>BDP|405711540421909634</stp>
        <tr r="H3784" s="2"/>
      </tp>
      <tp t="s">
        <v>#N/A N/A</v>
        <stp/>
        <stp>BDP|102414545321842524</stp>
        <tr r="C1319" s="2"/>
      </tp>
      <tp t="s">
        <v>#N/A N/A</v>
        <stp/>
        <stp>BDP|786240189239775729</stp>
        <tr r="D4345" s="2"/>
      </tp>
      <tp t="s">
        <v>#N/A N/A</v>
        <stp/>
        <stp>BDP|331594443332497728</stp>
        <tr r="D2881" s="2"/>
      </tp>
      <tp t="s">
        <v>#N/A N/A</v>
        <stp/>
        <stp>BDP|772439219896428761</stp>
        <tr r="I232" s="2"/>
      </tp>
      <tp t="s">
        <v>#N/A N/A</v>
        <stp/>
        <stp>BDP|463290448164589684</stp>
        <tr r="C4995" s="2"/>
      </tp>
      <tp t="s">
        <v>#N/A N/A</v>
        <stp/>
        <stp>BDP|880785756371668785</stp>
        <tr r="G1680" s="2"/>
      </tp>
      <tp t="s">
        <v>#N/A N/A</v>
        <stp/>
        <stp>BDP|626614134926362784</stp>
        <tr r="G3339" s="2"/>
      </tp>
      <tp t="s">
        <v>#N/A N/A</v>
        <stp/>
        <stp>BDP|950067932886712129</stp>
        <tr r="A2436" s="2"/>
      </tp>
      <tp t="s">
        <v>#N/A N/A</v>
        <stp/>
        <stp>BDP|503035000555763194</stp>
        <tr r="H2817" s="2"/>
      </tp>
      <tp t="s">
        <v>#N/A N/A</v>
        <stp/>
        <stp>BDP|837650868153460794</stp>
        <tr r="B2511" s="2"/>
      </tp>
      <tp t="s">
        <v>#N/A N/A</v>
        <stp/>
        <stp>BDP|193530061214834338</stp>
        <tr r="B3469" s="2"/>
      </tp>
      <tp t="s">
        <v>#N/A N/A</v>
        <stp/>
        <stp>BDP|907394213346890038</stp>
        <tr r="B4982" s="2"/>
      </tp>
      <tp t="s">
        <v>#N/A N/A</v>
        <stp/>
        <stp>BDP|845044314491572457</stp>
        <tr r="H1036" s="2"/>
      </tp>
      <tp t="s">
        <v>#N/A N/A</v>
        <stp/>
        <stp>BDP|979754816946266416</stp>
        <tr r="F4589" s="2"/>
      </tp>
      <tp t="s">
        <v>#N/A N/A</v>
        <stp/>
        <stp>BDP|454961935918802662</stp>
        <tr r="D4852" s="2"/>
      </tp>
      <tp t="s">
        <v>#N/A N/A</v>
        <stp/>
        <stp>BDP|878445263914136275</stp>
        <tr r="F2393" s="2"/>
      </tp>
      <tp t="s">
        <v>#N/A N/A</v>
        <stp/>
        <stp>BDP|971652743507432121</stp>
        <tr r="A2367" s="2"/>
      </tp>
      <tp t="s">
        <v>#N/A N/A</v>
        <stp/>
        <stp>BDP|477496924133404143</stp>
        <tr r="C1474" s="2"/>
      </tp>
      <tp t="s">
        <v>#N/A N/A</v>
        <stp/>
        <stp>BDP|156080811511223433</stp>
        <tr r="D4575" s="2"/>
      </tp>
      <tp t="s">
        <v>#N/A N/A</v>
        <stp/>
        <stp>BDP|942037569764827627</stp>
        <tr r="D4514" s="2"/>
      </tp>
      <tp t="s">
        <v>#N/A N/A</v>
        <stp/>
        <stp>BDP|370676929713612320</stp>
        <tr r="C1532" s="2"/>
      </tp>
      <tp t="s">
        <v>#N/A N/A</v>
        <stp/>
        <stp>BDP|103660044040235687</stp>
        <tr r="C1098" s="2"/>
      </tp>
      <tp t="s">
        <v>#N/A N/A</v>
        <stp/>
        <stp>BDP|661512019012470209</stp>
        <tr r="I1355" s="2"/>
      </tp>
      <tp t="s">
        <v>#N/A N/A</v>
        <stp/>
        <stp>BDP|856576021274023749</stp>
        <tr r="H967" s="2"/>
      </tp>
      <tp t="s">
        <v>#N/A N/A</v>
        <stp/>
        <stp>BDP|521499979701601694</stp>
        <tr r="A2634" s="2"/>
      </tp>
      <tp t="s">
        <v>#N/A N/A</v>
        <stp/>
        <stp>BDP|524477539863474055</stp>
        <tr r="F99" s="2"/>
      </tp>
      <tp t="s">
        <v>#N/A N/A</v>
        <stp/>
        <stp>BDP|238303209156089115</stp>
        <tr r="F3644" s="2"/>
      </tp>
      <tp t="s">
        <v>#N/A N/A</v>
        <stp/>
        <stp>BDP|135654631410810170</stp>
        <tr r="G2205" s="2"/>
      </tp>
      <tp t="s">
        <v>#N/A N/A</v>
        <stp/>
        <stp>BDP|869448402846012646</stp>
        <tr r="G3414" s="2"/>
      </tp>
      <tp t="s">
        <v>#N/A N/A</v>
        <stp/>
        <stp>BDP|281981006824514931</stp>
        <tr r="I2941" s="2"/>
      </tp>
      <tp t="s">
        <v>#N/A N/A</v>
        <stp/>
        <stp>BDP|835216227052257666</stp>
        <tr r="A583" s="2"/>
      </tp>
      <tp t="s">
        <v>#N/A N/A</v>
        <stp/>
        <stp>BDP|982952287623749673</stp>
        <tr r="C2983" s="2"/>
      </tp>
      <tp t="s">
        <v>#N/A N/A</v>
        <stp/>
        <stp>BDP|229492116814028561</stp>
        <tr r="B2834" s="2"/>
      </tp>
      <tp t="s">
        <v>#N/A N/A</v>
        <stp/>
        <stp>BDP|726914371839864340</stp>
        <tr r="I3234" s="2"/>
      </tp>
      <tp t="s">
        <v>#N/A N/A</v>
        <stp/>
        <stp>BDP|999752356854198205</stp>
        <tr r="B21" s="2"/>
      </tp>
      <tp t="s">
        <v>#N/A N/A</v>
        <stp/>
        <stp>BDP|398795008213848018</stp>
        <tr r="D3380" s="2"/>
      </tp>
      <tp t="s">
        <v>#N/A N/A</v>
        <stp/>
        <stp>BDP|635702719530660221</stp>
        <tr r="G796" s="2"/>
      </tp>
      <tp t="s">
        <v>#N/A N/A</v>
        <stp/>
        <stp>BDP|309575775882295484</stp>
        <tr r="D161" s="2"/>
      </tp>
      <tp t="s">
        <v>#N/A N/A</v>
        <stp/>
        <stp>BDP|406561848965592047</stp>
        <tr r="I3299" s="2"/>
      </tp>
      <tp t="s">
        <v>#N/A N/A</v>
        <stp/>
        <stp>BDP|269431275896983163</stp>
        <tr r="I4969" s="2"/>
      </tp>
      <tp t="s">
        <v>#N/A N/A</v>
        <stp/>
        <stp>BDP|323132316732458668</stp>
        <tr r="I182" s="2"/>
      </tp>
      <tp t="s">
        <v>#N/A N/A</v>
        <stp/>
        <stp>BDP|198275513076827194</stp>
        <tr r="G3023" s="2"/>
      </tp>
      <tp t="s">
        <v>#N/A N/A</v>
        <stp/>
        <stp>BDP|467337831655792157</stp>
        <tr r="F2339" s="2"/>
      </tp>
      <tp t="s">
        <v>#N/A N/A</v>
        <stp/>
        <stp>BDP|897201906914398291</stp>
        <tr r="B1041" s="2"/>
      </tp>
      <tp t="s">
        <v>#N/A N/A</v>
        <stp/>
        <stp>BDP|856870858831774847</stp>
        <tr r="F2130" s="2"/>
      </tp>
      <tp t="s">
        <v>#N/A N/A</v>
        <stp/>
        <stp>BDP|789743035544736450</stp>
        <tr r="B4172" s="2"/>
      </tp>
      <tp t="s">
        <v>#N/A N/A</v>
        <stp/>
        <stp>BDP|353484509668525837</stp>
        <tr r="G2021" s="2"/>
      </tp>
      <tp t="s">
        <v>#N/A N/A</v>
        <stp/>
        <stp>BDP|221350020636432376</stp>
        <tr r="G703" s="2"/>
      </tp>
      <tp t="s">
        <v>#N/A N/A</v>
        <stp/>
        <stp>BDP|587349534511505542</stp>
        <tr r="C8" s="2"/>
      </tp>
      <tp t="s">
        <v>#N/A N/A</v>
        <stp/>
        <stp>BDP|566440417902538378</stp>
        <tr r="G1387" s="2"/>
      </tp>
      <tp t="s">
        <v>#N/A N/A</v>
        <stp/>
        <stp>BDP|477614167406283251</stp>
        <tr r="C1750" s="2"/>
      </tp>
      <tp t="s">
        <v>#N/A N/A</v>
        <stp/>
        <stp>BDP|741576916075590566</stp>
        <tr r="I1945" s="2"/>
      </tp>
      <tp t="s">
        <v>#N/A N/A</v>
        <stp/>
        <stp>BDP|266352271315761547</stp>
        <tr r="D2493" s="2"/>
      </tp>
      <tp t="s">
        <v>#N/A N/A</v>
        <stp/>
        <stp>BDP|468704771943136726</stp>
        <tr r="F2170" s="2"/>
      </tp>
      <tp t="s">
        <v>#N/A N/A</v>
        <stp/>
        <stp>BDP|672339768020278197</stp>
        <tr r="I2277" s="2"/>
      </tp>
      <tp t="s">
        <v>#N/A N/A</v>
        <stp/>
        <stp>BDP|855437268624196242</stp>
        <tr r="G4965" s="2"/>
      </tp>
      <tp t="s">
        <v>#N/A N/A</v>
        <stp/>
        <stp>BDP|485407602268363834</stp>
        <tr r="H1268" s="2"/>
      </tp>
      <tp t="s">
        <v>#N/A N/A</v>
        <stp/>
        <stp>BDP|104240512860603774</stp>
        <tr r="F3518" s="2"/>
      </tp>
      <tp t="s">
        <v>#N/A N/A</v>
        <stp/>
        <stp>BDP|448138819631097581</stp>
        <tr r="I3167" s="2"/>
      </tp>
      <tp t="s">
        <v>#N/A N/A</v>
        <stp/>
        <stp>BDP|477764367180430572</stp>
        <tr r="I4584" s="2"/>
      </tp>
      <tp t="s">
        <v>#N/A N/A</v>
        <stp/>
        <stp>BDP|229216670093567206</stp>
        <tr r="C2872" s="2"/>
      </tp>
      <tp t="s">
        <v>#N/A N/A</v>
        <stp/>
        <stp>BDP|668023244569433926</stp>
        <tr r="B1409" s="2"/>
      </tp>
      <tp t="s">
        <v>#N/A N/A</v>
        <stp/>
        <stp>BDP|243542525005489604</stp>
        <tr r="B3473" s="2"/>
      </tp>
      <tp t="s">
        <v>#N/A N/A</v>
        <stp/>
        <stp>BDP|600726238550999023</stp>
        <tr r="B1716" s="2"/>
      </tp>
      <tp t="s">
        <v>#N/A N/A</v>
        <stp/>
        <stp>BDP|100657151670086720</stp>
        <tr r="B1097" s="2"/>
      </tp>
      <tp t="s">
        <v>#N/A N/A</v>
        <stp/>
        <stp>BDP|700654713747649409</stp>
        <tr r="D2391" s="2"/>
      </tp>
      <tp t="s">
        <v>#N/A N/A</v>
        <stp/>
        <stp>BDP|438673971774544101</stp>
        <tr r="A1604" s="2"/>
      </tp>
      <tp t="s">
        <v>#N/A N/A</v>
        <stp/>
        <stp>BDP|523275422167416337</stp>
        <tr r="I3762" s="2"/>
      </tp>
      <tp t="s">
        <v>#N/A N/A</v>
        <stp/>
        <stp>BDP|558778333613594333</stp>
        <tr r="G4353" s="2"/>
      </tp>
      <tp t="s">
        <v>#N/A N/A</v>
        <stp/>
        <stp>BDP|822743298033503960</stp>
        <tr r="G4752" s="2"/>
      </tp>
      <tp t="s">
        <v>#N/A N/A</v>
        <stp/>
        <stp>BDP|696953194190487444</stp>
        <tr r="I994" s="2"/>
      </tp>
      <tp t="s">
        <v>#N/A N/A</v>
        <stp/>
        <stp>BDP|380547830824962695</stp>
        <tr r="C2322" s="2"/>
      </tp>
      <tp t="s">
        <v>#N/A N/A</v>
        <stp/>
        <stp>BDP|938591463361646620</stp>
        <tr r="G4864" s="2"/>
      </tp>
      <tp t="s">
        <v>#N/A N/A</v>
        <stp/>
        <stp>BDP|742525279074513298</stp>
        <tr r="I4692" s="2"/>
      </tp>
      <tp t="s">
        <v>#N/A N/A</v>
        <stp/>
        <stp>BDP|274255152986618533</stp>
        <tr r="D1089" s="2"/>
      </tp>
      <tp t="s">
        <v>#N/A N/A</v>
        <stp/>
        <stp>BDP|779009915412435767</stp>
        <tr r="F3114" s="2"/>
      </tp>
      <tp t="s">
        <v>#N/A N/A</v>
        <stp/>
        <stp>BDP|231245048670757296</stp>
        <tr r="I3917" s="2"/>
      </tp>
      <tp t="s">
        <v>#N/A N/A</v>
        <stp/>
        <stp>BDP|993249341716976453</stp>
        <tr r="B1219" s="2"/>
      </tp>
      <tp t="s">
        <v>#N/A N/A</v>
        <stp/>
        <stp>BDP|688560370804922292</stp>
        <tr r="H3827" s="2"/>
      </tp>
      <tp t="s">
        <v>#N/A N/A</v>
        <stp/>
        <stp>BDP|255158768837879473</stp>
        <tr r="A2009" s="2"/>
      </tp>
      <tp t="s">
        <v>#N/A N/A</v>
        <stp/>
        <stp>BDP|480937582226184343</stp>
        <tr r="F1975" s="2"/>
      </tp>
      <tp t="s">
        <v>#N/A N/A</v>
        <stp/>
        <stp>BDP|345802159949905038</stp>
        <tr r="I32" s="2"/>
      </tp>
      <tp t="s">
        <v>#N/A N/A</v>
        <stp/>
        <stp>BDP|495511332855745700</stp>
        <tr r="C4221" s="2"/>
      </tp>
      <tp t="s">
        <v>#N/A N/A</v>
        <stp/>
        <stp>BDP|379335754945247770</stp>
        <tr r="D2867" s="2"/>
      </tp>
      <tp t="s">
        <v>#N/A N/A</v>
        <stp/>
        <stp>BDP|591993940678877157</stp>
        <tr r="H2000" s="2"/>
      </tp>
      <tp t="s">
        <v>#N/A N/A</v>
        <stp/>
        <stp>BDP|708672072235734040</stp>
        <tr r="F3801" s="2"/>
      </tp>
      <tp t="s">
        <v>#N/A N/A</v>
        <stp/>
        <stp>BDP|331677627485658542</stp>
        <tr r="H4859" s="2"/>
      </tp>
      <tp t="s">
        <v>#N/A N/A</v>
        <stp/>
        <stp>BDP|141975562072716925</stp>
        <tr r="D4603" s="2"/>
      </tp>
      <tp t="s">
        <v>#N/A N/A</v>
        <stp/>
        <stp>BDP|439157156087266779</stp>
        <tr r="A1855" s="2"/>
      </tp>
      <tp t="s">
        <v>#N/A N/A</v>
        <stp/>
        <stp>BDP|758865789214947038</stp>
        <tr r="B1387" s="2"/>
      </tp>
      <tp t="s">
        <v>#N/A N/A</v>
        <stp/>
        <stp>BDP|944228413583926437</stp>
        <tr r="G804" s="2"/>
      </tp>
      <tp t="s">
        <v>#N/A N/A</v>
        <stp/>
        <stp>BDP|618831174539150223</stp>
        <tr r="H2396" s="2"/>
      </tp>
      <tp t="s">
        <v>#N/A N/A</v>
        <stp/>
        <stp>BDP|205264936194968195</stp>
        <tr r="A3639" s="2"/>
      </tp>
      <tp t="s">
        <v>#N/A N/A</v>
        <stp/>
        <stp>BDP|960635068484932090</stp>
        <tr r="A3627" s="2"/>
      </tp>
      <tp t="s">
        <v>#N/A N/A</v>
        <stp/>
        <stp>BDP|772374949294805729</stp>
        <tr r="D4144" s="2"/>
      </tp>
      <tp t="s">
        <v>#N/A N/A</v>
        <stp/>
        <stp>BDP|323675271264094165</stp>
        <tr r="D145" s="2"/>
      </tp>
      <tp t="s">
        <v>#N/A N/A</v>
        <stp/>
        <stp>BDP|706307024617290221</stp>
        <tr r="F354" s="2"/>
      </tp>
      <tp t="s">
        <v>#N/A N/A</v>
        <stp/>
        <stp>BDP|300727933921517141</stp>
        <tr r="B1859" s="2"/>
      </tp>
      <tp t="s">
        <v>#N/A N/A</v>
        <stp/>
        <stp>BDP|192092623626905011</stp>
        <tr r="F4442" s="2"/>
      </tp>
      <tp t="s">
        <v>#N/A N/A</v>
        <stp/>
        <stp>BDP|580799158992338446</stp>
        <tr r="A2719" s="2"/>
      </tp>
      <tp t="s">
        <v>#N/A N/A</v>
        <stp/>
        <stp>BDP|919669242546963078</stp>
        <tr r="C3705" s="2"/>
      </tp>
      <tp t="s">
        <v>#N/A N/A</v>
        <stp/>
        <stp>BDP|154426825584624633</stp>
        <tr r="D1975" s="2"/>
      </tp>
      <tp t="s">
        <v>#N/A N/A</v>
        <stp/>
        <stp>BDP|823855008245599938</stp>
        <tr r="H865" s="2"/>
      </tp>
      <tp t="s">
        <v>#N/A N/A</v>
        <stp/>
        <stp>BDP|663863195886020095</stp>
        <tr r="I1106" s="2"/>
      </tp>
      <tp t="s">
        <v>#N/A N/A</v>
        <stp/>
        <stp>BDP|449171798466323948</stp>
        <tr r="C3453" s="2"/>
      </tp>
      <tp t="s">
        <v>#N/A N/A</v>
        <stp/>
        <stp>BDP|997128063844755437</stp>
        <tr r="I2923" s="2"/>
      </tp>
      <tp t="s">
        <v>#N/A N/A</v>
        <stp/>
        <stp>BDP|484174855111320297</stp>
        <tr r="A1386" s="2"/>
      </tp>
      <tp t="s">
        <v>#N/A N/A</v>
        <stp/>
        <stp>BDP|525385565797696526</stp>
        <tr r="B2395" s="2"/>
      </tp>
      <tp t="s">
        <v>#N/A N/A</v>
        <stp/>
        <stp>BDP|322113919557411038</stp>
        <tr r="B4363" s="2"/>
      </tp>
      <tp t="s">
        <v>#N/A N/A</v>
        <stp/>
        <stp>BDP|371700249621436521</stp>
        <tr r="H4193" s="2"/>
      </tp>
      <tp t="s">
        <v>#N/A N/A</v>
        <stp/>
        <stp>BDP|944645445883199650</stp>
        <tr r="F4154" s="2"/>
      </tp>
      <tp t="s">
        <v>#N/A N/A</v>
        <stp/>
        <stp>BDP|727954581626629095</stp>
        <tr r="D2523" s="2"/>
      </tp>
      <tp t="s">
        <v>#N/A N/A</v>
        <stp/>
        <stp>BDP|308199067148798866</stp>
        <tr r="I48" s="2"/>
      </tp>
      <tp t="s">
        <v>#N/A N/A</v>
        <stp/>
        <stp>BDP|681258284829995424</stp>
        <tr r="F911" s="2"/>
      </tp>
      <tp t="s">
        <v>#N/A N/A</v>
        <stp/>
        <stp>BDP|627558089573227956</stp>
        <tr r="C1602" s="2"/>
      </tp>
      <tp t="s">
        <v>#N/A N/A</v>
        <stp/>
        <stp>BDP|781680114632513236</stp>
        <tr r="B3080" s="2"/>
      </tp>
      <tp t="s">
        <v>#N/A N/A</v>
        <stp/>
        <stp>BDP|205495846900948796</stp>
        <tr r="D1794" s="2"/>
      </tp>
      <tp t="s">
        <v>#N/A N/A</v>
        <stp/>
        <stp>BDP|322916788566228050</stp>
        <tr r="H2578" s="2"/>
      </tp>
      <tp t="s">
        <v>#N/A N/A</v>
        <stp/>
        <stp>BDP|496638172720019684</stp>
        <tr r="B2334" s="2"/>
      </tp>
      <tp t="s">
        <v>#N/A N/A</v>
        <stp/>
        <stp>BDP|352055024786764382</stp>
        <tr r="A2413" s="2"/>
      </tp>
      <tp t="s">
        <v>#N/A N/A</v>
        <stp/>
        <stp>BDP|905443630198423841</stp>
        <tr r="I1478" s="2"/>
      </tp>
      <tp t="s">
        <v>#N/A N/A</v>
        <stp/>
        <stp>BDP|968829353973456912</stp>
        <tr r="F4579" s="2"/>
      </tp>
      <tp t="s">
        <v>#N/A N/A</v>
        <stp/>
        <stp>BDP|656096566354324575</stp>
        <tr r="F3321" s="2"/>
      </tp>
      <tp t="s">
        <v>#N/A N/A</v>
        <stp/>
        <stp>BDP|239656608351612043</stp>
        <tr r="B3943" s="2"/>
      </tp>
      <tp t="s">
        <v>#N/A N/A</v>
        <stp/>
        <stp>BDP|433757299898407118</stp>
        <tr r="B413" s="2"/>
      </tp>
      <tp t="s">
        <v>#N/A N/A</v>
        <stp/>
        <stp>BDP|774669901018940970</stp>
        <tr r="H962" s="2"/>
      </tp>
      <tp t="s">
        <v>#N/A N/A</v>
        <stp/>
        <stp>BDP|410055159963319151</stp>
        <tr r="F4678" s="2"/>
      </tp>
      <tp t="s">
        <v>#N/A N/A</v>
        <stp/>
        <stp>BDP|550313681324947826</stp>
        <tr r="C3235" s="2"/>
      </tp>
      <tp t="s">
        <v>#N/A N/A</v>
        <stp/>
        <stp>BDP|451755552267442292</stp>
        <tr r="H2982" s="2"/>
      </tp>
      <tp t="s">
        <v>#N/A N/A</v>
        <stp/>
        <stp>BDP|180353148700522064</stp>
        <tr r="H128" s="2"/>
      </tp>
      <tp t="s">
        <v>#N/A N/A</v>
        <stp/>
        <stp>BDP|573501334861709096</stp>
        <tr r="I4958" s="2"/>
      </tp>
      <tp t="s">
        <v>#N/A N/A</v>
        <stp/>
        <stp>BDP|912258556694661431</stp>
        <tr r="F8" s="2"/>
      </tp>
      <tp t="s">
        <v>#N/A N/A</v>
        <stp/>
        <stp>BDP|656383844636608639</stp>
        <tr r="I521" s="2"/>
      </tp>
      <tp t="s">
        <v>#N/A N/A</v>
        <stp/>
        <stp>BDP|722121124063643789</stp>
        <tr r="G55" s="2"/>
      </tp>
      <tp t="s">
        <v>#N/A N/A</v>
        <stp/>
        <stp>BDP|869486270924626094</stp>
        <tr r="A2289" s="2"/>
      </tp>
      <tp t="s">
        <v>#N/A N/A</v>
        <stp/>
        <stp>BDP|898807774288705043</stp>
        <tr r="F3535" s="2"/>
      </tp>
      <tp t="s">
        <v>#N/A N/A</v>
        <stp/>
        <stp>BDP|603383062503647153</stp>
        <tr r="I2358" s="2"/>
      </tp>
      <tp t="s">
        <v>#N/A N/A</v>
        <stp/>
        <stp>BDP|169358627813544595</stp>
        <tr r="H4619" s="2"/>
      </tp>
      <tp t="s">
        <v>#N/A N/A</v>
        <stp/>
        <stp>BDP|132567989002040814</stp>
        <tr r="I2719" s="2"/>
      </tp>
      <tp t="s">
        <v>#N/A N/A</v>
        <stp/>
        <stp>BDP|865710556891718405</stp>
        <tr r="H3608" s="2"/>
      </tp>
      <tp t="s">
        <v>#N/A N/A</v>
        <stp/>
        <stp>BDP|441416479241359577</stp>
        <tr r="A1331" s="2"/>
      </tp>
      <tp t="s">
        <v>#N/A N/A</v>
        <stp/>
        <stp>BDP|170457551866881056</stp>
        <tr r="I360" s="2"/>
      </tp>
      <tp t="s">
        <v>#N/A N/A</v>
        <stp/>
        <stp>BDP|295665902022797391</stp>
        <tr r="H3328" s="2"/>
      </tp>
      <tp t="s">
        <v>#N/A N/A</v>
        <stp/>
        <stp>BDP|343053200657779093</stp>
        <tr r="H3383" s="2"/>
      </tp>
      <tp t="s">
        <v>#N/A N/A</v>
        <stp/>
        <stp>BDP|369085134334185071</stp>
        <tr r="I1087" s="2"/>
      </tp>
      <tp t="s">
        <v>#N/A N/A</v>
        <stp/>
        <stp>BDP|144053083336675983</stp>
        <tr r="H3889" s="2"/>
      </tp>
      <tp t="s">
        <v>#N/A N/A</v>
        <stp/>
        <stp>BDP|695282192749698533</stp>
        <tr r="B3319" s="2"/>
      </tp>
      <tp t="s">
        <v>#N/A N/A</v>
        <stp/>
        <stp>BDP|308860016367815925</stp>
        <tr r="C2849" s="2"/>
      </tp>
      <tp t="s">
        <v>#N/A N/A</v>
        <stp/>
        <stp>BDP|674659120362838111</stp>
        <tr r="B4810" s="2"/>
      </tp>
      <tp t="s">
        <v>#N/A N/A</v>
        <stp/>
        <stp>BDP|660228107061089496</stp>
        <tr r="I4528" s="2"/>
      </tp>
      <tp t="s">
        <v>#N/A N/A</v>
        <stp/>
        <stp>BDP|271607208086146715</stp>
        <tr r="F2385" s="2"/>
      </tp>
      <tp t="s">
        <v>#N/A N/A</v>
        <stp/>
        <stp>BDP|726396488315941955</stp>
        <tr r="A4575" s="2"/>
      </tp>
      <tp t="s">
        <v>#N/A N/A</v>
        <stp/>
        <stp>BDP|466221679074651635</stp>
        <tr r="F1704" s="2"/>
      </tp>
      <tp t="s">
        <v>#N/A N/A</v>
        <stp/>
        <stp>BDP|808573420618418810</stp>
        <tr r="F1508" s="2"/>
      </tp>
      <tp t="s">
        <v>#N/A N/A</v>
        <stp/>
        <stp>BDP|935559876607245232</stp>
        <tr r="D3606" s="2"/>
      </tp>
      <tp t="s">
        <v>#N/A N/A</v>
        <stp/>
        <stp>BDP|310623936147409589</stp>
        <tr r="A1000" s="2"/>
      </tp>
      <tp t="s">
        <v>#N/A N/A</v>
        <stp/>
        <stp>BDP|885214794729019561</stp>
        <tr r="B4508" s="2"/>
      </tp>
      <tp t="s">
        <v>#N/A N/A</v>
        <stp/>
        <stp>BDP|824628176632558427</stp>
        <tr r="G2374" s="2"/>
      </tp>
      <tp t="s">
        <v>#N/A N/A</v>
        <stp/>
        <stp>BDP|526205619286516227</stp>
        <tr r="G2463" s="2"/>
      </tp>
      <tp t="s">
        <v>#N/A N/A</v>
        <stp/>
        <stp>BDP|992021261831518045</stp>
        <tr r="F1158" s="2"/>
      </tp>
      <tp t="s">
        <v>#N/A N/A</v>
        <stp/>
        <stp>BDP|522636215188827803</stp>
        <tr r="H3402" s="2"/>
      </tp>
      <tp t="s">
        <v>#N/A N/A</v>
        <stp/>
        <stp>BDP|609277384015483856</stp>
        <tr r="A2932" s="2"/>
      </tp>
      <tp t="s">
        <v>#N/A N/A</v>
        <stp/>
        <stp>BDP|463687228396145519</stp>
        <tr r="I3416" s="2"/>
      </tp>
      <tp t="s">
        <v>#N/A N/A</v>
        <stp/>
        <stp>BDP|313520480599389363</stp>
        <tr r="C3554" s="2"/>
      </tp>
      <tp t="s">
        <v>#N/A N/A</v>
        <stp/>
        <stp>BDP|501517043400194626</stp>
        <tr r="B186" s="2"/>
      </tp>
      <tp t="s">
        <v>#N/A N/A</v>
        <stp/>
        <stp>BDP|212694738941410339</stp>
        <tr r="C3132" s="2"/>
      </tp>
      <tp t="s">
        <v>#N/A N/A</v>
        <stp/>
        <stp>BDP|540250065581799273</stp>
        <tr r="B77" s="2"/>
      </tp>
      <tp t="s">
        <v>#N/A N/A</v>
        <stp/>
        <stp>BDP|276636431974549604</stp>
        <tr r="D4726" s="2"/>
      </tp>
      <tp t="s">
        <v>#N/A N/A</v>
        <stp/>
        <stp>BDP|666572040237282160</stp>
        <tr r="G1288" s="2"/>
      </tp>
      <tp t="s">
        <v>#N/A N/A</v>
        <stp/>
        <stp>BDP|513298548668744967</stp>
        <tr r="A3077" s="2"/>
      </tp>
      <tp t="s">
        <v>#N/A N/A</v>
        <stp/>
        <stp>BDP|188156125214138052</stp>
        <tr r="G553" s="2"/>
      </tp>
      <tp t="s">
        <v>#N/A N/A</v>
        <stp/>
        <stp>BDP|761158646967430556</stp>
        <tr r="F2246" s="2"/>
      </tp>
      <tp t="s">
        <v>#N/A N/A</v>
        <stp/>
        <stp>BDP|507696500385810417</stp>
        <tr r="C4386" s="2"/>
      </tp>
      <tp t="s">
        <v>#N/A N/A</v>
        <stp/>
        <stp>BDP|563063072466731632</stp>
        <tr r="A557" s="2"/>
      </tp>
      <tp t="s">
        <v>#N/A N/A</v>
        <stp/>
        <stp>BDP|207186176148163980</stp>
        <tr r="H1833" s="2"/>
      </tp>
      <tp t="s">
        <v>#N/A N/A</v>
        <stp/>
        <stp>BDP|570570137940085103</stp>
        <tr r="G3676" s="2"/>
      </tp>
      <tp t="s">
        <v>#N/A N/A</v>
        <stp/>
        <stp>BDP|536167536387395204</stp>
        <tr r="A1132" s="2"/>
      </tp>
      <tp t="s">
        <v>#N/A N/A</v>
        <stp/>
        <stp>BDP|893201098945195972</stp>
        <tr r="F3800" s="2"/>
      </tp>
      <tp t="s">
        <v>#N/A N/A</v>
        <stp/>
        <stp>BDP|324761903614244428</stp>
        <tr r="D3372" s="2"/>
      </tp>
      <tp t="s">
        <v>#N/A N/A</v>
        <stp/>
        <stp>BDP|413175347986622441</stp>
        <tr r="B2307" s="2"/>
      </tp>
      <tp t="s">
        <v>#N/A N/A</v>
        <stp/>
        <stp>BDP|759062546796214533</stp>
        <tr r="B4680" s="2"/>
      </tp>
      <tp t="s">
        <v>#N/A N/A</v>
        <stp/>
        <stp>BDP|353710974357213027</stp>
        <tr r="F4738" s="2"/>
      </tp>
      <tp t="s">
        <v>#N/A N/A</v>
        <stp/>
        <stp>BDP|770356626830095626</stp>
        <tr r="B616" s="2"/>
      </tp>
      <tp t="s">
        <v>#N/A N/A</v>
        <stp/>
        <stp>BDP|809857785353868465</stp>
        <tr r="C1525" s="2"/>
      </tp>
      <tp t="s">
        <v>#N/A N/A</v>
        <stp/>
        <stp>BDP|431027772086440664</stp>
        <tr r="D2094" s="2"/>
      </tp>
      <tp t="s">
        <v>#N/A N/A</v>
        <stp/>
        <stp>BDP|875314602463819753</stp>
        <tr r="G3739" s="2"/>
      </tp>
      <tp t="s">
        <v>#N/A N/A</v>
        <stp/>
        <stp>BDP|699587154002491599</stp>
        <tr r="A3536" s="2"/>
      </tp>
      <tp t="s">
        <v>#N/A N/A</v>
        <stp/>
        <stp>BDP|369257134433154542</stp>
        <tr r="I4568" s="2"/>
      </tp>
      <tp t="s">
        <v>#N/A N/A</v>
        <stp/>
        <stp>BDP|393392098359593402</stp>
        <tr r="I4824" s="2"/>
      </tp>
      <tp t="s">
        <v>#N/A N/A</v>
        <stp/>
        <stp>BDP|534526972115757051</stp>
        <tr r="H2031" s="2"/>
      </tp>
      <tp t="s">
        <v>#N/A N/A</v>
        <stp/>
        <stp>BDP|598212255334480421</stp>
        <tr r="B4664" s="2"/>
      </tp>
      <tp t="s">
        <v>#N/A N/A</v>
        <stp/>
        <stp>BDP|231584934016833712</stp>
        <tr r="H3955" s="2"/>
      </tp>
      <tp t="s">
        <v>#N/A N/A</v>
        <stp/>
        <stp>BDP|284251601831223435</stp>
        <tr r="I657" s="2"/>
      </tp>
      <tp t="s">
        <v>#N/A N/A</v>
        <stp/>
        <stp>BDP|808058034347780394</stp>
        <tr r="G38" s="2"/>
      </tp>
      <tp t="s">
        <v>#N/A N/A</v>
        <stp/>
        <stp>BDP|976189966135024508</stp>
        <tr r="G2241" s="2"/>
      </tp>
      <tp t="s">
        <v>#N/A N/A</v>
        <stp/>
        <stp>BDP|760358234174120377</stp>
        <tr r="G285" s="2"/>
      </tp>
      <tp t="s">
        <v>#N/A N/A</v>
        <stp/>
        <stp>BDP|833149549100054255</stp>
        <tr r="F1752" s="2"/>
      </tp>
      <tp t="s">
        <v>#N/A N/A</v>
        <stp/>
        <stp>BDP|688311100041101565</stp>
        <tr r="G3906" s="2"/>
      </tp>
      <tp t="s">
        <v>#N/A N/A</v>
        <stp/>
        <stp>BDP|710374056020236140</stp>
        <tr r="C1622" s="2"/>
      </tp>
      <tp t="s">
        <v>#N/A N/A</v>
        <stp/>
        <stp>BDP|258023373329552967</stp>
        <tr r="G53" s="2"/>
      </tp>
      <tp t="s">
        <v>#N/A N/A</v>
        <stp/>
        <stp>BDP|751971991076820191</stp>
        <tr r="D4296" s="2"/>
      </tp>
      <tp t="s">
        <v>#N/A N/A</v>
        <stp/>
        <stp>BDP|331007205481424626</stp>
        <tr r="A2792" s="2"/>
      </tp>
      <tp t="s">
        <v>#N/A N/A</v>
        <stp/>
        <stp>BDP|410631505362708349</stp>
        <tr r="I4218" s="2"/>
      </tp>
      <tp t="s">
        <v>#N/A N/A</v>
        <stp/>
        <stp>BDP|116347657523380201</stp>
        <tr r="D429" s="2"/>
      </tp>
      <tp t="s">
        <v>#N/A N/A</v>
        <stp/>
        <stp>BDP|605729665727678160</stp>
        <tr r="G4471" s="2"/>
      </tp>
      <tp t="s">
        <v>#N/A N/A</v>
        <stp/>
        <stp>BDP|703665830770594254</stp>
        <tr r="H3386" s="2"/>
      </tp>
      <tp t="s">
        <v>#N/A N/A</v>
        <stp/>
        <stp>BDP|778854828538935528</stp>
        <tr r="D263" s="2"/>
      </tp>
      <tp t="s">
        <v>#N/A N/A</v>
        <stp/>
        <stp>BDP|830181375940011149</stp>
        <tr r="D981" s="2"/>
      </tp>
      <tp t="s">
        <v>#N/A N/A</v>
        <stp/>
        <stp>BDP|452554141643065511</stp>
        <tr r="G1370" s="2"/>
      </tp>
      <tp t="s">
        <v>#N/A N/A</v>
        <stp/>
        <stp>BDP|878364426085939306</stp>
        <tr r="A4781" s="2"/>
      </tp>
      <tp t="s">
        <v>#N/A N/A</v>
        <stp/>
        <stp>BDP|275334150132515356</stp>
        <tr r="H4810" s="2"/>
      </tp>
      <tp t="s">
        <v>#N/A N/A</v>
        <stp/>
        <stp>BDP|153187336517824260</stp>
        <tr r="B325" s="2"/>
      </tp>
      <tp t="s">
        <v>#N/A N/A</v>
        <stp/>
        <stp>BDP|846467285902028993</stp>
        <tr r="C3133" s="2"/>
      </tp>
      <tp t="s">
        <v>#N/A N/A</v>
        <stp/>
        <stp>BDP|285160263014157446</stp>
        <tr r="F1821" s="2"/>
      </tp>
      <tp t="s">
        <v>#N/A N/A</v>
        <stp/>
        <stp>BDP|391617443033013637</stp>
        <tr r="A659" s="2"/>
      </tp>
      <tp t="s">
        <v>#N/A N/A</v>
        <stp/>
        <stp>BDP|218895248939655275</stp>
        <tr r="A2868" s="2"/>
      </tp>
      <tp t="s">
        <v>#N/A N/A</v>
        <stp/>
        <stp>BDP|842389604104316050</stp>
        <tr r="G4208" s="2"/>
      </tp>
      <tp t="s">
        <v>#N/A N/A</v>
        <stp/>
        <stp>BDP|142083223183900614</stp>
        <tr r="C4738" s="2"/>
      </tp>
      <tp t="s">
        <v>#N/A N/A</v>
        <stp/>
        <stp>BDP|744759330811075201</stp>
        <tr r="B3472" s="2"/>
      </tp>
      <tp t="s">
        <v>#N/A N/A</v>
        <stp/>
        <stp>BDP|293259175432321031</stp>
        <tr r="I2026" s="2"/>
      </tp>
      <tp t="s">
        <v>#N/A N/A</v>
        <stp/>
        <stp>BDP|358054003116513138</stp>
        <tr r="C2031" s="2"/>
      </tp>
      <tp t="s">
        <v>#N/A N/A</v>
        <stp/>
        <stp>BDP|666704455054359139</stp>
        <tr r="G3388" s="2"/>
      </tp>
      <tp t="s">
        <v>#N/A N/A</v>
        <stp/>
        <stp>BDP|342389825603851551</stp>
        <tr r="H3904" s="2"/>
      </tp>
      <tp t="s">
        <v>#N/A N/A</v>
        <stp/>
        <stp>BDP|728102471798189943</stp>
        <tr r="G2464" s="2"/>
      </tp>
      <tp t="s">
        <v>#N/A N/A</v>
        <stp/>
        <stp>BDP|463260914922262674</stp>
        <tr r="I907" s="2"/>
      </tp>
      <tp t="s">
        <v>#N/A N/A</v>
        <stp/>
        <stp>BDP|871942752433921841</stp>
        <tr r="A616" s="2"/>
      </tp>
      <tp t="s">
        <v>#N/A N/A</v>
        <stp/>
        <stp>BDP|244265772914686633</stp>
        <tr r="D1220" s="2"/>
      </tp>
      <tp t="s">
        <v>#N/A N/A</v>
        <stp/>
        <stp>BDP|411241507413438607</stp>
        <tr r="B3730" s="2"/>
      </tp>
      <tp t="s">
        <v>#N/A N/A</v>
        <stp/>
        <stp>BDP|493168341907071508</stp>
        <tr r="C4307" s="2"/>
      </tp>
      <tp t="s">
        <v>#N/A N/A</v>
        <stp/>
        <stp>BDP|240123556053569004</stp>
        <tr r="F1586" s="2"/>
      </tp>
      <tp t="s">
        <v>#N/A N/A</v>
        <stp/>
        <stp>BDP|254239972643717080</stp>
        <tr r="H1338" s="2"/>
      </tp>
      <tp t="s">
        <v>#N/A N/A</v>
        <stp/>
        <stp>BDP|388195652257479506</stp>
        <tr r="D4864" s="2"/>
      </tp>
      <tp t="s">
        <v>#N/A N/A</v>
        <stp/>
        <stp>BDP|324871273521899832</stp>
        <tr r="I4735" s="2"/>
      </tp>
      <tp t="s">
        <v>#N/A N/A</v>
        <stp/>
        <stp>BDP|111768440764992120</stp>
        <tr r="I2881" s="2"/>
      </tp>
      <tp t="s">
        <v>#N/A N/A</v>
        <stp/>
        <stp>BDP|229775329010353337</stp>
        <tr r="C3970" s="2"/>
      </tp>
      <tp t="s">
        <v>#N/A N/A</v>
        <stp/>
        <stp>BDP|550935290945312381</stp>
        <tr r="B1310" s="2"/>
      </tp>
      <tp t="s">
        <v>#N/A N/A</v>
        <stp/>
        <stp>BDP|836562067383591615</stp>
        <tr r="I2029" s="2"/>
      </tp>
      <tp t="s">
        <v>#N/A N/A</v>
        <stp/>
        <stp>BDP|382484045164336200</stp>
        <tr r="A1402" s="2"/>
      </tp>
      <tp t="s">
        <v>#N/A N/A</v>
        <stp/>
        <stp>BDP|304539669346192351</stp>
        <tr r="I3392" s="2"/>
      </tp>
      <tp t="s">
        <v>#N/A N/A</v>
        <stp/>
        <stp>BDP|332773029125626663</stp>
        <tr r="A1003" s="2"/>
      </tp>
      <tp t="s">
        <v>#N/A N/A</v>
        <stp/>
        <stp>BDP|562716318984568474</stp>
        <tr r="H2904" s="2"/>
      </tp>
      <tp t="s">
        <v>#N/A N/A</v>
        <stp/>
        <stp>BDP|862503542833267464</stp>
        <tr r="I2940" s="2"/>
      </tp>
      <tp t="s">
        <v>#N/A N/A</v>
        <stp/>
        <stp>BDP|487967350013863946</stp>
        <tr r="C2521" s="2"/>
      </tp>
      <tp t="s">
        <v>#N/A N/A</v>
        <stp/>
        <stp>BDP|267849635818829559</stp>
        <tr r="F97" s="2"/>
      </tp>
      <tp t="s">
        <v>#N/A N/A</v>
        <stp/>
        <stp>BDP|728619978176088101</stp>
        <tr r="H1849" s="2"/>
      </tp>
      <tp t="s">
        <v>#N/A N/A</v>
        <stp/>
        <stp>BDP|647089439817910207</stp>
        <tr r="I3638" s="2"/>
      </tp>
      <tp t="s">
        <v>#N/A N/A</v>
        <stp/>
        <stp>BDP|429590770195072137</stp>
        <tr r="G1841" s="2"/>
      </tp>
      <tp t="s">
        <v>#N/A N/A</v>
        <stp/>
        <stp>BDP|344893950848485307</stp>
        <tr r="D988" s="2"/>
      </tp>
      <tp t="s">
        <v>#N/A N/A</v>
        <stp/>
        <stp>BDP|479615158741610454</stp>
        <tr r="B2020" s="2"/>
      </tp>
      <tp t="s">
        <v>#N/A N/A</v>
        <stp/>
        <stp>BDP|585449922281810152</stp>
        <tr r="I3786" s="2"/>
      </tp>
      <tp t="s">
        <v>#N/A N/A</v>
        <stp/>
        <stp>BDP|558099277230789127</stp>
        <tr r="D1789" s="2"/>
      </tp>
      <tp t="s">
        <v>#N/A N/A</v>
        <stp/>
        <stp>BDP|907405221501376151</stp>
        <tr r="F2753" s="2"/>
      </tp>
      <tp t="s">
        <v>#N/A N/A</v>
        <stp/>
        <stp>BDP|759036748472606040</stp>
        <tr r="I755" s="2"/>
      </tp>
      <tp t="s">
        <v>#N/A N/A</v>
        <stp/>
        <stp>BDP|203570460995373094</stp>
        <tr r="A2883" s="2"/>
      </tp>
      <tp t="s">
        <v>#N/A N/A</v>
        <stp/>
        <stp>BDP|631515416371994376</stp>
        <tr r="F714" s="2"/>
      </tp>
      <tp t="s">
        <v>#N/A N/A</v>
        <stp/>
        <stp>BDP|952075927442776618</stp>
        <tr r="B3215" s="2"/>
      </tp>
      <tp t="s">
        <v>#N/A N/A</v>
        <stp/>
        <stp>BDP|982297661043830165</stp>
        <tr r="C2759" s="2"/>
      </tp>
      <tp t="s">
        <v>#N/A N/A</v>
        <stp/>
        <stp>BDP|874837771498311169</stp>
        <tr r="I3901" s="2"/>
      </tp>
      <tp t="s">
        <v>#N/A N/A</v>
        <stp/>
        <stp>BDP|561588774421248543</stp>
        <tr r="A480" s="2"/>
      </tp>
      <tp t="s">
        <v>#N/A N/A</v>
        <stp/>
        <stp>BDP|640127315116868064</stp>
        <tr r="B659" s="2"/>
      </tp>
      <tp t="s">
        <v>#N/A N/A</v>
        <stp/>
        <stp>BDP|997725375937871192</stp>
        <tr r="I3702" s="2"/>
      </tp>
      <tp t="s">
        <v>#N/A N/A</v>
        <stp/>
        <stp>BDP|429953114399224781</stp>
        <tr r="I3101" s="2"/>
      </tp>
      <tp t="s">
        <v>#N/A N/A</v>
        <stp/>
        <stp>BDP|660877785707871149</stp>
        <tr r="B1784" s="2"/>
      </tp>
      <tp t="s">
        <v>#N/A N/A</v>
        <stp/>
        <stp>BDP|507253618751785475</stp>
        <tr r="C4393" s="2"/>
      </tp>
      <tp t="s">
        <v>#N/A N/A</v>
        <stp/>
        <stp>BDP|809328151328750840</stp>
        <tr r="H4959" s="2"/>
      </tp>
      <tp t="s">
        <v>#N/A N/A</v>
        <stp/>
        <stp>BDP|261686457130777529</stp>
        <tr r="A3699" s="2"/>
      </tp>
      <tp t="s">
        <v>#N/A N/A</v>
        <stp/>
        <stp>BDP|123614449902008612</stp>
        <tr r="F1870" s="2"/>
      </tp>
      <tp t="s">
        <v>#N/A N/A</v>
        <stp/>
        <stp>BDP|913525254792380448</stp>
        <tr r="I4603" s="2"/>
      </tp>
      <tp t="s">
        <v>#N/A N/A</v>
        <stp/>
        <stp>BDP|623056310710359786</stp>
        <tr r="H1701" s="2"/>
      </tp>
      <tp t="s">
        <v>#N/A N/A</v>
        <stp/>
        <stp>BDP|963485858452436553</stp>
        <tr r="I2969" s="2"/>
      </tp>
      <tp t="s">
        <v>#N/A N/A</v>
        <stp/>
        <stp>BDP|429002026222876637</stp>
        <tr r="B892" s="2"/>
      </tp>
      <tp t="s">
        <v>#N/A N/A</v>
        <stp/>
        <stp>BDP|453681395438320130</stp>
        <tr r="G1406" s="2"/>
      </tp>
      <tp t="s">
        <v>#N/A N/A</v>
        <stp/>
        <stp>BDP|629699003746462619</stp>
        <tr r="H3756" s="2"/>
      </tp>
      <tp t="s">
        <v>#N/A N/A</v>
        <stp/>
        <stp>BDP|359418707794995650</stp>
        <tr r="G3199" s="2"/>
      </tp>
      <tp t="s">
        <v>#N/A N/A</v>
        <stp/>
        <stp>BDP|889409630755043412</stp>
        <tr r="H2369" s="2"/>
      </tp>
      <tp t="s">
        <v>#N/A N/A</v>
        <stp/>
        <stp>BDP|534647389380530844</stp>
        <tr r="D34" s="2"/>
      </tp>
      <tp t="s">
        <v>#N/A N/A</v>
        <stp/>
        <stp>BDP|235328248180572149</stp>
        <tr r="D2088" s="2"/>
      </tp>
      <tp t="s">
        <v>#N/A N/A</v>
        <stp/>
        <stp>BDP|517195943237260478</stp>
        <tr r="B4806" s="2"/>
      </tp>
      <tp t="s">
        <v>#N/A N/A</v>
        <stp/>
        <stp>BDP|133141278929127967</stp>
        <tr r="H2546" s="2"/>
      </tp>
      <tp t="s">
        <v>#N/A N/A</v>
        <stp/>
        <stp>BDP|358143443251955273</stp>
        <tr r="D4698" s="2"/>
      </tp>
      <tp t="s">
        <v>#N/A N/A</v>
        <stp/>
        <stp>BDP|224200104203421781</stp>
        <tr r="H4818" s="2"/>
      </tp>
      <tp t="s">
        <v>#N/A N/A</v>
        <stp/>
        <stp>BDP|876363074555791778</stp>
        <tr r="H4516" s="2"/>
      </tp>
      <tp t="s">
        <v>#N/A N/A</v>
        <stp/>
        <stp>BDP|765454802243256180</stp>
        <tr r="I2513" s="2"/>
      </tp>
      <tp t="s">
        <v>#N/A N/A</v>
        <stp/>
        <stp>BDP|771977636984585888</stp>
        <tr r="F3586" s="2"/>
      </tp>
      <tp t="s">
        <v>#N/A N/A</v>
        <stp/>
        <stp>BDP|700694475432298526</stp>
        <tr r="A520" s="2"/>
      </tp>
      <tp t="s">
        <v>#N/A N/A</v>
        <stp/>
        <stp>BDP|189358368804656711</stp>
        <tr r="I610" s="2"/>
      </tp>
      <tp t="s">
        <v>#N/A N/A</v>
        <stp/>
        <stp>BDP|371640149604658037</stp>
        <tr r="I3448" s="2"/>
      </tp>
      <tp t="s">
        <v>#N/A N/A</v>
        <stp/>
        <stp>BDP|838621702266228611</stp>
        <tr r="B1120" s="2"/>
      </tp>
      <tp t="s">
        <v>#N/A N/A</v>
        <stp/>
        <stp>BDP|829342912320042454</stp>
        <tr r="C711" s="2"/>
      </tp>
      <tp t="s">
        <v>#N/A N/A</v>
        <stp/>
        <stp>BDP|420110617045938300</stp>
        <tr r="H1754" s="2"/>
      </tp>
      <tp t="s">
        <v>#N/A N/A</v>
        <stp/>
        <stp>BDP|573152729785519075</stp>
        <tr r="A1378" s="2"/>
      </tp>
      <tp t="s">
        <v>#N/A N/A</v>
        <stp/>
        <stp>BDP|924167437100465474</stp>
        <tr r="H529" s="2"/>
      </tp>
      <tp t="s">
        <v>#N/A N/A</v>
        <stp/>
        <stp>BDP|956289748886253606</stp>
        <tr r="G721" s="2"/>
      </tp>
      <tp t="s">
        <v>#N/A N/A</v>
        <stp/>
        <stp>BDP|116164507283346484</stp>
        <tr r="G632" s="2"/>
      </tp>
      <tp t="s">
        <v>#N/A N/A</v>
        <stp/>
        <stp>BDP|186606917638962949</stp>
        <tr r="F3195" s="2"/>
      </tp>
      <tp t="s">
        <v>#N/A N/A</v>
        <stp/>
        <stp>BDP|912936204018554705</stp>
        <tr r="C1553" s="2"/>
      </tp>
      <tp t="s">
        <v>#N/A N/A</v>
        <stp/>
        <stp>BDP|465914494834025252</stp>
        <tr r="G441" s="2"/>
      </tp>
      <tp t="s">
        <v>#N/A N/A</v>
        <stp/>
        <stp>BDP|441502083419015238</stp>
        <tr r="F1110" s="2"/>
      </tp>
      <tp t="s">
        <v>#N/A N/A</v>
        <stp/>
        <stp>BDP|284250354477512625</stp>
        <tr r="H4414" s="2"/>
      </tp>
      <tp t="s">
        <v>#N/A N/A</v>
        <stp/>
        <stp>BDP|350924949093830843</stp>
        <tr r="H3833" s="2"/>
      </tp>
      <tp t="s">
        <v>#N/A N/A</v>
        <stp/>
        <stp>BDP|595596779120519449</stp>
        <tr r="B1690" s="2"/>
      </tp>
      <tp t="s">
        <v>#N/A N/A</v>
        <stp/>
        <stp>BDP|541650466270340614</stp>
        <tr r="F4251" s="2"/>
      </tp>
      <tp t="s">
        <v>#N/A N/A</v>
        <stp/>
        <stp>BDP|489203967966531427</stp>
        <tr r="F3388" s="2"/>
      </tp>
      <tp t="s">
        <v>#N/A N/A</v>
        <stp/>
        <stp>BDP|306553705541676208</stp>
        <tr r="H4973" s="2"/>
      </tp>
      <tp t="s">
        <v>#N/A N/A</v>
        <stp/>
        <stp>BDP|656854898485843268</stp>
        <tr r="I3435" s="2"/>
      </tp>
      <tp t="s">
        <v>#N/A N/A</v>
        <stp/>
        <stp>BDP|846683292991410831</stp>
        <tr r="G1754" s="2"/>
      </tp>
      <tp t="s">
        <v>#N/A N/A</v>
        <stp/>
        <stp>BDP|413557677926135220</stp>
        <tr r="C2404" s="2"/>
      </tp>
      <tp t="s">
        <v>#N/A N/A</v>
        <stp/>
        <stp>BDP|458006942066593466</stp>
        <tr r="G2047" s="2"/>
      </tp>
      <tp t="s">
        <v>#N/A N/A</v>
        <stp/>
        <stp>BDP|500422545457548121</stp>
        <tr r="H4425" s="2"/>
      </tp>
      <tp t="s">
        <v>#N/A N/A</v>
        <stp/>
        <stp>BDP|509115082459660654</stp>
        <tr r="G4205" s="2"/>
      </tp>
      <tp t="s">
        <v>#N/A N/A</v>
        <stp/>
        <stp>BDP|642269914271280434</stp>
        <tr r="H2022" s="2"/>
      </tp>
      <tp t="s">
        <v>#N/A N/A</v>
        <stp/>
        <stp>BDP|316064565630558006</stp>
        <tr r="H1172" s="2"/>
      </tp>
      <tp t="s">
        <v>#N/A N/A</v>
        <stp/>
        <stp>BDP|644262640231679137</stp>
        <tr r="C459" s="2"/>
      </tp>
      <tp t="s">
        <v>#N/A N/A</v>
        <stp/>
        <stp>BDP|426357343006259754</stp>
        <tr r="I2820" s="2"/>
      </tp>
      <tp t="s">
        <v>#N/A N/A</v>
        <stp/>
        <stp>BDP|748901615479778702</stp>
        <tr r="H1886" s="2"/>
      </tp>
      <tp t="s">
        <v>#N/A N/A</v>
        <stp/>
        <stp>BDP|197755850790552474</stp>
        <tr r="F1917" s="2"/>
      </tp>
      <tp t="s">
        <v>#N/A N/A</v>
        <stp/>
        <stp>BDP|489016762659951985</stp>
        <tr r="I3301" s="2"/>
      </tp>
      <tp t="s">
        <v>#N/A N/A</v>
        <stp/>
        <stp>BDP|148838739164803950</stp>
        <tr r="F2694" s="2"/>
      </tp>
      <tp t="s">
        <v>#N/A N/A</v>
        <stp/>
        <stp>BDP|791948244132379924</stp>
        <tr r="C1367" s="2"/>
      </tp>
      <tp t="s">
        <v>#N/A N/A</v>
        <stp/>
        <stp>BDP|182280931491968679</stp>
        <tr r="B1854" s="2"/>
      </tp>
      <tp t="s">
        <v>#N/A N/A</v>
        <stp/>
        <stp>BDP|983197053152790024</stp>
        <tr r="A3974" s="2"/>
      </tp>
      <tp t="s">
        <v>#N/A N/A</v>
        <stp/>
        <stp>BDP|371698829737312569</stp>
        <tr r="I3628" s="2"/>
      </tp>
      <tp t="s">
        <v>#N/A N/A</v>
        <stp/>
        <stp>BDP|845426026784935436</stp>
        <tr r="C4583" s="2"/>
      </tp>
      <tp t="s">
        <v>#N/A N/A</v>
        <stp/>
        <stp>BDP|492718203900700178</stp>
        <tr r="H2994" s="2"/>
      </tp>
      <tp t="s">
        <v>#N/A N/A</v>
        <stp/>
        <stp>BDP|587887172588140190</stp>
        <tr r="I4371" s="2"/>
      </tp>
      <tp t="s">
        <v>#N/A N/A</v>
        <stp/>
        <stp>BDP|792952417269371710</stp>
        <tr r="D2977" s="2"/>
      </tp>
      <tp t="s">
        <v>#N/A N/A</v>
        <stp/>
        <stp>BDP|159347788654311999</stp>
        <tr r="G2414" s="2"/>
      </tp>
      <tp t="s">
        <v>#N/A N/A</v>
        <stp/>
        <stp>BDP|520606773517159008</stp>
        <tr r="H4339" s="2"/>
      </tp>
      <tp t="s">
        <v>#N/A N/A</v>
        <stp/>
        <stp>BDP|129052017353653425</stp>
        <tr r="I1718" s="2"/>
      </tp>
      <tp t="s">
        <v>#N/A N/A</v>
        <stp/>
        <stp>BDP|351859656858671312</stp>
        <tr r="C3302" s="2"/>
      </tp>
      <tp t="s">
        <v>#N/A N/A</v>
        <stp/>
        <stp>BDP|654163087499053600</stp>
        <tr r="B4056" s="2"/>
      </tp>
      <tp t="s">
        <v>#N/A N/A</v>
        <stp/>
        <stp>BDP|828065950751130287</stp>
        <tr r="G4060" s="2"/>
      </tp>
      <tp t="s">
        <v>#N/A N/A</v>
        <stp/>
        <stp>BDP|663831354198723311</stp>
        <tr r="A1140" s="2"/>
      </tp>
      <tp t="s">
        <v>#N/A N/A</v>
        <stp/>
        <stp>BDP|703150901723417479</stp>
        <tr r="F3112" s="2"/>
      </tp>
      <tp t="s">
        <v>#N/A N/A</v>
        <stp/>
        <stp>BDP|381753266654982399</stp>
        <tr r="I2383" s="2"/>
      </tp>
      <tp t="s">
        <v>#N/A N/A</v>
        <stp/>
        <stp>BDP|874748838857380572</stp>
        <tr r="I4629" s="2"/>
      </tp>
      <tp t="s">
        <v>#N/A N/A</v>
        <stp/>
        <stp>BDP|982137051800821237</stp>
        <tr r="C1109" s="2"/>
      </tp>
      <tp t="s">
        <v>#N/A N/A</v>
        <stp/>
        <stp>BDP|755148692837474950</stp>
        <tr r="D4592" s="2"/>
      </tp>
      <tp t="s">
        <v>#N/A N/A</v>
        <stp/>
        <stp>BDP|333112626285378074</stp>
        <tr r="H3949" s="2"/>
      </tp>
      <tp t="s">
        <v>#N/A N/A</v>
        <stp/>
        <stp>BDP|232585472545005182</stp>
        <tr r="B2947" s="2"/>
      </tp>
      <tp t="s">
        <v>#N/A N/A</v>
        <stp/>
        <stp>BDP|221363531874473218</stp>
        <tr r="F3924" s="2"/>
      </tp>
      <tp t="s">
        <v>#N/A N/A</v>
        <stp/>
        <stp>BDP|912630814121956072</stp>
        <tr r="F4832" s="2"/>
      </tp>
      <tp t="s">
        <v>#N/A N/A</v>
        <stp/>
        <stp>BDP|215421876357262241</stp>
        <tr r="H1158" s="2"/>
      </tp>
      <tp t="s">
        <v>#N/A N/A</v>
        <stp/>
        <stp>BDP|242765462640735711</stp>
        <tr r="A698" s="2"/>
      </tp>
      <tp t="s">
        <v>#N/A N/A</v>
        <stp/>
        <stp>BDP|655475344400671628</stp>
        <tr r="D92" s="2"/>
      </tp>
      <tp t="s">
        <v>#N/A N/A</v>
        <stp/>
        <stp>BDP|369566105845266637</stp>
        <tr r="H3378" s="2"/>
      </tp>
      <tp t="s">
        <v>#N/A N/A</v>
        <stp/>
        <stp>BDP|497652931004969784</stp>
        <tr r="D1403" s="2"/>
      </tp>
      <tp t="s">
        <v>#N/A N/A</v>
        <stp/>
        <stp>BDP|362538681448335335</stp>
        <tr r="D4385" s="2"/>
      </tp>
      <tp t="s">
        <v>#N/A N/A</v>
        <stp/>
        <stp>BDP|712104642810033342</stp>
        <tr r="I2009" s="2"/>
      </tp>
      <tp t="s">
        <v>#N/A N/A</v>
        <stp/>
        <stp>BDP|539308765841749267</stp>
        <tr r="C204" s="2"/>
      </tp>
      <tp t="s">
        <v>#N/A N/A</v>
        <stp/>
        <stp>BDP|711557245772772516</stp>
        <tr r="I1714" s="2"/>
      </tp>
      <tp t="s">
        <v>#N/A N/A</v>
        <stp/>
        <stp>BDP|716024470500279166</stp>
        <tr r="B3026" s="2"/>
      </tp>
      <tp t="s">
        <v>#N/A N/A</v>
        <stp/>
        <stp>BDP|922104571798113881</stp>
        <tr r="G4783" s="2"/>
      </tp>
      <tp t="s">
        <v>#N/A N/A</v>
        <stp/>
        <stp>BDP|118418853110395717</stp>
        <tr r="H1442" s="2"/>
      </tp>
      <tp t="s">
        <v>#N/A N/A</v>
        <stp/>
        <stp>BDP|106158421155763038</stp>
        <tr r="D668" s="2"/>
      </tp>
      <tp t="s">
        <v>#N/A N/A</v>
        <stp/>
        <stp>BDP|991170122091481495</stp>
        <tr r="A4581" s="2"/>
      </tp>
      <tp t="s">
        <v>#N/A N/A</v>
        <stp/>
        <stp>BDP|602038750924350771</stp>
        <tr r="A995" s="2"/>
      </tp>
      <tp t="s">
        <v>#N/A N/A</v>
        <stp/>
        <stp>BDP|543816589987776187</stp>
        <tr r="C507" s="2"/>
      </tp>
      <tp t="s">
        <v>#N/A N/A</v>
        <stp/>
        <stp>BDP|190919273811039912</stp>
        <tr r="I948" s="2"/>
      </tp>
      <tp t="s">
        <v>#N/A N/A</v>
        <stp/>
        <stp>BDP|481152131044418065</stp>
        <tr r="A2015" s="2"/>
      </tp>
      <tp t="s">
        <v>#N/A N/A</v>
        <stp/>
        <stp>BDP|232523733795318528</stp>
        <tr r="C4200" s="2"/>
      </tp>
      <tp t="s">
        <v>#N/A N/A</v>
        <stp/>
        <stp>BDP|520373535687588100</stp>
        <tr r="H3266" s="2"/>
      </tp>
      <tp t="s">
        <v>#N/A N/A</v>
        <stp/>
        <stp>BDP|468025372538462922</stp>
        <tr r="B3802" s="2"/>
      </tp>
      <tp t="s">
        <v>#N/A N/A</v>
        <stp/>
        <stp>BDP|891669773635949260</stp>
        <tr r="G2771" s="2"/>
      </tp>
      <tp t="s">
        <v>#N/A N/A</v>
        <stp/>
        <stp>BDP|518302435466404065</stp>
        <tr r="F1693" s="2"/>
      </tp>
      <tp t="s">
        <v>#N/A N/A</v>
        <stp/>
        <stp>BDP|449938772390583824</stp>
        <tr r="G2576" s="2"/>
      </tp>
      <tp t="s">
        <v>#N/A N/A</v>
        <stp/>
        <stp>BDP|201502385799248270</stp>
        <tr r="G4987" s="2"/>
      </tp>
      <tp t="s">
        <v>#N/A N/A</v>
        <stp/>
        <stp>BDP|277431022791527144</stp>
        <tr r="D4058" s="2"/>
      </tp>
      <tp t="s">
        <v>#N/A N/A</v>
        <stp/>
        <stp>BDP|599600995869411079</stp>
        <tr r="D3294" s="2"/>
      </tp>
      <tp t="s">
        <v>#N/A N/A</v>
        <stp/>
        <stp>BDP|225376127980545746</stp>
        <tr r="I385" s="2"/>
      </tp>
      <tp t="s">
        <v>#N/A N/A</v>
        <stp/>
        <stp>BDP|667302228591565686</stp>
        <tr r="H4693" s="2"/>
      </tp>
      <tp t="s">
        <v>#N/A N/A</v>
        <stp/>
        <stp>BDP|140402424229739910</stp>
        <tr r="G1417" s="2"/>
      </tp>
      <tp t="s">
        <v>#N/A N/A</v>
        <stp/>
        <stp>BDP|816462895064795800</stp>
        <tr r="H1326" s="2"/>
      </tp>
      <tp t="s">
        <v>#N/A N/A</v>
        <stp/>
        <stp>BDP|324439490685976950</stp>
        <tr r="F1276" s="2"/>
      </tp>
      <tp t="s">
        <v>#N/A N/A</v>
        <stp/>
        <stp>BDP|565159479332616534</stp>
        <tr r="B690" s="2"/>
      </tp>
      <tp t="s">
        <v>#N/A N/A</v>
        <stp/>
        <stp>BDP|176471104416854369</stp>
        <tr r="G1420" s="2"/>
      </tp>
      <tp t="s">
        <v>#N/A N/A</v>
        <stp/>
        <stp>BDP|978754771262395324</stp>
        <tr r="F1045" s="2"/>
      </tp>
      <tp t="s">
        <v>#N/A N/A</v>
        <stp/>
        <stp>BDP|402208813205898731</stp>
        <tr r="C17" s="2"/>
      </tp>
      <tp t="s">
        <v>#N/A N/A</v>
        <stp/>
        <stp>BDP|803303004140068204</stp>
        <tr r="I3986" s="2"/>
      </tp>
      <tp t="s">
        <v>#N/A N/A</v>
        <stp/>
        <stp>BDP|181469279220528275</stp>
        <tr r="H623" s="2"/>
      </tp>
      <tp t="s">
        <v>#N/A N/A</v>
        <stp/>
        <stp>BDP|923118265470828686</stp>
        <tr r="F970" s="2"/>
      </tp>
      <tp t="s">
        <v>#N/A N/A</v>
        <stp/>
        <stp>BDP|728140578973273447</stp>
        <tr r="G4684" s="2"/>
      </tp>
      <tp t="s">
        <v>#N/A N/A</v>
        <stp/>
        <stp>BDP|503458948855595402</stp>
        <tr r="F4474" s="2"/>
      </tp>
      <tp t="s">
        <v>#N/A N/A</v>
        <stp/>
        <stp>BDP|204722982308784680</stp>
        <tr r="F1024" s="2"/>
      </tp>
      <tp t="s">
        <v>#N/A N/A</v>
        <stp/>
        <stp>BDP|661148509630613007</stp>
        <tr r="C2280" s="2"/>
      </tp>
      <tp t="s">
        <v>#N/A N/A</v>
        <stp/>
        <stp>BDP|733438139442611460</stp>
        <tr r="D3255" s="2"/>
      </tp>
      <tp t="s">
        <v>#N/A N/A</v>
        <stp/>
        <stp>BDP|392075607693806265</stp>
        <tr r="G3048" s="2"/>
      </tp>
      <tp t="s">
        <v>#N/A N/A</v>
        <stp/>
        <stp>BDP|462182575072112554</stp>
        <tr r="H1373" s="2"/>
      </tp>
      <tp t="s">
        <v>#N/A N/A</v>
        <stp/>
        <stp>BDP|219307820966471683</stp>
        <tr r="C2979" s="2"/>
      </tp>
      <tp t="s">
        <v>#N/A N/A</v>
        <stp/>
        <stp>BDP|449493318650957429</stp>
        <tr r="H1085" s="2"/>
      </tp>
      <tp t="s">
        <v>#N/A N/A</v>
        <stp/>
        <stp>BDP|678336006153990144</stp>
        <tr r="G1473" s="2"/>
      </tp>
      <tp t="s">
        <v>#N/A N/A</v>
        <stp/>
        <stp>BDP|561805208411025838</stp>
        <tr r="I3874" s="2"/>
      </tp>
      <tp t="s">
        <v>#N/A N/A</v>
        <stp/>
        <stp>BDP|586422550650948009</stp>
        <tr r="A4890" s="2"/>
      </tp>
      <tp t="s">
        <v>#N/A N/A</v>
        <stp/>
        <stp>BDP|832550366106566402</stp>
        <tr r="D3614" s="2"/>
      </tp>
      <tp t="s">
        <v>#N/A N/A</v>
        <stp/>
        <stp>BDP|469564459139669832</stp>
        <tr r="F1273" s="2"/>
      </tp>
      <tp t="s">
        <v>#N/A N/A</v>
        <stp/>
        <stp>BDP|794549052627749686</stp>
        <tr r="A3925" s="2"/>
      </tp>
      <tp t="s">
        <v>#N/A N/A</v>
        <stp/>
        <stp>BDP|520554507207908301</stp>
        <tr r="H4451" s="2"/>
      </tp>
      <tp t="s">
        <v>#N/A N/A</v>
        <stp/>
        <stp>BDP|164582662907182540</stp>
        <tr r="F1473" s="2"/>
      </tp>
      <tp t="s">
        <v>#N/A N/A</v>
        <stp/>
        <stp>BDP|307523893498542589</stp>
        <tr r="D2051" s="2"/>
      </tp>
      <tp t="s">
        <v>#N/A N/A</v>
        <stp/>
        <stp>BDP|675171707309064999</stp>
        <tr r="B2408" s="2"/>
      </tp>
      <tp t="s">
        <v>#N/A N/A</v>
        <stp/>
        <stp>BDP|881495900703867667</stp>
        <tr r="B1045" s="2"/>
      </tp>
      <tp t="s">
        <v>#N/A N/A</v>
        <stp/>
        <stp>BDP|272337276844813101</stp>
        <tr r="C4396" s="2"/>
      </tp>
      <tp t="s">
        <v>#N/A N/A</v>
        <stp/>
        <stp>BDP|675384389773048989</stp>
        <tr r="C3050" s="2"/>
      </tp>
      <tp t="s">
        <v>#N/A N/A</v>
        <stp/>
        <stp>BDP|800876014451257968</stp>
        <tr r="G2706" s="2"/>
      </tp>
      <tp t="s">
        <v>#N/A N/A</v>
        <stp/>
        <stp>BDP|347430703632955758</stp>
        <tr r="A3253" s="2"/>
      </tp>
      <tp t="s">
        <v>#N/A N/A</v>
        <stp/>
        <stp>BDP|925966327022418837</stp>
        <tr r="D526" s="2"/>
      </tp>
      <tp t="s">
        <v>#N/A N/A</v>
        <stp/>
        <stp>BDP|999661420711281421</stp>
        <tr r="G3546" s="2"/>
      </tp>
      <tp t="s">
        <v>#N/A N/A</v>
        <stp/>
        <stp>BDP|631266738298443834</stp>
        <tr r="B4602" s="2"/>
      </tp>
      <tp t="s">
        <v>#N/A N/A</v>
        <stp/>
        <stp>BDP|807180189919836192</stp>
        <tr r="B2266" s="2"/>
      </tp>
      <tp t="s">
        <v>#N/A N/A</v>
        <stp/>
        <stp>BDP|556581655613221228</stp>
        <tr r="I2477" s="2"/>
      </tp>
      <tp t="s">
        <v>#N/A N/A</v>
        <stp/>
        <stp>BDP|652709840147713592</stp>
        <tr r="C485" s="2"/>
      </tp>
      <tp t="s">
        <v>#N/A N/A</v>
        <stp/>
        <stp>BDP|688779658774319728</stp>
        <tr r="A1698" s="2"/>
      </tp>
      <tp t="s">
        <v>#N/A N/A</v>
        <stp/>
        <stp>BDP|625421713073762787</stp>
        <tr r="F3173" s="2"/>
      </tp>
      <tp t="s">
        <v>#N/A N/A</v>
        <stp/>
        <stp>BDP|350137799041652874</stp>
        <tr r="I1290" s="2"/>
      </tp>
      <tp t="s">
        <v>#N/A N/A</v>
        <stp/>
        <stp>BDP|154138586801570995</stp>
        <tr r="D4563" s="2"/>
      </tp>
      <tp t="s">
        <v>#N/A N/A</v>
        <stp/>
        <stp>BDP|776591623355516301</stp>
        <tr r="I2615" s="2"/>
      </tp>
      <tp t="s">
        <v>#N/A N/A</v>
        <stp/>
        <stp>BDP|404889905458401144</stp>
        <tr r="I1343" s="2"/>
      </tp>
      <tp t="s">
        <v>#N/A N/A</v>
        <stp/>
        <stp>BDP|975294213071368399</stp>
        <tr r="F2133" s="2"/>
      </tp>
      <tp t="s">
        <v>#N/A N/A</v>
        <stp/>
        <stp>BDP|468257228268692967</stp>
        <tr r="D4548" s="2"/>
      </tp>
      <tp t="s">
        <v>#N/A N/A</v>
        <stp/>
        <stp>BDP|295481862215868691</stp>
        <tr r="F3443" s="2"/>
      </tp>
      <tp t="s">
        <v>#N/A N/A</v>
        <stp/>
        <stp>BDP|268014223195899619</stp>
        <tr r="F3849" s="2"/>
      </tp>
      <tp t="s">
        <v>#N/A N/A</v>
        <stp/>
        <stp>BDP|844969770289285657</stp>
        <tr r="A468" s="2"/>
      </tp>
      <tp t="s">
        <v>#N/A N/A</v>
        <stp/>
        <stp>BDP|964435501980088523</stp>
        <tr r="H479" s="2"/>
      </tp>
      <tp t="s">
        <v>#N/A N/A</v>
        <stp/>
        <stp>BDP|897736224426431229</stp>
        <tr r="C3994" s="2"/>
      </tp>
      <tp t="s">
        <v>#N/A N/A</v>
        <stp/>
        <stp>BDP|943000768604838304</stp>
        <tr r="B2592" s="2"/>
      </tp>
      <tp t="s">
        <v>#N/A N/A</v>
        <stp/>
        <stp>BDP|194361045052857401</stp>
        <tr r="D1247" s="2"/>
      </tp>
      <tp t="s">
        <v>#N/A N/A</v>
        <stp/>
        <stp>BDP|102275413311935366</stp>
        <tr r="I1766" s="2"/>
      </tp>
      <tp t="s">
        <v>#N/A N/A</v>
        <stp/>
        <stp>BDP|475452285358768591</stp>
        <tr r="A2294" s="2"/>
      </tp>
      <tp t="s">
        <v>#N/A N/A</v>
        <stp/>
        <stp>BDP|496522158618452909</stp>
        <tr r="I2995" s="2"/>
      </tp>
      <tp t="s">
        <v>#N/A N/A</v>
        <stp/>
        <stp>BDP|613195508220418093</stp>
        <tr r="C3078" s="2"/>
      </tp>
      <tp t="s">
        <v>#N/A N/A</v>
        <stp/>
        <stp>BDP|393527250424890536</stp>
        <tr r="G2372" s="2"/>
      </tp>
      <tp t="s">
        <v>#N/A N/A</v>
        <stp/>
        <stp>BDP|275757027842902625</stp>
        <tr r="I2614" s="2"/>
      </tp>
      <tp t="s">
        <v>#N/A N/A</v>
        <stp/>
        <stp>BDP|947814815201794919</stp>
        <tr r="B3233" s="2"/>
      </tp>
      <tp t="s">
        <v>#N/A N/A</v>
        <stp/>
        <stp>BDP|834246317085767774</stp>
        <tr r="A518" s="2"/>
      </tp>
      <tp t="s">
        <v>#N/A N/A</v>
        <stp/>
        <stp>BDP|110556158238229953</stp>
        <tr r="F837" s="2"/>
      </tp>
      <tp t="s">
        <v>#N/A N/A</v>
        <stp/>
        <stp>BDP|747435162594041728</stp>
        <tr r="A911" s="2"/>
      </tp>
      <tp t="s">
        <v>#N/A N/A</v>
        <stp/>
        <stp>BDP|101314635064940588</stp>
        <tr r="D3604" s="2"/>
      </tp>
      <tp t="s">
        <v>#N/A N/A</v>
        <stp/>
        <stp>BDP|906613517975355381</stp>
        <tr r="I834" s="2"/>
      </tp>
      <tp t="s">
        <v>#N/A N/A</v>
        <stp/>
        <stp>BDP|731223203286356518</stp>
        <tr r="I65" s="2"/>
      </tp>
      <tp t="s">
        <v>#N/A N/A</v>
        <stp/>
        <stp>BDP|696416232790671673</stp>
        <tr r="G3219" s="2"/>
      </tp>
      <tp t="s">
        <v>#N/A N/A</v>
        <stp/>
        <stp>BDP|387967842879678550</stp>
        <tr r="A4952" s="2"/>
      </tp>
      <tp t="s">
        <v>#N/A N/A</v>
        <stp/>
        <stp>BDP|651916292356795768</stp>
        <tr r="A1933" s="2"/>
      </tp>
      <tp t="s">
        <v>#N/A N/A</v>
        <stp/>
        <stp>BDP|776020203567447660</stp>
        <tr r="D4788" s="2"/>
      </tp>
      <tp t="s">
        <v>#N/A N/A</v>
        <stp/>
        <stp>BDP|310121656683356604</stp>
        <tr r="F117" s="2"/>
      </tp>
      <tp t="s">
        <v>#N/A N/A</v>
        <stp/>
        <stp>BDP|515016110398062819</stp>
        <tr r="B4008" s="2"/>
      </tp>
      <tp t="s">
        <v>#N/A N/A</v>
        <stp/>
        <stp>BDP|311840070409561778</stp>
        <tr r="D4784" s="2"/>
      </tp>
      <tp t="s">
        <v>#N/A N/A</v>
        <stp/>
        <stp>BDP|401564615032784757</stp>
        <tr r="C4297" s="2"/>
      </tp>
      <tp t="s">
        <v>#N/A N/A</v>
        <stp/>
        <stp>BDP|425499260044911711</stp>
        <tr r="G2070" s="2"/>
      </tp>
      <tp t="s">
        <v>#N/A N/A</v>
        <stp/>
        <stp>BDP|399087369866479139</stp>
        <tr r="G2779" s="2"/>
      </tp>
      <tp t="s">
        <v>#N/A N/A</v>
        <stp/>
        <stp>BDP|521321232881558057</stp>
        <tr r="D4579" s="2"/>
      </tp>
      <tp t="s">
        <v>#N/A N/A</v>
        <stp/>
        <stp>BDP|569973440984310843</stp>
        <tr r="G1505" s="2"/>
      </tp>
      <tp t="s">
        <v>#N/A N/A</v>
        <stp/>
        <stp>BDP|790246241820616715</stp>
        <tr r="I2572" s="2"/>
      </tp>
      <tp t="s">
        <v>#N/A N/A</v>
        <stp/>
        <stp>BDP|481009372046258015</stp>
        <tr r="G2290" s="2"/>
      </tp>
      <tp t="s">
        <v>#N/A N/A</v>
        <stp/>
        <stp>BDP|193020240800136575</stp>
        <tr r="C3517" s="2"/>
      </tp>
      <tp t="s">
        <v>#N/A N/A</v>
        <stp/>
        <stp>BDP|633514329376978027</stp>
        <tr r="D163" s="2"/>
      </tp>
      <tp t="s">
        <v>#N/A N/A</v>
        <stp/>
        <stp>BDP|484279184318062321</stp>
        <tr r="G3446" s="2"/>
      </tp>
      <tp t="s">
        <v>#N/A N/A</v>
        <stp/>
        <stp>BDP|921028308366567706</stp>
        <tr r="B818" s="2"/>
      </tp>
      <tp t="s">
        <v>#N/A N/A</v>
        <stp/>
        <stp>BDP|986750759112302109</stp>
        <tr r="C591" s="2"/>
      </tp>
      <tp t="s">
        <v>#N/A N/A</v>
        <stp/>
        <stp>BDP|712537413695163000</stp>
        <tr r="C1269" s="2"/>
      </tp>
      <tp t="s">
        <v>#N/A N/A</v>
        <stp/>
        <stp>BDP|792388324526810652</stp>
        <tr r="D1426" s="2"/>
      </tp>
      <tp t="s">
        <v>#N/A N/A</v>
        <stp/>
        <stp>BDP|869017003562959355</stp>
        <tr r="H3567" s="2"/>
      </tp>
      <tp t="s">
        <v>#N/A N/A</v>
        <stp/>
        <stp>BDP|726375156395288236</stp>
        <tr r="A2095" s="2"/>
      </tp>
      <tp t="s">
        <v>#N/A N/A</v>
        <stp/>
        <stp>BDP|753678676708954887</stp>
        <tr r="A2914" s="2"/>
      </tp>
      <tp t="s">
        <v>#N/A N/A</v>
        <stp/>
        <stp>BDP|643151020850213265</stp>
        <tr r="D4919" s="2"/>
      </tp>
      <tp t="s">
        <v>#N/A N/A</v>
        <stp/>
        <stp>BDP|360480035956826012</stp>
        <tr r="B4993" s="2"/>
      </tp>
      <tp t="s">
        <v>#N/A N/A</v>
        <stp/>
        <stp>BDP|615002074866148042</stp>
        <tr r="C2379" s="2"/>
      </tp>
      <tp t="s">
        <v>#N/A N/A</v>
        <stp/>
        <stp>BDP|411213418337370594</stp>
        <tr r="B4957" s="2"/>
      </tp>
      <tp t="s">
        <v>#N/A N/A</v>
        <stp/>
        <stp>BDP|172175100660624077</stp>
        <tr r="F41" s="2"/>
      </tp>
      <tp t="s">
        <v>#N/A N/A</v>
        <stp/>
        <stp>BDP|220143749490126490</stp>
        <tr r="G4280" s="2"/>
      </tp>
      <tp t="s">
        <v>#N/A N/A</v>
        <stp/>
        <stp>BDP|597575552067486631</stp>
        <tr r="H1152" s="2"/>
      </tp>
      <tp t="s">
        <v>#N/A N/A</v>
        <stp/>
        <stp>BDP|267502601287151329</stp>
        <tr r="A3214" s="2"/>
      </tp>
      <tp t="s">
        <v>#N/A N/A</v>
        <stp/>
        <stp>BDP|539810000560440909</stp>
        <tr r="G3950" s="2"/>
      </tp>
      <tp t="s">
        <v>#N/A N/A</v>
        <stp/>
        <stp>BDP|216957895664501578</stp>
        <tr r="D3724" s="2"/>
      </tp>
      <tp t="s">
        <v>#N/A N/A</v>
        <stp/>
        <stp>BDP|361760363367428729</stp>
        <tr r="G2436" s="2"/>
      </tp>
      <tp t="s">
        <v>#N/A N/A</v>
        <stp/>
        <stp>BDP|580053078982097484</stp>
        <tr r="D3002" s="2"/>
      </tp>
      <tp t="s">
        <v>#N/A N/A</v>
        <stp/>
        <stp>BDP|123929693743513251</stp>
        <tr r="C1761" s="2"/>
      </tp>
      <tp t="s">
        <v>#N/A N/A</v>
        <stp/>
        <stp>BDP|462203307130419374</stp>
        <tr r="D2690" s="2"/>
      </tp>
      <tp t="s">
        <v>#N/A N/A</v>
        <stp/>
        <stp>BDP|419242479284800017</stp>
        <tr r="F852" s="2"/>
      </tp>
      <tp t="s">
        <v>#N/A N/A</v>
        <stp/>
        <stp>BDP|788586525697240196</stp>
        <tr r="A2398" s="2"/>
      </tp>
      <tp t="s">
        <v>#N/A N/A</v>
        <stp/>
        <stp>BDP|577916631872269964</stp>
        <tr r="F3914" s="2"/>
      </tp>
      <tp t="s">
        <v>#N/A N/A</v>
        <stp/>
        <stp>BDP|381635609324972310</stp>
        <tr r="G3068" s="2"/>
      </tp>
      <tp t="s">
        <v>#N/A N/A</v>
        <stp/>
        <stp>BDP|198810854949297576</stp>
        <tr r="H3671" s="2"/>
      </tp>
      <tp t="s">
        <v>#N/A N/A</v>
        <stp/>
        <stp>BDP|535208375786308220</stp>
        <tr r="I2189" s="2"/>
      </tp>
      <tp t="s">
        <v>#N/A N/A</v>
        <stp/>
        <stp>BDP|612733503315447337</stp>
        <tr r="I2473" s="2"/>
      </tp>
      <tp t="s">
        <v>#N/A N/A</v>
        <stp/>
        <stp>BDP|940696222695120025</stp>
        <tr r="A986" s="2"/>
      </tp>
      <tp t="s">
        <v>#N/A N/A</v>
        <stp/>
        <stp>BDP|796847572588908698</stp>
        <tr r="I1158" s="2"/>
      </tp>
      <tp t="s">
        <v>#N/A N/A</v>
        <stp/>
        <stp>BDP|911301339487686679</stp>
        <tr r="D2524" s="2"/>
      </tp>
      <tp t="s">
        <v>#N/A N/A</v>
        <stp/>
        <stp>BDP|429148999530813934</stp>
        <tr r="I1041" s="2"/>
      </tp>
      <tp t="s">
        <v>#N/A N/A</v>
        <stp/>
        <stp>BDP|830081660333438469</stp>
        <tr r="A4830" s="2"/>
      </tp>
      <tp t="s">
        <v>#N/A N/A</v>
        <stp/>
        <stp>BDP|880085190398670041</stp>
        <tr r="H2550" s="2"/>
      </tp>
      <tp t="s">
        <v>#N/A N/A</v>
        <stp/>
        <stp>BDP|765512937851612655</stp>
        <tr r="H3753" s="2"/>
      </tp>
      <tp t="s">
        <v>#N/A N/A</v>
        <stp/>
        <stp>BDP|120908956789176445</stp>
        <tr r="B648" s="2"/>
      </tp>
      <tp t="s">
        <v>#N/A N/A</v>
        <stp/>
        <stp>BDP|752703536491499478</stp>
        <tr r="C331" s="2"/>
      </tp>
      <tp t="s">
        <v>#N/A N/A</v>
        <stp/>
        <stp>BDP|561846223868383333</stp>
        <tr r="D879" s="2"/>
      </tp>
      <tp t="s">
        <v>#N/A N/A</v>
        <stp/>
        <stp>BDP|577332148154503294</stp>
        <tr r="H2571" s="2"/>
      </tp>
      <tp t="s">
        <v>#N/A N/A</v>
        <stp/>
        <stp>BDP|312851908258832140</stp>
        <tr r="C1273" s="2"/>
      </tp>
      <tp t="s">
        <v>#N/A N/A</v>
        <stp/>
        <stp>BDP|587337891163765829</stp>
        <tr r="H1068" s="2"/>
      </tp>
      <tp t="s">
        <v>#N/A N/A</v>
        <stp/>
        <stp>BDP|590996868756102879</stp>
        <tr r="B3449" s="2"/>
      </tp>
      <tp t="s">
        <v>#N/A N/A</v>
        <stp/>
        <stp>BDP|521298871563617798</stp>
        <tr r="D3360" s="2"/>
      </tp>
      <tp t="s">
        <v>#N/A N/A</v>
        <stp/>
        <stp>BDP|598269313243140130</stp>
        <tr r="I435" s="2"/>
      </tp>
      <tp t="s">
        <v>#N/A N/A</v>
        <stp/>
        <stp>BDP|163347572611183449</stp>
        <tr r="H1928" s="2"/>
      </tp>
      <tp t="s">
        <v>#N/A N/A</v>
        <stp/>
        <stp>BDP|262318099208094383</stp>
        <tr r="I3418" s="2"/>
      </tp>
      <tp t="s">
        <v>#N/A N/A</v>
        <stp/>
        <stp>BDP|762848393141414169</stp>
        <tr r="G1092" s="2"/>
      </tp>
      <tp t="s">
        <v>#N/A N/A</v>
        <stp/>
        <stp>BDP|772512161621121346</stp>
        <tr r="F4019" s="2"/>
      </tp>
      <tp t="s">
        <v>#N/A N/A</v>
        <stp/>
        <stp>BDP|321286358972301429</stp>
        <tr r="A3166" s="2"/>
      </tp>
      <tp t="s">
        <v>#N/A N/A</v>
        <stp/>
        <stp>BDP|961480964024187775</stp>
        <tr r="C4139" s="2"/>
      </tp>
      <tp t="s">
        <v>#N/A N/A</v>
        <stp/>
        <stp>BDP|211991513210380982</stp>
        <tr r="H2146" s="2"/>
      </tp>
      <tp t="s">
        <v>#N/A N/A</v>
        <stp/>
        <stp>BDP|221363447492986492</stp>
        <tr r="I3969" s="2"/>
      </tp>
      <tp t="s">
        <v>#N/A N/A</v>
        <stp/>
        <stp>BDP|373077466140583746</stp>
        <tr r="B4063" s="2"/>
      </tp>
      <tp t="s">
        <v>#N/A N/A</v>
        <stp/>
        <stp>BDP|242371006951593359</stp>
        <tr r="I1716" s="2"/>
      </tp>
      <tp t="s">
        <v>#N/A N/A</v>
        <stp/>
        <stp>BDP|922988382160026008</stp>
        <tr r="F3480" s="2"/>
      </tp>
      <tp t="s">
        <v>#N/A N/A</v>
        <stp/>
        <stp>BDP|882383741254112239</stp>
        <tr r="F433" s="2"/>
      </tp>
      <tp t="s">
        <v>#N/A N/A</v>
        <stp/>
        <stp>BDP|911494992174911883</stp>
        <tr r="G626" s="2"/>
      </tp>
      <tp t="s">
        <v>#N/A N/A</v>
        <stp/>
        <stp>BDP|894354831079510956</stp>
        <tr r="I4594" s="2"/>
      </tp>
      <tp t="s">
        <v>#N/A N/A</v>
        <stp/>
        <stp>BDP|141123759053359759</stp>
        <tr r="A1832" s="2"/>
      </tp>
      <tp t="s">
        <v>#N/A N/A</v>
        <stp/>
        <stp>BDP|851559222114057331</stp>
        <tr r="H3130" s="2"/>
      </tp>
      <tp t="s">
        <v>#N/A N/A</v>
        <stp/>
        <stp>BDP|425239541505857326</stp>
        <tr r="G1087" s="2"/>
      </tp>
      <tp t="s">
        <v>#N/A N/A</v>
        <stp/>
        <stp>BDP|640533930474097298</stp>
        <tr r="B3411" s="2"/>
      </tp>
      <tp t="s">
        <v>#N/A N/A</v>
        <stp/>
        <stp>BDP|798829088574870493</stp>
        <tr r="I1965" s="2"/>
      </tp>
      <tp t="s">
        <v>#N/A N/A</v>
        <stp/>
        <stp>BDP|143782319473926554</stp>
        <tr r="B1412" s="2"/>
      </tp>
      <tp t="s">
        <v>#N/A N/A</v>
        <stp/>
        <stp>BDP|493185070616740066</stp>
        <tr r="A4913" s="2"/>
      </tp>
      <tp t="s">
        <v>#N/A N/A</v>
        <stp/>
        <stp>BDP|827765951677208501</stp>
        <tr r="C2665" s="2"/>
      </tp>
      <tp t="s">
        <v>#N/A N/A</v>
        <stp/>
        <stp>BDP|585602426655796195</stp>
        <tr r="B3110" s="2"/>
      </tp>
      <tp t="s">
        <v>#N/A N/A</v>
        <stp/>
        <stp>BDP|918944587218037975</stp>
        <tr r="H44" s="2"/>
      </tp>
      <tp t="s">
        <v>#N/A N/A</v>
        <stp/>
        <stp>BDP|622500348990663158</stp>
        <tr r="I2125" s="2"/>
      </tp>
      <tp t="s">
        <v>#N/A N/A</v>
        <stp/>
        <stp>BDP|820724354226994497</stp>
        <tr r="B2815" s="2"/>
      </tp>
      <tp t="s">
        <v>#N/A N/A</v>
        <stp/>
        <stp>BDP|857086116506188790</stp>
        <tr r="C324" s="2"/>
      </tp>
      <tp t="s">
        <v>#N/A N/A</v>
        <stp/>
        <stp>BDP|749087842944704044</stp>
        <tr r="B4595" s="2"/>
      </tp>
      <tp t="s">
        <v>#N/A N/A</v>
        <stp/>
        <stp>BDP|620887937718681318</stp>
        <tr r="B1739" s="2"/>
      </tp>
      <tp t="s">
        <v>#N/A N/A</v>
        <stp/>
        <stp>BDP|226453353703862223</stp>
        <tr r="G3639" s="2"/>
      </tp>
      <tp t="s">
        <v>#N/A N/A</v>
        <stp/>
        <stp>BDP|223396891093357971</stp>
        <tr r="D4883" s="2"/>
      </tp>
      <tp t="s">
        <v>#N/A N/A</v>
        <stp/>
        <stp>BDP|250319902726825578</stp>
        <tr r="C2714" s="2"/>
      </tp>
      <tp t="s">
        <v>#N/A N/A</v>
        <stp/>
        <stp>BDP|654702106177857065</stp>
        <tr r="A3483" s="2"/>
      </tp>
      <tp t="s">
        <v>#N/A N/A</v>
        <stp/>
        <stp>BDP|542098894399718019</stp>
        <tr r="B4166" s="2"/>
      </tp>
      <tp t="s">
        <v>#N/A N/A</v>
        <stp/>
        <stp>BDP|672421040684838427</stp>
        <tr r="D4957" s="2"/>
      </tp>
      <tp t="s">
        <v>#N/A N/A</v>
        <stp/>
        <stp>BDP|194245471063835635</stp>
        <tr r="G3817" s="2"/>
      </tp>
      <tp t="s">
        <v>#N/A N/A</v>
        <stp/>
        <stp>BDP|666908979997982997</stp>
        <tr r="G4003" s="2"/>
      </tp>
      <tp t="s">
        <v>#N/A N/A</v>
        <stp/>
        <stp>BDP|967149534570443226</stp>
        <tr r="A4669" s="2"/>
      </tp>
      <tp t="s">
        <v>#N/A N/A</v>
        <stp/>
        <stp>BDP|673748378763423313</stp>
        <tr r="H3903" s="2"/>
      </tp>
      <tp t="s">
        <v>#N/A N/A</v>
        <stp/>
        <stp>BDP|680797587517540827</stp>
        <tr r="A250" s="2"/>
      </tp>
      <tp t="s">
        <v>#N/A N/A</v>
        <stp/>
        <stp>BDP|775493058852943304</stp>
        <tr r="G3237" s="2"/>
      </tp>
      <tp t="s">
        <v>#N/A N/A</v>
        <stp/>
        <stp>BDP|339034641991906573</stp>
        <tr r="C4305" s="2"/>
      </tp>
      <tp t="s">
        <v>#N/A N/A</v>
        <stp/>
        <stp>BDP|365209192713781893</stp>
        <tr r="I4289" s="2"/>
      </tp>
      <tp t="s">
        <v>#N/A N/A</v>
        <stp/>
        <stp>BDP|561957119129474121</stp>
        <tr r="C2961" s="2"/>
      </tp>
      <tp t="s">
        <v>#N/A N/A</v>
        <stp/>
        <stp>BDP|707238560977895342</stp>
        <tr r="H93" s="2"/>
      </tp>
      <tp t="s">
        <v>#N/A N/A</v>
        <stp/>
        <stp>BDP|958566626603093412</stp>
        <tr r="F2419" s="2"/>
      </tp>
      <tp t="s">
        <v>#N/A N/A</v>
        <stp/>
        <stp>BDP|737942648138119522</stp>
        <tr r="B1535" s="2"/>
      </tp>
      <tp t="s">
        <v>#N/A N/A</v>
        <stp/>
        <stp>BDP|839886782912881225</stp>
        <tr r="G1683" s="2"/>
      </tp>
      <tp t="s">
        <v>#N/A N/A</v>
        <stp/>
        <stp>BDP|157664428773151762</stp>
        <tr r="A849" s="2"/>
      </tp>
      <tp t="s">
        <v>#N/A N/A</v>
        <stp/>
        <stp>BDP|517636268277754711</stp>
        <tr r="A937" s="2"/>
      </tp>
      <tp t="s">
        <v>#N/A N/A</v>
        <stp/>
        <stp>BDP|278827489223914387</stp>
        <tr r="H4005" s="2"/>
      </tp>
      <tp t="s">
        <v>#N/A N/A</v>
        <stp/>
        <stp>BDP|673787264510721153</stp>
        <tr r="F4339" s="2"/>
      </tp>
      <tp t="s">
        <v>#N/A N/A</v>
        <stp/>
        <stp>BDP|120396767075600011</stp>
        <tr r="D300" s="2"/>
      </tp>
      <tp t="s">
        <v>#N/A N/A</v>
        <stp/>
        <stp>BDP|596946855894857847</stp>
        <tr r="H4155" s="2"/>
      </tp>
      <tp t="s">
        <v>#N/A N/A</v>
        <stp/>
        <stp>BDP|621162588801798862</stp>
        <tr r="A3347" s="2"/>
      </tp>
      <tp t="s">
        <v>#N/A N/A</v>
        <stp/>
        <stp>BDP|706589842891114051</stp>
        <tr r="B4920" s="2"/>
      </tp>
      <tp t="s">
        <v>#N/A N/A</v>
        <stp/>
        <stp>BDP|537067721283200190</stp>
        <tr r="I2989" s="2"/>
      </tp>
      <tp t="s">
        <v>#N/A N/A</v>
        <stp/>
        <stp>BDP|821557879776458492</stp>
        <tr r="C3232" s="2"/>
      </tp>
      <tp t="s">
        <v>#N/A N/A</v>
        <stp/>
        <stp>BDP|734618796356367991</stp>
        <tr r="I4302" s="2"/>
      </tp>
      <tp t="s">
        <v>#N/A N/A</v>
        <stp/>
        <stp>BDP|356780510497303122</stp>
        <tr r="C3143" s="2"/>
      </tp>
      <tp t="s">
        <v>#N/A N/A</v>
        <stp/>
        <stp>BDP|837162437360271216</stp>
        <tr r="G3625" s="2"/>
      </tp>
      <tp t="s">
        <v>#N/A N/A</v>
        <stp/>
        <stp>BDP|965313148011877622</stp>
        <tr r="A2224" s="2"/>
      </tp>
      <tp t="s">
        <v>#N/A N/A</v>
        <stp/>
        <stp>BDP|234365698618619206</stp>
        <tr r="D1252" s="2"/>
      </tp>
      <tp t="s">
        <v>#N/A N/A</v>
        <stp/>
        <stp>BDP|578600235832206788</stp>
        <tr r="B4644" s="2"/>
      </tp>
      <tp t="s">
        <v>#N/A N/A</v>
        <stp/>
        <stp>BDP|884015720322689052</stp>
        <tr r="B4468" s="2"/>
      </tp>
      <tp t="s">
        <v>#N/A N/A</v>
        <stp/>
        <stp>BDP|551530749694654532</stp>
        <tr r="A3265" s="2"/>
      </tp>
      <tp t="s">
        <v>#N/A N/A</v>
        <stp/>
        <stp>BDP|591560550162985204</stp>
        <tr r="F4162" s="2"/>
      </tp>
      <tp t="s">
        <v>#N/A N/A</v>
        <stp/>
        <stp>BDP|118342343523552496</stp>
        <tr r="H2894" s="2"/>
      </tp>
      <tp t="s">
        <v>#N/A N/A</v>
        <stp/>
        <stp>BDP|846564980715424800</stp>
        <tr r="B1371" s="2"/>
      </tp>
      <tp t="s">
        <v>#N/A N/A</v>
        <stp/>
        <stp>BDP|794084762006176071</stp>
        <tr r="I4435" s="2"/>
      </tp>
      <tp t="s">
        <v>#N/A N/A</v>
        <stp/>
        <stp>BDP|216535469963243018</stp>
        <tr r="C4596" s="2"/>
      </tp>
      <tp t="s">
        <v>#N/A N/A</v>
        <stp/>
        <stp>BDP|223061418703516223</stp>
        <tr r="A3935" s="2"/>
      </tp>
      <tp t="s">
        <v>#N/A N/A</v>
        <stp/>
        <stp>BDP|569257713032007185</stp>
        <tr r="D4596" s="2"/>
      </tp>
      <tp t="s">
        <v>#N/A N/A</v>
        <stp/>
        <stp>BDP|579787502283503416</stp>
        <tr r="F152" s="2"/>
      </tp>
      <tp t="s">
        <v>#N/A N/A</v>
        <stp/>
        <stp>BDP|155648257783362055</stp>
        <tr r="D2809" s="2"/>
      </tp>
      <tp t="s">
        <v>#N/A N/A</v>
        <stp/>
        <stp>BDP|319979662316432967</stp>
        <tr r="F955" s="2"/>
      </tp>
      <tp t="s">
        <v>#N/A N/A</v>
        <stp/>
        <stp>BDP|840063248661201507</stp>
        <tr r="B1961" s="2"/>
      </tp>
      <tp t="s">
        <v>#N/A N/A</v>
        <stp/>
        <stp>BDP|534001551005667063</stp>
        <tr r="F4717" s="2"/>
      </tp>
      <tp t="s">
        <v>#N/A N/A</v>
        <stp/>
        <stp>BDP|798652769831806169</stp>
        <tr r="C2840" s="2"/>
      </tp>
      <tp t="s">
        <v>#N/A N/A</v>
        <stp/>
        <stp>BDP|889037361152645490</stp>
        <tr r="I4349" s="2"/>
      </tp>
      <tp t="s">
        <v>#N/A N/A</v>
        <stp/>
        <stp>BDP|830885890416716728</stp>
        <tr r="G3104" s="2"/>
      </tp>
      <tp t="s">
        <v>#N/A N/A</v>
        <stp/>
        <stp>BDP|519193009844508551</stp>
        <tr r="B4475" s="2"/>
      </tp>
      <tp t="s">
        <v>#N/A N/A</v>
        <stp/>
        <stp>BDP|613913257195387962</stp>
        <tr r="F292" s="2"/>
      </tp>
      <tp t="s">
        <v>#N/A N/A</v>
        <stp/>
        <stp>BDP|990694406973657558</stp>
        <tr r="G1815" s="2"/>
      </tp>
      <tp t="s">
        <v>#N/A N/A</v>
        <stp/>
        <stp>BDP|678869877746158933</stp>
        <tr r="F1143" s="2"/>
      </tp>
      <tp t="s">
        <v>#N/A N/A</v>
        <stp/>
        <stp>BDP|736400061192758044</stp>
        <tr r="B1476" s="2"/>
      </tp>
      <tp t="s">
        <v>#N/A N/A</v>
        <stp/>
        <stp>BDP|305603741803788105</stp>
        <tr r="F1690" s="2"/>
      </tp>
      <tp t="s">
        <v>#N/A N/A</v>
        <stp/>
        <stp>BDP|902616838656344363</stp>
        <tr r="I878" s="2"/>
      </tp>
      <tp t="s">
        <v>#N/A N/A</v>
        <stp/>
        <stp>BDP|440502547233167275</stp>
        <tr r="F563" s="2"/>
      </tp>
      <tp t="s">
        <v>#N/A N/A</v>
        <stp/>
        <stp>BDP|102615075643136228</stp>
        <tr r="C2184" s="2"/>
      </tp>
      <tp t="s">
        <v>#N/A N/A</v>
        <stp/>
        <stp>BDP|629614645301047343</stp>
        <tr r="D3424" s="2"/>
      </tp>
      <tp t="s">
        <v>#N/A N/A</v>
        <stp/>
        <stp>BDP|929975759275545943</stp>
        <tr r="C1674" s="2"/>
      </tp>
      <tp t="s">
        <v>#N/A N/A</v>
        <stp/>
        <stp>BDP|638476505924747058</stp>
        <tr r="H4449" s="2"/>
      </tp>
      <tp t="s">
        <v>#N/A N/A</v>
        <stp/>
        <stp>BDP|351262152791452651</stp>
        <tr r="B2137" s="2"/>
      </tp>
      <tp t="s">
        <v>#N/A N/A</v>
        <stp/>
        <stp>BDP|680670702294783226</stp>
        <tr r="D834" s="2"/>
      </tp>
      <tp t="s">
        <v>#N/A N/A</v>
        <stp/>
        <stp>BDP|714272796973469848</stp>
        <tr r="C3690" s="2"/>
      </tp>
      <tp t="s">
        <v>#N/A N/A</v>
        <stp/>
        <stp>BDP|355195571494493283</stp>
        <tr r="B4532" s="2"/>
      </tp>
      <tp t="s">
        <v>#N/A N/A</v>
        <stp/>
        <stp>BDP|573012546957223373</stp>
        <tr r="C3677" s="2"/>
      </tp>
      <tp t="s">
        <v>#N/A N/A</v>
        <stp/>
        <stp>BDP|726216745166103058</stp>
        <tr r="C147" s="2"/>
      </tp>
      <tp t="s">
        <v>#N/A N/A</v>
        <stp/>
        <stp>BDP|871771226443939673</stp>
        <tr r="H1951" s="2"/>
      </tp>
      <tp t="s">
        <v>#N/A N/A</v>
        <stp/>
        <stp>BDP|739541334140318632</stp>
        <tr r="G145" s="2"/>
      </tp>
      <tp t="s">
        <v>#N/A N/A</v>
        <stp/>
        <stp>BDP|333581368226147555</stp>
        <tr r="H4370" s="2"/>
      </tp>
      <tp t="s">
        <v>#N/A N/A</v>
        <stp/>
        <stp>BDP|892985267597070809</stp>
        <tr r="C2321" s="2"/>
      </tp>
      <tp t="s">
        <v>#N/A N/A</v>
        <stp/>
        <stp>BDP|378967847399354462</stp>
        <tr r="B344" s="2"/>
      </tp>
      <tp t="s">
        <v>#N/A N/A</v>
        <stp/>
        <stp>BDP|915616471255097496</stp>
        <tr r="A2869" s="2"/>
      </tp>
      <tp t="s">
        <v>#N/A N/A</v>
        <stp/>
        <stp>BDP|427599411220843445</stp>
        <tr r="H1762" s="2"/>
      </tp>
      <tp t="s">
        <v>#N/A N/A</v>
        <stp/>
        <stp>BDP|396127520754825795</stp>
        <tr r="A2393" s="2"/>
      </tp>
      <tp t="s">
        <v>#N/A N/A</v>
        <stp/>
        <stp>BDP|887143931562413090</stp>
        <tr r="B4610" s="2"/>
      </tp>
      <tp t="s">
        <v>#N/A N/A</v>
        <stp/>
        <stp>BDP|697302736521298128</stp>
        <tr r="C355" s="2"/>
      </tp>
      <tp t="s">
        <v>#N/A N/A</v>
        <stp/>
        <stp>BDP|488111707499186838</stp>
        <tr r="H1898" s="2"/>
      </tp>
      <tp t="s">
        <v>#N/A N/A</v>
        <stp/>
        <stp>BDP|711435224523531550</stp>
        <tr r="H2741" s="2"/>
      </tp>
      <tp t="s">
        <v>#N/A N/A</v>
        <stp/>
        <stp>BDP|556350205073176042</stp>
        <tr r="D3382" s="2"/>
      </tp>
      <tp t="s">
        <v>#N/A N/A</v>
        <stp/>
        <stp>BDP|469174293298386039</stp>
        <tr r="B2731" s="2"/>
      </tp>
      <tp t="s">
        <v>#N/A N/A</v>
        <stp/>
        <stp>BDP|224400637214349362</stp>
        <tr r="H4498" s="2"/>
      </tp>
      <tp t="s">
        <v>#N/A N/A</v>
        <stp/>
        <stp>BDP|319662836212448772</stp>
        <tr r="B4270" s="2"/>
      </tp>
      <tp t="s">
        <v>#N/A N/A</v>
        <stp/>
        <stp>BDP|894109836523869164</stp>
        <tr r="H4691" s="2"/>
      </tp>
      <tp t="s">
        <v>#N/A N/A</v>
        <stp/>
        <stp>BDP|501119217932122227</stp>
        <tr r="C3757" s="2"/>
      </tp>
      <tp t="s">
        <v>#N/A N/A</v>
        <stp/>
        <stp>BDP|730119409241772096</stp>
        <tr r="D324" s="2"/>
      </tp>
      <tp t="s">
        <v>#N/A N/A</v>
        <stp/>
        <stp>BDP|384421764551307372</stp>
        <tr r="D4881" s="2"/>
      </tp>
      <tp t="s">
        <v>#N/A N/A</v>
        <stp/>
        <stp>BDP|694729735634304035</stp>
        <tr r="B1988" s="2"/>
      </tp>
      <tp t="s">
        <v>#N/A N/A</v>
        <stp/>
        <stp>BDP|273679364736608669</stp>
        <tr r="D547" s="2"/>
      </tp>
      <tp t="s">
        <v>#N/A N/A</v>
        <stp/>
        <stp>BDP|745005118216864762</stp>
        <tr r="I917" s="2"/>
      </tp>
      <tp t="s">
        <v>#N/A N/A</v>
        <stp/>
        <stp>BDP|704417572385625633</stp>
        <tr r="B2798" s="2"/>
      </tp>
      <tp t="s">
        <v>#N/A N/A</v>
        <stp/>
        <stp>BDP|142524142512054338</stp>
        <tr r="H4288" s="2"/>
      </tp>
      <tp t="s">
        <v>#N/A N/A</v>
        <stp/>
        <stp>BDP|409651572665195401</stp>
        <tr r="A2842" s="2"/>
      </tp>
      <tp t="s">
        <v>#N/A N/A</v>
        <stp/>
        <stp>BDP|487493060070616296</stp>
        <tr r="D4012" s="2"/>
      </tp>
      <tp t="s">
        <v>#N/A N/A</v>
        <stp/>
        <stp>BDP|187296914706671583</stp>
        <tr r="B683" s="2"/>
      </tp>
      <tp t="s">
        <v>#N/A N/A</v>
        <stp/>
        <stp>BDP|723270765770435435</stp>
        <tr r="I1625" s="2"/>
      </tp>
      <tp t="s">
        <v>#N/A N/A</v>
        <stp/>
        <stp>BDP|252320841026542161</stp>
        <tr r="G4176" s="2"/>
      </tp>
      <tp t="s">
        <v>#N/A N/A</v>
        <stp/>
        <stp>BDP|317506422603725445</stp>
        <tr r="C4491" s="2"/>
      </tp>
      <tp t="s">
        <v>#N/A N/A</v>
        <stp/>
        <stp>BDP|556384437571063185</stp>
        <tr r="H733" s="2"/>
      </tp>
      <tp t="s">
        <v>#N/A N/A</v>
        <stp/>
        <stp>BDP|215491979953851088</stp>
        <tr r="G717" s="2"/>
      </tp>
      <tp t="s">
        <v>#N/A N/A</v>
        <stp/>
        <stp>BDP|422086714255934430</stp>
        <tr r="I314" s="2"/>
      </tp>
      <tp t="s">
        <v>#N/A N/A</v>
        <stp/>
        <stp>BDP|136374932933067371</stp>
        <tr r="C3122" s="2"/>
      </tp>
      <tp t="s">
        <v>#N/A N/A</v>
        <stp/>
        <stp>BDP|809433017805673095</stp>
        <tr r="G1671" s="2"/>
      </tp>
      <tp t="s">
        <v>#N/A N/A</v>
        <stp/>
        <stp>BDP|364631214346341149</stp>
        <tr r="C750" s="2"/>
      </tp>
      <tp t="s">
        <v>#N/A N/A</v>
        <stp/>
        <stp>BDP|368755577953609346</stp>
        <tr r="H1166" s="2"/>
      </tp>
      <tp t="s">
        <v>#N/A N/A</v>
        <stp/>
        <stp>BDP|780129026472771172</stp>
        <tr r="G244" s="2"/>
      </tp>
      <tp t="s">
        <v>#N/A N/A</v>
        <stp/>
        <stp>BDP|892695541771430379</stp>
        <tr r="H4020" s="2"/>
      </tp>
      <tp t="s">
        <v>#N/A N/A</v>
        <stp/>
        <stp>BDP|499476415836857028</stp>
        <tr r="A1569" s="2"/>
      </tp>
      <tp t="s">
        <v>#N/A N/A</v>
        <stp/>
        <stp>BDP|505954888443423108</stp>
        <tr r="G2801" s="2"/>
      </tp>
      <tp t="s">
        <v>#N/A N/A</v>
        <stp/>
        <stp>BDP|944591309281648739</stp>
        <tr r="F3212" s="2"/>
      </tp>
      <tp t="s">
        <v>#N/A N/A</v>
        <stp/>
        <stp>BDP|825542854081462209</stp>
        <tr r="H499" s="2"/>
      </tp>
      <tp t="s">
        <v>#N/A N/A</v>
        <stp/>
        <stp>BDP|848448568708938915</stp>
        <tr r="B3250" s="2"/>
      </tp>
      <tp t="s">
        <v>#N/A N/A</v>
        <stp/>
        <stp>BDP|624494841951393214</stp>
        <tr r="D1871" s="2"/>
      </tp>
      <tp t="s">
        <v>#N/A N/A</v>
        <stp/>
        <stp>BDP|120222008690414134</stp>
        <tr r="H718" s="2"/>
      </tp>
      <tp t="s">
        <v>#N/A N/A</v>
        <stp/>
        <stp>BDP|124282871327022142</stp>
        <tr r="G196" s="2"/>
      </tp>
      <tp t="s">
        <v>#N/A N/A</v>
        <stp/>
        <stp>BDP|727385363110231624</stp>
        <tr r="B3324" s="2"/>
      </tp>
      <tp t="s">
        <v>#N/A N/A</v>
        <stp/>
        <stp>BDP|236772951634968515</stp>
        <tr r="A2619" s="2"/>
      </tp>
      <tp t="s">
        <v>#N/A N/A</v>
        <stp/>
        <stp>BDP|808314773231645618</stp>
        <tr r="A1741" s="2"/>
      </tp>
      <tp t="s">
        <v>#N/A N/A</v>
        <stp/>
        <stp>BDP|842773151386792747</stp>
        <tr r="C3249" s="2"/>
      </tp>
      <tp t="s">
        <v>#N/A N/A</v>
        <stp/>
        <stp>BDP|321003204536284584</stp>
        <tr r="A3963" s="2"/>
      </tp>
      <tp t="s">
        <v>#N/A N/A</v>
        <stp/>
        <stp>BDP|410259915602128285</stp>
        <tr r="B3008" s="2"/>
      </tp>
      <tp t="s">
        <v>#N/A N/A</v>
        <stp/>
        <stp>BDP|784786301455346107</stp>
        <tr r="A1345" s="2"/>
      </tp>
      <tp t="s">
        <v>#N/A N/A</v>
        <stp/>
        <stp>BDP|840528178217869677</stp>
        <tr r="F3534" s="2"/>
      </tp>
      <tp t="s">
        <v>#N/A N/A</v>
        <stp/>
        <stp>BDP|944168288742346893</stp>
        <tr r="I3679" s="2"/>
      </tp>
      <tp t="s">
        <v>#N/A N/A</v>
        <stp/>
        <stp>BDP|272079143972387582</stp>
        <tr r="F3375" s="2"/>
      </tp>
      <tp t="s">
        <v>#N/A N/A</v>
        <stp/>
        <stp>BDP|531835185676953578</stp>
        <tr r="B2635" s="2"/>
      </tp>
      <tp t="s">
        <v>#N/A N/A</v>
        <stp/>
        <stp>BDP|860023845472108533</stp>
        <tr r="A747" s="2"/>
      </tp>
      <tp t="s">
        <v>#N/A N/A</v>
        <stp/>
        <stp>BDP|279158353990851712</stp>
        <tr r="G2935" s="2"/>
      </tp>
      <tp t="s">
        <v>#N/A N/A</v>
        <stp/>
        <stp>BDP|236477632227213380</stp>
        <tr r="I654" s="2"/>
      </tp>
      <tp t="s">
        <v>#N/A N/A</v>
        <stp/>
        <stp>BDP|815089999673632913</stp>
        <tr r="B549" s="2"/>
      </tp>
      <tp t="s">
        <v>#N/A N/A</v>
        <stp/>
        <stp>BDP|960465616514385242</stp>
        <tr r="I4513" s="2"/>
      </tp>
      <tp t="s">
        <v>#N/A N/A</v>
        <stp/>
        <stp>BDP|183901941097925977</stp>
        <tr r="H1834" s="2"/>
      </tp>
      <tp t="s">
        <v>#N/A N/A</v>
        <stp/>
        <stp>BDP|699116221450982010</stp>
        <tr r="G4993" s="2"/>
      </tp>
      <tp t="s">
        <v>#N/A N/A</v>
        <stp/>
        <stp>BDP|930633670597356571</stp>
        <tr r="F4231" s="2"/>
      </tp>
      <tp t="s">
        <v>#N/A N/A</v>
        <stp/>
        <stp>BDP|290126185533998927</stp>
        <tr r="F1692" s="2"/>
      </tp>
      <tp t="s">
        <v>#N/A N/A</v>
        <stp/>
        <stp>BDP|196671629435508256</stp>
        <tr r="A856" s="2"/>
      </tp>
      <tp t="s">
        <v>#N/A N/A</v>
        <stp/>
        <stp>BDP|771440116987258181</stp>
        <tr r="C3427" s="2"/>
      </tp>
      <tp t="s">
        <v>#N/A N/A</v>
        <stp/>
        <stp>BDP|866483346970150383</stp>
        <tr r="I200" s="2"/>
      </tp>
      <tp t="s">
        <v>#N/A N/A</v>
        <stp/>
        <stp>BDP|425155548386180077</stp>
        <tr r="I2708" s="2"/>
      </tp>
      <tp t="s">
        <v>#N/A N/A</v>
        <stp/>
        <stp>BDP|585417559522441060</stp>
        <tr r="G3755" s="2"/>
      </tp>
      <tp t="s">
        <v>#N/A N/A</v>
        <stp/>
        <stp>BDP|796255001442868341</stp>
        <tr r="D2318" s="2"/>
      </tp>
      <tp t="s">
        <v>#N/A N/A</v>
        <stp/>
        <stp>BDP|435409993486093885</stp>
        <tr r="C617" s="2"/>
      </tp>
      <tp t="s">
        <v>#N/A N/A</v>
        <stp/>
        <stp>BDP|787346407027372788</stp>
        <tr r="C545" s="2"/>
      </tp>
      <tp t="s">
        <v>#N/A N/A</v>
        <stp/>
        <stp>BDP|904160926756593639</stp>
        <tr r="F1487" s="2"/>
      </tp>
      <tp t="s">
        <v>#N/A N/A</v>
        <stp/>
        <stp>BDP|336697340031141047</stp>
        <tr r="G3260" s="2"/>
      </tp>
      <tp t="s">
        <v>#N/A N/A</v>
        <stp/>
        <stp>BDP|430705662436938405</stp>
        <tr r="H4524" s="2"/>
      </tp>
      <tp t="s">
        <v>#N/A N/A</v>
        <stp/>
        <stp>BDP|587989800519321312</stp>
        <tr r="F3853" s="2"/>
      </tp>
      <tp t="s">
        <v>#N/A N/A</v>
        <stp/>
        <stp>BDP|448137102343938149</stp>
        <tr r="G3753" s="2"/>
      </tp>
      <tp t="s">
        <v>#N/A N/A</v>
        <stp/>
        <stp>BDP|919170207981528345</stp>
        <tr r="G3783" s="2"/>
      </tp>
      <tp t="s">
        <v>#N/A N/A</v>
        <stp/>
        <stp>BDP|554749941807818707</stp>
        <tr r="C2483" s="2"/>
      </tp>
      <tp t="s">
        <v>#N/A N/A</v>
        <stp/>
        <stp>BDP|611089130806630600</stp>
        <tr r="B1958" s="2"/>
      </tp>
      <tp t="s">
        <v>#N/A N/A</v>
        <stp/>
        <stp>BDP|629212928905092677</stp>
        <tr r="D510" s="2"/>
      </tp>
      <tp t="s">
        <v>#N/A N/A</v>
        <stp/>
        <stp>BDP|235391583641510952</stp>
        <tr r="A2285" s="2"/>
      </tp>
      <tp t="s">
        <v>#N/A N/A</v>
        <stp/>
        <stp>BDP|910127335669635818</stp>
        <tr r="F4288" s="2"/>
      </tp>
      <tp t="s">
        <v>#N/A N/A</v>
        <stp/>
        <stp>BDP|501214218146622638</stp>
        <tr r="A3573" s="2"/>
      </tp>
      <tp t="s">
        <v>#N/A N/A</v>
        <stp/>
        <stp>BDP|299304788288552065</stp>
        <tr r="B4540" s="2"/>
      </tp>
      <tp t="s">
        <v>#N/A N/A</v>
        <stp/>
        <stp>BDP|392826659389165707</stp>
        <tr r="H431" s="2"/>
      </tp>
      <tp t="s">
        <v>#N/A N/A</v>
        <stp/>
        <stp>BDP|121798013295515074</stp>
        <tr r="F779" s="2"/>
      </tp>
      <tp t="s">
        <v>#N/A N/A</v>
        <stp/>
        <stp>BDP|326399313705373438</stp>
        <tr r="C1915" s="2"/>
      </tp>
      <tp t="s">
        <v>#N/A N/A</v>
        <stp/>
        <stp>BDP|198241715511948108</stp>
        <tr r="F235" s="2"/>
      </tp>
      <tp t="s">
        <v>#N/A N/A</v>
        <stp/>
        <stp>BDP|437448308967313024</stp>
        <tr r="I4133" s="2"/>
      </tp>
      <tp t="s">
        <v>#N/A N/A</v>
        <stp/>
        <stp>BDP|717500508250366652</stp>
        <tr r="H1157" s="2"/>
      </tp>
      <tp t="s">
        <v>#N/A N/A</v>
        <stp/>
        <stp>BDP|805239164477260074</stp>
        <tr r="F3465" s="2"/>
      </tp>
      <tp t="s">
        <v>#N/A N/A</v>
        <stp/>
        <stp>BDP|656111048282051451</stp>
        <tr r="A4203" s="2"/>
      </tp>
      <tp t="s">
        <v>#N/A N/A</v>
        <stp/>
        <stp>BDP|844268514967617764</stp>
        <tr r="I50" s="2"/>
      </tp>
      <tp t="s">
        <v>#N/A N/A</v>
        <stp/>
        <stp>BDP|876324202090444066</stp>
        <tr r="I1462" s="2"/>
      </tp>
      <tp t="s">
        <v>#N/A N/A</v>
        <stp/>
        <stp>BDP|213699056632377248</stp>
        <tr r="A806" s="2"/>
      </tp>
      <tp t="s">
        <v>#N/A N/A</v>
        <stp/>
        <stp>BDP|166444747557860406</stp>
        <tr r="F3651" s="2"/>
      </tp>
      <tp t="s">
        <v>#N/A N/A</v>
        <stp/>
        <stp>BDP|553806735799988123</stp>
        <tr r="F666" s="2"/>
      </tp>
      <tp t="s">
        <v>#N/A N/A</v>
        <stp/>
        <stp>BDP|519177429079836989</stp>
        <tr r="A868" s="2"/>
      </tp>
      <tp t="s">
        <v>#N/A N/A</v>
        <stp/>
        <stp>BDP|206356908385787530</stp>
        <tr r="D2113" s="2"/>
      </tp>
      <tp t="s">
        <v>#N/A N/A</v>
        <stp/>
        <stp>BDP|770351849731560555</stp>
        <tr r="D4359" s="2"/>
      </tp>
      <tp t="s">
        <v>#N/A N/A</v>
        <stp/>
        <stp>BDP|645051347492810573</stp>
        <tr r="C788" s="2"/>
      </tp>
      <tp t="s">
        <v>#N/A N/A</v>
        <stp/>
        <stp>BDP|749373111550366194</stp>
        <tr r="C2704" s="2"/>
      </tp>
      <tp t="s">
        <v>#N/A N/A</v>
        <stp/>
        <stp>BDP|935029411593415158</stp>
        <tr r="I3235" s="2"/>
      </tp>
      <tp t="s">
        <v>#N/A N/A</v>
        <stp/>
        <stp>BDP|194383668010897625</stp>
        <tr r="C451" s="2"/>
      </tp>
      <tp t="s">
        <v>#N/A N/A</v>
        <stp/>
        <stp>BDP|604372445611757586</stp>
        <tr r="I4611" s="2"/>
      </tp>
      <tp t="s">
        <v>#N/A N/A</v>
        <stp/>
        <stp>BDP|888049466324948181</stp>
        <tr r="I1184" s="2"/>
      </tp>
      <tp t="s">
        <v>#N/A N/A</v>
        <stp/>
        <stp>BDP|104521868019856981</stp>
        <tr r="D447" s="2"/>
      </tp>
      <tp t="s">
        <v>#N/A N/A</v>
        <stp/>
        <stp>BDP|958025745995258287</stp>
        <tr r="C3793" s="2"/>
      </tp>
      <tp t="s">
        <v>#N/A N/A</v>
        <stp/>
        <stp>BDP|307684429863534437</stp>
        <tr r="I4895" s="2"/>
      </tp>
      <tp t="s">
        <v>#N/A N/A</v>
        <stp/>
        <stp>BDP|699444641605544623</stp>
        <tr r="F3945" s="2"/>
      </tp>
      <tp t="s">
        <v>#N/A N/A</v>
        <stp/>
        <stp>BDP|691643600322656701</stp>
        <tr r="F1445" s="2"/>
      </tp>
      <tp t="s">
        <v>#N/A N/A</v>
        <stp/>
        <stp>BDP|128818658386884847</stp>
        <tr r="B2085" s="2"/>
      </tp>
      <tp t="s">
        <v>#N/A N/A</v>
        <stp/>
        <stp>BDP|815755682025974924</stp>
        <tr r="D1056" s="2"/>
      </tp>
      <tp t="s">
        <v>#N/A N/A</v>
        <stp/>
        <stp>BDP|465231574046629010</stp>
        <tr r="I1455" s="2"/>
      </tp>
      <tp t="s">
        <v>#N/A N/A</v>
        <stp/>
        <stp>BDP|760464237573254718</stp>
        <tr r="D2536" s="2"/>
      </tp>
      <tp t="s">
        <v>#N/A N/A</v>
        <stp/>
        <stp>BDP|156212096690285816</stp>
        <tr r="H2110" s="2"/>
      </tp>
      <tp t="s">
        <v>#N/A N/A</v>
        <stp/>
        <stp>BDP|750257623782052140</stp>
        <tr r="F2566" s="2"/>
      </tp>
      <tp t="s">
        <v>#N/A N/A</v>
        <stp/>
        <stp>BDP|243077017382605017</stp>
        <tr r="G2766" s="2"/>
      </tp>
      <tp t="s">
        <v>#N/A N/A</v>
        <stp/>
        <stp>BDP|643037122549125833</stp>
        <tr r="A379" s="2"/>
      </tp>
      <tp t="s">
        <v>#N/A N/A</v>
        <stp/>
        <stp>BDP|411912594497704433</stp>
        <tr r="F2612" s="2"/>
      </tp>
      <tp t="s">
        <v>#N/A N/A</v>
        <stp/>
        <stp>BDP|341748323144007223</stp>
        <tr r="F1551" s="2"/>
      </tp>
      <tp t="s">
        <v>#N/A N/A</v>
        <stp/>
        <stp>BDP|827301840253948775</stp>
        <tr r="D4888" s="2"/>
      </tp>
      <tp t="s">
        <v>#N/A N/A</v>
        <stp/>
        <stp>BDP|662286748017632267</stp>
        <tr r="F3804" s="2"/>
      </tp>
      <tp t="s">
        <v>#N/A N/A</v>
        <stp/>
        <stp>BDP|321562361358253803</stp>
        <tr r="D1752" s="2"/>
      </tp>
      <tp t="s">
        <v>#N/A N/A</v>
        <stp/>
        <stp>BDP|734213510671589146</stp>
        <tr r="A4635" s="2"/>
      </tp>
      <tp t="s">
        <v>#N/A N/A</v>
        <stp/>
        <stp>BDP|945066209227813499</stp>
        <tr r="G589" s="2"/>
      </tp>
      <tp t="s">
        <v>#N/A N/A</v>
        <stp/>
        <stp>BDP|663275450767050368</stp>
        <tr r="H80" s="2"/>
      </tp>
      <tp t="s">
        <v>#N/A N/A</v>
        <stp/>
        <stp>BDP|950048115355830774</stp>
        <tr r="H3320" s="2"/>
      </tp>
      <tp t="s">
        <v>#N/A N/A</v>
        <stp/>
        <stp>BDP|481389818248093935</stp>
        <tr r="B4230" s="2"/>
      </tp>
      <tp t="s">
        <v>#N/A N/A</v>
        <stp/>
        <stp>BDP|668231647340398561</stp>
        <tr r="A3205" s="2"/>
      </tp>
      <tp t="s">
        <v>#N/A N/A</v>
        <stp/>
        <stp>BDP|443361853151602407</stp>
        <tr r="A870" s="2"/>
      </tp>
      <tp t="s">
        <v>#N/A N/A</v>
        <stp/>
        <stp>BDP|453007265332678706</stp>
        <tr r="F4716" s="2"/>
      </tp>
      <tp t="s">
        <v>#N/A N/A</v>
        <stp/>
        <stp>BDP|273022393273418900</stp>
        <tr r="B4444" s="2"/>
      </tp>
      <tp t="s">
        <v>#N/A N/A</v>
        <stp/>
        <stp>BDP|705237906129122841</stp>
        <tr r="A1465" s="2"/>
      </tp>
      <tp t="s">
        <v>#N/A N/A</v>
        <stp/>
        <stp>BDP|599606400591775458</stp>
        <tr r="F281" s="2"/>
      </tp>
      <tp t="s">
        <v>#N/A N/A</v>
        <stp/>
        <stp>BDP|162241584420065960</stp>
        <tr r="H222" s="2"/>
      </tp>
      <tp t="s">
        <v>#N/A N/A</v>
        <stp/>
        <stp>BDP|857500067097881777</stp>
        <tr r="C4356" s="2"/>
      </tp>
      <tp t="s">
        <v>#N/A N/A</v>
        <stp/>
        <stp>BDP|195836245018762701</stp>
        <tr r="F3958" s="2"/>
      </tp>
      <tp t="s">
        <v>#N/A N/A</v>
        <stp/>
        <stp>BDP|154157379753582684</stp>
        <tr r="H2127" s="2"/>
      </tp>
      <tp t="s">
        <v>#N/A N/A</v>
        <stp/>
        <stp>BDP|238013368504250197</stp>
        <tr r="I4577" s="2"/>
      </tp>
      <tp t="s">
        <v>#N/A N/A</v>
        <stp/>
        <stp>BDP|700302658610655596</stp>
        <tr r="D3984" s="2"/>
      </tp>
      <tp t="s">
        <v>#N/A N/A</v>
        <stp/>
        <stp>BDP|444678171886395418</stp>
        <tr r="C3767" s="2"/>
      </tp>
      <tp t="s">
        <v>#N/A N/A</v>
        <stp/>
        <stp>BDP|718298794661828937</stp>
        <tr r="I3552" s="2"/>
      </tp>
      <tp t="s">
        <v>#N/A N/A</v>
        <stp/>
        <stp>BDP|822183174255289070</stp>
        <tr r="H1609" s="2"/>
      </tp>
      <tp t="s">
        <v>#N/A N/A</v>
        <stp/>
        <stp>BDP|890296550406286228</stp>
        <tr r="A2859" s="2"/>
      </tp>
      <tp t="s">
        <v>#N/A N/A</v>
        <stp/>
        <stp>BDP|688642358224936422</stp>
        <tr r="G2784" s="2"/>
      </tp>
      <tp t="s">
        <v>#N/A N/A</v>
        <stp/>
        <stp>BDP|341386805015729589</stp>
        <tr r="F1185" s="2"/>
      </tp>
      <tp t="s">
        <v>#N/A N/A</v>
        <stp/>
        <stp>BDP|284416942816616569</stp>
        <tr r="C429" s="2"/>
      </tp>
      <tp t="s">
        <v>#N/A N/A</v>
        <stp/>
        <stp>BDP|411654142433094227</stp>
        <tr r="D662" s="2"/>
      </tp>
      <tp t="s">
        <v>#N/A N/A</v>
        <stp/>
        <stp>BDP|296240376475256335</stp>
        <tr r="H3787" s="2"/>
      </tp>
      <tp t="s">
        <v>#N/A N/A</v>
        <stp/>
        <stp>BDP|760192479532553736</stp>
        <tr r="A920" s="2"/>
      </tp>
      <tp t="s">
        <v>#N/A N/A</v>
        <stp/>
        <stp>BDP|986740573893666095</stp>
        <tr r="G1706" s="2"/>
      </tp>
      <tp t="s">
        <v>#N/A N/A</v>
        <stp/>
        <stp>BDP|730027531860690034</stp>
        <tr r="B4631" s="2"/>
      </tp>
      <tp t="s">
        <v>#N/A N/A</v>
        <stp/>
        <stp>BDP|595529353236133540</stp>
        <tr r="I886" s="2"/>
      </tp>
      <tp t="s">
        <v>#N/A N/A</v>
        <stp/>
        <stp>BDP|798810909849944271</stp>
        <tr r="B3588" s="2"/>
      </tp>
      <tp t="s">
        <v>#N/A N/A</v>
        <stp/>
        <stp>BDP|884620252461181180</stp>
        <tr r="D3075" s="2"/>
      </tp>
      <tp t="s">
        <v>#N/A N/A</v>
        <stp/>
        <stp>BDP|843249059394425033</stp>
        <tr r="D1227" s="2"/>
      </tp>
      <tp t="s">
        <v>#N/A N/A</v>
        <stp/>
        <stp>BDP|878209854382987675</stp>
        <tr r="I2406" s="2"/>
      </tp>
      <tp t="s">
        <v>#N/A N/A</v>
        <stp/>
        <stp>BDP|559175961026086218</stp>
        <tr r="C303" s="2"/>
      </tp>
      <tp t="s">
        <v>#N/A N/A</v>
        <stp/>
        <stp>BDP|765334324823049128</stp>
        <tr r="D1651" s="2"/>
      </tp>
      <tp t="s">
        <v>#N/A N/A</v>
        <stp/>
        <stp>BDP|691168465305420137</stp>
        <tr r="H3877" s="2"/>
      </tp>
      <tp t="s">
        <v>#N/A N/A</v>
        <stp/>
        <stp>BDP|714549657366652514</stp>
        <tr r="H4430" s="2"/>
      </tp>
      <tp t="s">
        <v>#N/A N/A</v>
        <stp/>
        <stp>BDP|119796965540794290</stp>
        <tr r="D873" s="2"/>
      </tp>
      <tp t="s">
        <v>#N/A N/A</v>
        <stp/>
        <stp>BDP|895403213335833301</stp>
        <tr r="H398" s="2"/>
      </tp>
      <tp t="s">
        <v>#N/A N/A</v>
        <stp/>
        <stp>BDP|477109305652501070</stp>
        <tr r="C3318" s="2"/>
      </tp>
      <tp t="s">
        <v>#N/A N/A</v>
        <stp/>
        <stp>BDP|878219219181721142</stp>
        <tr r="B124" s="2"/>
      </tp>
      <tp t="s">
        <v>#N/A N/A</v>
        <stp/>
        <stp>BDP|364390546462907660</stp>
        <tr r="D842" s="2"/>
      </tp>
      <tp t="s">
        <v>#N/A N/A</v>
        <stp/>
        <stp>BDP|303764756669537852</stp>
        <tr r="G274" s="2"/>
      </tp>
      <tp t="s">
        <v>#N/A N/A</v>
        <stp/>
        <stp>BDP|933456337307050383</stp>
        <tr r="A2484" s="2"/>
      </tp>
      <tp t="s">
        <v>#N/A N/A</v>
        <stp/>
        <stp>BDP|633336720177730517</stp>
        <tr r="B2038" s="2"/>
      </tp>
      <tp t="s">
        <v>#N/A N/A</v>
        <stp/>
        <stp>BDP|928730658717723660</stp>
        <tr r="C1460" s="2"/>
      </tp>
      <tp t="s">
        <v>#N/A N/A</v>
        <stp/>
        <stp>BDP|748454521982163718</stp>
        <tr r="B4803" s="2"/>
      </tp>
      <tp t="s">
        <v>#N/A N/A</v>
        <stp/>
        <stp>BDP|877924669394552851</stp>
        <tr r="F3226" s="2"/>
      </tp>
      <tp t="s">
        <v>#N/A N/A</v>
        <stp/>
        <stp>BDP|252080631073183266</stp>
        <tr r="A3136" s="2"/>
      </tp>
      <tp t="s">
        <v>#N/A N/A</v>
        <stp/>
        <stp>BDP|704482962649503947</stp>
        <tr r="G1838" s="2"/>
      </tp>
      <tp t="s">
        <v>#N/A N/A</v>
        <stp/>
        <stp>BDP|471379540053784685</stp>
        <tr r="A3227" s="2"/>
      </tp>
      <tp t="s">
        <v>#N/A N/A</v>
        <stp/>
        <stp>BDP|512757525963093490</stp>
        <tr r="I12" s="2"/>
      </tp>
      <tp t="s">
        <v>#N/A N/A</v>
        <stp/>
        <stp>BDP|317855549279470777</stp>
        <tr r="C3737" s="2"/>
      </tp>
      <tp t="s">
        <v>#N/A N/A</v>
        <stp/>
        <stp>BDP|550285540084928084</stp>
        <tr r="C170" s="2"/>
      </tp>
      <tp t="s">
        <v>#N/A N/A</v>
        <stp/>
        <stp>BDP|820925385251757245</stp>
        <tr r="I1503" s="2"/>
      </tp>
      <tp t="s">
        <v>#N/A N/A</v>
        <stp/>
        <stp>BDP|327368167767863070</stp>
        <tr r="D1431" s="2"/>
      </tp>
      <tp t="s">
        <v>#N/A N/A</v>
        <stp/>
        <stp>BDP|665607162974852614</stp>
        <tr r="D1810" s="2"/>
      </tp>
      <tp t="s">
        <v>#N/A N/A</v>
        <stp/>
        <stp>BDP|464230556955954054</stp>
        <tr r="C2318" s="2"/>
      </tp>
      <tp t="s">
        <v>#N/A N/A</v>
        <stp/>
        <stp>BDP|317247634243825069</stp>
        <tr r="G4988" s="2"/>
      </tp>
      <tp t="s">
        <v>#N/A N/A</v>
        <stp/>
        <stp>BDP|256350825536667595</stp>
        <tr r="I2794" s="2"/>
      </tp>
      <tp t="s">
        <v>#N/A N/A</v>
        <stp/>
        <stp>BDP|264853113368807315</stp>
        <tr r="H4106" s="2"/>
      </tp>
      <tp t="s">
        <v>#N/A N/A</v>
        <stp/>
        <stp>BDP|454107458024874296</stp>
        <tr r="B4436" s="2"/>
      </tp>
      <tp t="s">
        <v>#N/A N/A</v>
        <stp/>
        <stp>BDP|313290983359362174</stp>
        <tr r="G122" s="2"/>
      </tp>
      <tp t="s">
        <v>#N/A N/A</v>
        <stp/>
        <stp>BDP|113561308336718154</stp>
        <tr r="H978" s="2"/>
      </tp>
      <tp t="s">
        <v>#N/A N/A</v>
        <stp/>
        <stp>BDP|431110387658913362</stp>
        <tr r="C300" s="2"/>
      </tp>
      <tp t="s">
        <v>#N/A N/A</v>
        <stp/>
        <stp>BDP|964733036216711061</stp>
        <tr r="D4503" s="2"/>
      </tp>
      <tp t="s">
        <v>#N/A N/A</v>
        <stp/>
        <stp>BDP|938268344015557104</stp>
        <tr r="H4367" s="2"/>
      </tp>
      <tp t="s">
        <v>#N/A N/A</v>
        <stp/>
        <stp>BDP|266788744146309734</stp>
        <tr r="C3167" s="2"/>
      </tp>
      <tp t="s">
        <v>#N/A N/A</v>
        <stp/>
        <stp>BDP|260391830380429215</stp>
        <tr r="I3257" s="2"/>
      </tp>
      <tp t="s">
        <v>#N/A N/A</v>
        <stp/>
        <stp>BDP|775452003426798088</stp>
        <tr r="I436" s="2"/>
      </tp>
      <tp t="s">
        <v>#N/A N/A</v>
        <stp/>
        <stp>BDP|546763565766910510</stp>
        <tr r="I2151" s="2"/>
      </tp>
      <tp t="s">
        <v>#N/A N/A</v>
        <stp/>
        <stp>BDP|248371630331928323</stp>
        <tr r="C3363" s="2"/>
      </tp>
      <tp t="s">
        <v>#N/A N/A</v>
        <stp/>
        <stp>BDP|609138967465938044</stp>
        <tr r="H3347" s="2"/>
      </tp>
      <tp t="s">
        <v>#N/A N/A</v>
        <stp/>
        <stp>BDP|951075189433981914</stp>
        <tr r="I3677" s="2"/>
      </tp>
      <tp t="s">
        <v>#N/A N/A</v>
        <stp/>
        <stp>BDP|611737359977093739</stp>
        <tr r="F2030" s="2"/>
      </tp>
      <tp t="s">
        <v>#N/A N/A</v>
        <stp/>
        <stp>BDP|899768846677159662</stp>
        <tr r="G3030" s="2"/>
      </tp>
      <tp t="s">
        <v>#N/A N/A</v>
        <stp/>
        <stp>BDP|234105841393967453</stp>
        <tr r="I1217" s="2"/>
      </tp>
      <tp t="s">
        <v>#N/A N/A</v>
        <stp/>
        <stp>BDP|554672051614471587</stp>
        <tr r="A725" s="2"/>
      </tp>
      <tp t="s">
        <v>#N/A N/A</v>
        <stp/>
        <stp>BDP|579935202808345388</stp>
        <tr r="H679" s="2"/>
      </tp>
      <tp t="s">
        <v>#N/A N/A</v>
        <stp/>
        <stp>BDP|179048273423831660</stp>
        <tr r="C156" s="2"/>
      </tp>
      <tp t="s">
        <v>#N/A N/A</v>
        <stp/>
        <stp>BDP|849319862260797748</stp>
        <tr r="I3851" s="2"/>
      </tp>
      <tp t="s">
        <v>#N/A N/A</v>
        <stp/>
        <stp>BDP|823168895598430272</stp>
        <tr r="C3338" s="2"/>
      </tp>
      <tp t="s">
        <v>#N/A N/A</v>
        <stp/>
        <stp>BDP|788642666981842359</stp>
        <tr r="F810" s="2"/>
      </tp>
      <tp t="s">
        <v>#N/A N/A</v>
        <stp/>
        <stp>BDP|564885591624496700</stp>
        <tr r="D3316" s="2"/>
      </tp>
      <tp t="s">
        <v>#N/A N/A</v>
        <stp/>
        <stp>BDP|163024707957831545</stp>
        <tr r="G3516" s="2"/>
      </tp>
      <tp t="s">
        <v>#N/A N/A</v>
        <stp/>
        <stp>BDP|977828041376190838</stp>
        <tr r="G4451" s="2"/>
      </tp>
      <tp t="s">
        <v>#N/A N/A</v>
        <stp/>
        <stp>BDP|151228885968952072</stp>
        <tr r="B3238" s="2"/>
      </tp>
      <tp t="s">
        <v>#N/A N/A</v>
        <stp/>
        <stp>BDP|387340052153982742</stp>
        <tr r="H199" s="2"/>
      </tp>
      <tp t="s">
        <v>#N/A N/A</v>
        <stp/>
        <stp>BDP|914108937534001469</stp>
        <tr r="H692" s="2"/>
      </tp>
      <tp t="s">
        <v>#N/A N/A</v>
        <stp/>
        <stp>BDP|217959768525602807</stp>
        <tr r="I4206" s="2"/>
      </tp>
      <tp t="s">
        <v>#N/A N/A</v>
        <stp/>
        <stp>BDP|580680893119333442</stp>
        <tr r="G3541" s="2"/>
      </tp>
      <tp t="s">
        <v>#N/A N/A</v>
        <stp/>
        <stp>BDP|906921493446599440</stp>
        <tr r="C1431" s="2"/>
      </tp>
      <tp t="s">
        <v>#N/A N/A</v>
        <stp/>
        <stp>BDP|156553012967874175</stp>
        <tr r="H3116" s="2"/>
      </tp>
      <tp t="s">
        <v>#N/A N/A</v>
        <stp/>
        <stp>BDP|757071018712888198</stp>
        <tr r="G3871" s="2"/>
      </tp>
      <tp t="s">
        <v>#N/A N/A</v>
        <stp/>
        <stp>BDP|864771338614724290</stp>
        <tr r="A3491" s="2"/>
      </tp>
      <tp t="s">
        <v>#N/A N/A</v>
        <stp/>
        <stp>BDP|618701942948806959</stp>
        <tr r="I1535" s="2"/>
      </tp>
      <tp t="s">
        <v>#N/A N/A</v>
        <stp/>
        <stp>BDP|761136586429833230</stp>
        <tr r="B3675" s="2"/>
      </tp>
      <tp t="s">
        <v>#N/A N/A</v>
        <stp/>
        <stp>BDP|206282380538167018</stp>
        <tr r="F3268" s="2"/>
      </tp>
      <tp t="s">
        <v>#N/A N/A</v>
        <stp/>
        <stp>BDP|822864777944660950</stp>
        <tr r="D2710" s="2"/>
      </tp>
      <tp t="s">
        <v>#N/A N/A</v>
        <stp/>
        <stp>BDP|507714066070040389</stp>
        <tr r="D3961" s="2"/>
      </tp>
      <tp t="s">
        <v>#N/A N/A</v>
        <stp/>
        <stp>BDP|505577738940941494</stp>
        <tr r="I2592" s="2"/>
      </tp>
      <tp t="s">
        <v>#N/A N/A</v>
        <stp/>
        <stp>BDP|534481964489037938</stp>
        <tr r="C1869" s="2"/>
      </tp>
      <tp t="s">
        <v>#N/A N/A</v>
        <stp/>
        <stp>BDP|623511069430375171</stp>
        <tr r="D3741" s="2"/>
      </tp>
      <tp t="s">
        <v>#N/A N/A</v>
        <stp/>
        <stp>BDP|105402947966895445</stp>
        <tr r="I4320" s="2"/>
      </tp>
      <tp t="s">
        <v>#N/A N/A</v>
        <stp/>
        <stp>BDP|290283760312375439</stp>
        <tr r="C2349" s="2"/>
      </tp>
      <tp t="s">
        <v>#N/A N/A</v>
        <stp/>
        <stp>BDP|650485650837260474</stp>
        <tr r="I3971" s="2"/>
      </tp>
      <tp t="s">
        <v>#N/A N/A</v>
        <stp/>
        <stp>BDP|107308958320261406</stp>
        <tr r="C2578" s="2"/>
      </tp>
      <tp t="s">
        <v>#N/A N/A</v>
        <stp/>
        <stp>BDP|735096543150663609</stp>
        <tr r="B3079" s="2"/>
      </tp>
      <tp t="s">
        <v>#N/A N/A</v>
        <stp/>
        <stp>BDP|245710258935243521</stp>
        <tr r="C3414" s="2"/>
      </tp>
      <tp t="s">
        <v>#N/A N/A</v>
        <stp/>
        <stp>BDP|499160967625968070</stp>
        <tr r="D1067" s="2"/>
      </tp>
      <tp t="s">
        <v>#N/A N/A</v>
        <stp/>
        <stp>BDP|467073238183520258</stp>
        <tr r="I296" s="2"/>
      </tp>
      <tp t="s">
        <v>#N/A N/A</v>
        <stp/>
        <stp>BDP|587963404068425384</stp>
        <tr r="G4043" s="2"/>
      </tp>
      <tp t="s">
        <v>#N/A N/A</v>
        <stp/>
        <stp>BDP|338676588618568426</stp>
        <tr r="I2792" s="2"/>
      </tp>
      <tp t="s">
        <v>#N/A N/A</v>
        <stp/>
        <stp>BDP|775124529313201250</stp>
        <tr r="D4971" s="2"/>
      </tp>
      <tp t="s">
        <v>#N/A N/A</v>
        <stp/>
        <stp>BDP|862653240169059960</stp>
        <tr r="B4339" s="2"/>
      </tp>
      <tp t="s">
        <v>#N/A N/A</v>
        <stp/>
        <stp>BDP|827837270134426947</stp>
        <tr r="H3875" s="2"/>
      </tp>
      <tp t="s">
        <v>#N/A N/A</v>
        <stp/>
        <stp>BDP|376774749344360557</stp>
        <tr r="D3971" s="2"/>
      </tp>
      <tp t="s">
        <v>#N/A N/A</v>
        <stp/>
        <stp>BDP|150409274472864369</stp>
        <tr r="C4065" s="2"/>
      </tp>
      <tp t="s">
        <v>#N/A N/A</v>
        <stp/>
        <stp>BDP|198373804259057899</stp>
        <tr r="G1341" s="2"/>
      </tp>
      <tp t="s">
        <v>#N/A N/A</v>
        <stp/>
        <stp>BDP|304936924140668994</stp>
        <tr r="C167" s="2"/>
      </tp>
      <tp t="s">
        <v>#N/A N/A</v>
        <stp/>
        <stp>BDP|815604273055907690</stp>
        <tr r="H3355" s="2"/>
      </tp>
      <tp t="s">
        <v>#N/A N/A</v>
        <stp/>
        <stp>BDP|481511082248345705</stp>
        <tr r="I4159" s="2"/>
      </tp>
      <tp t="s">
        <v>#N/A N/A</v>
        <stp/>
        <stp>BDP|644348217215942582</stp>
        <tr r="I4950" s="2"/>
      </tp>
      <tp t="s">
        <v>#N/A N/A</v>
        <stp/>
        <stp>BDP|432187547873702485</stp>
        <tr r="C2769" s="2"/>
      </tp>
      <tp t="s">
        <v>#N/A N/A</v>
        <stp/>
        <stp>BDP|371977665359682435</stp>
        <tr r="B3088" s="2"/>
      </tp>
      <tp t="s">
        <v>#N/A N/A</v>
        <stp/>
        <stp>BDP|452406236516145370</stp>
        <tr r="H4875" s="2"/>
      </tp>
      <tp t="s">
        <v>#N/A N/A</v>
        <stp/>
        <stp>BDP|932299830164329778</stp>
        <tr r="G855" s="2"/>
      </tp>
      <tp t="s">
        <v>#N/A N/A</v>
        <stp/>
        <stp>BDP|926022372350557580</stp>
        <tr r="I4572" s="2"/>
      </tp>
      <tp t="s">
        <v>#N/A N/A</v>
        <stp/>
        <stp>BDP|505371601718330942</stp>
        <tr r="B1657" s="2"/>
      </tp>
      <tp t="s">
        <v>#N/A N/A</v>
        <stp/>
        <stp>BDP|399894921431964968</stp>
        <tr r="C1340" s="2"/>
      </tp>
      <tp t="s">
        <v>#N/A N/A</v>
        <stp/>
        <stp>BDP|211733834622203431</stp>
        <tr r="H2349" s="2"/>
      </tp>
      <tp t="s">
        <v>#N/A N/A</v>
        <stp/>
        <stp>BDP|559825717213311876</stp>
        <tr r="F909" s="2"/>
      </tp>
      <tp t="s">
        <v>#N/A N/A</v>
        <stp/>
        <stp>BDP|437051537177503676</stp>
        <tr r="C3960" s="2"/>
      </tp>
      <tp t="s">
        <v>#N/A N/A</v>
        <stp/>
        <stp>BDP|437579779292876270</stp>
        <tr r="A4115" s="2"/>
      </tp>
      <tp t="s">
        <v>#N/A N/A</v>
        <stp/>
        <stp>BDP|557608341142626271</stp>
        <tr r="D589" s="2"/>
      </tp>
      <tp t="s">
        <v>#N/A N/A</v>
        <stp/>
        <stp>BDP|959489330844676111</stp>
        <tr r="A4603" s="2"/>
      </tp>
      <tp t="s">
        <v>#N/A N/A</v>
        <stp/>
        <stp>BDP|247451763558404860</stp>
        <tr r="G1327" s="2"/>
      </tp>
      <tp t="s">
        <v>#N/A N/A</v>
        <stp/>
        <stp>BDP|276006644477751170</stp>
        <tr r="B2369" s="2"/>
      </tp>
      <tp t="s">
        <v>#N/A N/A</v>
        <stp/>
        <stp>BDP|748141267394060127</stp>
        <tr r="F4403" s="2"/>
      </tp>
      <tp t="s">
        <v>#N/A N/A</v>
        <stp/>
        <stp>BDP|855132583619867279</stp>
        <tr r="H4226" s="2"/>
      </tp>
      <tp t="s">
        <v>#N/A N/A</v>
        <stp/>
        <stp>BDP|952355382810167981</stp>
        <tr r="H2653" s="2"/>
      </tp>
      <tp t="s">
        <v>#N/A N/A</v>
        <stp/>
        <stp>BDP|285008901895215764</stp>
        <tr r="F4385" s="2"/>
      </tp>
      <tp t="s">
        <v>#N/A N/A</v>
        <stp/>
        <stp>BDP|190216483159041149</stp>
        <tr r="D1091" s="2"/>
      </tp>
      <tp t="s">
        <v>#N/A N/A</v>
        <stp/>
        <stp>BDP|279392577530235694</stp>
        <tr r="A2405" s="2"/>
      </tp>
      <tp t="s">
        <v>#N/A N/A</v>
        <stp/>
        <stp>BDP|863824129611143957</stp>
        <tr r="H2667" s="2"/>
      </tp>
      <tp t="s">
        <v>#N/A N/A</v>
        <stp/>
        <stp>BDP|654995090501181399</stp>
        <tr r="H1974" s="2"/>
      </tp>
      <tp t="s">
        <v>#N/A N/A</v>
        <stp/>
        <stp>BDP|952750996125490998</stp>
        <tr r="F126" s="2"/>
      </tp>
      <tp t="s">
        <v>#N/A N/A</v>
        <stp/>
        <stp>BDP|262337091479724102</stp>
        <tr r="F3662" s="2"/>
      </tp>
      <tp t="s">
        <v>#N/A N/A</v>
        <stp/>
        <stp>BDP|775789525703202482</stp>
        <tr r="D39" s="2"/>
      </tp>
      <tp t="s">
        <v>#N/A N/A</v>
        <stp/>
        <stp>BDP|205825786161481324</stp>
        <tr r="C4878" s="2"/>
      </tp>
      <tp t="s">
        <v>#N/A N/A</v>
        <stp/>
        <stp>BDP|241121133806279615</stp>
        <tr r="H2608" s="2"/>
      </tp>
      <tp t="s">
        <v>#N/A N/A</v>
        <stp/>
        <stp>BDP|627471212045612251</stp>
        <tr r="D897" s="2"/>
      </tp>
      <tp t="s">
        <v>#N/A N/A</v>
        <stp/>
        <stp>BDP|369336499629177181</stp>
        <tr r="C527" s="2"/>
      </tp>
      <tp t="s">
        <v>#N/A N/A</v>
        <stp/>
        <stp>BDP|365341631164006666</stp>
        <tr r="G2478" s="2"/>
      </tp>
      <tp t="s">
        <v>#N/A N/A</v>
        <stp/>
        <stp>BDP|328760251366567613</stp>
        <tr r="C2595" s="2"/>
      </tp>
      <tp t="s">
        <v>#N/A N/A</v>
        <stp/>
        <stp>BDP|160710870156460444</stp>
        <tr r="B2374" s="2"/>
      </tp>
      <tp t="s">
        <v>#N/A N/A</v>
        <stp/>
        <stp>BDP|176317267727299042</stp>
        <tr r="D3672" s="2"/>
      </tp>
      <tp t="s">
        <v>#N/A N/A</v>
        <stp/>
        <stp>BDP|390950461555141875</stp>
        <tr r="G2959" s="2"/>
      </tp>
      <tp t="s">
        <v>#N/A N/A</v>
        <stp/>
        <stp>BDP|328487369765726542</stp>
        <tr r="D2266" s="2"/>
      </tp>
      <tp t="s">
        <v>#N/A N/A</v>
        <stp/>
        <stp>BDP|501314318969967948</stp>
        <tr r="I1033" s="2"/>
      </tp>
      <tp t="s">
        <v>#N/A N/A</v>
        <stp/>
        <stp>BDP|437160142305196208</stp>
        <tr r="D4163" s="2"/>
      </tp>
      <tp t="s">
        <v>#N/A N/A</v>
        <stp/>
        <stp>BDP|480029496033454852</stp>
        <tr r="D500" s="2"/>
      </tp>
      <tp t="s">
        <v>#N/A N/A</v>
        <stp/>
        <stp>BDP|682699746534835403</stp>
        <tr r="D3563" s="2"/>
      </tp>
      <tp t="s">
        <v>#N/A N/A</v>
        <stp/>
        <stp>BDP|526635419597927275</stp>
        <tr r="D2197" s="2"/>
      </tp>
      <tp t="s">
        <v>#N/A N/A</v>
        <stp/>
        <stp>BDP|132379753314619012</stp>
        <tr r="C4346" s="2"/>
      </tp>
      <tp t="s">
        <v>#N/A N/A</v>
        <stp/>
        <stp>BDP|821688070990116338</stp>
        <tr r="I2216" s="2"/>
      </tp>
      <tp t="s">
        <v>#N/A N/A</v>
        <stp/>
        <stp>BDP|732408592479464633</stp>
        <tr r="A4948" s="2"/>
      </tp>
      <tp t="s">
        <v>#N/A N/A</v>
        <stp/>
        <stp>BDP|168285987890988858</stp>
        <tr r="D190" s="2"/>
      </tp>
      <tp t="s">
        <v>#N/A N/A</v>
        <stp/>
        <stp>BDP|732747625866351170</stp>
        <tr r="C3449" s="2"/>
      </tp>
      <tp t="s">
        <v>#N/A N/A</v>
        <stp/>
        <stp>BDP|324739935083029575</stp>
        <tr r="A4360" s="2"/>
      </tp>
      <tp t="s">
        <v>#N/A N/A</v>
        <stp/>
        <stp>BDP|583736510876678223</stp>
        <tr r="G3873" s="2"/>
      </tp>
      <tp t="s">
        <v>#N/A N/A</v>
        <stp/>
        <stp>BDP|122653916890692562</stp>
        <tr r="C1044" s="2"/>
      </tp>
      <tp t="s">
        <v>#N/A N/A</v>
        <stp/>
        <stp>BDP|450614128122954467</stp>
        <tr r="C555" s="2"/>
      </tp>
      <tp t="s">
        <v>#N/A N/A</v>
        <stp/>
        <stp>BDP|817691924650044674</stp>
        <tr r="C3475" s="2"/>
      </tp>
      <tp t="s">
        <v>#N/A N/A</v>
        <stp/>
        <stp>BDP|600260810648031921</stp>
        <tr r="H4507" s="2"/>
      </tp>
      <tp t="s">
        <v>#N/A N/A</v>
        <stp/>
        <stp>BDP|229770065957030433</stp>
        <tr r="A4438" s="2"/>
      </tp>
      <tp t="s">
        <v>#N/A N/A</v>
        <stp/>
        <stp>BDP|953604262707994514</stp>
        <tr r="B47" s="2"/>
      </tp>
      <tp t="s">
        <v>#N/A N/A</v>
        <stp/>
        <stp>BDP|105252277963668462</stp>
        <tr r="D2506" s="2"/>
      </tp>
      <tp t="s">
        <v>#N/A N/A</v>
        <stp/>
        <stp>BDP|155211973996318130</stp>
        <tr r="B1186" s="2"/>
      </tp>
      <tp t="s">
        <v>#N/A N/A</v>
        <stp/>
        <stp>BDP|687539784449594670</stp>
        <tr r="H1048" s="2"/>
      </tp>
      <tp t="s">
        <v>#N/A N/A</v>
        <stp/>
        <stp>BDP|466415516340335733</stp>
        <tr r="F4260" s="2"/>
      </tp>
      <tp t="s">
        <v>#N/A N/A</v>
        <stp/>
        <stp>BDP|197453451831578234</stp>
        <tr r="D1049" s="2"/>
      </tp>
      <tp t="s">
        <v>#N/A N/A</v>
        <stp/>
        <stp>BDP|669215784691225926</stp>
        <tr r="A1903" s="2"/>
      </tp>
      <tp t="s">
        <v>#N/A N/A</v>
        <stp/>
        <stp>BDP|844066416441803237</stp>
        <tr r="H587" s="2"/>
      </tp>
      <tp t="s">
        <v>#N/A N/A</v>
        <stp/>
        <stp>BDP|259237565647368144</stp>
        <tr r="B46" s="2"/>
      </tp>
      <tp t="s">
        <v>#N/A N/A</v>
        <stp/>
        <stp>BDP|923260226627310593</stp>
        <tr r="B2067" s="2"/>
      </tp>
      <tp t="s">
        <v>#N/A N/A</v>
        <stp/>
        <stp>BDP|155375510424020451</stp>
        <tr r="H2156" s="2"/>
      </tp>
      <tp t="s">
        <v>#N/A N/A</v>
        <stp/>
        <stp>BDP|194968885684428751</stp>
        <tr r="F2637" s="2"/>
      </tp>
      <tp t="s">
        <v>#N/A N/A</v>
        <stp/>
        <stp>BDP|868102069589932349</stp>
        <tr r="I3212" s="2"/>
      </tp>
      <tp t="s">
        <v>#N/A N/A</v>
        <stp/>
        <stp>BDP|908839901542642713</stp>
        <tr r="B3611" s="2"/>
      </tp>
      <tp t="s">
        <v>#N/A N/A</v>
        <stp/>
        <stp>BDP|814005514919949597</stp>
        <tr r="F231" s="2"/>
      </tp>
      <tp t="s">
        <v>#N/A N/A</v>
        <stp/>
        <stp>BDP|293653688270263310</stp>
        <tr r="F3676" s="2"/>
      </tp>
      <tp t="s">
        <v>#N/A N/A</v>
        <stp/>
        <stp>BDP|811982638414112358</stp>
        <tr r="D4720" s="2"/>
      </tp>
      <tp t="s">
        <v>#N/A N/A</v>
        <stp/>
        <stp>BDP|486254307008807720</stp>
        <tr r="F249" s="2"/>
      </tp>
      <tp t="s">
        <v>#N/A N/A</v>
        <stp/>
        <stp>BDP|852069970192107831</stp>
        <tr r="G3434" s="2"/>
      </tp>
      <tp t="s">
        <v>#N/A N/A</v>
        <stp/>
        <stp>BDP|128633715809901324</stp>
        <tr r="I4258" s="2"/>
      </tp>
      <tp t="s">
        <v>#N/A N/A</v>
        <stp/>
        <stp>BDP|846794839728643121</stp>
        <tr r="D4227" s="2"/>
      </tp>
      <tp t="s">
        <v>#N/A N/A</v>
        <stp/>
        <stp>BDP|467914128143118504</stp>
        <tr r="F2190" s="2"/>
      </tp>
      <tp t="s">
        <v>#N/A N/A</v>
        <stp/>
        <stp>BDP|428528269466497873</stp>
        <tr r="H3279" s="2"/>
      </tp>
      <tp t="s">
        <v>#N/A N/A</v>
        <stp/>
        <stp>BDP|669191120969541775</stp>
        <tr r="B954" s="2"/>
      </tp>
      <tp t="s">
        <v>#N/A N/A</v>
        <stp/>
        <stp>BDP|176155318814261933</stp>
        <tr r="B3810" s="2"/>
      </tp>
      <tp t="s">
        <v>#N/A N/A</v>
        <stp/>
        <stp>BDP|596290592394128225</stp>
        <tr r="I619" s="2"/>
      </tp>
      <tp t="s">
        <v>#N/A N/A</v>
        <stp/>
        <stp>BDP|120091134576261837</stp>
        <tr r="C1581" s="2"/>
      </tp>
      <tp t="s">
        <v>#N/A N/A</v>
        <stp/>
        <stp>BDP|916002692005536137</stp>
        <tr r="G765" s="2"/>
      </tp>
      <tp t="s">
        <v>#N/A N/A</v>
        <stp/>
        <stp>BDP|997150602789522568</stp>
        <tr r="D3893" s="2"/>
      </tp>
      <tp t="s">
        <v>#N/A N/A</v>
        <stp/>
        <stp>BDP|739742348077454921</stp>
        <tr r="H3792" s="2"/>
      </tp>
      <tp t="s">
        <v>#N/A N/A</v>
        <stp/>
        <stp>BDP|787835739501510766</stp>
        <tr r="I1971" s="2"/>
      </tp>
      <tp t="s">
        <v>#N/A N/A</v>
        <stp/>
        <stp>BDP|463851062900860355</stp>
        <tr r="G3977" s="2"/>
      </tp>
      <tp t="s">
        <v>#N/A N/A</v>
        <stp/>
        <stp>BDP|624201516689979770</stp>
        <tr r="G410" s="2"/>
      </tp>
      <tp t="s">
        <v>#N/A N/A</v>
        <stp/>
        <stp>BDP|652804565000924347</stp>
        <tr r="A4882" s="2"/>
      </tp>
      <tp t="s">
        <v>#N/A N/A</v>
        <stp/>
        <stp>BDP|785969897828140587</stp>
        <tr r="D2722" s="2"/>
      </tp>
      <tp t="s">
        <v>#N/A N/A</v>
        <stp/>
        <stp>BDP|809800368525896676</stp>
        <tr r="I2933" s="2"/>
      </tp>
      <tp t="s">
        <v>#N/A N/A</v>
        <stp/>
        <stp>BDP|504600072864171896</stp>
        <tr r="F1379" s="2"/>
      </tp>
      <tp t="s">
        <v>#N/A N/A</v>
        <stp/>
        <stp>BDP|988205081396003171</stp>
        <tr r="B4045" s="2"/>
      </tp>
      <tp t="s">
        <v>#N/A N/A</v>
        <stp/>
        <stp>BDP|564438859754732877</stp>
        <tr r="H3329" s="2"/>
      </tp>
      <tp t="s">
        <v>#N/A N/A</v>
        <stp/>
        <stp>BDP|128993292015348868</stp>
        <tr r="F4873" s="2"/>
      </tp>
      <tp t="s">
        <v>#N/A N/A</v>
        <stp/>
        <stp>BDP|973571487471605101</stp>
        <tr r="C32" s="2"/>
      </tp>
      <tp t="s">
        <v>#N/A N/A</v>
        <stp/>
        <stp>BDP|339806738317606126</stp>
        <tr r="D2368" s="2"/>
      </tp>
      <tp t="s">
        <v>#N/A N/A</v>
        <stp/>
        <stp>BDP|498437832753312998</stp>
        <tr r="H3815" s="2"/>
      </tp>
      <tp t="s">
        <v>#N/A N/A</v>
        <stp/>
        <stp>BDP|607893410495156115</stp>
        <tr r="B2978" s="2"/>
      </tp>
      <tp t="s">
        <v>#N/A N/A</v>
        <stp/>
        <stp>BDP|367281462810285940</stp>
        <tr r="A3761" s="2"/>
      </tp>
      <tp t="s">
        <v>#N/A N/A</v>
        <stp/>
        <stp>BDP|681848861421288290</stp>
        <tr r="G3493" s="2"/>
      </tp>
      <tp t="s">
        <v>#N/A N/A</v>
        <stp/>
        <stp>BDP|114951250612581392</stp>
        <tr r="B4126" s="2"/>
      </tp>
      <tp t="s">
        <v>#N/A N/A</v>
        <stp/>
        <stp>BDP|122072098541528535</stp>
        <tr r="D421" s="2"/>
      </tp>
      <tp t="s">
        <v>#N/A N/A</v>
        <stp/>
        <stp>BDP|793950185065817979</stp>
        <tr r="I4100" s="2"/>
      </tp>
      <tp t="s">
        <v>#N/A N/A</v>
        <stp/>
        <stp>BDP|584857349300322128</stp>
        <tr r="A1262" s="2"/>
      </tp>
      <tp t="s">
        <v>#N/A N/A</v>
        <stp/>
        <stp>BDP|102964678317151467</stp>
        <tr r="I4049" s="2"/>
      </tp>
      <tp t="s">
        <v>#N/A N/A</v>
        <stp/>
        <stp>BDP|849783648256550848</stp>
        <tr r="A879" s="2"/>
      </tp>
      <tp t="s">
        <v>#N/A N/A</v>
        <stp/>
        <stp>BDP|196284097022091476</stp>
        <tr r="D797" s="2"/>
      </tp>
      <tp t="s">
        <v>#N/A N/A</v>
        <stp/>
        <stp>BDP|995274078918630097</stp>
        <tr r="C4364" s="2"/>
      </tp>
      <tp t="s">
        <v>#N/A N/A</v>
        <stp/>
        <stp>BDP|987041082500189572</stp>
        <tr r="G1500" s="2"/>
      </tp>
      <tp t="s">
        <v>#N/A N/A</v>
        <stp/>
        <stp>BDP|440455794742547294</stp>
        <tr r="B2231" s="2"/>
      </tp>
      <tp t="s">
        <v>#N/A N/A</v>
        <stp/>
        <stp>BDP|487724393385953660</stp>
        <tr r="F338" s="2"/>
      </tp>
      <tp t="s">
        <v>#N/A N/A</v>
        <stp/>
        <stp>BDP|275152047270866829</stp>
        <tr r="F3249" s="2"/>
      </tp>
      <tp t="s">
        <v>#N/A N/A</v>
        <stp/>
        <stp>BDP|805908471280765343</stp>
        <tr r="F3504" s="2"/>
      </tp>
      <tp t="s">
        <v>#N/A N/A</v>
        <stp/>
        <stp>BDP|354565088865036574</stp>
        <tr r="H4484" s="2"/>
      </tp>
      <tp t="s">
        <v>#N/A N/A</v>
        <stp/>
        <stp>BDP|138303240009398384</stp>
        <tr r="F193" s="2"/>
      </tp>
      <tp t="s">
        <v>#N/A N/A</v>
        <stp/>
        <stp>BDP|773313350378470382</stp>
        <tr r="G2230" s="2"/>
      </tp>
      <tp t="s">
        <v>#N/A N/A</v>
        <stp/>
        <stp>BDP|509041068238775347</stp>
        <tr r="I727" s="2"/>
      </tp>
      <tp t="s">
        <v>#N/A N/A</v>
        <stp/>
        <stp>BDP|518565515571932856</stp>
        <tr r="F2075" s="2"/>
      </tp>
      <tp t="s">
        <v>#N/A N/A</v>
        <stp/>
        <stp>BDP|539198180301227552</stp>
        <tr r="H4880" s="2"/>
      </tp>
      <tp t="s">
        <v>#N/A N/A</v>
        <stp/>
        <stp>BDP|191983790239201400</stp>
        <tr r="B2345" s="2"/>
      </tp>
      <tp t="s">
        <v>#N/A N/A</v>
        <stp/>
        <stp>BDP|264325317196595997</stp>
        <tr r="A4813" s="2"/>
      </tp>
      <tp t="s">
        <v>#N/A N/A</v>
        <stp/>
        <stp>BDP|840651950207334956</stp>
        <tr r="A3293" s="2"/>
      </tp>
      <tp t="s">
        <v>#N/A N/A</v>
        <stp/>
        <stp>BDP|588129582591593545</stp>
        <tr r="A4697" s="2"/>
      </tp>
      <tp t="s">
        <v>#N/A N/A</v>
        <stp/>
        <stp>BDP|385392383774452291</stp>
        <tr r="F3274" s="2"/>
      </tp>
      <tp t="s">
        <v>#N/A N/A</v>
        <stp/>
        <stp>BDP|208869123150612755</stp>
        <tr r="D248" s="2"/>
      </tp>
      <tp t="s">
        <v>#N/A N/A</v>
        <stp/>
        <stp>BDP|861541591004981509</stp>
        <tr r="F3014" s="2"/>
      </tp>
      <tp t="s">
        <v>#N/A N/A</v>
        <stp/>
        <stp>BDP|695949200027461320</stp>
        <tr r="H3682" s="2"/>
      </tp>
      <tp t="s">
        <v>#N/A N/A</v>
        <stp/>
        <stp>BDP|661115312088281521</stp>
        <tr r="G4474" s="2"/>
      </tp>
      <tp t="s">
        <v>#N/A N/A</v>
        <stp/>
        <stp>BDP|680520732859188226</stp>
        <tr r="F3159" s="2"/>
      </tp>
      <tp t="s">
        <v>#N/A N/A</v>
        <stp/>
        <stp>BDP|516036100568494577</stp>
        <tr r="I572" s="2"/>
      </tp>
      <tp t="s">
        <v>#N/A N/A</v>
        <stp/>
        <stp>BDP|674737822431006920</stp>
        <tr r="D474" s="2"/>
      </tp>
      <tp t="s">
        <v>#N/A N/A</v>
        <stp/>
        <stp>BDP|543714121460260826</stp>
        <tr r="B2883" s="2"/>
      </tp>
      <tp t="s">
        <v>#N/A N/A</v>
        <stp/>
        <stp>BDP|506764303649121378</stp>
        <tr r="D2740" s="2"/>
      </tp>
      <tp t="s">
        <v>#N/A N/A</v>
        <stp/>
        <stp>BDP|153962401810458449</stp>
        <tr r="B3766" s="2"/>
      </tp>
      <tp t="s">
        <v>#N/A N/A</v>
        <stp/>
        <stp>BDP|725213360890510958</stp>
        <tr r="B3018" s="2"/>
      </tp>
      <tp t="s">
        <v>#N/A N/A</v>
        <stp/>
        <stp>BDP|816581251444489938</stp>
        <tr r="A3339" s="2"/>
      </tp>
      <tp t="s">
        <v>#N/A N/A</v>
        <stp/>
        <stp>BDP|500545897894408554</stp>
        <tr r="A904" s="2"/>
      </tp>
      <tp t="s">
        <v>#N/A N/A</v>
        <stp/>
        <stp>BDP|680826533547664164</stp>
        <tr r="A2329" s="2"/>
      </tp>
      <tp t="s">
        <v>#N/A N/A</v>
        <stp/>
        <stp>BDP|605754850836777937</stp>
        <tr r="G2861" s="2"/>
      </tp>
      <tp t="s">
        <v>#N/A N/A</v>
        <stp/>
        <stp>BDP|951997462461599303</stp>
        <tr r="F2095" s="2"/>
      </tp>
      <tp t="s">
        <v>#N/A N/A</v>
        <stp/>
        <stp>BDP|584246595244091237</stp>
        <tr r="A2800" s="2"/>
      </tp>
      <tp t="s">
        <v>#N/A N/A</v>
        <stp/>
        <stp>BDP|416646120379019076</stp>
        <tr r="A4595" s="2"/>
      </tp>
      <tp t="s">
        <v>#N/A N/A</v>
        <stp/>
        <stp>BDP|491346769871977976</stp>
        <tr r="A2383" s="2"/>
      </tp>
      <tp t="s">
        <v>#N/A N/A</v>
        <stp/>
        <stp>BDP|340436963358735749</stp>
        <tr r="A3622" s="2"/>
      </tp>
      <tp t="s">
        <v>#N/A N/A</v>
        <stp/>
        <stp>BDP|421877149991903035</stp>
        <tr r="G363" s="2"/>
      </tp>
      <tp t="s">
        <v>#N/A N/A</v>
        <stp/>
        <stp>BDP|796936938411864642</stp>
        <tr r="D3063" s="2"/>
      </tp>
      <tp t="s">
        <v>#N/A N/A</v>
        <stp/>
        <stp>BDP|573250483916081136</stp>
        <tr r="A110" s="2"/>
      </tp>
      <tp t="s">
        <v>#N/A N/A</v>
        <stp/>
        <stp>BDP|831281456129204345</stp>
        <tr r="I1888" s="2"/>
      </tp>
      <tp t="s">
        <v>#N/A N/A</v>
        <stp/>
        <stp>BDP|842377694706252196</stp>
        <tr r="F711" s="2"/>
      </tp>
      <tp t="s">
        <v>#N/A N/A</v>
        <stp/>
        <stp>BDP|478575188493975325</stp>
        <tr r="H3672" s="2"/>
      </tp>
      <tp t="s">
        <v>#N/A N/A</v>
        <stp/>
        <stp>BDP|206987775014723780</stp>
        <tr r="F4790" s="2"/>
      </tp>
      <tp t="s">
        <v>#N/A N/A</v>
        <stp/>
        <stp>BDP|664099617794014893</stp>
        <tr r="A3252" s="2"/>
      </tp>
      <tp t="s">
        <v>#N/A N/A</v>
        <stp/>
        <stp>BDP|916288970789020107</stp>
        <tr r="F322" s="2"/>
      </tp>
      <tp t="s">
        <v>#N/A N/A</v>
        <stp/>
        <stp>BDP|774681649886751903</stp>
        <tr r="A2627" s="2"/>
      </tp>
      <tp t="s">
        <v>#N/A N/A</v>
        <stp/>
        <stp>BDP|225823560703288030</stp>
        <tr r="G4753" s="2"/>
      </tp>
      <tp t="s">
        <v>#N/A N/A</v>
        <stp/>
        <stp>BDP|427806263715664603</stp>
        <tr r="H4551" s="2"/>
      </tp>
      <tp t="s">
        <v>#N/A N/A</v>
        <stp/>
        <stp>BDP|241305277898596129</stp>
        <tr r="D3362" s="2"/>
      </tp>
      <tp t="s">
        <v>#N/A N/A</v>
        <stp/>
        <stp>BDP|107926211643182617</stp>
        <tr r="C887" s="2"/>
      </tp>
      <tp t="s">
        <v>#N/A N/A</v>
        <stp/>
        <stp>BDP|150600842896333921</stp>
        <tr r="G1658" s="2"/>
      </tp>
      <tp t="s">
        <v>#N/A N/A</v>
        <stp/>
        <stp>BDP|598259774470219845</stp>
        <tr r="F3973" s="2"/>
      </tp>
      <tp t="s">
        <v>#N/A N/A</v>
        <stp/>
        <stp>BDP|846785445639483723</stp>
        <tr r="C261" s="2"/>
      </tp>
      <tp t="s">
        <v>#N/A N/A</v>
        <stp/>
        <stp>BDP|585163160393727977</stp>
        <tr r="G801" s="2"/>
      </tp>
      <tp t="s">
        <v>#N/A N/A</v>
        <stp/>
        <stp>BDP|671441083068239908</stp>
        <tr r="F418" s="2"/>
      </tp>
      <tp t="s">
        <v>#N/A N/A</v>
        <stp/>
        <stp>BDP|558110088302764683</stp>
        <tr r="I266" s="2"/>
      </tp>
      <tp t="s">
        <v>#N/A N/A</v>
        <stp/>
        <stp>BDP|379843607181211415</stp>
        <tr r="I2626" s="2"/>
      </tp>
      <tp t="s">
        <v>#N/A N/A</v>
        <stp/>
        <stp>BDP|360717029488969014</stp>
        <tr r="B4378" s="2"/>
      </tp>
      <tp t="s">
        <v>#N/A N/A</v>
        <stp/>
        <stp>BDP|997141759011381845</stp>
        <tr r="C2831" s="2"/>
      </tp>
      <tp t="s">
        <v>#N/A N/A</v>
        <stp/>
        <stp>BDP|471317988881516642</stp>
        <tr r="G927" s="2"/>
      </tp>
      <tp t="s">
        <v>#N/A N/A</v>
        <stp/>
        <stp>BDP|131706218868325267</stp>
        <tr r="I2800" s="2"/>
      </tp>
      <tp t="s">
        <v>#N/A N/A</v>
        <stp/>
        <stp>BDP|457484887735100564</stp>
        <tr r="F138" s="2"/>
      </tp>
      <tp t="s">
        <v>#N/A N/A</v>
        <stp/>
        <stp>BDP|479688670218364538</stp>
        <tr r="C475" s="2"/>
      </tp>
      <tp t="s">
        <v>#N/A N/A</v>
        <stp/>
        <stp>BDP|811909026821776645</stp>
        <tr r="A1806" s="2"/>
      </tp>
      <tp t="s">
        <v>#N/A N/A</v>
        <stp/>
        <stp>BDP|734054773209977251</stp>
        <tr r="D2336" s="2"/>
      </tp>
      <tp t="s">
        <v>#N/A N/A</v>
        <stp/>
        <stp>BDP|260284368270974867</stp>
        <tr r="D466" s="2"/>
      </tp>
      <tp t="s">
        <v>#N/A N/A</v>
        <stp/>
        <stp>BDP|797906656450875074</stp>
        <tr r="H2936" s="2"/>
      </tp>
      <tp t="s">
        <v>#N/A N/A</v>
        <stp/>
        <stp>BDP|467451409171759913</stp>
        <tr r="A1417" s="2"/>
      </tp>
      <tp t="s">
        <v>#N/A N/A</v>
        <stp/>
        <stp>BDP|821160923279745643</stp>
        <tr r="C686" s="2"/>
      </tp>
      <tp t="s">
        <v>#N/A N/A</v>
        <stp/>
        <stp>BDP|225740978214093816</stp>
        <tr r="D312" s="2"/>
      </tp>
      <tp t="s">
        <v>#N/A N/A</v>
        <stp/>
        <stp>BDP|885441281515028521</stp>
        <tr r="G2191" s="2"/>
      </tp>
      <tp t="s">
        <v>#N/A N/A</v>
        <stp/>
        <stp>BDP|772827081684264893</stp>
        <tr r="C4217" s="2"/>
      </tp>
      <tp t="s">
        <v>#N/A N/A</v>
        <stp/>
        <stp>BDP|451957118571419522</stp>
        <tr r="C2225" s="2"/>
      </tp>
      <tp t="s">
        <v>#N/A N/A</v>
        <stp/>
        <stp>BDP|342420328508754210</stp>
        <tr r="B2938" s="2"/>
      </tp>
      <tp t="s">
        <v>#N/A N/A</v>
        <stp/>
        <stp>BDP|759920908227404262</stp>
        <tr r="G920" s="2"/>
      </tp>
      <tp t="s">
        <v>#N/A N/A</v>
        <stp/>
        <stp>BDP|700638167894302889</stp>
        <tr r="G4173" s="2"/>
      </tp>
      <tp t="s">
        <v>#N/A N/A</v>
        <stp/>
        <stp>BDP|451860779700597367</stp>
        <tr r="A4555" s="2"/>
      </tp>
      <tp t="s">
        <v>#N/A N/A</v>
        <stp/>
        <stp>BDP|941869901025489127</stp>
        <tr r="C38" s="2"/>
      </tp>
      <tp t="s">
        <v>#N/A N/A</v>
        <stp/>
        <stp>BDP|261143089064704106</stp>
        <tr r="F74" s="2"/>
      </tp>
      <tp t="s">
        <v>#N/A N/A</v>
        <stp/>
        <stp>BDP|306353687952127589</stp>
        <tr r="B1738" s="2"/>
      </tp>
      <tp t="s">
        <v>#N/A N/A</v>
        <stp/>
        <stp>BDP|693036189776117258</stp>
        <tr r="B4158" s="2"/>
      </tp>
      <tp t="s">
        <v>#N/A N/A</v>
        <stp/>
        <stp>BDP|806367806967391830</stp>
        <tr r="D296" s="2"/>
      </tp>
      <tp t="s">
        <v>#N/A N/A</v>
        <stp/>
        <stp>BDP|159820316425939046</stp>
        <tr r="A4094" s="2"/>
      </tp>
      <tp t="s">
        <v>#N/A N/A</v>
        <stp/>
        <stp>BDP|739497750189723413</stp>
        <tr r="F2371" s="2"/>
      </tp>
      <tp t="s">
        <v>#N/A N/A</v>
        <stp/>
        <stp>BDP|357720020101971807</stp>
        <tr r="D1013" s="2"/>
      </tp>
      <tp t="s">
        <v>#N/A N/A</v>
        <stp/>
        <stp>BDP|777343587744829344</stp>
        <tr r="C4832" s="2"/>
      </tp>
      <tp t="s">
        <v>#N/A N/A</v>
        <stp/>
        <stp>BDP|209856562492812049</stp>
        <tr r="H2750" s="2"/>
      </tp>
      <tp t="s">
        <v>#N/A N/A</v>
        <stp/>
        <stp>BDP|865398757558649294</stp>
        <tr r="A4458" s="2"/>
      </tp>
      <tp t="s">
        <v>#N/A N/A</v>
        <stp/>
        <stp>BDP|457169162693847817</stp>
        <tr r="H3430" s="2"/>
      </tp>
      <tp t="s">
        <v>#N/A N/A</v>
        <stp/>
        <stp>BDP|392296145568570234</stp>
        <tr r="D844" s="2"/>
      </tp>
      <tp t="s">
        <v>#N/A N/A</v>
        <stp/>
        <stp>BDP|341610476445494894</stp>
        <tr r="F929" s="2"/>
      </tp>
      <tp t="s">
        <v>#N/A N/A</v>
        <stp/>
        <stp>BDP|855926275262294045</stp>
        <tr r="D653" s="2"/>
      </tp>
      <tp t="s">
        <v>#N/A N/A</v>
        <stp/>
        <stp>BDP|724222781193929541</stp>
        <tr r="H3096" s="2"/>
      </tp>
      <tp t="s">
        <v>#N/A N/A</v>
        <stp/>
        <stp>BDP|836968512204565009</stp>
        <tr r="H2007" s="2"/>
      </tp>
      <tp t="s">
        <v>#N/A N/A</v>
        <stp/>
        <stp>BDP|417554288099241824</stp>
        <tr r="C4078" s="2"/>
      </tp>
      <tp t="s">
        <v>#N/A N/A</v>
        <stp/>
        <stp>BDP|582810643731455191</stp>
        <tr r="I3016" s="2"/>
      </tp>
      <tp t="s">
        <v>#N/A N/A</v>
        <stp/>
        <stp>BDP|626493497503771250</stp>
        <tr r="B896" s="2"/>
      </tp>
      <tp t="s">
        <v>#N/A N/A</v>
        <stp/>
        <stp>BDP|423987930513424522</stp>
        <tr r="F174" s="2"/>
      </tp>
      <tp t="s">
        <v>#N/A N/A</v>
        <stp/>
        <stp>BDP|535585777187733970</stp>
        <tr r="D867" s="2"/>
      </tp>
      <tp t="s">
        <v>#N/A N/A</v>
        <stp/>
        <stp>BDP|929716093731627375</stp>
        <tr r="G1644" s="2"/>
      </tp>
      <tp t="s">
        <v>#N/A N/A</v>
        <stp/>
        <stp>BDP|579557289195136426</stp>
        <tr r="I3276" s="2"/>
      </tp>
      <tp t="s">
        <v>#N/A N/A</v>
        <stp/>
        <stp>BDP|138175315854901816</stp>
        <tr r="I4668" s="2"/>
      </tp>
      <tp t="s">
        <v>#N/A N/A</v>
        <stp/>
        <stp>BDP|194988743246790762</stp>
        <tr r="H1892" s="2"/>
      </tp>
      <tp t="s">
        <v>#N/A N/A</v>
        <stp/>
        <stp>BDP|586890686185653972</stp>
        <tr r="B642" s="2"/>
      </tp>
      <tp t="s">
        <v>#N/A N/A</v>
        <stp/>
        <stp>BDP|818016292937064207</stp>
        <tr r="B4936" s="2"/>
      </tp>
      <tp t="s">
        <v>#N/A N/A</v>
        <stp/>
        <stp>BDP|321823679372050138</stp>
        <tr r="F1560" s="2"/>
      </tp>
      <tp t="s">
        <v>#N/A N/A</v>
        <stp/>
        <stp>BDP|380830324996950067</stp>
        <tr r="H4487" s="2"/>
      </tp>
      <tp t="s">
        <v>#N/A N/A</v>
        <stp/>
        <stp>BDP|957204845619384349</stp>
        <tr r="F321" s="2"/>
      </tp>
      <tp t="s">
        <v>#N/A N/A</v>
        <stp/>
        <stp>BDP|168889892748899572</stp>
        <tr r="I1321" s="2"/>
      </tp>
      <tp t="s">
        <v>#N/A N/A</v>
        <stp/>
        <stp>BDP|707264387543770555</stp>
        <tr r="C2203" s="2"/>
      </tp>
      <tp t="s">
        <v>#N/A N/A</v>
        <stp/>
        <stp>BDP|732863741808008849</stp>
        <tr r="D225" s="2"/>
      </tp>
      <tp t="s">
        <v>#N/A N/A</v>
        <stp/>
        <stp>BDP|659630414269667230</stp>
        <tr r="B3653" s="2"/>
      </tp>
      <tp t="s">
        <v>#N/A N/A</v>
        <stp/>
        <stp>BDP|226966917854380040</stp>
        <tr r="B985" s="2"/>
      </tp>
      <tp t="s">
        <v>#N/A N/A</v>
        <stp/>
        <stp>BDP|266201211466320945</stp>
        <tr r="A636" s="2"/>
      </tp>
      <tp t="s">
        <v>#N/A N/A</v>
        <stp/>
        <stp>BDP|914690087891550373</stp>
        <tr r="F850" s="2"/>
      </tp>
      <tp t="s">
        <v>#N/A N/A</v>
        <stp/>
        <stp>BDP|336309399656681098</stp>
        <tr r="H4306" s="2"/>
      </tp>
      <tp t="s">
        <v>#N/A N/A</v>
        <stp/>
        <stp>BDP|363904471037694517</stp>
        <tr r="B469" s="2"/>
      </tp>
      <tp t="s">
        <v>#N/A N/A</v>
        <stp/>
        <stp>BDP|726509807699440015</stp>
        <tr r="F1208" s="2"/>
      </tp>
      <tp t="s">
        <v>#N/A N/A</v>
        <stp/>
        <stp>BDP|334287458382503932</stp>
        <tr r="A4482" s="2"/>
      </tp>
      <tp t="s">
        <v>#N/A N/A</v>
        <stp/>
        <stp>BDP|239330425505266808</stp>
        <tr r="H3056" s="2"/>
      </tp>
      <tp t="s">
        <v>#N/A N/A</v>
        <stp/>
        <stp>BDP|982225650469576286</stp>
        <tr r="A4747" s="2"/>
      </tp>
      <tp t="s">
        <v>#N/A N/A</v>
        <stp/>
        <stp>BDP|636727142557892881</stp>
        <tr r="D3988" s="2"/>
      </tp>
      <tp t="s">
        <v>#N/A N/A</v>
        <stp/>
        <stp>BDP|677003685081034559</stp>
        <tr r="I4037" s="2"/>
      </tp>
      <tp t="s">
        <v>#N/A N/A</v>
        <stp/>
        <stp>BDP|749427962039177708</stp>
        <tr r="H4723" s="2"/>
      </tp>
      <tp t="s">
        <v>#N/A N/A</v>
        <stp/>
        <stp>BDP|645861998508726592</stp>
        <tr r="B2340" s="2"/>
      </tp>
      <tp t="s">
        <v>#N/A N/A</v>
        <stp/>
        <stp>BDP|117921756346115622</stp>
        <tr r="H2104" s="2"/>
      </tp>
      <tp t="s">
        <v>#N/A N/A</v>
        <stp/>
        <stp>BDP|647495704760416893</stp>
        <tr r="D3950" s="2"/>
      </tp>
      <tp t="s">
        <v>#N/A N/A</v>
        <stp/>
        <stp>BDP|428538320332623960</stp>
        <tr r="I1031" s="2"/>
      </tp>
      <tp t="s">
        <v>#N/A N/A</v>
        <stp/>
        <stp>BDP|117684389812057073</stp>
        <tr r="F2454" s="2"/>
      </tp>
      <tp t="s">
        <v>#N/A N/A</v>
        <stp/>
        <stp>BDP|217818596588528572</stp>
        <tr r="G3645" s="2"/>
      </tp>
      <tp t="s">
        <v>#N/A N/A</v>
        <stp/>
        <stp>BDP|745079486510541441</stp>
        <tr r="H2628" s="2"/>
      </tp>
      <tp t="s">
        <v>#N/A N/A</v>
        <stp/>
        <stp>BDP|830828768821150341</stp>
        <tr r="G776" s="2"/>
      </tp>
      <tp t="s">
        <v>#N/A N/A</v>
        <stp/>
        <stp>BDP|223963140371772040</stp>
        <tr r="F2005" s="2"/>
      </tp>
      <tp t="s">
        <v>#N/A N/A</v>
        <stp/>
        <stp>BDP|787235173448434130</stp>
        <tr r="B4493" s="2"/>
      </tp>
      <tp t="s">
        <v>#N/A N/A</v>
        <stp/>
        <stp>BDP|150261712068239777</stp>
        <tr r="F1515" s="2"/>
      </tp>
      <tp t="s">
        <v>#N/A N/A</v>
        <stp/>
        <stp>BDP|259917200405687058</stp>
        <tr r="I743" s="2"/>
      </tp>
      <tp t="s">
        <v>#N/A N/A</v>
        <stp/>
        <stp>BDP|713292087011130787</stp>
        <tr r="I4468" s="2"/>
      </tp>
      <tp t="s">
        <v>#N/A N/A</v>
        <stp/>
        <stp>BDP|894853825197105181</stp>
        <tr r="I4536" s="2"/>
      </tp>
      <tp t="s">
        <v>#N/A N/A</v>
        <stp/>
        <stp>BDP|917538593473122397</stp>
        <tr r="H4504" s="2"/>
      </tp>
      <tp t="s">
        <v>#N/A N/A</v>
        <stp/>
        <stp>BDP|456245756872709901</stp>
        <tr r="D2927" s="2"/>
      </tp>
      <tp t="s">
        <v>#N/A N/A</v>
        <stp/>
        <stp>BDP|554277667279060145</stp>
        <tr r="I1118" s="2"/>
      </tp>
      <tp t="s">
        <v>#N/A N/A</v>
        <stp/>
        <stp>BDP|820270880184658282</stp>
        <tr r="A3122" s="2"/>
      </tp>
      <tp t="s">
        <v>#N/A N/A</v>
        <stp/>
        <stp>BDP|495331010956198846</stp>
        <tr r="H116" s="2"/>
      </tp>
      <tp t="s">
        <v>#N/A N/A</v>
        <stp/>
        <stp>BDP|369656987410289213</stp>
        <tr r="I361" s="2"/>
      </tp>
      <tp t="s">
        <v>#N/A N/A</v>
        <stp/>
        <stp>BDP|852025275518939345</stp>
        <tr r="D1846" s="2"/>
      </tp>
      <tp t="s">
        <v>#N/A N/A</v>
        <stp/>
        <stp>BDP|525034009585503984</stp>
        <tr r="H1831" s="2"/>
      </tp>
      <tp t="s">
        <v>#N/A N/A</v>
        <stp/>
        <stp>BDP|351172537249316720</stp>
        <tr r="H791" s="2"/>
      </tp>
      <tp t="s">
        <v>#N/A N/A</v>
        <stp/>
        <stp>BDP|583768754916214862</stp>
        <tr r="F289" s="2"/>
      </tp>
      <tp t="s">
        <v>#N/A N/A</v>
        <stp/>
        <stp>BDP|927286981945616354</stp>
        <tr r="A4161" s="2"/>
      </tp>
      <tp t="s">
        <v>#N/A N/A</v>
        <stp/>
        <stp>BDP|293988818335598143</stp>
        <tr r="D1747" s="2"/>
      </tp>
      <tp t="s">
        <v>#N/A N/A</v>
        <stp/>
        <stp>BDP|513874712976602352</stp>
        <tr r="C382" s="2"/>
      </tp>
      <tp t="s">
        <v>#N/A N/A</v>
        <stp/>
        <stp>BDP|220316806976434923</stp>
        <tr r="C3839" s="2"/>
      </tp>
      <tp t="s">
        <v>#N/A N/A</v>
        <stp/>
        <stp>BDP|740907513020560426</stp>
        <tr r="D4754" s="2"/>
      </tp>
      <tp t="s">
        <v>#N/A N/A</v>
        <stp/>
        <stp>BDP|396586287810601197</stp>
        <tr r="D2278" s="2"/>
      </tp>
      <tp t="s">
        <v>#N/A N/A</v>
        <stp/>
        <stp>BDP|686044790950941580</stp>
        <tr r="A4752" s="2"/>
      </tp>
      <tp t="s">
        <v>#N/A N/A</v>
        <stp/>
        <stp>BDP|546025106859043529</stp>
        <tr r="H4525" s="2"/>
      </tp>
      <tp t="s">
        <v>#N/A N/A</v>
        <stp/>
        <stp>BDP|641944587974045968</stp>
        <tr r="F1877" s="2"/>
      </tp>
      <tp t="s">
        <v>#N/A N/A</v>
        <stp/>
        <stp>BDP|739229799282210622</stp>
        <tr r="D1532" s="2"/>
      </tp>
      <tp t="s">
        <v>#N/A N/A</v>
        <stp/>
        <stp>BDP|561410948196005909</stp>
        <tr r="C2228" s="2"/>
      </tp>
      <tp t="s">
        <v>#N/A N/A</v>
        <stp/>
        <stp>BDP|985971267916160640</stp>
        <tr r="H3173" s="2"/>
      </tp>
      <tp t="s">
        <v>#N/A N/A</v>
        <stp/>
        <stp>BDP|468297361552452944</stp>
        <tr r="F2312" s="2"/>
      </tp>
      <tp t="s">
        <v>#N/A N/A</v>
        <stp/>
        <stp>BDP|180663601891817839</stp>
        <tr r="F660" s="2"/>
      </tp>
      <tp t="s">
        <v>#N/A N/A</v>
        <stp/>
        <stp>BDP|497584964365773921</stp>
        <tr r="C10" s="2"/>
      </tp>
      <tp t="s">
        <v>#N/A N/A</v>
        <stp/>
        <stp>BDP|998073313246462847</stp>
        <tr r="F2972" s="2"/>
      </tp>
      <tp t="s">
        <v>#N/A N/A</v>
        <stp/>
        <stp>BDP|201708294200932127</stp>
        <tr r="I1161" s="2"/>
      </tp>
      <tp t="s">
        <v>#N/A N/A</v>
        <stp/>
        <stp>BDP|505610381515900417</stp>
        <tr r="H1763" s="2"/>
      </tp>
      <tp t="s">
        <v>#N/A N/A</v>
        <stp/>
        <stp>BDP|151853511676945014</stp>
        <tr r="I1042" s="2"/>
      </tp>
      <tp t="s">
        <v>#N/A N/A</v>
        <stp/>
        <stp>BDP|276162817237827862</stp>
        <tr r="I2032" s="2"/>
      </tp>
      <tp t="s">
        <v>#N/A N/A</v>
        <stp/>
        <stp>BDP|650520016283657895</stp>
        <tr r="C4129" s="2"/>
      </tp>
      <tp t="s">
        <v>#N/A N/A</v>
        <stp/>
        <stp>BDP|592101948382768878</stp>
        <tr r="H2775" s="2"/>
      </tp>
      <tp t="s">
        <v>#N/A N/A</v>
        <stp/>
        <stp>BDP|200974126885968140</stp>
        <tr r="D539" s="2"/>
      </tp>
      <tp t="s">
        <v>#N/A N/A</v>
        <stp/>
        <stp>BDP|596881724603714604</stp>
        <tr r="A3908" s="2"/>
      </tp>
      <tp t="s">
        <v>#N/A N/A</v>
        <stp/>
        <stp>BDP|328809568476577705</stp>
        <tr r="H4412" s="2"/>
      </tp>
      <tp t="s">
        <v>#N/A N/A</v>
        <stp/>
        <stp>BDP|638544496144939738</stp>
        <tr r="I3358" s="2"/>
      </tp>
      <tp t="s">
        <v>#N/A N/A</v>
        <stp/>
        <stp>BDP|944936002477324152</stp>
        <tr r="G1013" s="2"/>
      </tp>
      <tp t="s">
        <v>#N/A N/A</v>
        <stp/>
        <stp>BDP|204353436346765983</stp>
        <tr r="G1429" s="2"/>
      </tp>
      <tp t="s">
        <v>#N/A N/A</v>
        <stp/>
        <stp>BDP|797801707056813170</stp>
        <tr r="D3054" s="2"/>
      </tp>
      <tp t="s">
        <v>#N/A N/A</v>
        <stp/>
        <stp>BDP|867004566349148009</stp>
        <tr r="H3913" s="2"/>
      </tp>
      <tp t="s">
        <v>#N/A N/A</v>
        <stp/>
        <stp>BDP|892949115260548731</stp>
        <tr r="G3463" s="2"/>
      </tp>
      <tp t="s">
        <v>#N/A N/A</v>
        <stp/>
        <stp>BDP|815696898081268145</stp>
        <tr r="D3674" s="2"/>
      </tp>
      <tp t="s">
        <v>#N/A N/A</v>
        <stp/>
        <stp>BDP|951958225795113103</stp>
        <tr r="F4895" s="2"/>
      </tp>
      <tp t="s">
        <v>#N/A N/A</v>
        <stp/>
        <stp>BDP|722656897036898654</stp>
        <tr r="H1126" s="2"/>
      </tp>
      <tp t="s">
        <v>#N/A N/A</v>
        <stp/>
        <stp>BDP|629404369869607410</stp>
        <tr r="C2593" s="2"/>
      </tp>
      <tp t="s">
        <v>#N/A N/A</v>
        <stp/>
        <stp>BDP|460920908994403223</stp>
        <tr r="A2631" s="2"/>
      </tp>
      <tp t="s">
        <v>#N/A N/A</v>
        <stp/>
        <stp>BDP|236226380697136292</stp>
        <tr r="H2780" s="2"/>
      </tp>
      <tp t="s">
        <v>#N/A N/A</v>
        <stp/>
        <stp>BDP|155565228410306842</stp>
        <tr r="B1839" s="2"/>
      </tp>
      <tp t="s">
        <v>#N/A N/A</v>
        <stp/>
        <stp>BDP|309794950269069427</stp>
        <tr r="I4820" s="2"/>
      </tp>
      <tp t="s">
        <v>#N/A N/A</v>
        <stp/>
        <stp>BDP|474041094755935356</stp>
        <tr r="B2781" s="2"/>
      </tp>
      <tp t="s">
        <v>#N/A N/A</v>
        <stp/>
        <stp>BDP|171862742377587494</stp>
        <tr r="I2002" s="2"/>
      </tp>
      <tp t="s">
        <v>#N/A N/A</v>
        <stp/>
        <stp>BDP|685194739829680497</stp>
        <tr r="A2703" s="2"/>
      </tp>
      <tp t="s">
        <v>#N/A N/A</v>
        <stp/>
        <stp>BDP|101826179933479374</stp>
        <tr r="C602" s="2"/>
      </tp>
      <tp t="s">
        <v>#N/A N/A</v>
        <stp/>
        <stp>BDP|298975773102955364</stp>
        <tr r="A1888" s="2"/>
      </tp>
      <tp t="s">
        <v>#N/A N/A</v>
        <stp/>
        <stp>BDP|620465395143417185</stp>
        <tr r="H2086" s="2"/>
      </tp>
      <tp t="s">
        <v>#N/A N/A</v>
        <stp/>
        <stp>BDP|326832423456963330</stp>
        <tr r="C2266" s="2"/>
      </tp>
      <tp t="s">
        <v>#N/A N/A</v>
        <stp/>
        <stp>BDP|927844237143325706</stp>
        <tr r="C4145" s="2"/>
      </tp>
      <tp t="s">
        <v>#N/A N/A</v>
        <stp/>
        <stp>BDP|387792845968452420</stp>
        <tr r="C3642" s="2"/>
      </tp>
      <tp t="s">
        <v>#N/A N/A</v>
        <stp/>
        <stp>BDP|212980423771835582</stp>
        <tr r="D556" s="2"/>
      </tp>
      <tp t="s">
        <v>#N/A N/A</v>
        <stp/>
        <stp>BDP|923361013588129540</stp>
        <tr r="F2238" s="2"/>
      </tp>
      <tp t="s">
        <v>#N/A N/A</v>
        <stp/>
        <stp>BDP|831904398196256989</stp>
        <tr r="C3627" s="2"/>
      </tp>
      <tp t="s">
        <v>#N/A N/A</v>
        <stp/>
        <stp>BDP|980812731310726441</stp>
        <tr r="B4044" s="2"/>
      </tp>
      <tp t="s">
        <v>#N/A N/A</v>
        <stp/>
        <stp>BDP|107814610202391494</stp>
        <tr r="B3409" s="2"/>
      </tp>
      <tp t="s">
        <v>#N/A N/A</v>
        <stp/>
        <stp>BDP|825970981598135658</stp>
        <tr r="F4656" s="2"/>
      </tp>
      <tp t="s">
        <v>#N/A N/A</v>
        <stp/>
        <stp>BDP|900156844329519379</stp>
        <tr r="F3716" s="2"/>
      </tp>
      <tp t="s">
        <v>#N/A N/A</v>
        <stp/>
        <stp>BDP|314735238428636343</stp>
        <tr r="F4537" s="2"/>
      </tp>
      <tp t="s">
        <v>#N/A N/A</v>
        <stp/>
        <stp>BDP|344770354384304991</stp>
        <tr r="D2139" s="2"/>
      </tp>
      <tp t="s">
        <v>#N/A N/A</v>
        <stp/>
        <stp>BDP|725057852123965936</stp>
        <tr r="D1125" s="2"/>
      </tp>
      <tp t="s">
        <v>#N/A N/A</v>
        <stp/>
        <stp>BDP|183676461647500892</stp>
        <tr r="D2421" s="2"/>
      </tp>
      <tp t="s">
        <v>#N/A N/A</v>
        <stp/>
        <stp>BDP|890465727629343016</stp>
        <tr r="G4367" s="2"/>
      </tp>
      <tp t="s">
        <v>#N/A N/A</v>
        <stp/>
        <stp>BDP|379128380172345498</stp>
        <tr r="I2987" s="2"/>
      </tp>
      <tp t="s">
        <v>#N/A N/A</v>
        <stp/>
        <stp>BDP|927869924904947197</stp>
        <tr r="C2903" s="2"/>
      </tp>
      <tp t="s">
        <v>#N/A N/A</v>
        <stp/>
        <stp>BDP|441466789884384735</stp>
        <tr r="G1468" s="2"/>
      </tp>
      <tp t="s">
        <v>#N/A N/A</v>
        <stp/>
        <stp>BDP|211852328605407002</stp>
        <tr r="C4955" s="2"/>
      </tp>
      <tp t="s">
        <v>#N/A N/A</v>
        <stp/>
        <stp>BDP|858846229875131003</stp>
        <tr r="B624" s="2"/>
      </tp>
      <tp t="s">
        <v>#N/A N/A</v>
        <stp/>
        <stp>BDP|401104101359193700</stp>
        <tr r="G4466" s="2"/>
      </tp>
      <tp t="s">
        <v>#N/A N/A</v>
        <stp/>
        <stp>BDP|267664636292179878</stp>
        <tr r="H140" s="2"/>
      </tp>
      <tp t="s">
        <v>#N/A N/A</v>
        <stp/>
        <stp>BDP|216142391247128021</stp>
        <tr r="G2107" s="2"/>
      </tp>
      <tp t="s">
        <v>#N/A N/A</v>
        <stp/>
        <stp>BDP|489088418189216726</stp>
        <tr r="I1626" s="2"/>
      </tp>
      <tp t="s">
        <v>#N/A N/A</v>
        <stp/>
        <stp>BDP|136979916742507518</stp>
        <tr r="A4417" s="2"/>
      </tp>
      <tp t="s">
        <v>#N/A N/A</v>
        <stp/>
        <stp>BDP|567939112152312527</stp>
        <tr r="C993" s="2"/>
      </tp>
      <tp t="s">
        <v>#N/A N/A</v>
        <stp/>
        <stp>BDP|439822452094787661</stp>
        <tr r="I86" s="2"/>
      </tp>
      <tp t="s">
        <v>#N/A N/A</v>
        <stp/>
        <stp>BDP|247101832534105949</stp>
        <tr r="C2514" s="2"/>
      </tp>
      <tp t="s">
        <v>#N/A N/A</v>
        <stp/>
        <stp>BDP|190968562470811089</stp>
        <tr r="C694" s="2"/>
      </tp>
      <tp t="s">
        <v>#N/A N/A</v>
        <stp/>
        <stp>BDP|164873592556237831</stp>
        <tr r="G606" s="2"/>
      </tp>
      <tp t="s">
        <v>#N/A N/A</v>
        <stp/>
        <stp>BDP|438938114300180773</stp>
        <tr r="H4968" s="2"/>
      </tp>
      <tp t="s">
        <v>#N/A N/A</v>
        <stp/>
        <stp>BDP|637955376751544055</stp>
        <tr r="B3068" s="2"/>
      </tp>
      <tp t="s">
        <v>#N/A N/A</v>
        <stp/>
        <stp>BDP|779615282784131501</stp>
        <tr r="B3139" s="2"/>
      </tp>
      <tp t="s">
        <v>#N/A N/A</v>
        <stp/>
        <stp>BDP|805524200429747381</stp>
        <tr r="A1730" s="2"/>
      </tp>
      <tp t="s">
        <v>#N/A N/A</v>
        <stp/>
        <stp>BDP|542093697507585183</stp>
        <tr r="H521" s="2"/>
      </tp>
      <tp t="s">
        <v>#N/A N/A</v>
        <stp/>
        <stp>BDP|668706132999131233</stp>
        <tr r="G4900" s="2"/>
      </tp>
      <tp t="s">
        <v>#N/A N/A</v>
        <stp/>
        <stp>BDP|495914937675556010</stp>
        <tr r="C1811" s="2"/>
      </tp>
      <tp t="s">
        <v>#N/A N/A</v>
        <stp/>
        <stp>BDP|689435646028463715</stp>
        <tr r="D2312" s="2"/>
      </tp>
      <tp t="s">
        <v>#N/A N/A</v>
        <stp/>
        <stp>BDP|276222770742487825</stp>
        <tr r="G3608" s="2"/>
      </tp>
      <tp t="s">
        <v>#N/A N/A</v>
        <stp/>
        <stp>BDP|410766853119798403</stp>
        <tr r="C4225" s="2"/>
      </tp>
      <tp t="s">
        <v>#N/A N/A</v>
        <stp/>
        <stp>BDP|988261921717008888</stp>
        <tr r="I4682" s="2"/>
      </tp>
      <tp t="s">
        <v>#N/A N/A</v>
        <stp/>
        <stp>BDP|894682272306427811</stp>
        <tr r="D4394" s="2"/>
      </tp>
      <tp t="s">
        <v>#N/A N/A</v>
        <stp/>
        <stp>BDP|677791419180787966</stp>
        <tr r="D3366" s="2"/>
      </tp>
      <tp t="s">
        <v>#N/A N/A</v>
        <stp/>
        <stp>BDP|175715298309978864</stp>
        <tr r="G3605" s="2"/>
      </tp>
      <tp t="s">
        <v>#N/A N/A</v>
        <stp/>
        <stp>BDP|244726514501033836</stp>
        <tr r="D2797" s="2"/>
      </tp>
      <tp t="s">
        <v>#N/A N/A</v>
        <stp/>
        <stp>BDP|889017798474120279</stp>
        <tr r="B2333" s="2"/>
      </tp>
      <tp t="s">
        <v>#N/A N/A</v>
        <stp/>
        <stp>BDP|688165938925743880</stp>
        <tr r="H3882" s="2"/>
      </tp>
      <tp t="s">
        <v>#N/A N/A</v>
        <stp/>
        <stp>BDP|843395307985870999</stp>
        <tr r="B3450" s="2"/>
      </tp>
      <tp t="s">
        <v>#N/A N/A</v>
        <stp/>
        <stp>BDP|471904438265851032</stp>
        <tr r="G4750" s="2"/>
      </tp>
      <tp t="s">
        <v>#N/A N/A</v>
        <stp/>
        <stp>BDP|929561162579267585</stp>
        <tr r="I25" s="2"/>
      </tp>
      <tp t="s">
        <v>#N/A N/A</v>
        <stp/>
        <stp>BDP|108248524617788813</stp>
        <tr r="F132" s="2"/>
      </tp>
      <tp t="s">
        <v>#N/A N/A</v>
        <stp/>
        <stp>BDP|789690065347833830</stp>
        <tr r="D1395" s="2"/>
      </tp>
      <tp t="s">
        <v>#N/A N/A</v>
        <stp/>
        <stp>BDP|904031986165923255</stp>
        <tr r="F2468" s="2"/>
      </tp>
      <tp t="s">
        <v>#N/A N/A</v>
        <stp/>
        <stp>BDP|365230051729123104</stp>
        <tr r="F543" s="2"/>
      </tp>
      <tp t="s">
        <v>#N/A N/A</v>
        <stp/>
        <stp>BDP|714302385412127623</stp>
        <tr r="C1289" s="2"/>
      </tp>
      <tp t="s">
        <v>#N/A N/A</v>
        <stp/>
        <stp>BDP|336972374721259009</stp>
        <tr r="D3923" s="2"/>
      </tp>
      <tp t="s">
        <v>#N/A N/A</v>
        <stp/>
        <stp>BDP|899543188382030060</stp>
        <tr r="C4176" s="2"/>
      </tp>
      <tp t="s">
        <v>#N/A N/A</v>
        <stp/>
        <stp>BDP|391937407993450512</stp>
        <tr r="D2165" s="2"/>
      </tp>
      <tp t="s">
        <v>#N/A N/A</v>
        <stp/>
        <stp>BDP|176554441107133966</stp>
        <tr r="A3360" s="2"/>
      </tp>
      <tp t="s">
        <v>#N/A N/A</v>
        <stp/>
        <stp>BDP|390628185624500533</stp>
        <tr r="H2988" s="2"/>
      </tp>
      <tp t="s">
        <v>#N/A N/A</v>
        <stp/>
        <stp>BDP|676014579568510093</stp>
        <tr r="D3551" s="2"/>
      </tp>
      <tp t="s">
        <v>#N/A N/A</v>
        <stp/>
        <stp>BDP|604888728327380276</stp>
        <tr r="D1322" s="2"/>
      </tp>
      <tp t="s">
        <v>#N/A N/A</v>
        <stp/>
        <stp>BDP|901930875721893044</stp>
        <tr r="B2470" s="2"/>
      </tp>
      <tp t="s">
        <v>#N/A N/A</v>
        <stp/>
        <stp>BDP|322414573995539977</stp>
        <tr r="G4304" s="2"/>
      </tp>
      <tp t="s">
        <v>#N/A N/A</v>
        <stp/>
        <stp>BDP|759358075133523817</stp>
        <tr r="B919" s="2"/>
      </tp>
      <tp t="s">
        <v>#N/A N/A</v>
        <stp/>
        <stp>BDP|500547011282586962</stp>
        <tr r="A502" s="2"/>
      </tp>
      <tp t="s">
        <v>#N/A N/A</v>
        <stp/>
        <stp>BDP|960645306501093880</stp>
        <tr r="C2581" s="2"/>
      </tp>
      <tp t="s">
        <v>#N/A N/A</v>
        <stp/>
        <stp>BDP|688577879915970822</stp>
        <tr r="A2681" s="2"/>
      </tp>
      <tp t="s">
        <v>#N/A N/A</v>
        <stp/>
        <stp>BDP|474254820918427692</stp>
        <tr r="D4195" s="2"/>
      </tp>
      <tp t="s">
        <v>#N/A N/A</v>
        <stp/>
        <stp>BDP|159157255998511282</stp>
        <tr r="H4404" s="2"/>
      </tp>
      <tp t="s">
        <v>#N/A N/A</v>
        <stp/>
        <stp>BDP|900590098617502518</stp>
        <tr r="G583" s="2"/>
      </tp>
      <tp t="s">
        <v>#N/A N/A</v>
        <stp/>
        <stp>BDP|893202554519414040</stp>
        <tr r="A4421" s="2"/>
      </tp>
      <tp t="s">
        <v>#N/A N/A</v>
        <stp/>
        <stp>BDP|928599503832634992</stp>
        <tr r="D4944" s="2"/>
      </tp>
      <tp t="s">
        <v>#N/A N/A</v>
        <stp/>
        <stp>BDP|716686682480525043</stp>
        <tr r="C391" s="2"/>
      </tp>
      <tp t="s">
        <v>#N/A N/A</v>
        <stp/>
        <stp>BDP|830517086575508663</stp>
        <tr r="D4464" s="2"/>
      </tp>
      <tp t="s">
        <v>#N/A N/A</v>
        <stp/>
        <stp>BDP|772845093158876747</stp>
        <tr r="B1940" s="2"/>
      </tp>
      <tp t="s">
        <v>#N/A N/A</v>
        <stp/>
        <stp>BDP|238931505043856407</stp>
        <tr r="F4336" s="2"/>
      </tp>
      <tp t="s">
        <v>#N/A N/A</v>
        <stp/>
        <stp>BDP|118820252972815158</stp>
        <tr r="G1047" s="2"/>
      </tp>
      <tp t="s">
        <v>#N/A N/A</v>
        <stp/>
        <stp>BDP|981369456541561903</stp>
        <tr r="A353" s="2"/>
      </tp>
      <tp t="s">
        <v>#N/A N/A</v>
        <stp/>
        <stp>BDP|759459046429118780</stp>
        <tr r="D1030" s="2"/>
      </tp>
      <tp t="s">
        <v>#N/A N/A</v>
        <stp/>
        <stp>BDP|601653409209609113</stp>
        <tr r="F3798" s="2"/>
      </tp>
      <tp t="s">
        <v>#N/A N/A</v>
        <stp/>
        <stp>BDP|367465909408622276</stp>
        <tr r="H1061" s="2"/>
      </tp>
      <tp t="s">
        <v>#N/A N/A</v>
        <stp/>
        <stp>BDP|536111183652372594</stp>
        <tr r="C2864" s="2"/>
      </tp>
      <tp t="s">
        <v>#N/A N/A</v>
        <stp/>
        <stp>BDP|735586238891380991</stp>
        <tr r="A3323" s="2"/>
      </tp>
      <tp t="s">
        <v>#N/A N/A</v>
        <stp/>
        <stp>BDP|685981507031604615</stp>
        <tr r="I3494" s="2"/>
      </tp>
      <tp t="s">
        <v>#N/A N/A</v>
        <stp/>
        <stp>BDP|925063925644427807</stp>
        <tr r="H3727" s="2"/>
      </tp>
      <tp t="s">
        <v>#N/A N/A</v>
        <stp/>
        <stp>BDP|509097696103416404</stp>
        <tr r="D4213" s="2"/>
      </tp>
      <tp t="s">
        <v>#N/A N/A</v>
        <stp/>
        <stp>BDP|763578859006474820</stp>
        <tr r="G1279" s="2"/>
      </tp>
      <tp t="s">
        <v>#N/A N/A</v>
        <stp/>
        <stp>BDP|492556889296525522</stp>
        <tr r="D1005" s="2"/>
      </tp>
      <tp t="s">
        <v>#N/A N/A</v>
        <stp/>
        <stp>BDP|358947279394038413</stp>
        <tr r="C3204" s="2"/>
      </tp>
      <tp t="s">
        <v>#N/A N/A</v>
        <stp/>
        <stp>BDP|546011761260203880</stp>
        <tr r="A2672" s="2"/>
      </tp>
      <tp t="s">
        <v>#N/A N/A</v>
        <stp/>
        <stp>BDP|172987130577019361</stp>
        <tr r="C1166" s="2"/>
      </tp>
      <tp t="s">
        <v>#N/A N/A</v>
        <stp/>
        <stp>BDP|259588182013915094</stp>
        <tr r="H4944" s="2"/>
      </tp>
      <tp t="s">
        <v>#N/A N/A</v>
        <stp/>
        <stp>BDP|116800511087942017</stp>
        <tr r="I133" s="2"/>
      </tp>
      <tp t="s">
        <v>#N/A N/A</v>
        <stp/>
        <stp>BDP|100170667071130881</stp>
        <tr r="D4252" s="2"/>
      </tp>
      <tp t="s">
        <v>#N/A N/A</v>
        <stp/>
        <stp>BDP|832877177266000705</stp>
        <tr r="D1962" s="2"/>
      </tp>
      <tp t="s">
        <v>#N/A N/A</v>
        <stp/>
        <stp>BDP|274482421280537863</stp>
        <tr r="G581" s="2"/>
      </tp>
      <tp t="s">
        <v>#N/A N/A</v>
        <stp/>
        <stp>BDP|316796910579766153</stp>
        <tr r="C2231" s="2"/>
      </tp>
      <tp t="s">
        <v>#N/A N/A</v>
        <stp/>
        <stp>BDP|415596070065350971</stp>
        <tr r="C2991" s="2"/>
      </tp>
      <tp t="s">
        <v>#N/A N/A</v>
        <stp/>
        <stp>BDP|973005507127404937</stp>
        <tr r="I1675" s="2"/>
      </tp>
      <tp t="s">
        <v>#N/A N/A</v>
        <stp/>
        <stp>BDP|920349288196696398</stp>
        <tr r="F609" s="2"/>
      </tp>
      <tp t="s">
        <v>#N/A N/A</v>
        <stp/>
        <stp>BDP|355888627484235041</stp>
        <tr r="F3609" s="2"/>
      </tp>
      <tp t="s">
        <v>#N/A N/A</v>
        <stp/>
        <stp>BDP|331203586365917169</stp>
        <tr r="D2699" s="2"/>
      </tp>
      <tp t="s">
        <v>#N/A N/A</v>
        <stp/>
        <stp>BDP|560485480257550526</stp>
        <tr r="D97" s="2"/>
      </tp>
      <tp t="s">
        <v>#N/A N/A</v>
        <stp/>
        <stp>BDP|936319506444282964</stp>
        <tr r="I1224" s="2"/>
      </tp>
      <tp t="s">
        <v>#N/A N/A</v>
        <stp/>
        <stp>BDP|765525588074725702</stp>
        <tr r="G2729" s="2"/>
      </tp>
      <tp t="s">
        <v>#N/A N/A</v>
        <stp/>
        <stp>BDP|261207080177820301</stp>
        <tr r="B3257" s="2"/>
      </tp>
      <tp t="s">
        <v>#N/A N/A</v>
        <stp/>
        <stp>BDP|174267088656522204</stp>
        <tr r="G2185" s="2"/>
      </tp>
      <tp t="s">
        <v>#N/A N/A</v>
        <stp/>
        <stp>BDP|855646745768057429</stp>
        <tr r="D3820" s="2"/>
      </tp>
      <tp t="s">
        <v>#N/A N/A</v>
        <stp/>
        <stp>BDP|365820433535983002</stp>
        <tr r="H3297" s="2"/>
      </tp>
      <tp t="s">
        <v>#N/A N/A</v>
        <stp/>
        <stp>BDP|182943728295058062</stp>
        <tr r="H4323" s="2"/>
      </tp>
      <tp t="s">
        <v>#N/A N/A</v>
        <stp/>
        <stp>BDP|965220007259679510</stp>
        <tr r="B1454" s="2"/>
      </tp>
      <tp t="s">
        <v>#N/A N/A</v>
        <stp/>
        <stp>BDP|655800420043906742</stp>
        <tr r="A2982" s="2"/>
      </tp>
      <tp t="s">
        <v>#N/A N/A</v>
        <stp/>
        <stp>BDP|565846454170922376</stp>
        <tr r="I319" s="2"/>
      </tp>
      <tp t="s">
        <v>#N/A N/A</v>
        <stp/>
        <stp>BDP|405098145498936254</stp>
        <tr r="A2572" s="2"/>
      </tp>
      <tp t="s">
        <v>#N/A N/A</v>
        <stp/>
        <stp>BDP|590895679230001111</stp>
        <tr r="F4494" s="2"/>
      </tp>
      <tp t="s">
        <v>#N/A N/A</v>
        <stp/>
        <stp>BDP|716520857309765714</stp>
        <tr r="H4421" s="2"/>
      </tp>
      <tp t="s">
        <v>#N/A N/A</v>
        <stp/>
        <stp>BDP|954836349403436132</stp>
        <tr r="F1406" s="2"/>
      </tp>
      <tp t="s">
        <v>#N/A N/A</v>
        <stp/>
        <stp>BDP|239263139289160680</stp>
        <tr r="D3830" s="2"/>
      </tp>
      <tp t="s">
        <v>#N/A N/A</v>
        <stp/>
        <stp>BDP|494798689779306832</stp>
        <tr r="D4281" s="2"/>
      </tp>
      <tp t="s">
        <v>#N/A N/A</v>
        <stp/>
        <stp>BDP|851259997656869369</stp>
        <tr r="A3148" s="2"/>
      </tp>
      <tp t="s">
        <v>#N/A N/A</v>
        <stp/>
        <stp>BDP|666894977723494294</stp>
        <tr r="D268" s="2"/>
      </tp>
      <tp t="s">
        <v>#N/A N/A</v>
        <stp/>
        <stp>BDP|562170991060093666</stp>
        <tr r="G2670" s="2"/>
      </tp>
      <tp t="s">
        <v>#N/A N/A</v>
        <stp/>
        <stp>BDP|741206332097332832</stp>
        <tr r="I4119" s="2"/>
      </tp>
      <tp t="s">
        <v>#N/A N/A</v>
        <stp/>
        <stp>BDP|421632671456544963</stp>
        <tr r="B1990" s="2"/>
      </tp>
      <tp t="s">
        <v>#N/A N/A</v>
        <stp/>
        <stp>BDP|478847341326072442</stp>
        <tr r="G3053" s="2"/>
      </tp>
      <tp t="s">
        <v>#N/A N/A</v>
        <stp/>
        <stp>BDP|567887337214934159</stp>
        <tr r="I4376" s="2"/>
      </tp>
      <tp t="s">
        <v>#N/A N/A</v>
        <stp/>
        <stp>BDP|942079017508837772</stp>
        <tr r="F3545" s="2"/>
      </tp>
      <tp t="s">
        <v>#N/A N/A</v>
        <stp/>
        <stp>BDP|618554876795792944</stp>
        <tr r="C452" s="2"/>
      </tp>
      <tp t="s">
        <v>#N/A N/A</v>
        <stp/>
        <stp>BDP|899409328849275140</stp>
        <tr r="A2651" s="2"/>
      </tp>
      <tp t="s">
        <v>#N/A N/A</v>
        <stp/>
        <stp>BDP|367355888905132096</stp>
        <tr r="H1235" s="2"/>
      </tp>
      <tp t="s">
        <v>#N/A N/A</v>
        <stp/>
        <stp>BDP|324145829464949914</stp>
        <tr r="I2083" s="2"/>
      </tp>
      <tp t="s">
        <v>#N/A N/A</v>
        <stp/>
        <stp>BDP|782903755424672628</stp>
        <tr r="B4696" s="2"/>
      </tp>
      <tp t="s">
        <v>#N/A N/A</v>
        <stp/>
        <stp>BDP|627704335429230376</stp>
        <tr r="I2451" s="2"/>
      </tp>
      <tp t="s">
        <v>#N/A N/A</v>
        <stp/>
        <stp>BDP|463207327706208873</stp>
        <tr r="I4040" s="2"/>
      </tp>
      <tp t="s">
        <v>#N/A N/A</v>
        <stp/>
        <stp>BDP|657824449531222393</stp>
        <tr r="A4072" s="2"/>
      </tp>
      <tp t="s">
        <v>#N/A N/A</v>
        <stp/>
        <stp>BDP|543657007718837092</stp>
        <tr r="B4892" s="2"/>
      </tp>
      <tp t="s">
        <v>#N/A N/A</v>
        <stp/>
        <stp>BDP|397124414638681649</stp>
        <tr r="B1879" s="2"/>
      </tp>
      <tp t="s">
        <v>#N/A N/A</v>
        <stp/>
        <stp>BDP|495411108678930235</stp>
        <tr r="G1978" s="2"/>
      </tp>
      <tp t="s">
        <v>#N/A N/A</v>
        <stp/>
        <stp>BDP|479856572183281260</stp>
        <tr r="D1534" s="2"/>
      </tp>
      <tp t="s">
        <v>#N/A N/A</v>
        <stp/>
        <stp>BDP|173899772777544684</stp>
        <tr r="I945" s="2"/>
      </tp>
      <tp t="s">
        <v>#N/A N/A</v>
        <stp/>
        <stp>BDP|850399111464468830</stp>
        <tr r="A993" s="2"/>
      </tp>
      <tp t="s">
        <v>#N/A N/A</v>
        <stp/>
        <stp>BDP|673006846189688317</stp>
        <tr r="G1346" s="2"/>
      </tp>
      <tp t="s">
        <v>#N/A N/A</v>
        <stp/>
        <stp>BDP|250604610661306861</stp>
        <tr r="H4782" s="2"/>
      </tp>
      <tp t="s">
        <v>#N/A N/A</v>
        <stp/>
        <stp>BDP|908984850390608200</stp>
        <tr r="I4704" s="2"/>
      </tp>
      <tp t="s">
        <v>#N/A N/A</v>
        <stp/>
        <stp>BDP|113064671411320849</stp>
        <tr r="A2943" s="2"/>
      </tp>
      <tp t="s">
        <v>#N/A N/A</v>
        <stp/>
        <stp>BDP|528322593643295770</stp>
        <tr r="H4455" s="2"/>
      </tp>
      <tp t="s">
        <v>#N/A N/A</v>
        <stp/>
        <stp>BDP|416905640903678037</stp>
        <tr r="I3405" s="2"/>
      </tp>
      <tp t="s">
        <v>#N/A N/A</v>
        <stp/>
        <stp>BDP|771038366631539969</stp>
        <tr r="F2319" s="2"/>
      </tp>
      <tp t="s">
        <v>#N/A N/A</v>
        <stp/>
        <stp>BDP|593920865301087035</stp>
        <tr r="C4512" s="2"/>
      </tp>
      <tp t="s">
        <v>#N/A N/A</v>
        <stp/>
        <stp>BDP|240107685514200343</stp>
        <tr r="B265" s="2"/>
      </tp>
      <tp t="s">
        <v>#N/A N/A</v>
        <stp/>
        <stp>BDP|489212624878415679</stp>
        <tr r="D1078" s="2"/>
      </tp>
      <tp t="s">
        <v>#N/A N/A</v>
        <stp/>
        <stp>BDP|975494931918527161</stp>
        <tr r="F1627" s="2"/>
      </tp>
      <tp t="s">
        <v>#N/A N/A</v>
        <stp/>
        <stp>BDP|998835042212944033</stp>
        <tr r="G3319" s="2"/>
      </tp>
      <tp t="s">
        <v>#N/A N/A</v>
        <stp/>
        <stp>BDP|846767021643433899</stp>
        <tr r="F1756" s="2"/>
      </tp>
      <tp t="s">
        <v>#N/A N/A</v>
        <stp/>
        <stp>BDP|428532183543282041</stp>
        <tr r="D3911" s="2"/>
      </tp>
      <tp t="s">
        <v>#N/A N/A</v>
        <stp/>
        <stp>BDP|989533592736836422</stp>
        <tr r="I919" s="2"/>
      </tp>
      <tp t="s">
        <v>#N/A N/A</v>
        <stp/>
        <stp>BDP|353977561601378058</stp>
        <tr r="C608" s="2"/>
      </tp>
      <tp t="s">
        <v>#N/A N/A</v>
        <stp/>
        <stp>BDP|561870453987364410</stp>
        <tr r="C4732" s="2"/>
      </tp>
      <tp t="s">
        <v>#N/A N/A</v>
        <stp/>
        <stp>BDP|311300274698390277</stp>
        <tr r="B2059" s="2"/>
      </tp>
      <tp t="s">
        <v>#N/A N/A</v>
        <stp/>
        <stp>BDP|186927083207508864</stp>
        <tr r="A2113" s="2"/>
      </tp>
      <tp t="s">
        <v>#N/A N/A</v>
        <stp/>
        <stp>BDP|497016598553752490</stp>
        <tr r="I2958" s="2"/>
      </tp>
      <tp t="s">
        <v>#N/A N/A</v>
        <stp/>
        <stp>BDP|300203560458268223</stp>
        <tr r="A3092" s="2"/>
      </tp>
      <tp t="s">
        <v>#N/A N/A</v>
        <stp/>
        <stp>BDP|121814267995298564</stp>
        <tr r="G2412" s="2"/>
      </tp>
      <tp t="s">
        <v>#N/A N/A</v>
        <stp/>
        <stp>BDP|317363434707543972</stp>
        <tr r="G4324" s="2"/>
      </tp>
      <tp t="s">
        <v>#N/A N/A</v>
        <stp/>
        <stp>BDP|881494755377469838</stp>
        <tr r="I2134" s="2"/>
      </tp>
      <tp t="s">
        <v>#N/A N/A</v>
        <stp/>
        <stp>BDP|904700089881297010</stp>
        <tr r="A2553" s="2"/>
      </tp>
      <tp t="s">
        <v>#N/A N/A</v>
        <stp/>
        <stp>BDP|705931376362666273</stp>
        <tr r="I638" s="2"/>
      </tp>
      <tp t="s">
        <v>#N/A N/A</v>
        <stp/>
        <stp>BDP|112443897705173607</stp>
        <tr r="I2537" s="2"/>
      </tp>
      <tp t="s">
        <v>#N/A N/A</v>
        <stp/>
        <stp>BDP|648924118859465844</stp>
        <tr r="D2804" s="2"/>
      </tp>
      <tp t="s">
        <v>#N/A N/A</v>
        <stp/>
        <stp>BDP|931994246132382697</stp>
        <tr r="C2020" s="2"/>
      </tp>
      <tp t="s">
        <v>#N/A N/A</v>
        <stp/>
        <stp>BDP|459189197868022979</stp>
        <tr r="C3065" s="2"/>
      </tp>
      <tp t="s">
        <v>#N/A N/A</v>
        <stp/>
        <stp>BDP|729066137829343394</stp>
        <tr r="B130" s="2"/>
      </tp>
      <tp t="s">
        <v>#N/A N/A</v>
        <stp/>
        <stp>BDP|233061418669505159</stp>
        <tr r="F2209" s="2"/>
      </tp>
      <tp t="s">
        <v>#N/A N/A</v>
        <stp/>
        <stp>BDP|888743430595682864</stp>
        <tr r="C3468" s="2"/>
      </tp>
      <tp t="s">
        <v>#N/A N/A</v>
        <stp/>
        <stp>BDP|683790282862747463</stp>
        <tr r="D1300" s="2"/>
      </tp>
      <tp t="s">
        <v>#N/A N/A</v>
        <stp/>
        <stp>BDP|867125227628817293</stp>
        <tr r="I3783" s="2"/>
      </tp>
      <tp t="s">
        <v>#N/A N/A</v>
        <stp/>
        <stp>BDP|844961401408219814</stp>
        <tr r="A3123" s="2"/>
      </tp>
      <tp t="s">
        <v>#N/A N/A</v>
        <stp/>
        <stp>BDP|703754538535792801</stp>
        <tr r="G3269" s="2"/>
      </tp>
      <tp t="s">
        <v>#N/A N/A</v>
        <stp/>
        <stp>BDP|670189091455426464</stp>
        <tr r="D80" s="2"/>
      </tp>
      <tp t="s">
        <v>#N/A N/A</v>
        <stp/>
        <stp>BDP|438873610915911575</stp>
        <tr r="D2182" s="2"/>
      </tp>
      <tp t="s">
        <v>#N/A N/A</v>
        <stp/>
        <stp>BDP|519617131445141991</stp>
        <tr r="D1329" s="2"/>
      </tp>
      <tp t="s">
        <v>#N/A N/A</v>
        <stp/>
        <stp>BDP|154199905778561062</stp>
        <tr r="A2196" s="2"/>
      </tp>
      <tp t="s">
        <v>#N/A N/A</v>
        <stp/>
        <stp>BDP|792523614174788981</stp>
        <tr r="C3425" s="2"/>
      </tp>
      <tp t="s">
        <v>#N/A N/A</v>
        <stp/>
        <stp>BDP|167230504692108992</stp>
        <tr r="D3608" s="2"/>
      </tp>
      <tp t="s">
        <v>#N/A N/A</v>
        <stp/>
        <stp>BDP|371752269128418056</stp>
        <tr r="I3674" s="2"/>
      </tp>
      <tp t="s">
        <v>#N/A N/A</v>
        <stp/>
        <stp>BDP|134854752405914113</stp>
        <tr r="C1578" s="2"/>
      </tp>
      <tp t="s">
        <v>#N/A N/A</v>
        <stp/>
        <stp>BDP|922616687877978091</stp>
        <tr r="G4190" s="2"/>
      </tp>
      <tp t="s">
        <v>#N/A N/A</v>
        <stp/>
        <stp>BDP|314471450668879032</stp>
        <tr r="I510" s="2"/>
      </tp>
      <tp t="s">
        <v>#N/A N/A</v>
        <stp/>
        <stp>BDP|362018832158814278</stp>
        <tr r="G2607" s="2"/>
      </tp>
      <tp t="s">
        <v>#N/A N/A</v>
        <stp/>
        <stp>BDP|322697592221343744</stp>
        <tr r="A3660" s="2"/>
      </tp>
      <tp t="s">
        <v>#N/A N/A</v>
        <stp/>
        <stp>BDP|182260251849815714</stp>
        <tr r="B3400" s="2"/>
      </tp>
      <tp t="s">
        <v>#N/A N/A</v>
        <stp/>
        <stp>BDP|478238235090819826</stp>
        <tr r="H519" s="2"/>
      </tp>
      <tp t="s">
        <v>#N/A N/A</v>
        <stp/>
        <stp>BDP|598017101708527182</stp>
        <tr r="D2557" s="2"/>
      </tp>
      <tp t="s">
        <v>#N/A N/A</v>
        <stp/>
        <stp>BDP|768786848612861879</stp>
        <tr r="C1422" s="2"/>
      </tp>
      <tp t="s">
        <v>#N/A N/A</v>
        <stp/>
        <stp>BDP|482359718079282237</stp>
        <tr r="A264" s="2"/>
      </tp>
      <tp t="s">
        <v>#N/A N/A</v>
        <stp/>
        <stp>BDP|977563991802556735</stp>
        <tr r="G4433" s="2"/>
      </tp>
      <tp t="s">
        <v>#N/A N/A</v>
        <stp/>
        <stp>BDP|363223218403587948</stp>
        <tr r="A1438" s="2"/>
      </tp>
      <tp t="s">
        <v>#N/A N/A</v>
        <stp/>
        <stp>BDP|606700031075752882</stp>
        <tr r="A2726" s="2"/>
      </tp>
      <tp t="s">
        <v>#N/A N/A</v>
        <stp/>
        <stp>BDP|967728644239169371</stp>
        <tr r="B44" s="2"/>
      </tp>
      <tp t="s">
        <v>#N/A N/A</v>
        <stp/>
        <stp>BDP|764945445743889777</stp>
        <tr r="F1643" s="2"/>
      </tp>
      <tp t="s">
        <v>#N/A N/A</v>
        <stp/>
        <stp>BDP|971849260250319776</stp>
        <tr r="C1943" s="2"/>
      </tp>
      <tp t="s">
        <v>#N/A N/A</v>
        <stp/>
        <stp>BDP|718868368762200526</stp>
        <tr r="G1223" s="2"/>
      </tp>
      <tp t="s">
        <v>#N/A N/A</v>
        <stp/>
        <stp>BDP|953539574718034376</stp>
        <tr r="H81" s="2"/>
      </tp>
      <tp t="s">
        <v>#N/A N/A</v>
        <stp/>
        <stp>BDP|865076173549066752</stp>
        <tr r="A1332" s="2"/>
      </tp>
      <tp t="s">
        <v>#N/A N/A</v>
        <stp/>
        <stp>BDP|201040162506807953</stp>
        <tr r="A4294" s="2"/>
      </tp>
      <tp t="s">
        <v>#N/A N/A</v>
        <stp/>
        <stp>BDP|962629676190162860</stp>
        <tr r="G2443" s="2"/>
      </tp>
      <tp t="s">
        <v>#N/A N/A</v>
        <stp/>
        <stp>BDP|587893303199067850</stp>
        <tr r="B4204" s="2"/>
      </tp>
      <tp t="s">
        <v>#N/A N/A</v>
        <stp/>
        <stp>BDP|534979575995813253</stp>
        <tr r="H4867" s="2"/>
      </tp>
      <tp t="s">
        <v>#N/A N/A</v>
        <stp/>
        <stp>BDP|377813690210965811</stp>
        <tr r="G2148" s="2"/>
      </tp>
      <tp t="s">
        <v>#N/A N/A</v>
        <stp/>
        <stp>BDP|609932156397830217</stp>
        <tr r="A4376" s="2"/>
      </tp>
      <tp t="s">
        <v>#N/A N/A</v>
        <stp/>
        <stp>BDP|470953618695185430</stp>
        <tr r="A2190" s="2"/>
      </tp>
      <tp t="s">
        <v>#N/A N/A</v>
        <stp/>
        <stp>BDP|850235712839498369</stp>
        <tr r="I4469" s="2"/>
      </tp>
      <tp t="s">
        <v>#N/A N/A</v>
        <stp/>
        <stp>BDP|135459877242162891</stp>
        <tr r="B1111" s="2"/>
      </tp>
      <tp t="s">
        <v>#N/A N/A</v>
        <stp/>
        <stp>BDP|234990186811008964</stp>
        <tr r="A1953" s="2"/>
      </tp>
      <tp t="s">
        <v>#N/A N/A</v>
        <stp/>
        <stp>BDP|920793708699001738</stp>
        <tr r="A2418" s="2"/>
      </tp>
      <tp t="s">
        <v>#N/A N/A</v>
        <stp/>
        <stp>BDP|663550170969873204</stp>
        <tr r="G3233" s="2"/>
      </tp>
      <tp t="s">
        <v>#N/A N/A</v>
        <stp/>
        <stp>BDP|758011242105670891</stp>
        <tr r="H3989" s="2"/>
      </tp>
      <tp t="s">
        <v>#N/A N/A</v>
        <stp/>
        <stp>BDP|363825838285348715</stp>
        <tr r="F3880" s="2"/>
      </tp>
      <tp t="s">
        <v>#N/A N/A</v>
        <stp/>
        <stp>BDP|787730897372567524</stp>
        <tr r="A3861" s="2"/>
      </tp>
      <tp t="s">
        <v>#N/A N/A</v>
        <stp/>
        <stp>BDP|718822774787086150</stp>
        <tr r="G2140" s="2"/>
      </tp>
      <tp t="s">
        <v>#N/A N/A</v>
        <stp/>
        <stp>BDP|876707487663333589</stp>
        <tr r="D825" s="2"/>
      </tp>
      <tp t="s">
        <v>#N/A N/A</v>
        <stp/>
        <stp>BDP|668047998680828067</stp>
        <tr r="B1933" s="2"/>
      </tp>
      <tp t="s">
        <v>#N/A N/A</v>
        <stp/>
        <stp>BDP|722638081722788562</stp>
        <tr r="G2932" s="2"/>
      </tp>
      <tp t="s">
        <v>#N/A N/A</v>
        <stp/>
        <stp>BDP|631818865893563432</stp>
        <tr r="F3077" s="2"/>
      </tp>
      <tp t="s">
        <v>#N/A N/A</v>
        <stp/>
        <stp>BDP|459986247984665085</stp>
        <tr r="B3925" s="2"/>
      </tp>
      <tp t="s">
        <v>#N/A N/A</v>
        <stp/>
        <stp>BDP|445342287557559578</stp>
        <tr r="C2362" s="2"/>
      </tp>
      <tp t="s">
        <v>#N/A N/A</v>
        <stp/>
        <stp>BDP|542076705899214007</stp>
        <tr r="A4197" s="2"/>
      </tp>
      <tp t="s">
        <v>#N/A N/A</v>
        <stp/>
        <stp>BDP|378672267970776917</stp>
        <tr r="H2078" s="2"/>
      </tp>
      <tp t="s">
        <v>#N/A N/A</v>
        <stp/>
        <stp>BDP|751217396680146242</stp>
        <tr r="G2844" s="2"/>
      </tp>
      <tp t="s">
        <v>#N/A N/A</v>
        <stp/>
        <stp>BDP|676287388127580468</stp>
        <tr r="H281" s="2"/>
      </tp>
      <tp t="s">
        <v>#N/A N/A</v>
        <stp/>
        <stp>BDP|497619866421579835</stp>
        <tr r="G2207" s="2"/>
      </tp>
      <tp t="s">
        <v>#N/A N/A</v>
        <stp/>
        <stp>BDP|437328656566291971</stp>
        <tr r="I767" s="2"/>
      </tp>
      <tp t="s">
        <v>#N/A N/A</v>
        <stp/>
        <stp>BDP|701242077635096918</stp>
        <tr r="C2048" s="2"/>
      </tp>
      <tp t="s">
        <v>#N/A N/A</v>
        <stp/>
        <stp>BDP|891387597714179706</stp>
        <tr r="I1686" s="2"/>
      </tp>
      <tp t="s">
        <v>#N/A N/A</v>
        <stp/>
        <stp>BDP|341405660692417919</stp>
        <tr r="F1157" s="2"/>
      </tp>
      <tp t="s">
        <v>#N/A N/A</v>
        <stp/>
        <stp>BDP|913958008367370711</stp>
        <tr r="F43" s="2"/>
      </tp>
      <tp t="s">
        <v>#N/A N/A</v>
        <stp/>
        <stp>BDP|605816416871570125</stp>
        <tr r="I2112" s="2"/>
      </tp>
      <tp t="s">
        <v>#N/A N/A</v>
        <stp/>
        <stp>BDP|900984576766619170</stp>
        <tr r="G741" s="2"/>
      </tp>
      <tp t="s">
        <v>#N/A N/A</v>
        <stp/>
        <stp>BDP|999599187212941687</stp>
        <tr r="H964" s="2"/>
      </tp>
      <tp t="s">
        <v>#N/A N/A</v>
        <stp/>
        <stp>BDP|439658812147390966</stp>
        <tr r="G2369" s="2"/>
      </tp>
      <tp t="s">
        <v>#N/A N/A</v>
        <stp/>
        <stp>BDP|400497842861904817</stp>
        <tr r="H785" s="2"/>
      </tp>
      <tp t="s">
        <v>#N/A N/A</v>
        <stp/>
        <stp>BDP|955411399275783111</stp>
        <tr r="A4989" s="2"/>
      </tp>
      <tp t="s">
        <v>#N/A N/A</v>
        <stp/>
        <stp>BDP|837876962975307290</stp>
        <tr r="I3271" s="2"/>
      </tp>
      <tp t="s">
        <v>#N/A N/A</v>
        <stp/>
        <stp>BDP|690844693989182171</stp>
        <tr r="D3242" s="2"/>
      </tp>
      <tp t="s">
        <v>#N/A N/A</v>
        <stp/>
        <stp>BDP|754037542959562440</stp>
        <tr r="F3378" s="2"/>
      </tp>
      <tp t="s">
        <v>#N/A N/A</v>
        <stp/>
        <stp>BDP|684430646431598817</stp>
        <tr r="F3881" s="2"/>
      </tp>
      <tp t="s">
        <v>#N/A N/A</v>
        <stp/>
        <stp>BDP|417523189090172493</stp>
        <tr r="C2741" s="2"/>
      </tp>
      <tp t="s">
        <v>#N/A N/A</v>
        <stp/>
        <stp>BDP|885647644663741889</stp>
        <tr r="H2316" s="2"/>
      </tp>
      <tp t="s">
        <v>#N/A N/A</v>
        <stp/>
        <stp>BDP|814387286583244132</stp>
        <tr r="F275" s="2"/>
      </tp>
      <tp t="s">
        <v>#N/A N/A</v>
        <stp/>
        <stp>BDP|131243894711957388</stp>
        <tr r="I4501" s="2"/>
      </tp>
      <tp t="s">
        <v>#N/A N/A</v>
        <stp/>
        <stp>BDP|728278377154657812</stp>
        <tr r="C57" s="2"/>
      </tp>
      <tp t="s">
        <v>#N/A N/A</v>
        <stp/>
        <stp>BDP|184836820213281007</stp>
        <tr r="D2134" s="2"/>
      </tp>
      <tp t="s">
        <v>#N/A N/A</v>
        <stp/>
        <stp>BDP|958611545112939943</stp>
        <tr r="G3211" s="2"/>
      </tp>
      <tp t="s">
        <v>#N/A N/A</v>
        <stp/>
        <stp>BDP|141872236234174609</stp>
        <tr r="C3193" s="2"/>
      </tp>
      <tp t="s">
        <v>#N/A N/A</v>
        <stp/>
        <stp>BDP|354448622656460905</stp>
        <tr r="H3193" s="2"/>
      </tp>
      <tp t="s">
        <v>#N/A N/A</v>
        <stp/>
        <stp>BDP|591381659768018751</stp>
        <tr r="F4818" s="2"/>
      </tp>
      <tp t="s">
        <v>#N/A N/A</v>
        <stp/>
        <stp>BDP|192540723348032675</stp>
        <tr r="G479" s="2"/>
      </tp>
      <tp t="s">
        <v>#N/A N/A</v>
        <stp/>
        <stp>BDP|848575611924940961</stp>
        <tr r="B216" s="2"/>
      </tp>
      <tp t="s">
        <v>#N/A N/A</v>
        <stp/>
        <stp>BDP|820762939859623408</stp>
        <tr r="C3161" s="2"/>
      </tp>
      <tp t="s">
        <v>#N/A N/A</v>
        <stp/>
        <stp>BDP|296312317133529809</stp>
        <tr r="G3402" s="2"/>
      </tp>
      <tp t="s">
        <v>#N/A N/A</v>
        <stp/>
        <stp>BDP|312840955263238716</stp>
        <tr r="H1440" s="2"/>
      </tp>
      <tp t="s">
        <v>#N/A N/A</v>
        <stp/>
        <stp>BDP|242107872218159703</stp>
        <tr r="G922" s="2"/>
      </tp>
      <tp t="s">
        <v>#N/A N/A</v>
        <stp/>
        <stp>BDP|812330015353954862</stp>
        <tr r="H3335" s="2"/>
      </tp>
      <tp t="s">
        <v>#N/A N/A</v>
        <stp/>
        <stp>BDP|892751888546371046</stp>
        <tr r="A4640" s="2"/>
      </tp>
      <tp t="s">
        <v>#N/A N/A</v>
        <stp/>
        <stp>BDP|469977607233779315</stp>
        <tr r="I445" s="2"/>
      </tp>
      <tp t="s">
        <v>#N/A N/A</v>
        <stp/>
        <stp>BDP|356434369173375881</stp>
        <tr r="C1103" s="2"/>
      </tp>
      <tp t="s">
        <v>#N/A N/A</v>
        <stp/>
        <stp>BDP|103712634075373850</stp>
        <tr r="D4355" s="2"/>
      </tp>
      <tp t="s">
        <v>#N/A N/A</v>
        <stp/>
        <stp>BDP|257421261062491978</stp>
        <tr r="F4345" s="2"/>
      </tp>
      <tp t="s">
        <v>#N/A N/A</v>
        <stp/>
        <stp>BDP|428328897573112035</stp>
        <tr r="D2272" s="2"/>
      </tp>
      <tp t="s">
        <v>#N/A N/A</v>
        <stp/>
        <stp>BDP|969818734154802670</stp>
        <tr r="A481" s="2"/>
      </tp>
      <tp t="s">
        <v>#N/A N/A</v>
        <stp/>
        <stp>BDP|923868364260104797</stp>
        <tr r="B2796" s="2"/>
      </tp>
      <tp t="s">
        <v>#N/A N/A</v>
        <stp/>
        <stp>BDP|142576191810234566</stp>
        <tr r="F3312" s="2"/>
      </tp>
      <tp t="s">
        <v>#N/A N/A</v>
        <stp/>
        <stp>BDP|843307594955614698</stp>
        <tr r="B2460" s="2"/>
      </tp>
      <tp t="s">
        <v>#N/A N/A</v>
        <stp/>
        <stp>BDP|447768095005431209</stp>
        <tr r="A3048" s="2"/>
      </tp>
      <tp t="s">
        <v>#N/A N/A</v>
        <stp/>
        <stp>BDP|484832717534439478</stp>
        <tr r="C4206" s="2"/>
      </tp>
      <tp t="s">
        <v>#N/A N/A</v>
        <stp/>
        <stp>BDP|757227593680090259</stp>
        <tr r="I4044" s="2"/>
      </tp>
      <tp t="s">
        <v>#N/A N/A</v>
        <stp/>
        <stp>BDP|356643464788945191</stp>
        <tr r="D14" s="2"/>
      </tp>
      <tp t="s">
        <v>#N/A N/A</v>
        <stp/>
        <stp>BDP|904493772382027817</stp>
        <tr r="C2134" s="2"/>
      </tp>
      <tp t="s">
        <v>#N/A N/A</v>
        <stp/>
        <stp>BDP|252152722242148988</stp>
        <tr r="C2114" s="2"/>
      </tp>
      <tp t="s">
        <v>#N/A N/A</v>
        <stp/>
        <stp>BDP|856848527362326043</stp>
        <tr r="A4420" s="2"/>
      </tp>
      <tp t="s">
        <v>#N/A N/A</v>
        <stp/>
        <stp>BDP|862774817418116650</stp>
        <tr r="F135" s="2"/>
      </tp>
      <tp t="s">
        <v>#N/A N/A</v>
        <stp/>
        <stp>BDP|304063883418291889</stp>
        <tr r="F3489" s="2"/>
      </tp>
      <tp t="s">
        <v>#N/A N/A</v>
        <stp/>
        <stp>BDP|880040805550206867</stp>
        <tr r="B3639" s="2"/>
      </tp>
      <tp t="s">
        <v>#N/A N/A</v>
        <stp/>
        <stp>BDP|804219116598209307</stp>
        <tr r="B2101" s="2"/>
      </tp>
      <tp t="s">
        <v>#N/A N/A</v>
        <stp/>
        <stp>BDP|854872004916048663</stp>
        <tr r="G2513" s="2"/>
      </tp>
      <tp t="s">
        <v>#N/A N/A</v>
        <stp/>
        <stp>BDP|574729660639350093</stp>
        <tr r="G429" s="2"/>
      </tp>
      <tp t="s">
        <v>#N/A N/A</v>
        <stp/>
        <stp>BDP|367770468248983181</stp>
        <tr r="I1939" s="2"/>
      </tp>
      <tp t="s">
        <v>#N/A N/A</v>
        <stp/>
        <stp>BDP|721937931012112096</stp>
        <tr r="I663" s="2"/>
      </tp>
      <tp t="s">
        <v>#N/A N/A</v>
        <stp/>
        <stp>BDP|809729356778087217</stp>
        <tr r="B2699" s="2"/>
      </tp>
      <tp t="s">
        <v>#N/A N/A</v>
        <stp/>
        <stp>BDP|620684953192151917</stp>
        <tr r="F2758" s="2"/>
      </tp>
      <tp t="s">
        <v>#N/A N/A</v>
        <stp/>
        <stp>BDP|273624088150526605</stp>
        <tr r="I2595" s="2"/>
      </tp>
      <tp t="s">
        <v>#N/A N/A</v>
        <stp/>
        <stp>BDP|485803259072543767</stp>
        <tr r="H2351" s="2"/>
      </tp>
      <tp t="s">
        <v>#N/A N/A</v>
        <stp/>
        <stp>BDP|520158229039245250</stp>
        <tr r="C3997" s="2"/>
      </tp>
      <tp t="s">
        <v>#N/A N/A</v>
        <stp/>
        <stp>BDP|395881463221430726</stp>
        <tr r="B600" s="2"/>
      </tp>
      <tp t="s">
        <v>#N/A N/A</v>
        <stp/>
        <stp>BDP|285289444617133918</stp>
        <tr r="C4013" s="2"/>
      </tp>
      <tp t="s">
        <v>#N/A N/A</v>
        <stp/>
        <stp>BDP|621148869679426613</stp>
        <tr r="A741" s="2"/>
      </tp>
      <tp t="s">
        <v>#N/A N/A</v>
        <stp/>
        <stp>BDP|274857265473510597</stp>
        <tr r="B686" s="2"/>
      </tp>
      <tp t="s">
        <v>#N/A N/A</v>
        <stp/>
        <stp>BDP|229749658992386838</stp>
        <tr r="F4593" s="2"/>
      </tp>
      <tp t="s">
        <v>#N/A N/A</v>
        <stp/>
        <stp>BDP|215047259215444852</stp>
        <tr r="D4539" s="2"/>
      </tp>
      <tp t="s">
        <v>#N/A N/A</v>
        <stp/>
        <stp>BDP|324851467057972165</stp>
        <tr r="F4707" s="2"/>
      </tp>
      <tp t="s">
        <v>#N/A N/A</v>
        <stp/>
        <stp>BDP|472732910776866812</stp>
        <tr r="H4258" s="2"/>
      </tp>
      <tp t="s">
        <v>#N/A N/A</v>
        <stp/>
        <stp>BDP|537240348418621611</stp>
        <tr r="G2680" s="2"/>
      </tp>
      <tp t="s">
        <v>#N/A N/A</v>
        <stp/>
        <stp>BDP|250989110794097447</stp>
        <tr r="F1020" s="2"/>
      </tp>
      <tp t="s">
        <v>#N/A N/A</v>
        <stp/>
        <stp>BDP|541988324492029163</stp>
        <tr r="F1224" s="2"/>
      </tp>
      <tp t="s">
        <v>#N/A N/A</v>
        <stp/>
        <stp>BDP|457937578444137217</stp>
        <tr r="G435" s="2"/>
      </tp>
      <tp t="s">
        <v>#N/A N/A</v>
        <stp/>
        <stp>BDP|861953073720036610</stp>
        <tr r="B3381" s="2"/>
      </tp>
      <tp t="s">
        <v>#N/A N/A</v>
        <stp/>
        <stp>BDP|953246482012161013</stp>
        <tr r="G2736" s="2"/>
      </tp>
      <tp t="s">
        <v>#N/A N/A</v>
        <stp/>
        <stp>BDP|516127958444511829</stp>
        <tr r="C1964" s="2"/>
      </tp>
      <tp t="s">
        <v>#N/A N/A</v>
        <stp/>
        <stp>BDP|444535689553286646</stp>
        <tr r="C3917" s="2"/>
      </tp>
      <tp t="s">
        <v>#N/A N/A</v>
        <stp/>
        <stp>BDP|481086899539920840</stp>
        <tr r="I1688" s="2"/>
      </tp>
      <tp t="s">
        <v>#N/A N/A</v>
        <stp/>
        <stp>BDP|961128791781561170</stp>
        <tr r="H4663" s="2"/>
      </tp>
      <tp t="s">
        <v>#N/A N/A</v>
        <stp/>
        <stp>BDP|295562395421844518</stp>
        <tr r="D894" s="2"/>
      </tp>
      <tp t="s">
        <v>#N/A N/A</v>
        <stp/>
        <stp>BDP|134605435479934457</stp>
        <tr r="H2645" s="2"/>
      </tp>
      <tp t="s">
        <v>#N/A N/A</v>
        <stp/>
        <stp>BDP|252329617768856266</stp>
        <tr r="G4065" s="2"/>
      </tp>
      <tp t="s">
        <v>#N/A N/A</v>
        <stp/>
        <stp>BDP|170899934474161743</stp>
        <tr r="D1914" s="2"/>
      </tp>
      <tp t="s">
        <v>#N/A N/A</v>
        <stp/>
        <stp>BDP|390899609913209385</stp>
        <tr r="C1518" s="2"/>
      </tp>
      <tp t="s">
        <v>#N/A N/A</v>
        <stp/>
        <stp>BDP|532192446464708941</stp>
        <tr r="H273" s="2"/>
      </tp>
      <tp t="s">
        <v>#N/A N/A</v>
        <stp/>
        <stp>BDP|192228590183815024</stp>
        <tr r="C3485" s="2"/>
      </tp>
      <tp t="s">
        <v>#N/A N/A</v>
        <stp/>
        <stp>BDP|995636757293673812</stp>
        <tr r="D4625" s="2"/>
      </tp>
      <tp t="s">
        <v>#N/A N/A</v>
        <stp/>
        <stp>BDP|263085166936172875</stp>
        <tr r="H280" s="2"/>
      </tp>
      <tp t="s">
        <v>#N/A N/A</v>
        <stp/>
        <stp>BDP|616140925173537881</stp>
        <tr r="A4046" s="2"/>
      </tp>
      <tp t="s">
        <v>#N/A N/A</v>
        <stp/>
        <stp>BDP|406595630518331640</stp>
        <tr r="I2228" s="2"/>
      </tp>
      <tp t="s">
        <v>#N/A N/A</v>
        <stp/>
        <stp>BDP|531454986706993258</stp>
        <tr r="G537" s="2"/>
      </tp>
      <tp t="s">
        <v>#N/A N/A</v>
        <stp/>
        <stp>BDP|368103858575250933</stp>
        <tr r="C4712" s="2"/>
      </tp>
      <tp t="s">
        <v>#N/A N/A</v>
        <stp/>
        <stp>BDP|142131021699860212</stp>
        <tr r="D4038" s="2"/>
      </tp>
      <tp t="s">
        <v>#N/A N/A</v>
        <stp/>
        <stp>BDP|836477904749624576</stp>
        <tr r="C3152" s="2"/>
      </tp>
      <tp t="s">
        <v>#N/A N/A</v>
        <stp/>
        <stp>BDP|553858813716912711</stp>
        <tr r="G460" s="2"/>
      </tp>
      <tp t="s">
        <v>#N/A N/A</v>
        <stp/>
        <stp>BDP|269987934504683632</stp>
        <tr r="I1579" s="2"/>
      </tp>
      <tp t="s">
        <v>#N/A N/A</v>
        <stp/>
        <stp>BDP|461860287928968075</stp>
        <tr r="G3127" s="2"/>
      </tp>
      <tp t="s">
        <v>#N/A N/A</v>
        <stp/>
        <stp>BDP|694938985131214893</stp>
        <tr r="B3333" s="2"/>
      </tp>
      <tp t="s">
        <v>#N/A N/A</v>
        <stp/>
        <stp>BDP|819900215933628308</stp>
        <tr r="H2140" s="2"/>
      </tp>
      <tp t="s">
        <v>#N/A N/A</v>
        <stp/>
        <stp>BDP|134772571010855844</stp>
        <tr r="D3670" s="2"/>
      </tp>
      <tp t="s">
        <v>#N/A N/A</v>
        <stp/>
        <stp>BDP|157665256779813227</stp>
        <tr r="F4114" s="2"/>
      </tp>
      <tp t="s">
        <v>#N/A N/A</v>
        <stp/>
        <stp>BDP|179345758508329652</stp>
        <tr r="G1816" s="2"/>
      </tp>
      <tp t="s">
        <v>#N/A N/A</v>
        <stp/>
        <stp>BDP|291521037427247913</stp>
        <tr r="A1102" s="2"/>
      </tp>
      <tp t="s">
        <v>#N/A N/A</v>
        <stp/>
        <stp>BDP|396774206216654903</stp>
        <tr r="H4127" s="2"/>
      </tp>
      <tp t="s">
        <v>#N/A N/A</v>
        <stp/>
        <stp>BDP|348807704391798147</stp>
        <tr r="I4761" s="2"/>
      </tp>
      <tp t="s">
        <v>#N/A N/A</v>
        <stp/>
        <stp>BDP|679476931889564610</stp>
        <tr r="H4335" s="2"/>
      </tp>
      <tp t="s">
        <v>#N/A N/A</v>
        <stp/>
        <stp>BDP|475038927249345374</stp>
        <tr r="I1142" s="2"/>
      </tp>
      <tp t="s">
        <v>#N/A N/A</v>
        <stp/>
        <stp>BDP|506118907598450135</stp>
        <tr r="C4465" s="2"/>
      </tp>
      <tp t="s">
        <v>#N/A N/A</v>
        <stp/>
        <stp>BDP|120031490012257346</stp>
        <tr r="G4095" s="2"/>
      </tp>
      <tp t="s">
        <v>#N/A N/A</v>
        <stp/>
        <stp>BDP|351968938255971710</stp>
        <tr r="A3633" s="2"/>
      </tp>
      <tp t="s">
        <v>#N/A N/A</v>
        <stp/>
        <stp>BDP|602521437837567937</stp>
        <tr r="H3845" s="2"/>
      </tp>
      <tp t="s">
        <v>#N/A N/A</v>
        <stp/>
        <stp>BDP|526474015935160830</stp>
        <tr r="G19" s="2"/>
      </tp>
      <tp t="s">
        <v>#N/A N/A</v>
        <stp/>
        <stp>BDP|845152783973965227</stp>
        <tr r="G335" s="2"/>
      </tp>
      <tp t="s">
        <v>#N/A N/A</v>
        <stp/>
        <stp>BDP|915554681376996310</stp>
        <tr r="D1094" s="2"/>
      </tp>
      <tp t="s">
        <v>#N/A N/A</v>
        <stp/>
        <stp>BDP|507204386784448625</stp>
        <tr r="B4210" s="2"/>
      </tp>
      <tp t="s">
        <v>#N/A N/A</v>
        <stp/>
        <stp>BDP|807860945271629586</stp>
        <tr r="D4524" s="2"/>
      </tp>
      <tp t="s">
        <v>#N/A N/A</v>
        <stp/>
        <stp>BDP|824845240795032196</stp>
        <tr r="I1986" s="2"/>
      </tp>
      <tp t="s">
        <v>#N/A N/A</v>
        <stp/>
        <stp>BDP|858201422231621991</stp>
        <tr r="H4563" s="2"/>
      </tp>
      <tp t="s">
        <v>#N/A N/A</v>
        <stp/>
        <stp>BDP|906807742970875452</stp>
        <tr r="H3438" s="2"/>
      </tp>
      <tp t="s">
        <v>#N/A N/A</v>
        <stp/>
        <stp>BDP|172784491061993772</stp>
        <tr r="F1635" s="2"/>
      </tp>
      <tp t="s">
        <v>#N/A N/A</v>
        <stp/>
        <stp>BDP|520590224596789996</stp>
        <tr r="H4146" s="2"/>
      </tp>
      <tp t="s">
        <v>#N/A N/A</v>
        <stp/>
        <stp>BDP|433168937783500962</stp>
        <tr r="C4886" s="2"/>
      </tp>
      <tp t="s">
        <v>#N/A N/A</v>
        <stp/>
        <stp>BDP|744993748087736278</stp>
        <tr r="G607" s="2"/>
      </tp>
      <tp t="s">
        <v>#N/A N/A</v>
        <stp/>
        <stp>BDP|554706096095633333</stp>
        <tr r="I3557" s="2"/>
      </tp>
      <tp t="s">
        <v>#N/A N/A</v>
        <stp/>
        <stp>BDP|264017029203849943</stp>
        <tr r="A3409" s="2"/>
      </tp>
      <tp t="s">
        <v>#N/A N/A</v>
        <stp/>
        <stp>BDP|413325650226069818</stp>
        <tr r="I402" s="2"/>
      </tp>
      <tp t="s">
        <v>#N/A N/A</v>
        <stp/>
        <stp>BDP|540862055811835495</stp>
        <tr r="D3968" s="2"/>
      </tp>
      <tp t="s">
        <v>#N/A N/A</v>
        <stp/>
        <stp>BDP|355524860069605202</stp>
        <tr r="G4487" s="2"/>
      </tp>
      <tp t="s">
        <v>#N/A N/A</v>
        <stp/>
        <stp>BDP|224589378839565304</stp>
        <tr r="A4242" s="2"/>
      </tp>
      <tp t="s">
        <v>#N/A N/A</v>
        <stp/>
        <stp>BDP|791527921609478678</stp>
        <tr r="C780" s="2"/>
      </tp>
      <tp t="s">
        <v>#N/A N/A</v>
        <stp/>
        <stp>BDP|686538392123254721</stp>
        <tr r="C4790" s="2"/>
      </tp>
      <tp t="s">
        <v>#N/A N/A</v>
        <stp/>
        <stp>BDP|194033206051495909</stp>
        <tr r="B3129" s="2"/>
      </tp>
      <tp t="s">
        <v>#N/A N/A</v>
        <stp/>
        <stp>BDP|852586510908704472</stp>
        <tr r="I114" s="2"/>
      </tp>
      <tp t="s">
        <v>#N/A N/A</v>
        <stp/>
        <stp>BDP|288863452313346652</stp>
        <tr r="A1674" s="2"/>
      </tp>
      <tp t="s">
        <v>#N/A N/A</v>
        <stp/>
        <stp>BDP|227064899114593582</stp>
        <tr r="F3813" s="2"/>
      </tp>
      <tp t="s">
        <v>#N/A N/A</v>
        <stp/>
        <stp>BDP|171035037989038254</stp>
        <tr r="C2992" s="2"/>
      </tp>
      <tp t="s">
        <v>#N/A N/A</v>
        <stp/>
        <stp>BDP|948734036174519891</stp>
        <tr r="H2705" s="2"/>
      </tp>
      <tp t="s">
        <v>#N/A N/A</v>
        <stp/>
        <stp>BDP|663543237776341860</stp>
        <tr r="C2068" s="2"/>
      </tp>
      <tp t="s">
        <v>#N/A N/A</v>
        <stp/>
        <stp>BDP|330904758207816330</stp>
        <tr r="I1649" s="2"/>
      </tp>
      <tp t="s">
        <v>#N/A N/A</v>
        <stp/>
        <stp>BDP|622795175771240981</stp>
        <tr r="A4946" s="2"/>
      </tp>
      <tp t="s">
        <v>#N/A N/A</v>
        <stp/>
        <stp>BDP|198666286312838485</stp>
        <tr r="C2879" s="2"/>
      </tp>
      <tp t="s">
        <v>#N/A N/A</v>
        <stp/>
        <stp>BDP|359958317421553155</stp>
        <tr r="B428" s="2"/>
      </tp>
      <tp t="s">
        <v>#N/A N/A</v>
        <stp/>
        <stp>BDP|652431053698388143</stp>
        <tr r="I3068" s="2"/>
      </tp>
      <tp t="s">
        <v>#N/A N/A</v>
        <stp/>
        <stp>BDP|790790789492675507</stp>
        <tr r="B2407" s="2"/>
      </tp>
      <tp t="s">
        <v>#N/A N/A</v>
        <stp/>
        <stp>BDP|568818371311518611</stp>
        <tr r="I3595" s="2"/>
      </tp>
      <tp t="s">
        <v>#N/A N/A</v>
        <stp/>
        <stp>BDP|218144083676350774</stp>
        <tr r="G3072" s="2"/>
      </tp>
      <tp t="s">
        <v>#N/A N/A</v>
        <stp/>
        <stp>BDP|716875221785916795</stp>
        <tr r="D1309" s="2"/>
      </tp>
      <tp t="s">
        <v>#N/A N/A</v>
        <stp/>
        <stp>BDP|745611716686320926</stp>
        <tr r="B117" s="2"/>
      </tp>
      <tp t="s">
        <v>#N/A N/A</v>
        <stp/>
        <stp>BDP|765392872944941872</stp>
        <tr r="A2623" s="2"/>
      </tp>
      <tp t="s">
        <v>#N/A N/A</v>
        <stp/>
        <stp>BDP|787414411369180441</stp>
        <tr r="G442" s="2"/>
      </tp>
      <tp t="s">
        <v>#N/A N/A</v>
        <stp/>
        <stp>BDP|959594692405062104</stp>
        <tr r="B2187" s="2"/>
      </tp>
      <tp t="s">
        <v>#N/A N/A</v>
        <stp/>
        <stp>BDP|551895035041844231</stp>
        <tr r="B4422" s="2"/>
      </tp>
      <tp t="s">
        <v>#N/A N/A</v>
        <stp/>
        <stp>BDP|785400843080791809</stp>
        <tr r="B2610" s="2"/>
      </tp>
      <tp t="s">
        <v>#N/A N/A</v>
        <stp/>
        <stp>BDP|972042510710812963</stp>
        <tr r="D1545" s="2"/>
      </tp>
      <tp t="s">
        <v>#N/A N/A</v>
        <stp/>
        <stp>BDP|164795708129056637</stp>
        <tr r="B500" s="2"/>
      </tp>
      <tp t="s">
        <v>#N/A N/A</v>
        <stp/>
        <stp>BDP|975572373138908272</stp>
        <tr r="H1499" s="2"/>
      </tp>
      <tp t="s">
        <v>#N/A N/A</v>
        <stp/>
        <stp>BDP|279654255072758960</stp>
        <tr r="I1697" s="2"/>
      </tp>
      <tp t="s">
        <v>#N/A N/A</v>
        <stp/>
        <stp>BDP|614976981879408078</stp>
        <tr r="A2458" s="2"/>
      </tp>
      <tp t="s">
        <v>#N/A N/A</v>
        <stp/>
        <stp>BDP|993315118360566993</stp>
        <tr r="B809" s="2"/>
      </tp>
      <tp t="s">
        <v>#N/A N/A</v>
        <stp/>
        <stp>BDP|613205378649082723</stp>
        <tr r="B981" s="2"/>
      </tp>
      <tp t="s">
        <v>#N/A N/A</v>
        <stp/>
        <stp>BDP|190893276406113230</stp>
        <tr r="C1165" s="2"/>
      </tp>
      <tp t="s">
        <v>#N/A N/A</v>
        <stp/>
        <stp>BDP|927502345899621367</stp>
        <tr r="B1411" s="2"/>
      </tp>
      <tp t="s">
        <v>#N/A N/A</v>
        <stp/>
        <stp>BDP|910653279458978201</stp>
        <tr r="F4188" s="2"/>
      </tp>
      <tp t="s">
        <v>#N/A N/A</v>
        <stp/>
        <stp>BDP|965290293545947566</stp>
        <tr r="A1523" s="2"/>
      </tp>
      <tp t="s">
        <v>#N/A N/A</v>
        <stp/>
        <stp>BDP|268520546039244386</stp>
        <tr r="D4224" s="2"/>
      </tp>
      <tp t="s">
        <v>#N/A N/A</v>
        <stp/>
        <stp>BDP|585480354193347968</stp>
        <tr r="B4457" s="2"/>
      </tp>
      <tp t="s">
        <v>#N/A N/A</v>
        <stp/>
        <stp>BDP|676022788715240623</stp>
        <tr r="B1487" s="2"/>
      </tp>
      <tp t="s">
        <v>#N/A N/A</v>
        <stp/>
        <stp>BDP|472112718563720867</stp>
        <tr r="A366" s="2"/>
      </tp>
      <tp t="s">
        <v>#N/A N/A</v>
        <stp/>
        <stp>BDP|657259431853997964</stp>
        <tr r="F4284" s="2"/>
      </tp>
      <tp t="s">
        <v>#N/A N/A</v>
        <stp/>
        <stp>BDP|818023386732803199</stp>
        <tr r="G1384" s="2"/>
      </tp>
      <tp t="s">
        <v>#N/A N/A</v>
        <stp/>
        <stp>BDP|301041784386917570</stp>
        <tr r="C1027" s="2"/>
      </tp>
      <tp t="s">
        <v>#N/A N/A</v>
        <stp/>
        <stp>BDP|916972311997746458</stp>
        <tr r="B3488" s="2"/>
      </tp>
      <tp t="s">
        <v>#N/A N/A</v>
        <stp/>
        <stp>BDP|668892578113840726</stp>
        <tr r="A51" s="2"/>
      </tp>
      <tp t="s">
        <v>#N/A N/A</v>
        <stp/>
        <stp>BDP|368523785862886427</stp>
        <tr r="B3643" s="2"/>
      </tp>
      <tp t="s">
        <v>#N/A N/A</v>
        <stp/>
        <stp>BDP|149186590925606604</stp>
        <tr r="D3166" s="2"/>
      </tp>
      <tp t="s">
        <v>#N/A N/A</v>
        <stp/>
        <stp>BDP|946027113959060373</stp>
        <tr r="I1772" s="2"/>
      </tp>
      <tp t="s">
        <v>#N/A N/A</v>
        <stp/>
        <stp>BDP|431928278352339727</stp>
        <tr r="A703" s="2"/>
      </tp>
      <tp t="s">
        <v>#N/A N/A</v>
        <stp/>
        <stp>BDP|891830017094008635</stp>
        <tr r="G505" s="2"/>
      </tp>
      <tp t="s">
        <v>#N/A N/A</v>
        <stp/>
        <stp>BDP|440002091051853321</stp>
        <tr r="A3470" s="2"/>
      </tp>
      <tp t="s">
        <v>#N/A N/A</v>
        <stp/>
        <stp>BDP|465268482641729089</stp>
        <tr r="F3563" s="2"/>
      </tp>
      <tp t="s">
        <v>#N/A N/A</v>
        <stp/>
        <stp>BDP|401160253346773997</stp>
        <tr r="A133" s="2"/>
      </tp>
      <tp t="s">
        <v>#N/A N/A</v>
        <stp/>
        <stp>BDP|742915809546362432</stp>
        <tr r="D646" s="2"/>
      </tp>
      <tp t="s">
        <v>#N/A N/A</v>
        <stp/>
        <stp>BDP|344177882312138086</stp>
        <tr r="C3500" s="2"/>
      </tp>
      <tp t="s">
        <v>#N/A N/A</v>
        <stp/>
        <stp>BDP|957181088785025719</stp>
        <tr r="C4101" s="2"/>
      </tp>
      <tp t="s">
        <v>#N/A N/A</v>
        <stp/>
        <stp>BDP|226508386282451485</stp>
        <tr r="C165" s="2"/>
      </tp>
      <tp t="s">
        <v>#N/A N/A</v>
        <stp/>
        <stp>BDP|995924707192605022</stp>
        <tr r="F2391" s="2"/>
      </tp>
      <tp t="s">
        <v>#N/A N/A</v>
        <stp/>
        <stp>BDP|861760619489964468</stp>
        <tr r="D2737" s="2"/>
      </tp>
      <tp t="s">
        <v>#N/A N/A</v>
        <stp/>
        <stp>BDP|485071042288967700</stp>
        <tr r="G1710" s="2"/>
      </tp>
      <tp t="s">
        <v>#N/A N/A</v>
        <stp/>
        <stp>BDP|160497497357029172</stp>
        <tr r="H840" s="2"/>
      </tp>
      <tp t="s">
        <v>#N/A N/A</v>
        <stp/>
        <stp>BDP|692265798645213529</stp>
        <tr r="I964" s="2"/>
      </tp>
      <tp t="s">
        <v>#N/A N/A</v>
        <stp/>
        <stp>BDP|992853662443188670</stp>
        <tr r="G2962" s="2"/>
      </tp>
      <tp t="s">
        <v>#N/A N/A</v>
        <stp/>
        <stp>BDP|911908439892858303</stp>
        <tr r="A2440" s="2"/>
      </tp>
      <tp t="s">
        <v>#N/A N/A</v>
        <stp/>
        <stp>BDP|742916609037071572</stp>
        <tr r="C1595" s="2"/>
      </tp>
      <tp t="s">
        <v>#N/A N/A</v>
        <stp/>
        <stp>BDP|817105086064753615</stp>
        <tr r="I4305" s="2"/>
      </tp>
      <tp t="s">
        <v>#N/A N/A</v>
        <stp/>
        <stp>BDP|523047890600002289</stp>
        <tr r="B995" s="2"/>
      </tp>
      <tp t="s">
        <v>#N/A N/A</v>
        <stp/>
        <stp>BDP|810539587677268170</stp>
        <tr r="D3066" s="2"/>
      </tp>
      <tp t="s">
        <v>#N/A N/A</v>
        <stp/>
        <stp>BDP|822408109058175794</stp>
        <tr r="B1105" s="2"/>
      </tp>
      <tp t="s">
        <v>#N/A N/A</v>
        <stp/>
        <stp>BDP|733947713315886611</stp>
        <tr r="A3446" s="2"/>
      </tp>
      <tp t="s">
        <v>#N/A N/A</v>
        <stp/>
        <stp>BDP|656684877539839389</stp>
        <tr r="D843" s="2"/>
      </tp>
      <tp t="s">
        <v>#N/A N/A</v>
        <stp/>
        <stp>BDP|383784132747438844</stp>
        <tr r="G4370" s="2"/>
      </tp>
      <tp t="s">
        <v>#N/A N/A</v>
        <stp/>
        <stp>BDP|792836370214574087</stp>
        <tr r="B2983" s="2"/>
      </tp>
      <tp t="s">
        <v>#N/A N/A</v>
        <stp/>
        <stp>BDP|976945944806373007</stp>
        <tr r="F1901" s="2"/>
      </tp>
      <tp t="s">
        <v>#N/A N/A</v>
        <stp/>
        <stp>BDP|678612675702809808</stp>
        <tr r="F740" s="2"/>
      </tp>
      <tp t="s">
        <v>#N/A N/A</v>
        <stp/>
        <stp>BDP|539727798854069152</stp>
        <tr r="B2077" s="2"/>
      </tp>
      <tp t="s">
        <v>#N/A N/A</v>
        <stp/>
        <stp>BDP|680240259819798560</stp>
        <tr r="F4701" s="2"/>
      </tp>
      <tp t="s">
        <v>#N/A N/A</v>
        <stp/>
        <stp>BDP|905126940786889890</stp>
        <tr r="A2163" s="2"/>
      </tp>
      <tp t="s">
        <v>#N/A N/A</v>
        <stp/>
        <stp>BDP|408905305921966323</stp>
        <tr r="G1271" s="2"/>
      </tp>
      <tp t="s">
        <v>#N/A N/A</v>
        <stp/>
        <stp>BDP|619559655932500993</stp>
        <tr r="I2303" s="2"/>
      </tp>
      <tp t="s">
        <v>#N/A N/A</v>
        <stp/>
        <stp>BDP|122384645455234941</stp>
        <tr r="F3879" s="2"/>
      </tp>
      <tp t="s">
        <v>#N/A N/A</v>
        <stp/>
        <stp>BDP|631464878571260902</stp>
        <tr r="C4324" s="2"/>
      </tp>
      <tp t="s">
        <v>#N/A N/A</v>
        <stp/>
        <stp>BDP|220188450256172919</stp>
        <tr r="B1442" s="2"/>
      </tp>
      <tp t="s">
        <v>#N/A N/A</v>
        <stp/>
        <stp>BDP|921285984716974762</stp>
        <tr r="F2759" s="2"/>
      </tp>
      <tp t="s">
        <v>#N/A N/A</v>
        <stp/>
        <stp>BDP|985743570718764310</stp>
        <tr r="A1080" s="2"/>
      </tp>
      <tp t="s">
        <v>#N/A N/A</v>
        <stp/>
        <stp>BDP|539862029073022218</stp>
        <tr r="H1146" s="2"/>
      </tp>
      <tp t="s">
        <v>#N/A N/A</v>
        <stp/>
        <stp>BDP|649946919290391330</stp>
        <tr r="I3532" s="2"/>
      </tp>
      <tp t="s">
        <v>#N/A N/A</v>
        <stp/>
        <stp>BDP|614799707584706843</stp>
        <tr r="C581" s="2"/>
      </tp>
      <tp t="s">
        <v>#N/A N/A</v>
        <stp/>
        <stp>BDP|352988310504107715</stp>
        <tr r="I3553" s="2"/>
      </tp>
      <tp t="s">
        <v>#N/A N/A</v>
        <stp/>
        <stp>BDP|655265498725183529</stp>
        <tr r="G2748" s="2"/>
      </tp>
      <tp t="s">
        <v>#N/A N/A</v>
        <stp/>
        <stp>BDP|945506660479274107</stp>
        <tr r="I2535" s="2"/>
      </tp>
      <tp t="s">
        <v>#N/A N/A</v>
        <stp/>
        <stp>BDP|940876331317037746</stp>
        <tr r="H1306" s="2"/>
      </tp>
      <tp t="s">
        <v>#N/A N/A</v>
        <stp/>
        <stp>BDP|854730494964967123</stp>
        <tr r="D3087" s="2"/>
      </tp>
      <tp t="s">
        <v>#N/A N/A</v>
        <stp/>
        <stp>BDP|388782688011705504</stp>
        <tr r="C926" s="2"/>
      </tp>
      <tp t="s">
        <v>#N/A N/A</v>
        <stp/>
        <stp>BDP|586813865330571503</stp>
        <tr r="D100" s="2"/>
      </tp>
      <tp t="s">
        <v>#N/A N/A</v>
        <stp/>
        <stp>BDP|828362816168599194</stp>
        <tr r="F4513" s="2"/>
      </tp>
      <tp t="s">
        <v>#N/A N/A</v>
        <stp/>
        <stp>BDP|731717305648067474</stp>
        <tr r="B3600" s="2"/>
      </tp>
      <tp t="s">
        <v>#N/A N/A</v>
        <stp/>
        <stp>BDP|511659102878344554</stp>
        <tr r="H1430" s="2"/>
      </tp>
      <tp t="s">
        <v>#N/A N/A</v>
        <stp/>
        <stp>BDP|778010242478348737</stp>
        <tr r="G4147" s="2"/>
      </tp>
      <tp t="s">
        <v>#N/A N/A</v>
        <stp/>
        <stp>BDP|699845566673869696</stp>
        <tr r="I2593" s="2"/>
      </tp>
      <tp t="s">
        <v>#N/A N/A</v>
        <stp/>
        <stp>BDP|248680691040634489</stp>
        <tr r="G800" s="2"/>
      </tp>
      <tp t="s">
        <v>#N/A N/A</v>
        <stp/>
        <stp>BDP|999394425729141310</stp>
        <tr r="A4466" s="2"/>
      </tp>
      <tp t="s">
        <v>#N/A N/A</v>
        <stp/>
        <stp>BDP|394332962739230753</stp>
        <tr r="C4189" s="2"/>
      </tp>
      <tp t="s">
        <v>#N/A N/A</v>
        <stp/>
        <stp>BDP|156949902585418769</stp>
        <tr r="F2242" s="2"/>
      </tp>
      <tp t="s">
        <v>#N/A N/A</v>
        <stp/>
        <stp>BDP|116823883182146941</stp>
        <tr r="A994" s="2"/>
      </tp>
      <tp t="s">
        <v>#N/A N/A</v>
        <stp/>
        <stp>BDP|303141490772022122</stp>
        <tr r="B1983" s="2"/>
      </tp>
      <tp t="s">
        <v>#N/A N/A</v>
        <stp/>
        <stp>BDP|151412948873988843</stp>
        <tr r="C3263" s="2"/>
      </tp>
      <tp t="s">
        <v>#N/A N/A</v>
        <stp/>
        <stp>BDP|529501923069886580</stp>
        <tr r="A3980" s="2"/>
      </tp>
      <tp t="s">
        <v>#N/A N/A</v>
        <stp/>
        <stp>BDP|764190979994766960</stp>
        <tr r="I3720" s="2"/>
      </tp>
      <tp t="s">
        <v>#N/A N/A</v>
        <stp/>
        <stp>BDP|871710910868663597</stp>
        <tr r="D2935" s="2"/>
      </tp>
      <tp t="s">
        <v>#N/A N/A</v>
        <stp/>
        <stp>BDP|223565490966226102</stp>
        <tr r="A4370" s="2"/>
      </tp>
      <tp t="s">
        <v>#N/A N/A</v>
        <stp/>
        <stp>BDP|201018336978741049</stp>
        <tr r="D1028" s="2"/>
      </tp>
      <tp t="s">
        <v>#N/A N/A</v>
        <stp/>
        <stp>BDP|455885820764823528</stp>
        <tr r="I271" s="2"/>
      </tp>
      <tp t="s">
        <v>#N/A N/A</v>
        <stp/>
        <stp>BDP|244897668821261470</stp>
        <tr r="I3249" s="2"/>
      </tp>
      <tp t="s">
        <v>#N/A N/A</v>
        <stp/>
        <stp>BDP|939806008922377149</stp>
        <tr r="A4025" s="2"/>
      </tp>
      <tp t="s">
        <v>#N/A N/A</v>
        <stp/>
        <stp>BDP|549754265072747843</stp>
        <tr r="A3282" s="2"/>
      </tp>
      <tp t="s">
        <v>#N/A N/A</v>
        <stp/>
        <stp>BDP|363051582000554377</stp>
        <tr r="I4168" s="2"/>
      </tp>
      <tp t="s">
        <v>#N/A N/A</v>
        <stp/>
        <stp>BDP|751729950608763155</stp>
        <tr r="F702" s="2"/>
      </tp>
      <tp t="s">
        <v>#N/A N/A</v>
        <stp/>
        <stp>BDP|650525023924127812</stp>
        <tr r="I4043" s="2"/>
      </tp>
      <tp t="s">
        <v>#N/A N/A</v>
        <stp/>
        <stp>BDP|343037114962763845</stp>
        <tr r="A2447" s="2"/>
      </tp>
      <tp t="s">
        <v>#N/A N/A</v>
        <stp/>
        <stp>BDP|578056776364183806</stp>
        <tr r="G3384" s="2"/>
      </tp>
      <tp t="s">
        <v>#N/A N/A</v>
        <stp/>
        <stp>BDP|461940658102933569</stp>
        <tr r="F1715" s="2"/>
      </tp>
      <tp t="s">
        <v>#N/A N/A</v>
        <stp/>
        <stp>BDP|252361769376214884</stp>
        <tr r="H2592" s="2"/>
      </tp>
      <tp t="s">
        <v>#N/A N/A</v>
        <stp/>
        <stp>BDP|812153451509250690</stp>
        <tr r="C205" s="2"/>
      </tp>
      <tp t="s">
        <v>#N/A N/A</v>
        <stp/>
        <stp>BDP|444721145951323905</stp>
        <tr r="G730" s="2"/>
      </tp>
      <tp t="s">
        <v>#N/A N/A</v>
        <stp/>
        <stp>BDP|864512168029326128</stp>
        <tr r="H619" s="2"/>
      </tp>
      <tp t="s">
        <v>#N/A N/A</v>
        <stp/>
        <stp>BDP|910584566920602810</stp>
        <tr r="H944" s="2"/>
      </tp>
      <tp t="s">
        <v>#N/A N/A</v>
        <stp/>
        <stp>BDP|652057498787208599</stp>
        <tr r="A3571" s="2"/>
      </tp>
      <tp t="s">
        <v>#N/A N/A</v>
        <stp/>
        <stp>BDP|533833834260086030</stp>
        <tr r="I1525" s="2"/>
      </tp>
      <tp t="s">
        <v>#N/A N/A</v>
        <stp/>
        <stp>BDP|932978551827784091</stp>
        <tr r="I4097" s="2"/>
      </tp>
      <tp t="s">
        <v>#N/A N/A</v>
        <stp/>
        <stp>BDP|688860739169174996</stp>
        <tr r="D1866" s="2"/>
      </tp>
      <tp t="s">
        <v>#N/A N/A</v>
        <stp/>
        <stp>BDP|209658807865886891</stp>
        <tr r="G1258" s="2"/>
      </tp>
      <tp t="s">
        <v>#N/A N/A</v>
        <stp/>
        <stp>BDP|363958121934419429</stp>
        <tr r="C4890" s="2"/>
      </tp>
      <tp t="s">
        <v>#N/A N/A</v>
        <stp/>
        <stp>BDP|993521654358668380</stp>
        <tr r="B2010" s="2"/>
      </tp>
      <tp t="s">
        <v>#N/A N/A</v>
        <stp/>
        <stp>BDP|713963761884119008</stp>
        <tr r="D847" s="2"/>
      </tp>
      <tp t="s">
        <v>#N/A N/A</v>
        <stp/>
        <stp>BDP|212540623485125950</stp>
        <tr r="C2846" s="2"/>
      </tp>
      <tp t="s">
        <v>#N/A N/A</v>
        <stp/>
        <stp>BDP|941616590581812512</stp>
        <tr r="F4200" s="2"/>
      </tp>
      <tp t="s">
        <v>#N/A N/A</v>
        <stp/>
        <stp>BDP|787092535160154886</stp>
        <tr r="G1700" s="2"/>
      </tp>
      <tp t="s">
        <v>#N/A N/A</v>
        <stp/>
        <stp>BDP|259449355678548240</stp>
        <tr r="I2956" s="2"/>
      </tp>
      <tp t="s">
        <v>#N/A N/A</v>
        <stp/>
        <stp>BDP|639941946224781214</stp>
        <tr r="F2304" s="2"/>
      </tp>
      <tp t="s">
        <v>#N/A N/A</v>
        <stp/>
        <stp>BDP|479134743439371752</stp>
        <tr r="G4455" s="2"/>
      </tp>
      <tp t="s">
        <v>#N/A N/A</v>
        <stp/>
        <stp>BDP|150047101073393858</stp>
        <tr r="H2911" s="2"/>
      </tp>
      <tp t="s">
        <v>#N/A N/A</v>
        <stp/>
        <stp>BDP|733953644076359074</stp>
        <tr r="B129" s="2"/>
      </tp>
      <tp t="s">
        <v>#N/A N/A</v>
        <stp/>
        <stp>BDP|711573134265742815</stp>
        <tr r="G3837" s="2"/>
      </tp>
      <tp t="s">
        <v>#N/A N/A</v>
        <stp/>
        <stp>BDP|509707414474524967</stp>
        <tr r="F3546" s="2"/>
      </tp>
      <tp t="s">
        <v>#N/A N/A</v>
        <stp/>
        <stp>BDP|554951406154074644</stp>
        <tr r="D4766" s="2"/>
      </tp>
      <tp t="s">
        <v>#N/A N/A</v>
        <stp/>
        <stp>BDP|741676294486059264</stp>
        <tr r="D760" s="2"/>
      </tp>
      <tp t="s">
        <v>#N/A N/A</v>
        <stp/>
        <stp>BDP|840554709059137774</stp>
        <tr r="F2842" s="2"/>
      </tp>
      <tp t="s">
        <v>#N/A N/A</v>
        <stp/>
        <stp>BDP|213218897844726417</stp>
        <tr r="B409" s="2"/>
      </tp>
      <tp t="s">
        <v>#N/A N/A</v>
        <stp/>
        <stp>BDP|642595365451188999</stp>
        <tr r="D2786" s="2"/>
      </tp>
      <tp t="s">
        <v>#N/A N/A</v>
        <stp/>
        <stp>BDP|516417875918547070</stp>
        <tr r="F2947" s="2"/>
      </tp>
      <tp t="s">
        <v>#N/A N/A</v>
        <stp/>
        <stp>BDP|496281814779911126</stp>
        <tr r="H20" s="2"/>
      </tp>
      <tp t="s">
        <v>#N/A N/A</v>
        <stp/>
        <stp>BDP|647194394477180494</stp>
        <tr r="C1463" s="2"/>
      </tp>
      <tp t="s">
        <v>#N/A N/A</v>
        <stp/>
        <stp>BDP|430209796777946780</stp>
        <tr r="A2931" s="2"/>
      </tp>
      <tp t="s">
        <v>#N/A N/A</v>
        <stp/>
        <stp>BDP|569588572980402988</stp>
        <tr r="C1932" s="2"/>
      </tp>
      <tp t="s">
        <v>#N/A N/A</v>
        <stp/>
        <stp>BDP|208955616772595176</stp>
        <tr r="B1079" s="2"/>
      </tp>
      <tp t="s">
        <v>#N/A N/A</v>
        <stp/>
        <stp>BDP|133251156158966486</stp>
        <tr r="C2632" s="2"/>
      </tp>
      <tp t="s">
        <v>#N/A N/A</v>
        <stp/>
        <stp>BDP|809657043590524987</stp>
        <tr r="I656" s="2"/>
      </tp>
      <tp t="s">
        <v>#N/A N/A</v>
        <stp/>
        <stp>BDP|541612845498776151</stp>
        <tr r="A3534" s="2"/>
      </tp>
      <tp t="s">
        <v>#N/A N/A</v>
        <stp/>
        <stp>BDP|849998527977890622</stp>
        <tr r="G2705" s="2"/>
      </tp>
      <tp t="s">
        <v>#N/A N/A</v>
        <stp/>
        <stp>BDP|390147587956991553</stp>
        <tr r="H4792" s="2"/>
      </tp>
      <tp t="s">
        <v>#N/A N/A</v>
        <stp/>
        <stp>BDP|674904149125608255</stp>
        <tr r="B4168" s="2"/>
      </tp>
      <tp t="s">
        <v>#N/A N/A</v>
        <stp/>
        <stp>BDP|981112187967379403</stp>
        <tr r="G3069" s="2"/>
      </tp>
      <tp t="s">
        <v>#N/A N/A</v>
        <stp/>
        <stp>BDP|493011170395879804</stp>
        <tr r="H4200" s="2"/>
      </tp>
      <tp t="s">
        <v>#N/A N/A</v>
        <stp/>
        <stp>BDP|986232611111672803</stp>
        <tr r="F4525" s="2"/>
      </tp>
      <tp t="s">
        <v>#N/A N/A</v>
        <stp/>
        <stp>BDP|491914434073828343</stp>
        <tr r="C866" s="2"/>
      </tp>
      <tp t="s">
        <v>#N/A N/A</v>
        <stp/>
        <stp>BDP|982173431869398118</stp>
        <tr r="H3391" s="2"/>
      </tp>
      <tp t="s">
        <v>#N/A N/A</v>
        <stp/>
        <stp>BDP|612737496870983474</stp>
        <tr r="A17" s="2"/>
      </tp>
      <tp t="s">
        <v>#N/A N/A</v>
        <stp/>
        <stp>BDP|476381680813193204</stp>
        <tr r="F4273" s="2"/>
      </tp>
      <tp t="s">
        <v>#N/A N/A</v>
        <stp/>
        <stp>BDP|671254991924799583</stp>
        <tr r="A1011" s="2"/>
      </tp>
      <tp t="s">
        <v>#N/A N/A</v>
        <stp/>
        <stp>BDP|878729589612994776</stp>
        <tr r="G3518" s="2"/>
      </tp>
      <tp t="s">
        <v>#N/A N/A</v>
        <stp/>
        <stp>BDP|328072892003808008</stp>
        <tr r="I2959" s="2"/>
      </tp>
      <tp t="s">
        <v>#N/A N/A</v>
        <stp/>
        <stp>BDP|625460518739417626</stp>
        <tr r="F4331" s="2"/>
      </tp>
      <tp t="s">
        <v>#N/A N/A</v>
        <stp/>
        <stp>BDP|865804537365208437</stp>
        <tr r="F2229" s="2"/>
      </tp>
      <tp t="s">
        <v>#N/A N/A</v>
        <stp/>
        <stp>BDP|997860642533202518</stp>
        <tr r="D2144" s="2"/>
      </tp>
      <tp t="s">
        <v>#N/A N/A</v>
        <stp/>
        <stp>BDP|223424489764120278</stp>
        <tr r="D2923" s="2"/>
      </tp>
      <tp t="s">
        <v>#N/A N/A</v>
        <stp/>
        <stp>BDP|921125823039796006</stp>
        <tr r="H2934" s="2"/>
      </tp>
      <tp t="s">
        <v>#N/A N/A</v>
        <stp/>
        <stp>BDP|553391163948045704</stp>
        <tr r="H4797" s="2"/>
      </tp>
      <tp t="s">
        <v>#N/A N/A</v>
        <stp/>
        <stp>BDP|566691025109673701</stp>
        <tr r="G3368" s="2"/>
      </tp>
      <tp t="s">
        <v>#N/A N/A</v>
        <stp/>
        <stp>BDP|115941409980292316</stp>
        <tr r="I4798" s="2"/>
      </tp>
      <tp t="s">
        <v>#N/A N/A</v>
        <stp/>
        <stp>BDP|651284502078312006</stp>
        <tr r="F2728" s="2"/>
      </tp>
      <tp t="s">
        <v>#N/A N/A</v>
        <stp/>
        <stp>BDP|571533504279400691</stp>
        <tr r="G3419" s="2"/>
      </tp>
      <tp t="s">
        <v>#N/A N/A</v>
        <stp/>
        <stp>BDP|716061253377466892</stp>
        <tr r="F590" s="2"/>
      </tp>
      <tp t="s">
        <v>#N/A N/A</v>
        <stp/>
        <stp>BDP|678993224021167056</stp>
        <tr r="B2269" s="2"/>
      </tp>
      <tp t="s">
        <v>#N/A N/A</v>
        <stp/>
        <stp>BDP|577153960198857574</stp>
        <tr r="F1990" s="2"/>
      </tp>
      <tp t="s">
        <v>#N/A N/A</v>
        <stp/>
        <stp>BDP|501275884556617688</stp>
        <tr r="C924" s="2"/>
      </tp>
      <tp t="s">
        <v>#N/A N/A</v>
        <stp/>
        <stp>BDP|912136262805312830</stp>
        <tr r="H378" s="2"/>
      </tp>
      <tp t="s">
        <v>#N/A N/A</v>
        <stp/>
        <stp>BDP|382442538178534526</stp>
        <tr r="D4269" s="2"/>
      </tp>
      <tp t="s">
        <v>#N/A N/A</v>
        <stp/>
        <stp>BDP|394640408439597528</stp>
        <tr r="B3744" s="2"/>
      </tp>
      <tp t="s">
        <v>#N/A N/A</v>
        <stp/>
        <stp>BDP|351706558269055134</stp>
        <tr r="H1248" s="2"/>
      </tp>
      <tp t="s">
        <v>#N/A N/A</v>
        <stp/>
        <stp>BDP|811741180555620021</stp>
        <tr r="B3049" s="2"/>
      </tp>
      <tp t="s">
        <v>#N/A N/A</v>
        <stp/>
        <stp>BDP|256254459834751900</stp>
        <tr r="A60" s="2"/>
      </tp>
      <tp t="s">
        <v>#N/A N/A</v>
        <stp/>
        <stp>BDP|939757914635979987</stp>
        <tr r="G1065" s="2"/>
      </tp>
      <tp t="s">
        <v>#N/A N/A</v>
        <stp/>
        <stp>BDP|520374883885086486</stp>
        <tr r="A4582" s="2"/>
      </tp>
      <tp t="s">
        <v>#N/A N/A</v>
        <stp/>
        <stp>BDP|787785962868650321</stp>
        <tr r="D3473" s="2"/>
      </tp>
      <tp t="s">
        <v>#N/A N/A</v>
        <stp/>
        <stp>BDP|924821863742359627</stp>
        <tr r="G1322" s="2"/>
      </tp>
      <tp t="s">
        <v>#N/A N/A</v>
        <stp/>
        <stp>BDP|483142363148879529</stp>
        <tr r="G475" s="2"/>
      </tp>
      <tp t="s">
        <v>#N/A N/A</v>
        <stp/>
        <stp>BDP|839162262238434528</stp>
        <tr r="H125" s="2"/>
      </tp>
      <tp t="s">
        <v>#N/A N/A</v>
        <stp/>
        <stp>BDP|769178223660833919</stp>
        <tr r="H2514" s="2"/>
      </tp>
      <tp t="s">
        <v>#N/A N/A</v>
        <stp/>
        <stp>BDP|843745448120627982</stp>
        <tr r="A4729" s="2"/>
      </tp>
      <tp t="s">
        <v>#N/A N/A</v>
        <stp/>
        <stp>BDP|856077832759236052</stp>
        <tr r="H3471" s="2"/>
      </tp>
      <tp t="s">
        <v>#N/A N/A</v>
        <stp/>
        <stp>BDP|196915653811126783</stp>
        <tr r="G1834" s="2"/>
      </tp>
      <tp t="s">
        <v>#N/A N/A</v>
        <stp/>
        <stp>BDP|743473092946920119</stp>
        <tr r="A4831" s="2"/>
      </tp>
      <tp t="s">
        <v>#N/A N/A</v>
        <stp/>
        <stp>BDP|820667353180045969</stp>
        <tr r="I1102" s="2"/>
      </tp>
      <tp t="s">
        <v>#N/A N/A</v>
        <stp/>
        <stp>BDP|965803135155736408</stp>
        <tr r="F4801" s="2"/>
      </tp>
      <tp t="s">
        <v>#N/A N/A</v>
        <stp/>
        <stp>BDP|774157558817130908</stp>
        <tr r="A292" s="2"/>
      </tp>
      <tp t="s">
        <v>#N/A N/A</v>
        <stp/>
        <stp>BDP|283657304484991812</stp>
        <tr r="C3216" s="2"/>
      </tp>
      <tp t="s">
        <v>#N/A N/A</v>
        <stp/>
        <stp>BDP|576945002053065081</stp>
        <tr r="G6" s="2"/>
      </tp>
      <tp t="s">
        <v>#N/A N/A</v>
        <stp/>
        <stp>BDP|558363184214039539</stp>
        <tr r="H4908" s="2"/>
      </tp>
      <tp t="s">
        <v>#N/A N/A</v>
        <stp/>
        <stp>BDP|400259185795262524</stp>
        <tr r="A2146" s="2"/>
      </tp>
      <tp t="s">
        <v>#N/A N/A</v>
        <stp/>
        <stp>BDP|653246890558056963</stp>
        <tr r="C1713" s="2"/>
      </tp>
      <tp t="s">
        <v>#N/A N/A</v>
        <stp/>
        <stp>BDP|652382507161894846</stp>
        <tr r="I3488" s="2"/>
      </tp>
      <tp t="s">
        <v>#N/A N/A</v>
        <stp/>
        <stp>BDP|377288393121941047</stp>
        <tr r="H4239" s="2"/>
      </tp>
      <tp t="s">
        <v>#N/A N/A</v>
        <stp/>
        <stp>BDP|730413196020051756</stp>
        <tr r="G2746" s="2"/>
      </tp>
      <tp t="s">
        <v>#N/A N/A</v>
        <stp/>
        <stp>BDP|420811271327335222</stp>
        <tr r="D1630" s="2"/>
      </tp>
      <tp t="s">
        <v>#N/A N/A</v>
        <stp/>
        <stp>BDP|563497330508028590</stp>
        <tr r="H4245" s="2"/>
      </tp>
      <tp t="s">
        <v>#N/A N/A</v>
        <stp/>
        <stp>BDP|326535389974497383</stp>
        <tr r="A4093" s="2"/>
      </tp>
      <tp t="s">
        <v>#N/A N/A</v>
        <stp/>
        <stp>BDP|967605725457384995</stp>
        <tr r="D2727" s="2"/>
      </tp>
      <tp t="s">
        <v>#N/A N/A</v>
        <stp/>
        <stp>BDP|438859743892001449</stp>
        <tr r="I1411" s="2"/>
      </tp>
      <tp t="s">
        <v>#N/A N/A</v>
        <stp/>
        <stp>BDP|454309692129244927</stp>
        <tr r="I4941" s="2"/>
      </tp>
      <tp t="s">
        <v>#N/A N/A</v>
        <stp/>
        <stp>BDP|869286744759120539</stp>
        <tr r="I3327" s="2"/>
      </tp>
      <tp t="s">
        <v>#N/A N/A</v>
        <stp/>
        <stp>BDP|522876409470453299</stp>
        <tr r="F2208" s="2"/>
      </tp>
      <tp t="s">
        <v>#N/A N/A</v>
        <stp/>
        <stp>BDP|871547062790026987</stp>
        <tr r="I2892" s="2"/>
      </tp>
      <tp t="s">
        <v>#N/A N/A</v>
        <stp/>
        <stp>BDP|345305387303716250</stp>
        <tr r="B543" s="2"/>
      </tp>
      <tp t="s">
        <v>#N/A N/A</v>
        <stp/>
        <stp>BDP|753843651673315472</stp>
        <tr r="F2154" s="2"/>
      </tp>
      <tp t="s">
        <v>#N/A N/A</v>
        <stp/>
        <stp>BDP|328455502277174932</stp>
        <tr r="F4384" s="2"/>
      </tp>
      <tp t="s">
        <v>#N/A N/A</v>
        <stp/>
        <stp>BDP|324350689851033099</stp>
        <tr r="F2327" s="2"/>
      </tp>
      <tp t="s">
        <v>#N/A N/A</v>
        <stp/>
        <stp>BDP|787894988843276924</stp>
        <tr r="I2058" s="2"/>
      </tp>
      <tp t="s">
        <v>#N/A N/A</v>
        <stp/>
        <stp>BDP|161323161228151755</stp>
        <tr r="A1671" s="2"/>
      </tp>
      <tp t="s">
        <v>#N/A N/A</v>
        <stp/>
        <stp>BDP|578533231938538454</stp>
        <tr r="I1105" s="2"/>
      </tp>
      <tp t="s">
        <v>#N/A N/A</v>
        <stp/>
        <stp>BDP|490128273098281402</stp>
        <tr r="A3708" s="2"/>
      </tp>
      <tp t="s">
        <v>#N/A N/A</v>
        <stp/>
        <stp>BDP|888613679429120266</stp>
        <tr r="A296" s="2"/>
      </tp>
      <tp t="s">
        <v>#N/A N/A</v>
        <stp/>
        <stp>BDP|359186461639855458</stp>
        <tr r="B340" s="2"/>
      </tp>
      <tp t="s">
        <v>#N/A N/A</v>
        <stp/>
        <stp>BDP|422455964259595173</stp>
        <tr r="D4939" s="2"/>
      </tp>
      <tp t="s">
        <v>#N/A N/A</v>
        <stp/>
        <stp>BDP|618496462548879029</stp>
        <tr r="H530" s="2"/>
      </tp>
      <tp t="s">
        <v>#N/A N/A</v>
        <stp/>
        <stp>BDP|513111201099622241</stp>
        <tr r="C834" s="2"/>
      </tp>
      <tp t="s">
        <v>#N/A N/A</v>
        <stp/>
        <stp>BDP|714580156149832360</stp>
        <tr r="C959" s="2"/>
      </tp>
      <tp t="s">
        <v>#N/A N/A</v>
        <stp/>
        <stp>BDP|413561618647459993</stp>
        <tr r="A1472" s="2"/>
      </tp>
      <tp t="s">
        <v>#N/A N/A</v>
        <stp/>
        <stp>BDP|517758426769175609</stp>
        <tr r="I1595" s="2"/>
      </tp>
      <tp t="s">
        <v>#N/A N/A</v>
        <stp/>
        <stp>BDP|302956275142399678</stp>
        <tr r="A3243" s="2"/>
      </tp>
      <tp t="s">
        <v>#N/A N/A</v>
        <stp/>
        <stp>BDP|676003669335005983</stp>
        <tr r="F4160" s="2"/>
      </tp>
      <tp t="s">
        <v>#N/A N/A</v>
        <stp/>
        <stp>BDP|444732832018182644</stp>
        <tr r="G1822" s="2"/>
      </tp>
      <tp t="s">
        <v>#N/A N/A</v>
        <stp/>
        <stp>BDP|782347080056137726</stp>
        <tr r="G4910" s="2"/>
      </tp>
      <tp t="s">
        <v>#N/A N/A</v>
        <stp/>
        <stp>BDP|565349998736849617</stp>
        <tr r="F1363" s="2"/>
      </tp>
      <tp t="s">
        <v>#N/A N/A</v>
        <stp/>
        <stp>BDP|204611540740162828</stp>
        <tr r="I2976" s="2"/>
      </tp>
      <tp t="s">
        <v>#N/A N/A</v>
        <stp/>
        <stp>BDP|292265085723823395</stp>
        <tr r="B393" s="2"/>
      </tp>
      <tp t="s">
        <v>#N/A N/A</v>
        <stp/>
        <stp>BDP|747910097762913882</stp>
        <tr r="I3568" s="2"/>
      </tp>
      <tp t="s">
        <v>#N/A N/A</v>
        <stp/>
        <stp>BDP|481156510092096810</stp>
        <tr r="I2837" s="2"/>
      </tp>
      <tp t="s">
        <v>#N/A N/A</v>
        <stp/>
        <stp>BDP|305864714314619773</stp>
        <tr r="H3731" s="2"/>
      </tp>
      <tp t="s">
        <v>#N/A N/A</v>
        <stp/>
        <stp>BDP|570629269758608291</stp>
        <tr r="A3334" s="2"/>
      </tp>
      <tp t="s">
        <v>#N/A N/A</v>
        <stp/>
        <stp>BDP|448115903942183969</stp>
        <tr r="F3258" s="2"/>
      </tp>
      <tp t="s">
        <v>#N/A N/A</v>
        <stp/>
        <stp>BDP|361136781826676562</stp>
        <tr r="A2072" s="2"/>
      </tp>
      <tp t="s">
        <v>#N/A N/A</v>
        <stp/>
        <stp>BDP|930753096967339389</stp>
        <tr r="A3726" s="2"/>
      </tp>
      <tp t="s">
        <v>#N/A N/A</v>
        <stp/>
        <stp>BDP|999528779629047135</stp>
        <tr r="B3303" s="2"/>
      </tp>
      <tp t="s">
        <v>#N/A N/A</v>
        <stp/>
        <stp>BDP|107249387727411779</stp>
        <tr r="H1139" s="2"/>
      </tp>
      <tp t="s">
        <v>#N/A N/A</v>
        <stp/>
        <stp>BDP|410100281332654122</stp>
        <tr r="H3767" s="2"/>
      </tp>
      <tp t="s">
        <v>#N/A N/A</v>
        <stp/>
        <stp>BDP|239658688474511085</stp>
        <tr r="I2480" s="2"/>
      </tp>
      <tp t="s">
        <v>#N/A N/A</v>
        <stp/>
        <stp>BDP|164585089246767159</stp>
        <tr r="H3011" s="2"/>
      </tp>
      <tp t="s">
        <v>#N/A N/A</v>
        <stp/>
        <stp>BDP|855568986280881728</stp>
        <tr r="D3626" s="2"/>
      </tp>
      <tp t="s">
        <v>#N/A N/A</v>
        <stp/>
        <stp>BDP|213539064419295059</stp>
        <tr r="H2184" s="2"/>
      </tp>
      <tp t="s">
        <v>#N/A N/A</v>
        <stp/>
        <stp>BDP|483863625747284779</stp>
        <tr r="F3240" s="2"/>
      </tp>
      <tp t="s">
        <v>#N/A N/A</v>
        <stp/>
        <stp>BDP|872507026688948553</stp>
        <tr r="G2612" s="2"/>
      </tp>
      <tp t="s">
        <v>#N/A N/A</v>
        <stp/>
        <stp>BDP|235233951325277802</stp>
        <tr r="C1540" s="2"/>
      </tp>
      <tp t="s">
        <v>#N/A N/A</v>
        <stp/>
        <stp>BDP|574220408188871054</stp>
        <tr r="F3809" s="2"/>
      </tp>
      <tp t="s">
        <v>#N/A N/A</v>
        <stp/>
        <stp>BDP|733710089684461188</stp>
        <tr r="A4719" s="2"/>
      </tp>
      <tp t="s">
        <v>#N/A N/A</v>
        <stp/>
        <stp>BDP|388205213539213019</stp>
        <tr r="B764" s="2"/>
      </tp>
      <tp t="s">
        <v>#N/A N/A</v>
        <stp/>
        <stp>BDP|162622524586472806</stp>
        <tr r="C3257" s="2"/>
      </tp>
      <tp t="s">
        <v>#N/A N/A</v>
        <stp/>
        <stp>BDP|191248725723639952</stp>
        <tr r="C3035" s="2"/>
      </tp>
      <tp t="s">
        <v>#N/A N/A</v>
        <stp/>
        <stp>BDP|444777383463078634</stp>
        <tr r="I4314" s="2"/>
      </tp>
      <tp t="s">
        <v>#N/A N/A</v>
        <stp/>
        <stp>BDP|222543031234177851</stp>
        <tr r="A4276" s="2"/>
      </tp>
      <tp t="s">
        <v>#N/A N/A</v>
        <stp/>
        <stp>BDP|712353108764085</stp>
        <tr r="F3572" s="2"/>
      </tp>
      <tp t="s">
        <v>#N/A N/A</v>
        <stp/>
        <stp>BDP|441065753904588</stp>
        <tr r="F315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workbookViewId="0">
      <selection activeCell="F2" sqref="F2"/>
    </sheetView>
  </sheetViews>
  <sheetFormatPr defaultRowHeight="15" x14ac:dyDescent="0.25"/>
  <cols>
    <col min="1" max="4" width="9.140625" bestFit="1" customWidth="1"/>
    <col min="5" max="5" width="11" bestFit="1" customWidth="1"/>
    <col min="6" max="9" width="9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t="str">
        <f>_xll.BDP("FNMA5736 Mtge","ID_CUSIP")</f>
        <v>31418FLS4</v>
      </c>
      <c r="B2" t="str">
        <f>_xll.BDP("FNMA5736 Mtge","SECURITY_NAME")</f>
        <v>FN MA5736</v>
      </c>
      <c r="C2" t="str">
        <f>_xll.BDP("FNMA5736 Mtge","GENERIC_TICKER_VINTAGE")</f>
        <v>FNCL 6 2025</v>
      </c>
      <c r="D2" t="str">
        <f>_xll.BDP("FNMA5736 Mtge","CRNCY")</f>
        <v>USD</v>
      </c>
      <c r="E2">
        <v>2848681761</v>
      </c>
      <c r="F2">
        <f>_xll.BDP("FNMA5736 Mtge","CPN")</f>
        <v>6</v>
      </c>
      <c r="G2">
        <f>_xll.BDP("FNMA5736 Mtge","MTG_FACTOR")</f>
        <v>0.81622380000000005</v>
      </c>
      <c r="H2">
        <f>_xll.BDP("FNMA5736 Mtge","MTG_WAL")</f>
        <v>3.2906</v>
      </c>
      <c r="I2" t="str">
        <f>_xll.BDP("FNMA5736 Mtge","MTG_ORIG_WAL")</f>
        <v>#N/A N/A</v>
      </c>
    </row>
    <row r="3" spans="1:9" x14ac:dyDescent="0.25">
      <c r="A3" t="str">
        <f>_xll.BDP("FNFS0302 Mtge","ID_CUSIP")</f>
        <v>3140XFKQ3</v>
      </c>
      <c r="B3" t="str">
        <f>_xll.BDP("FNFS0302 Mtge","SECURITY_NAME")</f>
        <v>FN FS0302</v>
      </c>
      <c r="C3" t="str">
        <f>_xll.BDP("FNFS0302 Mtge","GENERIC_TICKER_VINTAGE")</f>
        <v>FNCL 3 2021</v>
      </c>
      <c r="D3" t="str">
        <f>_xll.BDP("FNFS0302 Mtge","CRNCY")</f>
        <v>USD</v>
      </c>
      <c r="E3">
        <v>25708860</v>
      </c>
      <c r="F3">
        <f>_xll.BDP("FNFS0302 Mtge","CPN")</f>
        <v>3</v>
      </c>
      <c r="G3">
        <f>_xll.BDP("FNFS0302 Mtge","MTG_FACTOR")</f>
        <v>0.80936437999999999</v>
      </c>
      <c r="H3">
        <f>_xll.BDP("FNFS0302 Mtge","MTG_WAL")</f>
        <v>8.2255000000000003</v>
      </c>
      <c r="I3" t="str">
        <f>_xll.BDP("FNFS0302 Mtge","MTG_ORIG_WAL")</f>
        <v>#N/A N/A</v>
      </c>
    </row>
    <row r="4" spans="1:9" x14ac:dyDescent="0.25">
      <c r="A4" t="str">
        <f>_xll.BDP("!!03NNFR Mtge","ID_CUSIP")</f>
        <v>3137HMDB3</v>
      </c>
      <c r="B4" t="str">
        <f>_xll.BDP("!!03NNFR Mtge","SECURITY_NAME")</f>
        <v>FHR 5564 ME</v>
      </c>
      <c r="C4" t="str">
        <f>_xll.BDP("!!03NNFR Mtge","GENERIC_TICKER_VINTAGE")</f>
        <v>FNCL 6 2025</v>
      </c>
      <c r="D4" t="str">
        <f>_xll.BDP("!!03NNFR Mtge","CRNCY")</f>
        <v>USD</v>
      </c>
      <c r="E4">
        <v>272855828</v>
      </c>
      <c r="F4">
        <f>_xll.BDP("!!03NNFR Mtge","CPN")</f>
        <v>5</v>
      </c>
      <c r="G4">
        <f>_xll.BDP("!!03NNFR Mtge","MTG_FACTOR")</f>
        <v>0.96588156999999997</v>
      </c>
      <c r="H4">
        <f>_xll.BDP("!!03NNFR Mtge","MTG_WAL")</f>
        <v>3.5781000000000001</v>
      </c>
      <c r="I4">
        <f>_xll.BDP("!!03NNFR Mtge","MTG_ORIG_WAL")</f>
        <v>6.1</v>
      </c>
    </row>
    <row r="5" spans="1:9" x14ac:dyDescent="0.25">
      <c r="A5" t="str">
        <f>_xll.BDP("!!03MKR1 Mtge","ID_CUSIP")</f>
        <v>3136BWCP9</v>
      </c>
      <c r="B5" t="str">
        <f>_xll.BDP("!!03MKR1 Mtge","SECURITY_NAME")</f>
        <v>FNR 2025-44 BA</v>
      </c>
      <c r="C5" t="str">
        <f>_xll.BDP("!!03MKR1 Mtge","GENERIC_TICKER_VINTAGE")</f>
        <v>FNCL 6 2025</v>
      </c>
      <c r="D5" t="str">
        <f>_xll.BDP("!!03MKR1 Mtge","CRNCY")</f>
        <v>USD</v>
      </c>
      <c r="E5">
        <v>54986000</v>
      </c>
      <c r="F5">
        <f>_xll.BDP("!!03MKR1 Mtge","CPN")</f>
        <v>5</v>
      </c>
      <c r="G5">
        <f>_xll.BDP("!!03MKR1 Mtge","MTG_FACTOR")</f>
        <v>0.83457634999999997</v>
      </c>
      <c r="H5">
        <f>_xll.BDP("!!03MKR1 Mtge","MTG_WAL")</f>
        <v>1.6652</v>
      </c>
      <c r="I5">
        <f>_xll.BDP("!!03MKR1 Mtge","MTG_ORIG_WAL")</f>
        <v>3.9799500000000001</v>
      </c>
    </row>
    <row r="6" spans="1:9" x14ac:dyDescent="0.25">
      <c r="A6" t="str">
        <f>_xll.BDP("!!03NKHS Mtge","ID_CUSIP")</f>
        <v>3137HMFX3</v>
      </c>
      <c r="B6" t="str">
        <f>_xll.BDP("!!03NKHS Mtge","SECURITY_NAME")</f>
        <v>FHR 5565 CT</v>
      </c>
      <c r="C6" t="str">
        <f>_xll.BDP("!!03NKHS Mtge","GENERIC_TICKER_VINTAGE")</f>
        <v>FNCL 6 2025</v>
      </c>
      <c r="D6" t="str">
        <f>_xll.BDP("!!03NKHS Mtge","CRNCY")</f>
        <v>USD</v>
      </c>
      <c r="E6">
        <v>164195349</v>
      </c>
      <c r="F6">
        <f>_xll.BDP("!!03NKHS Mtge","CPN")</f>
        <v>5</v>
      </c>
      <c r="G6">
        <f>_xll.BDP("!!03NKHS Mtge","MTG_FACTOR")</f>
        <v>0.92958481000000004</v>
      </c>
      <c r="H6">
        <f>_xll.BDP("!!03NKHS Mtge","MTG_WAL")</f>
        <v>3.3105000000000002</v>
      </c>
      <c r="I6">
        <f>_xll.BDP("!!03NKHS Mtge","MTG_ORIG_WAL")</f>
        <v>6.2</v>
      </c>
    </row>
    <row r="7" spans="1:9" x14ac:dyDescent="0.25">
      <c r="A7" t="str">
        <f>_xll.BDP("FRRQ0014 Mtge","ID_CUSIP")</f>
        <v>3142J6AQ6</v>
      </c>
      <c r="B7" t="str">
        <f>_xll.BDP("FRRQ0014 Mtge","SECURITY_NAME")</f>
        <v>FR RQ0014</v>
      </c>
      <c r="C7" t="str">
        <f>_xll.BDP("FRRQ0014 Mtge","GENERIC_TICKER_VINTAGE")</f>
        <v>FNCL 6 2025</v>
      </c>
      <c r="D7" t="str">
        <f>_xll.BDP("FRRQ0014 Mtge","CRNCY")</f>
        <v>USD</v>
      </c>
      <c r="E7">
        <v>3898168975</v>
      </c>
      <c r="F7">
        <f>_xll.BDP("FRRQ0014 Mtge","CPN")</f>
        <v>6</v>
      </c>
      <c r="G7">
        <f>_xll.BDP("FRRQ0014 Mtge","MTG_FACTOR")</f>
        <v>0.79173642</v>
      </c>
      <c r="H7">
        <f>_xll.BDP("FRRQ0014 Mtge","MTG_WAL")</f>
        <v>3.2913000000000001</v>
      </c>
      <c r="I7" t="str">
        <f>_xll.BDP("FRRQ0014 Mtge","MTG_ORIG_WAL")</f>
        <v>#N/A N/A</v>
      </c>
    </row>
    <row r="8" spans="1:9" x14ac:dyDescent="0.25">
      <c r="A8" t="str">
        <f>_xll.BDP("FNMA5761 Mtge","ID_CUSIP")</f>
        <v>31418FMK0</v>
      </c>
      <c r="B8" t="str">
        <f>_xll.BDP("FNMA5761 Mtge","SECURITY_NAME")</f>
        <v>FN MA5761</v>
      </c>
      <c r="C8" t="str">
        <f>_xll.BDP("FNMA5761 Mtge","GENERIC_TICKER_VINTAGE")</f>
        <v>FNCL 6 2025</v>
      </c>
      <c r="D8" t="str">
        <f>_xll.BDP("FNMA5761 Mtge","CRNCY")</f>
        <v>USD</v>
      </c>
      <c r="E8">
        <v>3893812693</v>
      </c>
      <c r="F8">
        <f>_xll.BDP("FNMA5761 Mtge","CPN")</f>
        <v>6</v>
      </c>
      <c r="G8">
        <f>_xll.BDP("FNMA5761 Mtge","MTG_FACTOR")</f>
        <v>0.81678128999999999</v>
      </c>
      <c r="H8">
        <f>_xll.BDP("FNMA5761 Mtge","MTG_WAL")</f>
        <v>3.3416999999999999</v>
      </c>
      <c r="I8" t="str">
        <f>_xll.BDP("FNMA5761 Mtge","MTG_ORIG_WAL")</f>
        <v>#N/A N/A</v>
      </c>
    </row>
    <row r="9" spans="1:9" x14ac:dyDescent="0.25">
      <c r="A9" t="str">
        <f>_xll.BDP("!!03LSWV Mtge","ID_CUSIP")</f>
        <v>3137HLEG3</v>
      </c>
      <c r="B9" t="str">
        <f>_xll.BDP("!!03LSWV Mtge","SECURITY_NAME")</f>
        <v>FHR 5534 FD</v>
      </c>
      <c r="C9" t="str">
        <f>_xll.BDP("!!03LSWV Mtge","GENERIC_TICKER_VINTAGE")</f>
        <v>FNCL 6 2025</v>
      </c>
      <c r="D9" t="str">
        <f>_xll.BDP("!!03LSWV Mtge","CRNCY")</f>
        <v>USD</v>
      </c>
      <c r="E9">
        <v>147227535</v>
      </c>
      <c r="F9">
        <f>_xll.BDP("!!03LSWV Mtge","CPN")</f>
        <v>4.9172099999999999</v>
      </c>
      <c r="G9">
        <f>_xll.BDP("!!03LSWV Mtge","MTG_FACTOR")</f>
        <v>0.71002679999999996</v>
      </c>
      <c r="H9">
        <f>_xll.BDP("!!03LSWV Mtge","MTG_WAL")</f>
        <v>2.9784999999999999</v>
      </c>
      <c r="I9">
        <f>_xll.BDP("!!03LSWV Mtge","MTG_ORIG_WAL")</f>
        <v>5.0999999999999996</v>
      </c>
    </row>
    <row r="10" spans="1:9" x14ac:dyDescent="0.25">
      <c r="A10" t="str">
        <f>_xll.BDP("FNMA5701 Mtge","ID_CUSIP")</f>
        <v>31418FKP1</v>
      </c>
      <c r="B10" t="str">
        <f>_xll.BDP("FNMA5701 Mtge","SECURITY_NAME")</f>
        <v>FN MA5701</v>
      </c>
      <c r="C10" t="str">
        <f>_xll.BDP("FNMA5701 Mtge","GENERIC_TICKER_VINTAGE")</f>
        <v>FNCL 6 2025</v>
      </c>
      <c r="D10" t="str">
        <f>_xll.BDP("FNMA5701 Mtge","CRNCY")</f>
        <v>USD</v>
      </c>
      <c r="E10">
        <v>2155348949</v>
      </c>
      <c r="F10">
        <f>_xll.BDP("FNMA5701 Mtge","CPN")</f>
        <v>6</v>
      </c>
      <c r="G10">
        <f>_xll.BDP("FNMA5701 Mtge","MTG_FACTOR")</f>
        <v>0.74709446000000002</v>
      </c>
      <c r="H10">
        <f>_xll.BDP("FNMA5701 Mtge","MTG_WAL")</f>
        <v>3.2448999999999999</v>
      </c>
      <c r="I10" t="str">
        <f>_xll.BDP("FNMA5701 Mtge","MTG_ORIG_WAL")</f>
        <v>#N/A N/A</v>
      </c>
    </row>
    <row r="11" spans="1:9" x14ac:dyDescent="0.25">
      <c r="A11" t="str">
        <f>_xll.BDP("!!03NKLD Mtge","ID_CUSIP")</f>
        <v>3137HMHA1</v>
      </c>
      <c r="B11" t="str">
        <f>_xll.BDP("!!03NKLD Mtge","SECURITY_NAME")</f>
        <v>FHR 5566 A</v>
      </c>
      <c r="C11" t="str">
        <f>_xll.BDP("!!03NKLD Mtge","GENERIC_TICKER_VINTAGE")</f>
        <v>FNCL 6 2025</v>
      </c>
      <c r="D11" t="str">
        <f>_xll.BDP("!!03NKLD Mtge","CRNCY")</f>
        <v>USD</v>
      </c>
      <c r="E11">
        <v>47536000</v>
      </c>
      <c r="F11">
        <f>_xll.BDP("!!03NKLD Mtge","CPN")</f>
        <v>5</v>
      </c>
      <c r="G11">
        <f>_xll.BDP("!!03NKLD Mtge","MTG_FACTOR")</f>
        <v>0.82025053999999997</v>
      </c>
      <c r="H11">
        <f>_xll.BDP("!!03NKLD Mtge","MTG_WAL")</f>
        <v>1.7839</v>
      </c>
      <c r="I11">
        <f>_xll.BDP("!!03NKLD Mtge","MTG_ORIG_WAL")</f>
        <v>3.8</v>
      </c>
    </row>
    <row r="12" spans="1:9" x14ac:dyDescent="0.25">
      <c r="A12" t="str">
        <f>_xll.BDP("!!03MHB0 Mtge","ID_CUSIP")</f>
        <v>3136BWFC5</v>
      </c>
      <c r="B12" t="str">
        <f>_xll.BDP("!!03MHB0 Mtge","SECURITY_NAME")</f>
        <v>FNR 2025-45 AC</v>
      </c>
      <c r="C12" t="str">
        <f>_xll.BDP("!!03MHB0 Mtge","GENERIC_TICKER_VINTAGE")</f>
        <v>FNCL 6 2025</v>
      </c>
      <c r="D12" t="str">
        <f>_xll.BDP("!!03MHB0 Mtge","CRNCY")</f>
        <v>USD</v>
      </c>
      <c r="E12">
        <v>51867000</v>
      </c>
      <c r="F12">
        <f>_xll.BDP("!!03MHB0 Mtge","CPN")</f>
        <v>5</v>
      </c>
      <c r="G12">
        <f>_xll.BDP("!!03MHB0 Mtge","MTG_FACTOR")</f>
        <v>0.85499882999999999</v>
      </c>
      <c r="H12">
        <f>_xll.BDP("!!03MHB0 Mtge","MTG_WAL")</f>
        <v>1.7585999999999999</v>
      </c>
      <c r="I12">
        <f>_xll.BDP("!!03MHB0 Mtge","MTG_ORIG_WAL")</f>
        <v>3.8</v>
      </c>
    </row>
    <row r="13" spans="1:9" x14ac:dyDescent="0.25">
      <c r="A13" t="str">
        <f>_xll.BDP("!!03MG4M Mtge","ID_CUSIP")</f>
        <v>3136BWCY0</v>
      </c>
      <c r="B13" t="str">
        <f>_xll.BDP("!!03MG4M Mtge","SECURITY_NAME")</f>
        <v>FNR 2025-44 DA</v>
      </c>
      <c r="C13" t="str">
        <f>_xll.BDP("!!03MG4M Mtge","GENERIC_TICKER_VINTAGE")</f>
        <v>FNCL 6 2025</v>
      </c>
      <c r="D13" t="str">
        <f>_xll.BDP("!!03MG4M Mtge","CRNCY")</f>
        <v>USD</v>
      </c>
      <c r="E13">
        <v>58557000</v>
      </c>
      <c r="F13">
        <f>_xll.BDP("!!03MG4M Mtge","CPN")</f>
        <v>5</v>
      </c>
      <c r="G13">
        <f>_xll.BDP("!!03MG4M Mtge","MTG_FACTOR")</f>
        <v>0.73885489000000004</v>
      </c>
      <c r="H13">
        <f>_xll.BDP("!!03MG4M Mtge","MTG_WAL")</f>
        <v>1.5719000000000001</v>
      </c>
      <c r="I13">
        <f>_xll.BDP("!!03MG4M Mtge","MTG_ORIG_WAL")</f>
        <v>3.8764500000000002</v>
      </c>
    </row>
    <row r="14" spans="1:9" x14ac:dyDescent="0.25">
      <c r="A14" t="str">
        <f>_xll.BDP("FRRQ0028 Mtge","ID_CUSIP")</f>
        <v>3142J6A60</v>
      </c>
      <c r="B14" t="str">
        <f>_xll.BDP("FRRQ0028 Mtge","SECURITY_NAME")</f>
        <v>FR RQ0028</v>
      </c>
      <c r="C14" t="str">
        <f>_xll.BDP("FRRQ0028 Mtge","GENERIC_TICKER_VINTAGE")</f>
        <v>FNCL 6 2025</v>
      </c>
      <c r="D14" t="str">
        <f>_xll.BDP("FRRQ0028 Mtge","CRNCY")</f>
        <v>USD</v>
      </c>
      <c r="E14">
        <v>4994849832</v>
      </c>
      <c r="F14">
        <f>_xll.BDP("FRRQ0028 Mtge","CPN")</f>
        <v>6</v>
      </c>
      <c r="G14">
        <f>_xll.BDP("FRRQ0028 Mtge","MTG_FACTOR")</f>
        <v>0.80728390999999999</v>
      </c>
      <c r="H14">
        <f>_xll.BDP("FRRQ0028 Mtge","MTG_WAL")</f>
        <v>3.3414999999999999</v>
      </c>
      <c r="I14" t="str">
        <f>_xll.BDP("FRRQ0028 Mtge","MTG_ORIG_WAL")</f>
        <v>#N/A N/A</v>
      </c>
    </row>
    <row r="15" spans="1:9" x14ac:dyDescent="0.25">
      <c r="A15" t="str">
        <f>_xll.BDP("!!03MZG6 Mtge","ID_CUSIP")</f>
        <v>3137HM2J8</v>
      </c>
      <c r="B15" t="str">
        <f>_xll.BDP("!!03MZG6 Mtge","SECURITY_NAME")</f>
        <v>FHR 5555 ET</v>
      </c>
      <c r="C15" t="str">
        <f>_xll.BDP("!!03MZG6 Mtge","GENERIC_TICKER_VINTAGE")</f>
        <v>FNCL 6 2025</v>
      </c>
      <c r="D15" t="str">
        <f>_xll.BDP("!!03MZG6 Mtge","CRNCY")</f>
        <v>USD</v>
      </c>
      <c r="E15">
        <v>41217632</v>
      </c>
      <c r="F15">
        <f>_xll.BDP("!!03MZG6 Mtge","CPN")</f>
        <v>5</v>
      </c>
      <c r="G15">
        <f>_xll.BDP("!!03MZG6 Mtge","MTG_FACTOR")</f>
        <v>0.94529512000000004</v>
      </c>
      <c r="H15">
        <f>_xll.BDP("!!03MZG6 Mtge","MTG_WAL")</f>
        <v>3.1257000000000001</v>
      </c>
      <c r="I15">
        <f>_xll.BDP("!!03MZG6 Mtge","MTG_ORIG_WAL")</f>
        <v>6.5</v>
      </c>
    </row>
    <row r="16" spans="1:9" x14ac:dyDescent="0.25">
      <c r="A16" t="str">
        <f>_xll.BDP("FRSL1570 Mtge","ID_CUSIP")</f>
        <v>31427NW88</v>
      </c>
      <c r="B16" t="str">
        <f>_xll.BDP("FRSL1570 Mtge","SECURITY_NAME")</f>
        <v>FR SL1570</v>
      </c>
      <c r="C16" t="str">
        <f>_xll.BDP("FRSL1570 Mtge","GENERIC_TICKER_VINTAGE")</f>
        <v>FNCL 6 2025</v>
      </c>
      <c r="D16" t="str">
        <f>_xll.BDP("FRSL1570 Mtge","CRNCY")</f>
        <v>USD</v>
      </c>
      <c r="E16">
        <v>107873998</v>
      </c>
      <c r="F16">
        <f>_xll.BDP("FRSL1570 Mtge","CPN")</f>
        <v>6</v>
      </c>
      <c r="G16">
        <f>_xll.BDP("FRSL1570 Mtge","MTG_FACTOR")</f>
        <v>0.81410939000000004</v>
      </c>
      <c r="H16">
        <f>_xll.BDP("FRSL1570 Mtge","MTG_WAL")</f>
        <v>3.3445999999999998</v>
      </c>
      <c r="I16" t="str">
        <f>_xll.BDP("FRSL1570 Mtge","MTG_ORIG_WAL")</f>
        <v>#N/A N/A</v>
      </c>
    </row>
    <row r="17" spans="1:9" x14ac:dyDescent="0.25">
      <c r="A17" t="str">
        <f>_xll.BDP("!!03MTQG Mtge","ID_CUSIP")</f>
        <v>3137HM5U0</v>
      </c>
      <c r="B17" t="str">
        <f>_xll.BDP("!!03MTQG Mtge","SECURITY_NAME")</f>
        <v>FHR 5561 GA</v>
      </c>
      <c r="C17" t="str">
        <f>_xll.BDP("!!03MTQG Mtge","GENERIC_TICKER_VINTAGE")</f>
        <v>FNCL 6 2025</v>
      </c>
      <c r="D17" t="str">
        <f>_xll.BDP("!!03MTQG Mtge","CRNCY")</f>
        <v>USD</v>
      </c>
      <c r="E17">
        <v>100000000</v>
      </c>
      <c r="F17">
        <f>_xll.BDP("!!03MTQG Mtge","CPN")</f>
        <v>4.5</v>
      </c>
      <c r="G17">
        <f>_xll.BDP("!!03MTQG Mtge","MTG_FACTOR")</f>
        <v>0.79721315999999998</v>
      </c>
      <c r="H17">
        <f>_xll.BDP("!!03MTQG Mtge","MTG_WAL")</f>
        <v>3.1694</v>
      </c>
      <c r="I17">
        <f>_xll.BDP("!!03MTQG Mtge","MTG_ORIG_WAL")</f>
        <v>5.8</v>
      </c>
    </row>
    <row r="18" spans="1:9" x14ac:dyDescent="0.25">
      <c r="A18" t="str">
        <f>_xll.BDP("FNCC0590 Mtge","ID_CUSIP")</f>
        <v>3140Y6UQ1</v>
      </c>
      <c r="B18" t="str">
        <f>_xll.BDP("FNCC0590 Mtge","SECURITY_NAME")</f>
        <v>FN CC0590</v>
      </c>
      <c r="C18" t="str">
        <f>_xll.BDP("FNCC0590 Mtge","GENERIC_TICKER_VINTAGE")</f>
        <v>FNCL 6 2025</v>
      </c>
      <c r="D18" t="str">
        <f>_xll.BDP("FNCC0590 Mtge","CRNCY")</f>
        <v>USD</v>
      </c>
      <c r="E18">
        <v>108065988</v>
      </c>
      <c r="F18">
        <f>_xll.BDP("FNCC0590 Mtge","CPN")</f>
        <v>6</v>
      </c>
      <c r="G18">
        <f>_xll.BDP("FNCC0590 Mtge","MTG_FACTOR")</f>
        <v>0.91402947999999995</v>
      </c>
      <c r="H18">
        <f>_xll.BDP("FNCC0590 Mtge","MTG_WAL")</f>
        <v>3.2856000000000001</v>
      </c>
      <c r="I18" t="str">
        <f>_xll.BDP("FNCC0590 Mtge","MTG_ORIG_WAL")</f>
        <v>#N/A N/A</v>
      </c>
    </row>
    <row r="19" spans="1:9" x14ac:dyDescent="0.25">
      <c r="A19" t="str">
        <f>_xll.BDP("!!03NN79 Mtge","ID_CUSIP")</f>
        <v>3137HMNH9</v>
      </c>
      <c r="B19" t="str">
        <f>_xll.BDP("!!03NN79 Mtge","SECURITY_NAME")</f>
        <v>FHR 5565 MF</v>
      </c>
      <c r="C19" t="str">
        <f>_xll.BDP("!!03NN79 Mtge","GENERIC_TICKER_VINTAGE")</f>
        <v>FNCL 6 2025</v>
      </c>
      <c r="D19" t="str">
        <f>_xll.BDP("!!03NN79 Mtge","CRNCY")</f>
        <v>USD</v>
      </c>
      <c r="E19">
        <v>192755532</v>
      </c>
      <c r="F19">
        <f>_xll.BDP("!!03NN79 Mtge","CPN")</f>
        <v>5.2672100000000004</v>
      </c>
      <c r="G19">
        <f>_xll.BDP("!!03NN79 Mtge","MTG_FACTOR")</f>
        <v>0.73671222999999997</v>
      </c>
      <c r="H19">
        <f>_xll.BDP("!!03NN79 Mtge","MTG_WAL")</f>
        <v>2.9784999999999999</v>
      </c>
      <c r="I19">
        <f>_xll.BDP("!!03NN79 Mtge","MTG_ORIG_WAL")</f>
        <v>6.1</v>
      </c>
    </row>
    <row r="20" spans="1:9" x14ac:dyDescent="0.25">
      <c r="A20" t="str">
        <f>_xll.BDP("!!03N6X8 Mtge","ID_CUSIP")</f>
        <v>3137HMDN7</v>
      </c>
      <c r="B20" t="str">
        <f>_xll.BDP("!!03N6X8 Mtge","SECURITY_NAME")</f>
        <v>FHR 5564 PE</v>
      </c>
      <c r="C20" t="str">
        <f>_xll.BDP("!!03N6X8 Mtge","GENERIC_TICKER_VINTAGE")</f>
        <v>FNCL 6 2025</v>
      </c>
      <c r="D20" t="str">
        <f>_xll.BDP("!!03N6X8 Mtge","CRNCY")</f>
        <v>USD</v>
      </c>
      <c r="E20">
        <v>247602000</v>
      </c>
      <c r="F20">
        <f>_xll.BDP("!!03N6X8 Mtge","CPN")</f>
        <v>5</v>
      </c>
      <c r="G20">
        <f>_xll.BDP("!!03N6X8 Mtge","MTG_FACTOR")</f>
        <v>0.96240170999999997</v>
      </c>
      <c r="H20">
        <f>_xll.BDP("!!03N6X8 Mtge","MTG_WAL")</f>
        <v>2.8997000000000002</v>
      </c>
      <c r="I20">
        <f>_xll.BDP("!!03N6X8 Mtge","MTG_ORIG_WAL")</f>
        <v>5</v>
      </c>
    </row>
    <row r="21" spans="1:9" x14ac:dyDescent="0.25">
      <c r="A21" t="str">
        <f>_xll.BDP("!!03MB43 Mtge","ID_CUSIP")</f>
        <v>3136BWFN1</v>
      </c>
      <c r="B21" t="str">
        <f>_xll.BDP("!!03MB43 Mtge","SECURITY_NAME")</f>
        <v>FNR 2025-45 AT</v>
      </c>
      <c r="C21" t="str">
        <f>_xll.BDP("!!03MB43 Mtge","GENERIC_TICKER_VINTAGE")</f>
        <v>FNCL 6 2025</v>
      </c>
      <c r="D21" t="str">
        <f>_xll.BDP("!!03MB43 Mtge","CRNCY")</f>
        <v>USD</v>
      </c>
      <c r="E21">
        <v>75000000</v>
      </c>
      <c r="F21">
        <f>_xll.BDP("!!03MB43 Mtge","CPN")</f>
        <v>5</v>
      </c>
      <c r="G21">
        <f>_xll.BDP("!!03MB43 Mtge","MTG_FACTOR")</f>
        <v>0.89972299</v>
      </c>
      <c r="H21">
        <f>_xll.BDP("!!03MB43 Mtge","MTG_WAL")</f>
        <v>3.3125</v>
      </c>
      <c r="I21">
        <f>_xll.BDP("!!03MB43 Mtge","MTG_ORIG_WAL")</f>
        <v>6.5</v>
      </c>
    </row>
    <row r="22" spans="1:9" x14ac:dyDescent="0.25">
      <c r="A22" t="str">
        <f>_xll.BDP("!!03LTKN Mtge","ID_CUSIP")</f>
        <v>3137HL2G6</v>
      </c>
      <c r="B22" t="str">
        <f>_xll.BDP("!!03LTKN Mtge","SECURITY_NAME")</f>
        <v>FHR 5541 EA</v>
      </c>
      <c r="C22" t="str">
        <f>_xll.BDP("!!03LTKN Mtge","GENERIC_TICKER_VINTAGE")</f>
        <v>FNCL 6 2025</v>
      </c>
      <c r="D22" t="str">
        <f>_xll.BDP("!!03LTKN Mtge","CRNCY")</f>
        <v>USD</v>
      </c>
      <c r="E22">
        <v>123682000</v>
      </c>
      <c r="F22">
        <f>_xll.BDP("!!03LTKN Mtge","CPN")</f>
        <v>5</v>
      </c>
      <c r="G22">
        <f>_xll.BDP("!!03LTKN Mtge","MTG_FACTOR")</f>
        <v>0.84300408000000004</v>
      </c>
      <c r="H22">
        <f>_xll.BDP("!!03LTKN Mtge","MTG_WAL")</f>
        <v>1.6729000000000001</v>
      </c>
      <c r="I22">
        <f>_xll.BDP("!!03LTKN Mtge","MTG_ORIG_WAL")</f>
        <v>3.8</v>
      </c>
    </row>
    <row r="23" spans="1:9" x14ac:dyDescent="0.25">
      <c r="A23" t="str">
        <f>_xll.BDP("FRSL1487 Mtge","ID_CUSIP")</f>
        <v>31427NUM9</v>
      </c>
      <c r="B23" t="str">
        <f>_xll.BDP("FRSL1487 Mtge","SECURITY_NAME")</f>
        <v>FR SL1487</v>
      </c>
      <c r="C23" t="str">
        <f>_xll.BDP("FRSL1487 Mtge","GENERIC_TICKER_VINTAGE")</f>
        <v>FNCL 6 2025</v>
      </c>
      <c r="D23" t="str">
        <f>_xll.BDP("FRSL1487 Mtge","CRNCY")</f>
        <v>USD</v>
      </c>
      <c r="E23">
        <v>48044966</v>
      </c>
      <c r="F23">
        <f>_xll.BDP("FRSL1487 Mtge","CPN")</f>
        <v>6</v>
      </c>
      <c r="G23">
        <f>_xll.BDP("FRSL1487 Mtge","MTG_FACTOR")</f>
        <v>0.88853274000000004</v>
      </c>
      <c r="H23">
        <f>_xll.BDP("FRSL1487 Mtge","MTG_WAL")</f>
        <v>3.2867999999999999</v>
      </c>
      <c r="I23" t="str">
        <f>_xll.BDP("FRSL1487 Mtge","MTG_ORIG_WAL")</f>
        <v>#N/A N/A</v>
      </c>
    </row>
    <row r="24" spans="1:9" x14ac:dyDescent="0.25">
      <c r="A24" t="str">
        <f>_xll.BDP("!!03LSRZ Mtge","ID_CUSIP")</f>
        <v>3137HLBE1</v>
      </c>
      <c r="B24" t="str">
        <f>_xll.BDP("!!03LSRZ Mtge","SECURITY_NAME")</f>
        <v>FHR 5537 FA</v>
      </c>
      <c r="C24" t="str">
        <f>_xll.BDP("!!03LSRZ Mtge","GENERIC_TICKER_VINTAGE")</f>
        <v>FNCL 6 2025</v>
      </c>
      <c r="D24" t="str">
        <f>_xll.BDP("!!03LSRZ Mtge","CRNCY")</f>
        <v>USD</v>
      </c>
      <c r="E24">
        <v>198767794</v>
      </c>
      <c r="F24">
        <f>_xll.BDP("!!03LSRZ Mtge","CPN")</f>
        <v>4.9672099999999997</v>
      </c>
      <c r="G24">
        <f>_xll.BDP("!!03LSRZ Mtge","MTG_FACTOR")</f>
        <v>0.71002679999999996</v>
      </c>
      <c r="H24">
        <f>_xll.BDP("!!03LSRZ Mtge","MTG_WAL")</f>
        <v>2.9784999999999999</v>
      </c>
      <c r="I24">
        <f>_xll.BDP("!!03LSRZ Mtge","MTG_ORIG_WAL")</f>
        <v>7.1</v>
      </c>
    </row>
    <row r="25" spans="1:9" x14ac:dyDescent="0.25">
      <c r="A25" t="str">
        <f>_xll.BDP("FRSD8516 Mtge","ID_CUSIP")</f>
        <v>3132DWN90</v>
      </c>
      <c r="B25" t="str">
        <f>_xll.BDP("FRSD8516 Mtge","SECURITY_NAME")</f>
        <v>FR SD8516</v>
      </c>
      <c r="C25" t="str">
        <f>_xll.BDP("FRSD8516 Mtge","GENERIC_TICKER_VINTAGE")</f>
        <v>FNCL 6 2025</v>
      </c>
      <c r="D25" t="str">
        <f>_xll.BDP("FRSD8516 Mtge","CRNCY")</f>
        <v>USD</v>
      </c>
      <c r="E25">
        <v>2675165321</v>
      </c>
      <c r="F25">
        <f>_xll.BDP("FRSD8516 Mtge","CPN")</f>
        <v>6</v>
      </c>
      <c r="G25">
        <f>_xll.BDP("FRSD8516 Mtge","MTG_FACTOR")</f>
        <v>0.70402869000000001</v>
      </c>
      <c r="H25">
        <f>_xll.BDP("FRSD8516 Mtge","MTG_WAL")</f>
        <v>3.1452</v>
      </c>
      <c r="I25" t="str">
        <f>_xll.BDP("FRSD8516 Mtge","MTG_ORIG_WAL")</f>
        <v>#N/A N/A</v>
      </c>
    </row>
    <row r="26" spans="1:9" x14ac:dyDescent="0.25">
      <c r="A26" t="str">
        <f>_xll.BDP("!!03MM1V Mtge","ID_CUSIP")</f>
        <v>3137HLUT7</v>
      </c>
      <c r="B26" t="str">
        <f>_xll.BDP("!!03MM1V Mtge","SECURITY_NAME")</f>
        <v>FHR 5553 BT</v>
      </c>
      <c r="C26" t="str">
        <f>_xll.BDP("!!03MM1V Mtge","GENERIC_TICKER_VINTAGE")</f>
        <v>FNCL 6 2025</v>
      </c>
      <c r="D26" t="str">
        <f>_xll.BDP("!!03MM1V Mtge","CRNCY")</f>
        <v>USD</v>
      </c>
      <c r="E26">
        <v>54203847</v>
      </c>
      <c r="F26">
        <f>_xll.BDP("!!03MM1V Mtge","CPN")</f>
        <v>4.5</v>
      </c>
      <c r="G26">
        <f>_xll.BDP("!!03MM1V Mtge","MTG_FACTOR")</f>
        <v>0.94027384000000003</v>
      </c>
      <c r="H26">
        <f>_xll.BDP("!!03MM1V Mtge","MTG_WAL")</f>
        <v>3.2151999999999998</v>
      </c>
      <c r="I26">
        <f>_xll.BDP("!!03MM1V Mtge","MTG_ORIG_WAL")</f>
        <v>6.4</v>
      </c>
    </row>
    <row r="27" spans="1:9" x14ac:dyDescent="0.25">
      <c r="A27" t="str">
        <f>_xll.BDP("!!03NR56 Mtge","ID_CUSIP")</f>
        <v>3137HMHB9</v>
      </c>
      <c r="B27" t="str">
        <f>_xll.BDP("!!03NR56 Mtge","SECURITY_NAME")</f>
        <v>FHR 5566 AF</v>
      </c>
      <c r="C27" t="str">
        <f>_xll.BDP("!!03NR56 Mtge","GENERIC_TICKER_VINTAGE")</f>
        <v>FNCL 6 2025</v>
      </c>
      <c r="D27" t="str">
        <f>_xll.BDP("!!03NR56 Mtge","CRNCY")</f>
        <v>USD</v>
      </c>
      <c r="E27">
        <v>68379980</v>
      </c>
      <c r="F27">
        <f>_xll.BDP("!!03NR56 Mtge","CPN")</f>
        <v>4.7672100000000004</v>
      </c>
      <c r="G27">
        <f>_xll.BDP("!!03NR56 Mtge","MTG_FACTOR")</f>
        <v>0.87504280999999995</v>
      </c>
      <c r="H27">
        <f>_xll.BDP("!!03NR56 Mtge","MTG_WAL")</f>
        <v>3.2332999999999998</v>
      </c>
      <c r="I27">
        <f>_xll.BDP("!!03NR56 Mtge","MTG_ORIG_WAL")</f>
        <v>6.5</v>
      </c>
    </row>
    <row r="28" spans="1:9" x14ac:dyDescent="0.25">
      <c r="A28" t="str">
        <f>_xll.BDP("FNCA9303 Mtge","ID_CUSIP")</f>
        <v>3140QHKR5</v>
      </c>
      <c r="B28" t="str">
        <f>_xll.BDP("FNCA9303 Mtge","SECURITY_NAME")</f>
        <v>FN CA9303</v>
      </c>
      <c r="C28" t="str">
        <f>_xll.BDP("FNCA9303 Mtge","GENERIC_TICKER_VINTAGE")</f>
        <v>FNCL 3 2021</v>
      </c>
      <c r="D28" t="str">
        <f>_xll.BDP("FNCA9303 Mtge","CRNCY")</f>
        <v>USD</v>
      </c>
      <c r="E28">
        <v>103755349</v>
      </c>
      <c r="F28">
        <f>_xll.BDP("FNCA9303 Mtge","CPN")</f>
        <v>3</v>
      </c>
      <c r="G28">
        <f>_xll.BDP("FNCA9303 Mtge","MTG_FACTOR")</f>
        <v>0.52225169000000005</v>
      </c>
      <c r="H28">
        <f>_xll.BDP("FNCA9303 Mtge","MTG_WAL")</f>
        <v>8.2935999999999996</v>
      </c>
      <c r="I28" t="str">
        <f>_xll.BDP("FNCA9303 Mtge","MTG_ORIG_WAL")</f>
        <v>#N/A N/A</v>
      </c>
    </row>
    <row r="29" spans="1:9" x14ac:dyDescent="0.25">
      <c r="A29" t="str">
        <f>_xll.BDP("!!03LSWX Mtge","ID_CUSIP")</f>
        <v>3137HKZS6</v>
      </c>
      <c r="B29" t="str">
        <f>_xll.BDP("!!03LSWX Mtge","SECURITY_NAME")</f>
        <v>FHR 5541 DA</v>
      </c>
      <c r="C29" t="str">
        <f>_xll.BDP("!!03LSWX Mtge","GENERIC_TICKER_VINTAGE")</f>
        <v>FNCL 6 2025</v>
      </c>
      <c r="D29" t="str">
        <f>_xll.BDP("!!03LSWX Mtge","CRNCY")</f>
        <v>USD</v>
      </c>
      <c r="E29">
        <v>58323000</v>
      </c>
      <c r="F29">
        <f>_xll.BDP("!!03LSWX Mtge","CPN")</f>
        <v>5</v>
      </c>
      <c r="G29">
        <f>_xll.BDP("!!03LSWX Mtge","MTG_FACTOR")</f>
        <v>0.79720420999999997</v>
      </c>
      <c r="H29">
        <f>_xll.BDP("!!03LSWX Mtge","MTG_WAL")</f>
        <v>1.6915</v>
      </c>
      <c r="I29">
        <f>_xll.BDP("!!03LSWX Mtge","MTG_ORIG_WAL")</f>
        <v>3.9</v>
      </c>
    </row>
    <row r="30" spans="1:9" x14ac:dyDescent="0.25">
      <c r="A30" t="str">
        <f>_xll.BDP("!!03N8GQ Mtge","ID_CUSIP")</f>
        <v>3137HMCN8</v>
      </c>
      <c r="B30" t="str">
        <f>_xll.BDP("!!03N8GQ Mtge","SECURITY_NAME")</f>
        <v>FHR 5564 BA</v>
      </c>
      <c r="C30" t="str">
        <f>_xll.BDP("!!03N8GQ Mtge","GENERIC_TICKER_VINTAGE")</f>
        <v>FNCL 6 2025</v>
      </c>
      <c r="D30" t="str">
        <f>_xll.BDP("!!03N8GQ Mtge","CRNCY")</f>
        <v>USD</v>
      </c>
      <c r="E30">
        <v>99360000</v>
      </c>
      <c r="F30">
        <f>_xll.BDP("!!03N8GQ Mtge","CPN")</f>
        <v>5</v>
      </c>
      <c r="G30">
        <f>_xll.BDP("!!03N8GQ Mtge","MTG_FACTOR")</f>
        <v>0.90871383999999999</v>
      </c>
      <c r="H30">
        <f>_xll.BDP("!!03N8GQ Mtge","MTG_WAL")</f>
        <v>1.8581000000000001</v>
      </c>
      <c r="I30">
        <f>_xll.BDP("!!03N8GQ Mtge","MTG_ORIG_WAL")</f>
        <v>3.8</v>
      </c>
    </row>
    <row r="31" spans="1:9" x14ac:dyDescent="0.25">
      <c r="A31" t="str">
        <f>_xll.BDP("!!03NNG4 Mtge","ID_CUSIP")</f>
        <v>3137HME55</v>
      </c>
      <c r="B31" t="str">
        <f>_xll.BDP("!!03NNG4 Mtge","SECURITY_NAME")</f>
        <v>FHR 5564 SB</v>
      </c>
      <c r="C31" t="str">
        <f>_xll.BDP("!!03NNG4 Mtge","GENERIC_TICKER_VINTAGE")</f>
        <v>FNCL 6 2025</v>
      </c>
      <c r="D31" t="str">
        <f>_xll.BDP("!!03NNG4 Mtge","CRNCY")</f>
        <v>USD</v>
      </c>
      <c r="E31">
        <v>140000000</v>
      </c>
      <c r="F31">
        <f>_xll.BDP("!!03NNG4 Mtge","CPN")</f>
        <v>2.13279</v>
      </c>
      <c r="G31">
        <f>_xll.BDP("!!03NNG4 Mtge","MTG_FACTOR")</f>
        <v>0.93521290000000001</v>
      </c>
      <c r="H31">
        <f>_xll.BDP("!!03NNG4 Mtge","MTG_WAL")</f>
        <v>3.2904</v>
      </c>
      <c r="I31">
        <f>_xll.BDP("!!03NNG4 Mtge","MTG_ORIG_WAL")</f>
        <v>6.5</v>
      </c>
    </row>
    <row r="32" spans="1:9" x14ac:dyDescent="0.25">
      <c r="A32" t="str">
        <f>_xll.BDP("FRRA4934 Mtge","ID_CUSIP")</f>
        <v>3133KLPT8</v>
      </c>
      <c r="B32" t="str">
        <f>_xll.BDP("FRRA4934 Mtge","SECURITY_NAME")</f>
        <v>FR RA4934</v>
      </c>
      <c r="C32" t="str">
        <f>_xll.BDP("FRRA4934 Mtge","GENERIC_TICKER_VINTAGE")</f>
        <v>FNCL 3 2021</v>
      </c>
      <c r="D32" t="str">
        <f>_xll.BDP("FRRA4934 Mtge","CRNCY")</f>
        <v>USD</v>
      </c>
      <c r="E32">
        <v>200000790</v>
      </c>
      <c r="F32">
        <f>_xll.BDP("FRRA4934 Mtge","CPN")</f>
        <v>3</v>
      </c>
      <c r="G32">
        <f>_xll.BDP("FRRA4934 Mtge","MTG_FACTOR")</f>
        <v>0.63866060000000002</v>
      </c>
      <c r="H32">
        <f>_xll.BDP("FRRA4934 Mtge","MTG_WAL")</f>
        <v>8.2950999999999997</v>
      </c>
      <c r="I32" t="str">
        <f>_xll.BDP("FRRA4934 Mtge","MTG_ORIG_WAL")</f>
        <v>#N/A N/A</v>
      </c>
    </row>
    <row r="33" spans="1:9" x14ac:dyDescent="0.25">
      <c r="A33" t="str">
        <f>_xll.BDP("!!03NMY6 Mtge","ID_CUSIP")</f>
        <v>3137HMEJ5</v>
      </c>
      <c r="B33" t="str">
        <f>_xll.BDP("!!03NMY6 Mtge","SECURITY_NAME")</f>
        <v>FHR 5571 PB</v>
      </c>
      <c r="C33" t="str">
        <f>_xll.BDP("!!03NMY6 Mtge","GENERIC_TICKER_VINTAGE")</f>
        <v>FNCL 6 2025</v>
      </c>
      <c r="D33" t="str">
        <f>_xll.BDP("!!03NMY6 Mtge","CRNCY")</f>
        <v>USD</v>
      </c>
      <c r="E33">
        <v>4603798</v>
      </c>
      <c r="F33">
        <f>_xll.BDP("!!03NMY6 Mtge","CPN")</f>
        <v>5</v>
      </c>
      <c r="G33">
        <f>_xll.BDP("!!03NMY6 Mtge","MTG_FACTOR")</f>
        <v>1</v>
      </c>
      <c r="H33">
        <f>_xll.BDP("!!03NMY6 Mtge","MTG_WAL")</f>
        <v>9.0556999999999999</v>
      </c>
      <c r="I33">
        <f>_xll.BDP("!!03NMY6 Mtge","MTG_ORIG_WAL")</f>
        <v>19.100000000000001</v>
      </c>
    </row>
    <row r="34" spans="1:9" x14ac:dyDescent="0.25">
      <c r="A34" t="str">
        <f>_xll.BDP("FNFA2461 Mtge","ID_CUSIP")</f>
        <v>3140W2WX5</v>
      </c>
      <c r="B34" t="str">
        <f>_xll.BDP("FNFA2461 Mtge","SECURITY_NAME")</f>
        <v>FN FA2461</v>
      </c>
      <c r="C34" t="str">
        <f>_xll.BDP("FNFA2461 Mtge","GENERIC_TICKER_VINTAGE")</f>
        <v>FNCL 6 2025</v>
      </c>
      <c r="D34" t="str">
        <f>_xll.BDP("FNFA2461 Mtge","CRNCY")</f>
        <v>USD</v>
      </c>
      <c r="E34">
        <v>26295672</v>
      </c>
      <c r="F34">
        <f>_xll.BDP("FNFA2461 Mtge","CPN")</f>
        <v>6</v>
      </c>
      <c r="G34">
        <f>_xll.BDP("FNFA2461 Mtge","MTG_FACTOR")</f>
        <v>0.92434269000000002</v>
      </c>
      <c r="H34">
        <f>_xll.BDP("FNFA2461 Mtge","MTG_WAL")</f>
        <v>3.3637000000000001</v>
      </c>
      <c r="I34" t="str">
        <f>_xll.BDP("FNFA2461 Mtge","MTG_ORIG_WAL")</f>
        <v>#N/A N/A</v>
      </c>
    </row>
    <row r="35" spans="1:9" x14ac:dyDescent="0.25">
      <c r="A35" t="str">
        <f>_xll.BDP("!!03N6X2 Mtge","ID_CUSIP")</f>
        <v>3137HMDZ0</v>
      </c>
      <c r="B35" t="str">
        <f>_xll.BDP("!!03N6X2 Mtge","SECURITY_NAME")</f>
        <v>FHR 5564 PS</v>
      </c>
      <c r="C35" t="str">
        <f>_xll.BDP("!!03N6X2 Mtge","GENERIC_TICKER_VINTAGE")</f>
        <v>FNCL 6 2025</v>
      </c>
      <c r="D35" t="str">
        <f>_xll.BDP("!!03N6X2 Mtge","CRNCY")</f>
        <v>USD</v>
      </c>
      <c r="E35">
        <v>272855827</v>
      </c>
      <c r="F35">
        <f>_xll.BDP("!!03N6X2 Mtge","CPN")</f>
        <v>2.13279</v>
      </c>
      <c r="G35">
        <f>_xll.BDP("!!03N6X2 Mtge","MTG_FACTOR")</f>
        <v>0.96588156999999997</v>
      </c>
      <c r="H35">
        <f>_xll.BDP("!!03N6X2 Mtge","MTG_WAL")</f>
        <v>3.5581</v>
      </c>
      <c r="I35">
        <f>_xll.BDP("!!03N6X2 Mtge","MTG_ORIG_WAL")</f>
        <v>6.1</v>
      </c>
    </row>
    <row r="36" spans="1:9" x14ac:dyDescent="0.25">
      <c r="A36" t="str">
        <f>_xll.BDP("!!03NMY3 Mtge","ID_CUSIP")</f>
        <v>3137HMEF3</v>
      </c>
      <c r="B36" t="str">
        <f>_xll.BDP("!!03NMY3 Mtge","SECURITY_NAME")</f>
        <v>FHR 5571 FB</v>
      </c>
      <c r="C36" t="str">
        <f>_xll.BDP("!!03NMY3 Mtge","GENERIC_TICKER_VINTAGE")</f>
        <v>FNCL 6 2025</v>
      </c>
      <c r="D36" t="str">
        <f>_xll.BDP("!!03NMY3 Mtge","CRNCY")</f>
        <v>USD</v>
      </c>
      <c r="E36">
        <v>42913897</v>
      </c>
      <c r="F36">
        <f>_xll.BDP("!!03NMY3 Mtge","CPN")</f>
        <v>4.86721</v>
      </c>
      <c r="G36">
        <f>_xll.BDP("!!03NMY3 Mtge","MTG_FACTOR")</f>
        <v>0.91834605000000002</v>
      </c>
      <c r="H36">
        <f>_xll.BDP("!!03NMY3 Mtge","MTG_WAL")</f>
        <v>3.2393999999999998</v>
      </c>
      <c r="I36">
        <f>_xll.BDP("!!03NMY3 Mtge","MTG_ORIG_WAL")</f>
        <v>7.9</v>
      </c>
    </row>
    <row r="37" spans="1:9" x14ac:dyDescent="0.25">
      <c r="A37" t="str">
        <f>_xll.BDP("!!03N8HF Mtge","ID_CUSIP")</f>
        <v>3137HMCS7</v>
      </c>
      <c r="B37" t="str">
        <f>_xll.BDP("!!03N8HF Mtge","SECURITY_NAME")</f>
        <v>FHR 5564 CV</v>
      </c>
      <c r="C37" t="str">
        <f>_xll.BDP("!!03N8HF Mtge","GENERIC_TICKER_VINTAGE")</f>
        <v>FNCL 6 2025</v>
      </c>
      <c r="D37" t="str">
        <f>_xll.BDP("!!03N8HF Mtge","CRNCY")</f>
        <v>USD</v>
      </c>
      <c r="E37">
        <v>9974000</v>
      </c>
      <c r="F37">
        <f>_xll.BDP("!!03N8HF Mtge","CPN")</f>
        <v>5</v>
      </c>
      <c r="G37">
        <f>_xll.BDP("!!03N8HF Mtge","MTG_FACTOR")</f>
        <v>0.95342643999999999</v>
      </c>
      <c r="H37">
        <f>_xll.BDP("!!03N8HF Mtge","MTG_WAL")</f>
        <v>3.3675000000000002</v>
      </c>
      <c r="I37">
        <f>_xll.BDP("!!03N8HF Mtge","MTG_ORIG_WAL")</f>
        <v>5.6</v>
      </c>
    </row>
    <row r="38" spans="1:9" x14ac:dyDescent="0.25">
      <c r="A38" t="str">
        <f>_xll.BDP("!!03NT8Z Mtge","ID_CUSIP")</f>
        <v>3137HMPX2</v>
      </c>
      <c r="B38" t="str">
        <f>_xll.BDP("!!03NT8Z Mtge","SECURITY_NAME")</f>
        <v>FHR 5572 GC</v>
      </c>
      <c r="C38" t="str">
        <f>_xll.BDP("!!03NT8Z Mtge","GENERIC_TICKER_VINTAGE")</f>
        <v>FNCL 6 2025</v>
      </c>
      <c r="D38" t="str">
        <f>_xll.BDP("!!03NT8Z Mtge","CRNCY")</f>
        <v>USD</v>
      </c>
      <c r="E38">
        <v>80384000</v>
      </c>
      <c r="F38">
        <f>_xll.BDP("!!03NT8Z Mtge","CPN")</f>
        <v>5</v>
      </c>
      <c r="G38">
        <f>_xll.BDP("!!03NT8Z Mtge","MTG_FACTOR")</f>
        <v>0.76541141000000001</v>
      </c>
      <c r="H38">
        <f>_xll.BDP("!!03NT8Z Mtge","MTG_WAL")</f>
        <v>1.8494999999999999</v>
      </c>
      <c r="I38">
        <f>_xll.BDP("!!03NT8Z Mtge","MTG_ORIG_WAL")</f>
        <v>3.6</v>
      </c>
    </row>
    <row r="39" spans="1:9" x14ac:dyDescent="0.25">
      <c r="A39" t="str">
        <f>_xll.BDP("FNFS4377 Mtge","ID_CUSIP")</f>
        <v>3140XK2K5</v>
      </c>
      <c r="B39" t="str">
        <f>_xll.BDP("FNFS4377 Mtge","SECURITY_NAME")</f>
        <v>FN FS4377</v>
      </c>
      <c r="C39" t="str">
        <f>_xll.BDP("FNFS4377 Mtge","GENERIC_TICKER_VINTAGE")</f>
        <v>FNCL 3 2021</v>
      </c>
      <c r="D39" t="str">
        <f>_xll.BDP("FNFS4377 Mtge","CRNCY")</f>
        <v>USD</v>
      </c>
      <c r="E39">
        <v>341138303</v>
      </c>
      <c r="F39">
        <f>_xll.BDP("FNFS4377 Mtge","CPN")</f>
        <v>3</v>
      </c>
      <c r="G39">
        <f>_xll.BDP("FNFS4377 Mtge","MTG_FACTOR")</f>
        <v>0.83525556999999995</v>
      </c>
      <c r="H39">
        <f>_xll.BDP("FNFS4377 Mtge","MTG_WAL")</f>
        <v>8.4110999999999994</v>
      </c>
      <c r="I39" t="str">
        <f>_xll.BDP("FNFS4377 Mtge","MTG_ORIG_WAL")</f>
        <v>#N/A N/A</v>
      </c>
    </row>
    <row r="40" spans="1:9" x14ac:dyDescent="0.25">
      <c r="A40" t="str">
        <f>_xll.BDP("!!03MKR4 Mtge","ID_CUSIP")</f>
        <v>3136BWCQ7</v>
      </c>
      <c r="B40" t="str">
        <f>_xll.BDP("!!03MKR4 Mtge","SECURITY_NAME")</f>
        <v>FNR 2025-44 BV</v>
      </c>
      <c r="C40" t="str">
        <f>_xll.BDP("!!03MKR4 Mtge","GENERIC_TICKER_VINTAGE")</f>
        <v>FNCL 6 2025</v>
      </c>
      <c r="D40" t="str">
        <f>_xll.BDP("!!03MKR4 Mtge","CRNCY")</f>
        <v>USD</v>
      </c>
      <c r="E40">
        <v>10100783</v>
      </c>
      <c r="F40">
        <f>_xll.BDP("!!03MKR4 Mtge","CPN")</f>
        <v>5</v>
      </c>
      <c r="G40">
        <f>_xll.BDP("!!03MKR4 Mtge","MTG_FACTOR")</f>
        <v>0.94488327000000005</v>
      </c>
      <c r="H40">
        <f>_xll.BDP("!!03MKR4 Mtge","MTG_WAL")</f>
        <v>3.3527999999999998</v>
      </c>
      <c r="I40">
        <f>_xll.BDP("!!03MKR4 Mtge","MTG_ORIG_WAL")</f>
        <v>5.9242299999999997</v>
      </c>
    </row>
    <row r="41" spans="1:9" x14ac:dyDescent="0.25">
      <c r="A41" t="str">
        <f>_xll.BDP("!!03MM1T Mtge","ID_CUSIP")</f>
        <v>3137HLUS9</v>
      </c>
      <c r="B41" t="str">
        <f>_xll.BDP("!!03MM1T Mtge","SECURITY_NAME")</f>
        <v>FHR 5553 BM</v>
      </c>
      <c r="C41" t="str">
        <f>_xll.BDP("!!03MM1T Mtge","GENERIC_TICKER_VINTAGE")</f>
        <v>FNCL 6 2025</v>
      </c>
      <c r="D41" t="str">
        <f>_xll.BDP("!!03MM1T Mtge","CRNCY")</f>
        <v>USD</v>
      </c>
      <c r="E41">
        <v>10168000</v>
      </c>
      <c r="F41">
        <f>_xll.BDP("!!03MM1T Mtge","CPN")</f>
        <v>4.5</v>
      </c>
      <c r="G41">
        <f>_xll.BDP("!!03MM1T Mtge","MTG_FACTOR")</f>
        <v>1</v>
      </c>
      <c r="H41">
        <f>_xll.BDP("!!03MM1T Mtge","MTG_WAL")</f>
        <v>2.9895</v>
      </c>
      <c r="I41">
        <f>_xll.BDP("!!03MM1T Mtge","MTG_ORIG_WAL")</f>
        <v>6.4</v>
      </c>
    </row>
    <row r="42" spans="1:9" x14ac:dyDescent="0.25">
      <c r="A42" t="str">
        <f>_xll.BDP("!!03MTQH Mtge","ID_CUSIP")</f>
        <v>3137HM5V8</v>
      </c>
      <c r="B42" t="str">
        <f>_xll.BDP("!!03MTQH Mtge","SECURITY_NAME")</f>
        <v>FHR 5561 GB</v>
      </c>
      <c r="C42" t="str">
        <f>_xll.BDP("!!03MTQH Mtge","GENERIC_TICKER_VINTAGE")</f>
        <v>FNCL 6 2025</v>
      </c>
      <c r="D42" t="str">
        <f>_xll.BDP("!!03MTQH Mtge","CRNCY")</f>
        <v>USD</v>
      </c>
      <c r="E42">
        <v>100000000</v>
      </c>
      <c r="F42">
        <f>_xll.BDP("!!03MTQH Mtge","CPN")</f>
        <v>4.75</v>
      </c>
      <c r="G42">
        <f>_xll.BDP("!!03MTQH Mtge","MTG_FACTOR")</f>
        <v>0.79721315999999998</v>
      </c>
      <c r="H42">
        <f>_xll.BDP("!!03MTQH Mtge","MTG_WAL")</f>
        <v>3.1694</v>
      </c>
      <c r="I42">
        <f>_xll.BDP("!!03MTQH Mtge","MTG_ORIG_WAL")</f>
        <v>5.8</v>
      </c>
    </row>
    <row r="43" spans="1:9" x14ac:dyDescent="0.25">
      <c r="A43" t="str">
        <f>_xll.BDP("FNFA1797 Mtge","ID_CUSIP")</f>
        <v>3140W17K3</v>
      </c>
      <c r="B43" t="str">
        <f>_xll.BDP("FNFA1797 Mtge","SECURITY_NAME")</f>
        <v>FN FA1797</v>
      </c>
      <c r="C43" t="str">
        <f>_xll.BDP("FNFA1797 Mtge","GENERIC_TICKER_VINTAGE")</f>
        <v>FNCL 6 2025</v>
      </c>
      <c r="D43" t="str">
        <f>_xll.BDP("FNFA1797 Mtge","CRNCY")</f>
        <v>USD</v>
      </c>
      <c r="E43">
        <v>50794428</v>
      </c>
      <c r="F43">
        <f>_xll.BDP("FNFA1797 Mtge","CPN")</f>
        <v>6</v>
      </c>
      <c r="G43">
        <f>_xll.BDP("FNFA1797 Mtge","MTG_FACTOR")</f>
        <v>0.89514894</v>
      </c>
      <c r="H43">
        <f>_xll.BDP("FNFA1797 Mtge","MTG_WAL")</f>
        <v>3.3331</v>
      </c>
      <c r="I43" t="str">
        <f>_xll.BDP("FNFA1797 Mtge","MTG_ORIG_WAL")</f>
        <v>#N/A N/A</v>
      </c>
    </row>
    <row r="44" spans="1:9" x14ac:dyDescent="0.25">
      <c r="A44" t="str">
        <f>_xll.BDP("!!034ND3 Mtge","ID_CUSIP")</f>
        <v>3137H5VU8</v>
      </c>
      <c r="B44" t="str">
        <f>_xll.BDP("!!034ND3 Mtge","SECURITY_NAME")</f>
        <v>FHR 5196 A</v>
      </c>
      <c r="C44" t="str">
        <f>_xll.BDP("!!034ND3 Mtge","GENERIC_TICKER_VINTAGE")</f>
        <v>FNCL 3 2021</v>
      </c>
      <c r="D44" t="str">
        <f>_xll.BDP("!!034ND3 Mtge","CRNCY")</f>
        <v>USD</v>
      </c>
      <c r="E44">
        <v>100000000</v>
      </c>
      <c r="F44">
        <f>_xll.BDP("!!034ND3 Mtge","CPN")</f>
        <v>2</v>
      </c>
      <c r="G44">
        <f>_xll.BDP("!!034ND3 Mtge","MTG_FACTOR")</f>
        <v>0.68869773000000001</v>
      </c>
      <c r="H44">
        <f>_xll.BDP("!!034ND3 Mtge","MTG_WAL")</f>
        <v>6.9447000000000001</v>
      </c>
      <c r="I44">
        <f>_xll.BDP("!!034ND3 Mtge","MTG_ORIG_WAL")</f>
        <v>5.6</v>
      </c>
    </row>
    <row r="45" spans="1:9" x14ac:dyDescent="0.25">
      <c r="A45" t="str">
        <f>_xll.BDP("FNMA4327 Mtge","ID_CUSIP")</f>
        <v>31418DYZ9</v>
      </c>
      <c r="B45" t="str">
        <f>_xll.BDP("FNMA4327 Mtge","SECURITY_NAME")</f>
        <v>FN MA4327</v>
      </c>
      <c r="C45" t="str">
        <f>_xll.BDP("FNMA4327 Mtge","GENERIC_TICKER_VINTAGE")</f>
        <v>FNCL 3 2021</v>
      </c>
      <c r="D45" t="str">
        <f>_xll.BDP("FNMA4327 Mtge","CRNCY")</f>
        <v>USD</v>
      </c>
      <c r="E45">
        <v>584316995</v>
      </c>
      <c r="F45">
        <f>_xll.BDP("FNMA4327 Mtge","CPN")</f>
        <v>3</v>
      </c>
      <c r="G45">
        <f>_xll.BDP("FNMA4327 Mtge","MTG_FACTOR")</f>
        <v>0.49175526000000003</v>
      </c>
      <c r="H45">
        <f>_xll.BDP("FNMA4327 Mtge","MTG_WAL")</f>
        <v>8.2568000000000001</v>
      </c>
      <c r="I45" t="str">
        <f>_xll.BDP("FNMA4327 Mtge","MTG_ORIG_WAL")</f>
        <v>#N/A N/A</v>
      </c>
    </row>
    <row r="46" spans="1:9" x14ac:dyDescent="0.25">
      <c r="A46" t="str">
        <f>_xll.BDP("FNFA0884 Mtge","ID_CUSIP")</f>
        <v>3140W06W0</v>
      </c>
      <c r="B46" t="str">
        <f>_xll.BDP("FNFA0884 Mtge","SECURITY_NAME")</f>
        <v>FN FA0884</v>
      </c>
      <c r="C46" t="str">
        <f>_xll.BDP("FNFA0884 Mtge","GENERIC_TICKER_VINTAGE")</f>
        <v>FNCL 6 2025</v>
      </c>
      <c r="D46" t="str">
        <f>_xll.BDP("FNFA0884 Mtge","CRNCY")</f>
        <v>USD</v>
      </c>
      <c r="E46">
        <v>39365907</v>
      </c>
      <c r="F46">
        <f>_xll.BDP("FNFA0884 Mtge","CPN")</f>
        <v>6</v>
      </c>
      <c r="G46">
        <f>_xll.BDP("FNFA0884 Mtge","MTG_FACTOR")</f>
        <v>0.75295221000000001</v>
      </c>
      <c r="H46">
        <f>_xll.BDP("FNFA0884 Mtge","MTG_WAL")</f>
        <v>3.1292</v>
      </c>
      <c r="I46" t="str">
        <f>_xll.BDP("FNFA0884 Mtge","MTG_ORIG_WAL")</f>
        <v>#N/A N/A</v>
      </c>
    </row>
    <row r="47" spans="1:9" x14ac:dyDescent="0.25">
      <c r="A47" t="str">
        <f>_xll.BDP("!!03N3BM Mtge","ID_CUSIP")</f>
        <v>3137HLYG1</v>
      </c>
      <c r="B47" t="str">
        <f>_xll.BDP("!!03N3BM Mtge","SECURITY_NAME")</f>
        <v>FHR 5562 P</v>
      </c>
      <c r="C47" t="str">
        <f>_xll.BDP("!!03N3BM Mtge","GENERIC_TICKER_VINTAGE")</f>
        <v>FNCL 6 2025</v>
      </c>
      <c r="D47" t="str">
        <f>_xll.BDP("!!03N3BM Mtge","CRNCY")</f>
        <v>USD</v>
      </c>
      <c r="E47">
        <v>65821000</v>
      </c>
      <c r="F47">
        <f>_xll.BDP("!!03N3BM Mtge","CPN")</f>
        <v>5</v>
      </c>
      <c r="G47">
        <f>_xll.BDP("!!03N3BM Mtge","MTG_FACTOR")</f>
        <v>0.96237718999999999</v>
      </c>
      <c r="H47">
        <f>_xll.BDP("!!03N3BM Mtge","MTG_WAL")</f>
        <v>2.5884</v>
      </c>
      <c r="I47">
        <f>_xll.BDP("!!03N3BM Mtge","MTG_ORIG_WAL")</f>
        <v>4.9000000000000004</v>
      </c>
    </row>
    <row r="48" spans="1:9" x14ac:dyDescent="0.25">
      <c r="A48" t="str">
        <f>_xll.BDP("FNCC0582 Mtge","ID_CUSIP")</f>
        <v>3140Y6UG3</v>
      </c>
      <c r="B48" t="str">
        <f>_xll.BDP("FNCC0582 Mtge","SECURITY_NAME")</f>
        <v>FN CC0582</v>
      </c>
      <c r="C48" t="str">
        <f>_xll.BDP("FNCC0582 Mtge","GENERIC_TICKER_VINTAGE")</f>
        <v>FNCL 6 2025</v>
      </c>
      <c r="D48" t="str">
        <f>_xll.BDP("FNCC0582 Mtge","CRNCY")</f>
        <v>USD</v>
      </c>
      <c r="E48">
        <v>166489727</v>
      </c>
      <c r="F48">
        <f>_xll.BDP("FNCC0582 Mtge","CPN")</f>
        <v>6</v>
      </c>
      <c r="G48">
        <f>_xll.BDP("FNCC0582 Mtge","MTG_FACTOR")</f>
        <v>0.92915064000000003</v>
      </c>
      <c r="H48">
        <f>_xll.BDP("FNCC0582 Mtge","MTG_WAL")</f>
        <v>3.2846000000000002</v>
      </c>
      <c r="I48" t="str">
        <f>_xll.BDP("FNCC0582 Mtge","MTG_ORIG_WAL")</f>
        <v>#N/A N/A</v>
      </c>
    </row>
    <row r="49" spans="1:9" x14ac:dyDescent="0.25">
      <c r="A49" t="str">
        <f>_xll.BDP("!!03MMZZ Mtge","ID_CUSIP")</f>
        <v>3137HLJJ2</v>
      </c>
      <c r="B49" t="str">
        <f>_xll.BDP("!!03MMZZ Mtge","SECURITY_NAME")</f>
        <v>FHR 5548 AT</v>
      </c>
      <c r="C49" t="str">
        <f>_xll.BDP("!!03MMZZ Mtge","GENERIC_TICKER_VINTAGE")</f>
        <v>FNCL 6 2025</v>
      </c>
      <c r="D49" t="str">
        <f>_xll.BDP("!!03MMZZ Mtge","CRNCY")</f>
        <v>USD</v>
      </c>
      <c r="E49">
        <v>50000000</v>
      </c>
      <c r="F49">
        <f>_xll.BDP("!!03MMZZ Mtge","CPN")</f>
        <v>5</v>
      </c>
      <c r="G49">
        <f>_xll.BDP("!!03MMZZ Mtge","MTG_FACTOR")</f>
        <v>0.85866036000000001</v>
      </c>
      <c r="H49">
        <f>_xll.BDP("!!03MMZZ Mtge","MTG_WAL")</f>
        <v>3.2477999999999998</v>
      </c>
      <c r="I49">
        <f>_xll.BDP("!!03MMZZ Mtge","MTG_ORIG_WAL")</f>
        <v>6.5</v>
      </c>
    </row>
    <row r="50" spans="1:9" x14ac:dyDescent="0.25">
      <c r="A50" t="str">
        <f>_xll.BDP("FNMA5647 Mtge","ID_CUSIP")</f>
        <v>31418FHZ3</v>
      </c>
      <c r="B50" t="str">
        <f>_xll.BDP("FNMA5647 Mtge","SECURITY_NAME")</f>
        <v>FN MA5647</v>
      </c>
      <c r="C50" t="str">
        <f>_xll.BDP("FNMA5647 Mtge","GENERIC_TICKER_VINTAGE")</f>
        <v>FNCL 6 2025</v>
      </c>
      <c r="D50" t="str">
        <f>_xll.BDP("FNMA5647 Mtge","CRNCY")</f>
        <v>USD</v>
      </c>
      <c r="E50">
        <v>2302126230</v>
      </c>
      <c r="F50">
        <f>_xll.BDP("FNMA5647 Mtge","CPN")</f>
        <v>6</v>
      </c>
      <c r="G50">
        <f>_xll.BDP("FNMA5647 Mtge","MTG_FACTOR")</f>
        <v>0.70221549999999999</v>
      </c>
      <c r="H50">
        <f>_xll.BDP("FNMA5647 Mtge","MTG_WAL")</f>
        <v>3.1577000000000002</v>
      </c>
      <c r="I50" t="str">
        <f>_xll.BDP("FNMA5647 Mtge","MTG_ORIG_WAL")</f>
        <v>#N/A N/A</v>
      </c>
    </row>
    <row r="51" spans="1:9" x14ac:dyDescent="0.25">
      <c r="A51" t="str">
        <f>_xll.BDP("FRSD4119 Mtge","ID_CUSIP")</f>
        <v>3132E0SG8</v>
      </c>
      <c r="B51" t="str">
        <f>_xll.BDP("FRSD4119 Mtge","SECURITY_NAME")</f>
        <v>FR SD4119</v>
      </c>
      <c r="C51" t="str">
        <f>_xll.BDP("FRSD4119 Mtge","GENERIC_TICKER_VINTAGE")</f>
        <v>FNCL 3 2021</v>
      </c>
      <c r="D51" t="str">
        <f>_xll.BDP("FRSD4119 Mtge","CRNCY")</f>
        <v>USD</v>
      </c>
      <c r="E51">
        <v>117615059</v>
      </c>
      <c r="F51">
        <f>_xll.BDP("FRSD4119 Mtge","CPN")</f>
        <v>3</v>
      </c>
      <c r="G51">
        <f>_xll.BDP("FRSD4119 Mtge","MTG_FACTOR")</f>
        <v>0.81084849000000003</v>
      </c>
      <c r="H51">
        <f>_xll.BDP("FRSD4119 Mtge","MTG_WAL")</f>
        <v>8.2561999999999998</v>
      </c>
      <c r="I51" t="str">
        <f>_xll.BDP("FRSD4119 Mtge","MTG_ORIG_WAL")</f>
        <v>#N/A N/A</v>
      </c>
    </row>
    <row r="52" spans="1:9" x14ac:dyDescent="0.25">
      <c r="A52" t="str">
        <f>_xll.BDP("!!03NM8D Mtge","ID_CUSIP")</f>
        <v>3137HMHR4</v>
      </c>
      <c r="B52" t="str">
        <f>_xll.BDP("!!03NM8D Mtge","SECURITY_NAME")</f>
        <v>FHR 5566 EA</v>
      </c>
      <c r="C52" t="str">
        <f>_xll.BDP("!!03NM8D Mtge","GENERIC_TICKER_VINTAGE")</f>
        <v>FNCL 6 2025</v>
      </c>
      <c r="D52" t="str">
        <f>_xll.BDP("!!03NM8D Mtge","CRNCY")</f>
        <v>USD</v>
      </c>
      <c r="E52">
        <v>118661000</v>
      </c>
      <c r="F52">
        <f>_xll.BDP("!!03NM8D Mtge","CPN")</f>
        <v>5</v>
      </c>
      <c r="G52">
        <f>_xll.BDP("!!03NM8D Mtge","MTG_FACTOR")</f>
        <v>0.85718961000000005</v>
      </c>
      <c r="H52">
        <f>_xll.BDP("!!03NM8D Mtge","MTG_WAL")</f>
        <v>1.7947</v>
      </c>
      <c r="I52">
        <f>_xll.BDP("!!03NM8D Mtge","MTG_ORIG_WAL")</f>
        <v>3.8</v>
      </c>
    </row>
    <row r="53" spans="1:9" x14ac:dyDescent="0.25">
      <c r="A53" t="str">
        <f>_xll.BDP("FNFA1202 Mtge","ID_CUSIP")</f>
        <v>3140W1KQ5</v>
      </c>
      <c r="B53" t="str">
        <f>_xll.BDP("FNFA1202 Mtge","SECURITY_NAME")</f>
        <v>FN FA1202</v>
      </c>
      <c r="C53" t="str">
        <f>_xll.BDP("FNFA1202 Mtge","GENERIC_TICKER_VINTAGE")</f>
        <v>FNCL 3 2021</v>
      </c>
      <c r="D53" t="str">
        <f>_xll.BDP("FNFA1202 Mtge","CRNCY")</f>
        <v>USD</v>
      </c>
      <c r="E53">
        <v>19519914</v>
      </c>
      <c r="F53">
        <f>_xll.BDP("FNFA1202 Mtge","CPN")</f>
        <v>3</v>
      </c>
      <c r="G53">
        <f>_xll.BDP("FNFA1202 Mtge","MTG_FACTOR")</f>
        <v>0.90723851</v>
      </c>
      <c r="H53">
        <f>_xll.BDP("FNFA1202 Mtge","MTG_WAL")</f>
        <v>8.3757000000000001</v>
      </c>
      <c r="I53" t="str">
        <f>_xll.BDP("FNFA1202 Mtge","MTG_ORIG_WAL")</f>
        <v>#N/A N/A</v>
      </c>
    </row>
    <row r="54" spans="1:9" x14ac:dyDescent="0.25">
      <c r="A54" t="str">
        <f>_xll.BDP("FNFA2248 Mtge","ID_CUSIP")</f>
        <v>3140W2QA2</v>
      </c>
      <c r="B54" t="str">
        <f>_xll.BDP("FNFA2248 Mtge","SECURITY_NAME")</f>
        <v>FN FA2248</v>
      </c>
      <c r="C54" t="str">
        <f>_xll.BDP("FNFA2248 Mtge","GENERIC_TICKER_VINTAGE")</f>
        <v>FNCL 3 2021</v>
      </c>
      <c r="D54" t="str">
        <f>_xll.BDP("FNFA2248 Mtge","CRNCY")</f>
        <v>USD</v>
      </c>
      <c r="E54">
        <v>53124388</v>
      </c>
      <c r="F54">
        <f>_xll.BDP("FNFA2248 Mtge","CPN")</f>
        <v>3</v>
      </c>
      <c r="G54">
        <f>_xll.BDP("FNFA2248 Mtge","MTG_FACTOR")</f>
        <v>0.95148913000000002</v>
      </c>
      <c r="H54">
        <f>_xll.BDP("FNFA2248 Mtge","MTG_WAL")</f>
        <v>8.2825000000000006</v>
      </c>
      <c r="I54" t="str">
        <f>_xll.BDP("FNFA2248 Mtge","MTG_ORIG_WAL")</f>
        <v>#N/A N/A</v>
      </c>
    </row>
    <row r="55" spans="1:9" x14ac:dyDescent="0.25">
      <c r="A55" t="str">
        <f>_xll.BDP("!!03NS5V Mtge","ID_CUSIP")</f>
        <v>3137HMKB5</v>
      </c>
      <c r="B55" t="str">
        <f>_xll.BDP("!!03NS5V Mtge","SECURITY_NAME")</f>
        <v>FHR 5563 FB</v>
      </c>
      <c r="C55" t="str">
        <f>_xll.BDP("!!03NS5V Mtge","GENERIC_TICKER_VINTAGE")</f>
        <v>FNCL 6 2025</v>
      </c>
      <c r="D55" t="str">
        <f>_xll.BDP("!!03NS5V Mtge","CRNCY")</f>
        <v>USD</v>
      </c>
      <c r="E55">
        <v>225000000</v>
      </c>
      <c r="F55">
        <f>_xll.BDP("!!03NS5V Mtge","CPN")</f>
        <v>4.61721</v>
      </c>
      <c r="G55">
        <f>_xll.BDP("!!03NS5V Mtge","MTG_FACTOR")</f>
        <v>0.80760430000000005</v>
      </c>
      <c r="H55">
        <f>_xll.BDP("!!03NS5V Mtge","MTG_WAL")</f>
        <v>3.1322999999999999</v>
      </c>
      <c r="I55">
        <f>_xll.BDP("!!03NS5V Mtge","MTG_ORIG_WAL")</f>
        <v>6.2</v>
      </c>
    </row>
    <row r="56" spans="1:9" x14ac:dyDescent="0.25">
      <c r="A56" t="str">
        <f>_xll.BDP("!!03NQ9N Mtge","ID_CUSIP")</f>
        <v>3137HMEQ9</v>
      </c>
      <c r="B56" t="str">
        <f>_xll.BDP("!!03NQ9N Mtge","SECURITY_NAME")</f>
        <v>FHR 5571 UG</v>
      </c>
      <c r="C56" t="str">
        <f>_xll.BDP("!!03NQ9N Mtge","GENERIC_TICKER_VINTAGE")</f>
        <v>FNCL 6 2025</v>
      </c>
      <c r="D56" t="str">
        <f>_xll.BDP("!!03NQ9N Mtge","CRNCY")</f>
        <v>USD</v>
      </c>
      <c r="E56">
        <v>5431013</v>
      </c>
      <c r="F56">
        <f>_xll.BDP("!!03NQ9N Mtge","CPN")</f>
        <v>5</v>
      </c>
      <c r="G56">
        <f>_xll.BDP("!!03NQ9N Mtge","MTG_FACTOR")</f>
        <v>0.51544645</v>
      </c>
      <c r="H56">
        <f>_xll.BDP("!!03NQ9N Mtge","MTG_WAL")</f>
        <v>0.45169999999999999</v>
      </c>
      <c r="I56">
        <f>_xll.BDP("!!03NQ9N Mtge","MTG_ORIG_WAL")</f>
        <v>10.1</v>
      </c>
    </row>
    <row r="57" spans="1:9" x14ac:dyDescent="0.25">
      <c r="A57" t="str">
        <f>_xll.BDP("FRSD0662 Mtge","ID_CUSIP")</f>
        <v>3132DMWX9</v>
      </c>
      <c r="B57" t="str">
        <f>_xll.BDP("FRSD0662 Mtge","SECURITY_NAME")</f>
        <v>FR SD0662</v>
      </c>
      <c r="C57" t="str">
        <f>_xll.BDP("FRSD0662 Mtge","GENERIC_TICKER_VINTAGE")</f>
        <v>FNCL 3 2021</v>
      </c>
      <c r="D57" t="str">
        <f>_xll.BDP("FRSD0662 Mtge","CRNCY")</f>
        <v>USD</v>
      </c>
      <c r="E57">
        <v>113473728</v>
      </c>
      <c r="F57">
        <f>_xll.BDP("FRSD0662 Mtge","CPN")</f>
        <v>3</v>
      </c>
      <c r="G57">
        <f>_xll.BDP("FRSD0662 Mtge","MTG_FACTOR")</f>
        <v>0.65296034999999997</v>
      </c>
      <c r="H57">
        <f>_xll.BDP("FRSD0662 Mtge","MTG_WAL")</f>
        <v>8.3133999999999997</v>
      </c>
      <c r="I57" t="str">
        <f>_xll.BDP("FRSD0662 Mtge","MTG_ORIG_WAL")</f>
        <v>#N/A N/A</v>
      </c>
    </row>
    <row r="58" spans="1:9" x14ac:dyDescent="0.25">
      <c r="A58" t="str">
        <f>_xll.BDP("!!03LT7D Mtge","ID_CUSIP")</f>
        <v>3137HLDD1</v>
      </c>
      <c r="B58" t="str">
        <f>_xll.BDP("!!03LT7D Mtge","SECURITY_NAME")</f>
        <v>FHR 5534 AF</v>
      </c>
      <c r="C58" t="str">
        <f>_xll.BDP("!!03LT7D Mtge","GENERIC_TICKER_VINTAGE")</f>
        <v>FNCL 6 2025</v>
      </c>
      <c r="D58" t="str">
        <f>_xll.BDP("!!03LT7D Mtge","CRNCY")</f>
        <v>USD</v>
      </c>
      <c r="E58">
        <v>33333333</v>
      </c>
      <c r="F58">
        <f>_xll.BDP("!!03LT7D Mtge","CPN")</f>
        <v>5.2672100000000004</v>
      </c>
      <c r="G58">
        <f>_xll.BDP("!!03LT7D Mtge","MTG_FACTOR")</f>
        <v>0.71002679999999996</v>
      </c>
      <c r="H58">
        <f>_xll.BDP("!!03LT7D Mtge","MTG_WAL")</f>
        <v>3.0367000000000002</v>
      </c>
      <c r="I58">
        <f>_xll.BDP("!!03LT7D Mtge","MTG_ORIG_WAL")</f>
        <v>6.8</v>
      </c>
    </row>
    <row r="59" spans="1:9" x14ac:dyDescent="0.25">
      <c r="A59" t="str">
        <f>_xll.BDP("FNCC0119 Mtge","ID_CUSIP")</f>
        <v>3140Y6DZ0</v>
      </c>
      <c r="B59" t="str">
        <f>_xll.BDP("FNCC0119 Mtge","SECURITY_NAME")</f>
        <v>FN CC0119</v>
      </c>
      <c r="C59" t="str">
        <f>_xll.BDP("FNCC0119 Mtge","GENERIC_TICKER_VINTAGE")</f>
        <v>FNCL 6 2025</v>
      </c>
      <c r="D59" t="str">
        <f>_xll.BDP("FNCC0119 Mtge","CRNCY")</f>
        <v>USD</v>
      </c>
      <c r="E59">
        <v>176519630</v>
      </c>
      <c r="F59">
        <f>_xll.BDP("FNCC0119 Mtge","CPN")</f>
        <v>6</v>
      </c>
      <c r="G59">
        <f>_xll.BDP("FNCC0119 Mtge","MTG_FACTOR")</f>
        <v>0.89911311000000005</v>
      </c>
      <c r="H59">
        <f>_xll.BDP("FNCC0119 Mtge","MTG_WAL")</f>
        <v>3.1585000000000001</v>
      </c>
      <c r="I59" t="str">
        <f>_xll.BDP("FNCC0119 Mtge","MTG_ORIG_WAL")</f>
        <v>#N/A N/A</v>
      </c>
    </row>
    <row r="60" spans="1:9" x14ac:dyDescent="0.25">
      <c r="A60" t="str">
        <f>_xll.BDP("FRSD8534 Mtge","ID_CUSIP")</f>
        <v>3132DWPT4</v>
      </c>
      <c r="B60" t="str">
        <f>_xll.BDP("FRSD8534 Mtge","SECURITY_NAME")</f>
        <v>FR SD8534</v>
      </c>
      <c r="C60" t="str">
        <f>_xll.BDP("FRSD8534 Mtge","GENERIC_TICKER_VINTAGE")</f>
        <v>FNCL 6 2025</v>
      </c>
      <c r="D60" t="str">
        <f>_xll.BDP("FRSD8534 Mtge","CRNCY")</f>
        <v>USD</v>
      </c>
      <c r="E60">
        <v>3693884119</v>
      </c>
      <c r="F60">
        <f>_xll.BDP("FRSD8534 Mtge","CPN")</f>
        <v>6</v>
      </c>
      <c r="G60">
        <f>_xll.BDP("FRSD8534 Mtge","MTG_FACTOR")</f>
        <v>0.75194156999999995</v>
      </c>
      <c r="H60">
        <f>_xll.BDP("FRSD8534 Mtge","MTG_WAL")</f>
        <v>3.2355</v>
      </c>
      <c r="I60" t="str">
        <f>_xll.BDP("FRSD8534 Mtge","MTG_ORIG_WAL")</f>
        <v>#N/A N/A</v>
      </c>
    </row>
    <row r="61" spans="1:9" x14ac:dyDescent="0.25">
      <c r="A61" t="str">
        <f>_xll.BDP("!!03MF7G Mtge","ID_CUSIP")</f>
        <v>3136BWKG0</v>
      </c>
      <c r="B61" t="str">
        <f>_xll.BDP("!!03MF7G Mtge","SECURITY_NAME")</f>
        <v>FNR 2025-47 GA</v>
      </c>
      <c r="C61" t="str">
        <f>_xll.BDP("!!03MF7G Mtge","GENERIC_TICKER_VINTAGE")</f>
        <v>FNCL 6 2025</v>
      </c>
      <c r="D61" t="str">
        <f>_xll.BDP("!!03MF7G Mtge","CRNCY")</f>
        <v>USD</v>
      </c>
      <c r="E61">
        <v>49446000</v>
      </c>
      <c r="F61">
        <f>_xll.BDP("!!03MF7G Mtge","CPN")</f>
        <v>4.5</v>
      </c>
      <c r="G61">
        <f>_xll.BDP("!!03MF7G Mtge","MTG_FACTOR")</f>
        <v>0.93187768999999998</v>
      </c>
      <c r="H61">
        <f>_xll.BDP("!!03MF7G Mtge","MTG_WAL")</f>
        <v>1.734</v>
      </c>
      <c r="I61">
        <f>_xll.BDP("!!03MF7G Mtge","MTG_ORIG_WAL")</f>
        <v>3.6920899999999999</v>
      </c>
    </row>
    <row r="62" spans="1:9" x14ac:dyDescent="0.25">
      <c r="A62" t="str">
        <f>_xll.BDP("!!03MLJV Mtge","ID_CUSIP")</f>
        <v>3136BWJA5</v>
      </c>
      <c r="B62" t="str">
        <f>_xll.BDP("!!03MLJV Mtge","SECURITY_NAME")</f>
        <v>FNR 2025-47 G</v>
      </c>
      <c r="C62" t="str">
        <f>_xll.BDP("!!03MLJV Mtge","GENERIC_TICKER_VINTAGE")</f>
        <v>FNCL 6 2025</v>
      </c>
      <c r="D62" t="str">
        <f>_xll.BDP("!!03MLJV Mtge","CRNCY")</f>
        <v>USD</v>
      </c>
      <c r="E62">
        <v>36319000</v>
      </c>
      <c r="F62">
        <f>_xll.BDP("!!03MLJV Mtge","CPN")</f>
        <v>4.5</v>
      </c>
      <c r="G62">
        <f>_xll.BDP("!!03MLJV Mtge","MTG_FACTOR")</f>
        <v>0.90725582999999999</v>
      </c>
      <c r="H62">
        <f>_xll.BDP("!!03MLJV Mtge","MTG_WAL")</f>
        <v>1.2351000000000001</v>
      </c>
      <c r="I62">
        <f>_xll.BDP("!!03MLJV Mtge","MTG_ORIG_WAL")</f>
        <v>2.7202899999999999</v>
      </c>
    </row>
    <row r="63" spans="1:9" x14ac:dyDescent="0.25">
      <c r="A63" t="str">
        <f>_xll.BDP("!!03N8GR Mtge","ID_CUSIP")</f>
        <v>3137HMCP3</v>
      </c>
      <c r="B63" t="str">
        <f>_xll.BDP("!!03N8GR Mtge","SECURITY_NAME")</f>
        <v>FHR 5564 BV</v>
      </c>
      <c r="C63" t="str">
        <f>_xll.BDP("!!03N8GR Mtge","GENERIC_TICKER_VINTAGE")</f>
        <v>FNCL 6 2025</v>
      </c>
      <c r="D63" t="str">
        <f>_xll.BDP("!!03N8GR Mtge","CRNCY")</f>
        <v>USD</v>
      </c>
      <c r="E63">
        <v>17098000</v>
      </c>
      <c r="F63">
        <f>_xll.BDP("!!03N8GR Mtge","CPN")</f>
        <v>5</v>
      </c>
      <c r="G63">
        <f>_xll.BDP("!!03N8GR Mtge","MTG_FACTOR")</f>
        <v>0.95342886999999998</v>
      </c>
      <c r="H63">
        <f>_xll.BDP("!!03N8GR Mtge","MTG_WAL")</f>
        <v>3.5423</v>
      </c>
      <c r="I63">
        <f>_xll.BDP("!!03N8GR Mtge","MTG_ORIG_WAL")</f>
        <v>5.6</v>
      </c>
    </row>
    <row r="64" spans="1:9" x14ac:dyDescent="0.25">
      <c r="A64" t="str">
        <f>_xll.BDP("FNDE0754 Mtge","ID_CUSIP")</f>
        <v>3140BCZU9</v>
      </c>
      <c r="B64" t="str">
        <f>_xll.BDP("FNDE0754 Mtge","SECURITY_NAME")</f>
        <v>FN DE0754</v>
      </c>
      <c r="C64" t="str">
        <f>_xll.BDP("FNDE0754 Mtge","GENERIC_TICKER_VINTAGE")</f>
        <v>FNCL 6 2025</v>
      </c>
      <c r="D64" t="str">
        <f>_xll.BDP("FNDE0754 Mtge","CRNCY")</f>
        <v>USD</v>
      </c>
      <c r="E64">
        <v>28178893</v>
      </c>
      <c r="F64">
        <f>_xll.BDP("FNDE0754 Mtge","CPN")</f>
        <v>6</v>
      </c>
      <c r="G64">
        <f>_xll.BDP("FNDE0754 Mtge","MTG_FACTOR")</f>
        <v>0.86084691999999996</v>
      </c>
      <c r="H64">
        <f>_xll.BDP("FNDE0754 Mtge","MTG_WAL")</f>
        <v>3.3389000000000002</v>
      </c>
      <c r="I64" t="str">
        <f>_xll.BDP("FNDE0754 Mtge","MTG_ORIG_WAL")</f>
        <v>#N/A N/A</v>
      </c>
    </row>
    <row r="65" spans="1:9" x14ac:dyDescent="0.25">
      <c r="A65" t="str">
        <f>_xll.BDP("!!03MMW9 Mtge","ID_CUSIP")</f>
        <v>3137HLP55</v>
      </c>
      <c r="B65" t="str">
        <f>_xll.BDP("!!03MMW9 Mtge","SECURITY_NAME")</f>
        <v>FHR 5544 LD</v>
      </c>
      <c r="C65" t="str">
        <f>_xll.BDP("!!03MMW9 Mtge","GENERIC_TICKER_VINTAGE")</f>
        <v>FNCL 6 2025</v>
      </c>
      <c r="D65" t="str">
        <f>_xll.BDP("!!03MMW9 Mtge","CRNCY")</f>
        <v>USD</v>
      </c>
      <c r="E65">
        <v>31402760</v>
      </c>
      <c r="F65">
        <f>_xll.BDP("!!03MMW9 Mtge","CPN")</f>
        <v>5</v>
      </c>
      <c r="G65">
        <f>_xll.BDP("!!03MMW9 Mtge","MTG_FACTOR")</f>
        <v>1</v>
      </c>
      <c r="H65">
        <f>_xll.BDP("!!03MMW9 Mtge","MTG_WAL")</f>
        <v>6.3501000000000003</v>
      </c>
      <c r="I65">
        <f>_xll.BDP("!!03MMW9 Mtge","MTG_ORIG_WAL")</f>
        <v>12.7</v>
      </c>
    </row>
    <row r="66" spans="1:9" x14ac:dyDescent="0.25">
      <c r="A66" t="str">
        <f>_xll.BDP("!!03MXJT Mtge","ID_CUSIP")</f>
        <v>3136BWNL6</v>
      </c>
      <c r="B66" t="str">
        <f>_xll.BDP("!!03MXJT Mtge","SECURITY_NAME")</f>
        <v>FNR 2025-56 JZ</v>
      </c>
      <c r="C66" t="str">
        <f>_xll.BDP("!!03MXJT Mtge","GENERIC_TICKER_VINTAGE")</f>
        <v>FNCL 6 2025</v>
      </c>
      <c r="D66" t="str">
        <f>_xll.BDP("!!03MXJT Mtge","CRNCY")</f>
        <v>USD</v>
      </c>
      <c r="E66">
        <v>3050737</v>
      </c>
      <c r="F66">
        <f>_xll.BDP("!!03MXJT Mtge","CPN")</f>
        <v>6</v>
      </c>
      <c r="G66">
        <f>_xll.BDP("!!03MXJT Mtge","MTG_FACTOR")</f>
        <v>1.0459105799999999</v>
      </c>
      <c r="H66">
        <f>_xll.BDP("!!03MXJT Mtge","MTG_WAL")</f>
        <v>10.167999999999999</v>
      </c>
      <c r="I66">
        <f>_xll.BDP("!!03MXJT Mtge","MTG_ORIG_WAL")</f>
        <v>18.831499999999998</v>
      </c>
    </row>
    <row r="67" spans="1:9" x14ac:dyDescent="0.25">
      <c r="A67" t="str">
        <f>_xll.BDP("!!03N8HD Mtge","ID_CUSIP")</f>
        <v>3137HMCR9</v>
      </c>
      <c r="B67" t="str">
        <f>_xll.BDP("!!03N8HD Mtge","SECURITY_NAME")</f>
        <v>FHR 5564 CA</v>
      </c>
      <c r="C67" t="str">
        <f>_xll.BDP("!!03N8HD Mtge","GENERIC_TICKER_VINTAGE")</f>
        <v>FNCL 6 2025</v>
      </c>
      <c r="D67" t="str">
        <f>_xll.BDP("!!03N8HD Mtge","CRNCY")</f>
        <v>USD</v>
      </c>
      <c r="E67">
        <v>61172000</v>
      </c>
      <c r="F67">
        <f>_xll.BDP("!!03N8HD Mtge","CPN")</f>
        <v>5</v>
      </c>
      <c r="G67">
        <f>_xll.BDP("!!03N8HD Mtge","MTG_FACTOR")</f>
        <v>0.80844061</v>
      </c>
      <c r="H67">
        <f>_xll.BDP("!!03N8HD Mtge","MTG_WAL")</f>
        <v>1.7201</v>
      </c>
      <c r="I67">
        <f>_xll.BDP("!!03N8HD Mtge","MTG_ORIG_WAL")</f>
        <v>3.7</v>
      </c>
    </row>
    <row r="68" spans="1:9" x14ac:dyDescent="0.25">
      <c r="A68" t="str">
        <f>_xll.BDP("!!03NNF5 Mtge","ID_CUSIP")</f>
        <v>3137HMD64</v>
      </c>
      <c r="B68" t="str">
        <f>_xll.BDP("!!03NNF5 Mtge","SECURITY_NAME")</f>
        <v>FHR 5564 FP</v>
      </c>
      <c r="C68" t="str">
        <f>_xll.BDP("!!03NNF5 Mtge","GENERIC_TICKER_VINTAGE")</f>
        <v>FNCL 6 2025</v>
      </c>
      <c r="D68" t="str">
        <f>_xll.BDP("!!03NNF5 Mtge","CRNCY")</f>
        <v>USD</v>
      </c>
      <c r="E68">
        <v>272855827</v>
      </c>
      <c r="F68">
        <f>_xll.BDP("!!03NNF5 Mtge","CPN")</f>
        <v>4.8172100000000002</v>
      </c>
      <c r="G68">
        <f>_xll.BDP("!!03NNF5 Mtge","MTG_FACTOR")</f>
        <v>0.96588156999999997</v>
      </c>
      <c r="H68">
        <f>_xll.BDP("!!03NNF5 Mtge","MTG_WAL")</f>
        <v>3.5581</v>
      </c>
      <c r="I68">
        <f>_xll.BDP("!!03NNF5 Mtge","MTG_ORIG_WAL")</f>
        <v>6.1</v>
      </c>
    </row>
    <row r="69" spans="1:9" x14ac:dyDescent="0.25">
      <c r="A69" t="str">
        <f>_xll.BDP("FNBU1416 Mtge","ID_CUSIP")</f>
        <v>3140M2SE3</v>
      </c>
      <c r="B69" t="str">
        <f>_xll.BDP("FNBU1416 Mtge","SECURITY_NAME")</f>
        <v>FN BU1416</v>
      </c>
      <c r="C69" t="str">
        <f>_xll.BDP("FNBU1416 Mtge","GENERIC_TICKER_VINTAGE")</f>
        <v>FNCL 3 2021</v>
      </c>
      <c r="D69" t="str">
        <f>_xll.BDP("FNBU1416 Mtge","CRNCY")</f>
        <v>USD</v>
      </c>
      <c r="E69">
        <v>67872462</v>
      </c>
      <c r="F69">
        <f>_xll.BDP("FNBU1416 Mtge","CPN")</f>
        <v>3</v>
      </c>
      <c r="G69">
        <f>_xll.BDP("FNBU1416 Mtge","MTG_FACTOR")</f>
        <v>0.69739603999999999</v>
      </c>
      <c r="H69">
        <f>_xll.BDP("FNBU1416 Mtge","MTG_WAL")</f>
        <v>8.3323</v>
      </c>
      <c r="I69" t="str">
        <f>_xll.BDP("FNBU1416 Mtge","MTG_ORIG_WAL")</f>
        <v>#N/A N/A</v>
      </c>
    </row>
    <row r="70" spans="1:9" x14ac:dyDescent="0.25">
      <c r="A70" t="str">
        <f>_xll.BDP("FNCC0406 Mtge","ID_CUSIP")</f>
        <v>3140Y6NY2</v>
      </c>
      <c r="B70" t="str">
        <f>_xll.BDP("FNCC0406 Mtge","SECURITY_NAME")</f>
        <v>FN CC0406</v>
      </c>
      <c r="C70" t="str">
        <f>_xll.BDP("FNCC0406 Mtge","GENERIC_TICKER_VINTAGE")</f>
        <v>FNCL 6 2025</v>
      </c>
      <c r="D70" t="str">
        <f>_xll.BDP("FNCC0406 Mtge","CRNCY")</f>
        <v>USD</v>
      </c>
      <c r="E70">
        <v>165473586</v>
      </c>
      <c r="F70">
        <f>_xll.BDP("FNCC0406 Mtge","CPN")</f>
        <v>6</v>
      </c>
      <c r="G70">
        <f>_xll.BDP("FNCC0406 Mtge","MTG_FACTOR")</f>
        <v>0.91709706000000002</v>
      </c>
      <c r="H70">
        <f>_xll.BDP("FNCC0406 Mtge","MTG_WAL")</f>
        <v>3.2441</v>
      </c>
      <c r="I70" t="str">
        <f>_xll.BDP("FNCC0406 Mtge","MTG_ORIG_WAL")</f>
        <v>#N/A N/A</v>
      </c>
    </row>
    <row r="71" spans="1:9" x14ac:dyDescent="0.25">
      <c r="A71" t="str">
        <f>_xll.BDP("FNFA1286 Mtge","ID_CUSIP")</f>
        <v>3140W1NC3</v>
      </c>
      <c r="B71" t="str">
        <f>_xll.BDP("FNFA1286 Mtge","SECURITY_NAME")</f>
        <v>FN FA1286</v>
      </c>
      <c r="C71" t="str">
        <f>_xll.BDP("FNFA1286 Mtge","GENERIC_TICKER_VINTAGE")</f>
        <v>FNCL 6 2025</v>
      </c>
      <c r="D71" t="str">
        <f>_xll.BDP("FNFA1286 Mtge","CRNCY")</f>
        <v>USD</v>
      </c>
      <c r="E71">
        <v>36836573</v>
      </c>
      <c r="F71">
        <f>_xll.BDP("FNFA1286 Mtge","CPN")</f>
        <v>6</v>
      </c>
      <c r="G71">
        <f>_xll.BDP("FNFA1286 Mtge","MTG_FACTOR")</f>
        <v>0.77842330999999998</v>
      </c>
      <c r="H71">
        <f>_xll.BDP("FNFA1286 Mtge","MTG_WAL")</f>
        <v>3.2124999999999999</v>
      </c>
      <c r="I71" t="str">
        <f>_xll.BDP("FNFA1286 Mtge","MTG_ORIG_WAL")</f>
        <v>#N/A N/A</v>
      </c>
    </row>
    <row r="72" spans="1:9" x14ac:dyDescent="0.25">
      <c r="A72" t="str">
        <f>_xll.BDP("FNFS9192 Mtge","ID_CUSIP")</f>
        <v>3140XRGA7</v>
      </c>
      <c r="B72" t="str">
        <f>_xll.BDP("FNFS9192 Mtge","SECURITY_NAME")</f>
        <v>FN FS9192</v>
      </c>
      <c r="C72" t="str">
        <f>_xll.BDP("FNFS9192 Mtge","GENERIC_TICKER_VINTAGE")</f>
        <v>FNCL 3 2021</v>
      </c>
      <c r="D72" t="str">
        <f>_xll.BDP("FNFS9192 Mtge","CRNCY")</f>
        <v>USD</v>
      </c>
      <c r="E72">
        <v>46738999</v>
      </c>
      <c r="F72">
        <f>_xll.BDP("FNFS9192 Mtge","CPN")</f>
        <v>3</v>
      </c>
      <c r="G72">
        <f>_xll.BDP("FNFS9192 Mtge","MTG_FACTOR")</f>
        <v>0.90142226000000003</v>
      </c>
      <c r="H72">
        <f>_xll.BDP("FNFS9192 Mtge","MTG_WAL")</f>
        <v>8.2195999999999998</v>
      </c>
      <c r="I72" t="str">
        <f>_xll.BDP("FNFS9192 Mtge","MTG_ORIG_WAL")</f>
        <v>#N/A N/A</v>
      </c>
    </row>
    <row r="73" spans="1:9" x14ac:dyDescent="0.25">
      <c r="A73" t="str">
        <f>_xll.BDP("FNFM9921 Mtge","ID_CUSIP")</f>
        <v>3140XEAX2</v>
      </c>
      <c r="B73" t="str">
        <f>_xll.BDP("FNFM9921 Mtge","SECURITY_NAME")</f>
        <v>FN FM9921</v>
      </c>
      <c r="C73" t="str">
        <f>_xll.BDP("FNFM9921 Mtge","GENERIC_TICKER_VINTAGE")</f>
        <v>FNCL 3 2021</v>
      </c>
      <c r="D73" t="str">
        <f>_xll.BDP("FNFM9921 Mtge","CRNCY")</f>
        <v>USD</v>
      </c>
      <c r="E73">
        <v>69291494</v>
      </c>
      <c r="F73">
        <f>_xll.BDP("FNFM9921 Mtge","CPN")</f>
        <v>3</v>
      </c>
      <c r="G73">
        <f>_xll.BDP("FNFM9921 Mtge","MTG_FACTOR")</f>
        <v>0.73082944999999999</v>
      </c>
      <c r="H73">
        <f>_xll.BDP("FNFM9921 Mtge","MTG_WAL")</f>
        <v>8.3786000000000005</v>
      </c>
      <c r="I73" t="str">
        <f>_xll.BDP("FNFM9921 Mtge","MTG_ORIG_WAL")</f>
        <v>#N/A N/A</v>
      </c>
    </row>
    <row r="74" spans="1:9" x14ac:dyDescent="0.25">
      <c r="A74" t="str">
        <f>_xll.BDP("FRQY6303 Mtge","ID_CUSIP")</f>
        <v>31426RAD3</v>
      </c>
      <c r="B74" t="str">
        <f>_xll.BDP("FRQY6303 Mtge","SECURITY_NAME")</f>
        <v>FR QY6303</v>
      </c>
      <c r="C74" t="str">
        <f>_xll.BDP("FRQY6303 Mtge","GENERIC_TICKER_VINTAGE")</f>
        <v>FNCL 6 2025</v>
      </c>
      <c r="D74" t="str">
        <f>_xll.BDP("FRQY6303 Mtge","CRNCY")</f>
        <v>USD</v>
      </c>
      <c r="E74">
        <v>134899665</v>
      </c>
      <c r="F74">
        <f>_xll.BDP("FRQY6303 Mtge","CPN")</f>
        <v>6</v>
      </c>
      <c r="G74">
        <f>_xll.BDP("FRQY6303 Mtge","MTG_FACTOR")</f>
        <v>0.80231885999999997</v>
      </c>
      <c r="H74">
        <f>_xll.BDP("FRQY6303 Mtge","MTG_WAL")</f>
        <v>3.2915999999999999</v>
      </c>
      <c r="I74" t="str">
        <f>_xll.BDP("FRQY6303 Mtge","MTG_ORIG_WAL")</f>
        <v>#N/A N/A</v>
      </c>
    </row>
    <row r="75" spans="1:9" x14ac:dyDescent="0.25">
      <c r="A75" t="str">
        <f>_xll.BDP("FNFS0283 Mtge","ID_CUSIP")</f>
        <v>3140XFJ51</v>
      </c>
      <c r="B75" t="str">
        <f>_xll.BDP("FNFS0283 Mtge","SECURITY_NAME")</f>
        <v>FN FS0283</v>
      </c>
      <c r="C75" t="str">
        <f>_xll.BDP("FNFS0283 Mtge","GENERIC_TICKER_VINTAGE")</f>
        <v>FNCL 3 2021</v>
      </c>
      <c r="D75" t="str">
        <f>_xll.BDP("FNFS0283 Mtge","CRNCY")</f>
        <v>USD</v>
      </c>
      <c r="E75">
        <v>25199379</v>
      </c>
      <c r="F75">
        <f>_xll.BDP("FNFS0283 Mtge","CPN")</f>
        <v>3</v>
      </c>
      <c r="G75">
        <f>_xll.BDP("FNFS0283 Mtge","MTG_FACTOR")</f>
        <v>0.65559911999999998</v>
      </c>
      <c r="H75">
        <f>_xll.BDP("FNFS0283 Mtge","MTG_WAL")</f>
        <v>8.4224999999999994</v>
      </c>
      <c r="I75" t="str">
        <f>_xll.BDP("FNFS0283 Mtge","MTG_ORIG_WAL")</f>
        <v>#N/A N/A</v>
      </c>
    </row>
    <row r="76" spans="1:9" x14ac:dyDescent="0.25">
      <c r="A76" t="str">
        <f>_xll.BDP("FRQY6960 Mtge","ID_CUSIP")</f>
        <v>31426RWW7</v>
      </c>
      <c r="B76" t="str">
        <f>_xll.BDP("FRQY6960 Mtge","SECURITY_NAME")</f>
        <v>FR QY6960</v>
      </c>
      <c r="C76" t="str">
        <f>_xll.BDP("FRQY6960 Mtge","GENERIC_TICKER_VINTAGE")</f>
        <v>FNCL 6 2025</v>
      </c>
      <c r="D76" t="str">
        <f>_xll.BDP("FRQY6960 Mtge","CRNCY")</f>
        <v>USD</v>
      </c>
      <c r="E76">
        <v>1702162</v>
      </c>
      <c r="F76">
        <f>_xll.BDP("FRQY6960 Mtge","CPN")</f>
        <v>6</v>
      </c>
      <c r="G76">
        <f>_xll.BDP("FRQY6960 Mtge","MTG_FACTOR")</f>
        <v>0.99197442000000002</v>
      </c>
      <c r="H76">
        <f>_xll.BDP("FRQY6960 Mtge","MTG_WAL")</f>
        <v>3.3441999999999998</v>
      </c>
      <c r="I76" t="str">
        <f>_xll.BDP("FRQY6960 Mtge","MTG_ORIG_WAL")</f>
        <v>#N/A N/A</v>
      </c>
    </row>
    <row r="77" spans="1:9" x14ac:dyDescent="0.25">
      <c r="A77" t="str">
        <f>_xll.BDP("!!03MY4Q Mtge","ID_CUSIP")</f>
        <v>3136BWPN0</v>
      </c>
      <c r="B77" t="str">
        <f>_xll.BDP("!!03MY4Q Mtge","SECURITY_NAME")</f>
        <v>FNR 2025-57 Z</v>
      </c>
      <c r="C77" t="str">
        <f>_xll.BDP("!!03MY4Q Mtge","GENERIC_TICKER_VINTAGE")</f>
        <v>FNCL 6 2025</v>
      </c>
      <c r="D77" t="str">
        <f>_xll.BDP("!!03MY4Q Mtge","CRNCY")</f>
        <v>USD</v>
      </c>
      <c r="E77">
        <v>20000000</v>
      </c>
      <c r="F77">
        <f>_xll.BDP("!!03MY4Q Mtge","CPN")</f>
        <v>6</v>
      </c>
      <c r="G77">
        <f>_xll.BDP("!!03MY4Q Mtge","MTG_FACTOR")</f>
        <v>0.42544707999999998</v>
      </c>
      <c r="H77">
        <f>_xll.BDP("!!03MY4Q Mtge","MTG_WAL")</f>
        <v>0.39639999999999997</v>
      </c>
      <c r="I77">
        <f>_xll.BDP("!!03MY4Q Mtge","MTG_ORIG_WAL")</f>
        <v>7.7</v>
      </c>
    </row>
    <row r="78" spans="1:9" x14ac:dyDescent="0.25">
      <c r="A78" t="str">
        <f>_xll.BDP("!!03NRLW Mtge","ID_CUSIP")</f>
        <v>3137HMF47</v>
      </c>
      <c r="B78" t="str">
        <f>_xll.BDP("!!03NRLW Mtge","SECURITY_NAME")</f>
        <v>FHR 5567 MB</v>
      </c>
      <c r="C78" t="str">
        <f>_xll.BDP("!!03NRLW Mtge","GENERIC_TICKER_VINTAGE")</f>
        <v>FNCL 6 2025</v>
      </c>
      <c r="D78" t="str">
        <f>_xll.BDP("!!03NRLW Mtge","CRNCY")</f>
        <v>USD</v>
      </c>
      <c r="E78">
        <v>15000000</v>
      </c>
      <c r="F78">
        <f>_xll.BDP("!!03NRLW Mtge","CPN")</f>
        <v>7.6672099999999999</v>
      </c>
      <c r="G78">
        <f>_xll.BDP("!!03NRLW Mtge","MTG_FACTOR")</f>
        <v>0.80760430000000005</v>
      </c>
      <c r="H78">
        <f>_xll.BDP("!!03NRLW Mtge","MTG_WAL")</f>
        <v>3.1322999999999999</v>
      </c>
      <c r="I78">
        <f>_xll.BDP("!!03NRLW Mtge","MTG_ORIG_WAL")</f>
        <v>6.1</v>
      </c>
    </row>
    <row r="79" spans="1:9" x14ac:dyDescent="0.25">
      <c r="A79" t="str">
        <f>_xll.BDP("FNFS4195 Mtge","ID_CUSIP")</f>
        <v>3140XKUV0</v>
      </c>
      <c r="B79" t="str">
        <f>_xll.BDP("FNFS4195 Mtge","SECURITY_NAME")</f>
        <v>FN FS4195</v>
      </c>
      <c r="C79" t="str">
        <f>_xll.BDP("FNFS4195 Mtge","GENERIC_TICKER_VINTAGE")</f>
        <v>FNCL 3 2021</v>
      </c>
      <c r="D79" t="str">
        <f>_xll.BDP("FNFS4195 Mtge","CRNCY")</f>
        <v>USD</v>
      </c>
      <c r="E79">
        <v>46695185</v>
      </c>
      <c r="F79">
        <f>_xll.BDP("FNFS4195 Mtge","CPN")</f>
        <v>3</v>
      </c>
      <c r="G79">
        <f>_xll.BDP("FNFS4195 Mtge","MTG_FACTOR")</f>
        <v>0.79172049</v>
      </c>
      <c r="H79">
        <f>_xll.BDP("FNFS4195 Mtge","MTG_WAL")</f>
        <v>8.3432999999999993</v>
      </c>
      <c r="I79" t="str">
        <f>_xll.BDP("FNFS4195 Mtge","MTG_ORIG_WAL")</f>
        <v>#N/A N/A</v>
      </c>
    </row>
    <row r="80" spans="1:9" x14ac:dyDescent="0.25">
      <c r="A80" t="str">
        <f>_xll.BDP("FNMA4307 Mtge","ID_CUSIP")</f>
        <v>31418DYD8</v>
      </c>
      <c r="B80" t="str">
        <f>_xll.BDP("FNMA4307 Mtge","SECURITY_NAME")</f>
        <v>FN MA4307</v>
      </c>
      <c r="C80" t="str">
        <f>_xll.BDP("FNMA4307 Mtge","GENERIC_TICKER_VINTAGE")</f>
        <v>FNCL 3 2021</v>
      </c>
      <c r="D80" t="str">
        <f>_xll.BDP("FNMA4307 Mtge","CRNCY")</f>
        <v>USD</v>
      </c>
      <c r="E80">
        <v>315501731</v>
      </c>
      <c r="F80">
        <f>_xll.BDP("FNMA4307 Mtge","CPN")</f>
        <v>3</v>
      </c>
      <c r="G80">
        <f>_xll.BDP("FNMA4307 Mtge","MTG_FACTOR")</f>
        <v>0.50246018000000003</v>
      </c>
      <c r="H80">
        <f>_xll.BDP("FNMA4307 Mtge","MTG_WAL")</f>
        <v>8.3132000000000001</v>
      </c>
      <c r="I80" t="str">
        <f>_xll.BDP("FNMA4307 Mtge","MTG_ORIG_WAL")</f>
        <v>#N/A N/A</v>
      </c>
    </row>
    <row r="81" spans="1:9" x14ac:dyDescent="0.25">
      <c r="A81" t="str">
        <f>_xll.BDP("FRSL1213 Mtge","ID_CUSIP")</f>
        <v>31427NK32</v>
      </c>
      <c r="B81" t="str">
        <f>_xll.BDP("FRSL1213 Mtge","SECURITY_NAME")</f>
        <v>FR SL1213</v>
      </c>
      <c r="C81" t="str">
        <f>_xll.BDP("FRSL1213 Mtge","GENERIC_TICKER_VINTAGE")</f>
        <v>FNCL 6 2025</v>
      </c>
      <c r="D81" t="str">
        <f>_xll.BDP("FRSL1213 Mtge","CRNCY")</f>
        <v>USD</v>
      </c>
      <c r="E81">
        <v>40256557</v>
      </c>
      <c r="F81">
        <f>_xll.BDP("FRSL1213 Mtge","CPN")</f>
        <v>6</v>
      </c>
      <c r="G81">
        <f>_xll.BDP("FRSL1213 Mtge","MTG_FACTOR")</f>
        <v>0.90451716000000004</v>
      </c>
      <c r="H81">
        <f>_xll.BDP("FRSL1213 Mtge","MTG_WAL")</f>
        <v>3.1646000000000001</v>
      </c>
      <c r="I81" t="str">
        <f>_xll.BDP("FRSL1213 Mtge","MTG_ORIG_WAL")</f>
        <v>#N/A N/A</v>
      </c>
    </row>
    <row r="82" spans="1:9" x14ac:dyDescent="0.25">
      <c r="A82" t="str">
        <f>_xll.BDP("!!03NR3V Mtge","ID_CUSIP")</f>
        <v>3137HMHX1</v>
      </c>
      <c r="B82" t="str">
        <f>_xll.BDP("!!03NR3V Mtge","SECURITY_NAME")</f>
        <v>FHR 5566 FA</v>
      </c>
      <c r="C82" t="str">
        <f>_xll.BDP("!!03NR3V Mtge","GENERIC_TICKER_VINTAGE")</f>
        <v>FNCL 6 2025</v>
      </c>
      <c r="D82" t="str">
        <f>_xll.BDP("!!03NR3V Mtge","CRNCY")</f>
        <v>USD</v>
      </c>
      <c r="E82">
        <v>38042598</v>
      </c>
      <c r="F82">
        <f>_xll.BDP("!!03NR3V Mtge","CPN")</f>
        <v>4.4672099999999997</v>
      </c>
      <c r="G82">
        <f>_xll.BDP("!!03NR3V Mtge","MTG_FACTOR")</f>
        <v>0.80760430000000005</v>
      </c>
      <c r="H82">
        <f>_xll.BDP("!!03NR3V Mtge","MTG_WAL")</f>
        <v>3.0379999999999998</v>
      </c>
      <c r="I82">
        <f>_xll.BDP("!!03NR3V Mtge","MTG_ORIG_WAL")</f>
        <v>5.5</v>
      </c>
    </row>
    <row r="83" spans="1:9" x14ac:dyDescent="0.25">
      <c r="A83" t="str">
        <f>_xll.BDP("FNDE2871 Mtge","ID_CUSIP")</f>
        <v>3140BFFM2</v>
      </c>
      <c r="B83" t="str">
        <f>_xll.BDP("FNDE2871 Mtge","SECURITY_NAME")</f>
        <v>FN DE2871</v>
      </c>
      <c r="C83" t="str">
        <f>_xll.BDP("FNDE2871 Mtge","GENERIC_TICKER_VINTAGE")</f>
        <v>FNCL 6 2025</v>
      </c>
      <c r="D83" t="str">
        <f>_xll.BDP("FNDE2871 Mtge","CRNCY")</f>
        <v>USD</v>
      </c>
      <c r="E83">
        <v>5661000</v>
      </c>
      <c r="F83">
        <f>_xll.BDP("FNDE2871 Mtge","CPN")</f>
        <v>6</v>
      </c>
      <c r="G83">
        <f>_xll.BDP("FNDE2871 Mtge","MTG_FACTOR")</f>
        <v>0.81640272000000003</v>
      </c>
      <c r="H83">
        <f>_xll.BDP("FNDE2871 Mtge","MTG_WAL")</f>
        <v>3.3468</v>
      </c>
      <c r="I83" t="str">
        <f>_xll.BDP("FNDE2871 Mtge","MTG_ORIG_WAL")</f>
        <v>#N/A N/A</v>
      </c>
    </row>
    <row r="84" spans="1:9" x14ac:dyDescent="0.25">
      <c r="A84" t="str">
        <f>_xll.BDP("FRSD2320 Mtge","ID_CUSIP")</f>
        <v>3132DPSH2</v>
      </c>
      <c r="B84" t="str">
        <f>_xll.BDP("FRSD2320 Mtge","SECURITY_NAME")</f>
        <v>FR SD2320</v>
      </c>
      <c r="C84" t="str">
        <f>_xll.BDP("FRSD2320 Mtge","GENERIC_TICKER_VINTAGE")</f>
        <v>FNCL 3 2021</v>
      </c>
      <c r="D84" t="str">
        <f>_xll.BDP("FRSD2320 Mtge","CRNCY")</f>
        <v>USD</v>
      </c>
      <c r="E84">
        <v>114976877</v>
      </c>
      <c r="F84">
        <f>_xll.BDP("FRSD2320 Mtge","CPN")</f>
        <v>3</v>
      </c>
      <c r="G84">
        <f>_xll.BDP("FRSD2320 Mtge","MTG_FACTOR")</f>
        <v>0.78194063999999996</v>
      </c>
      <c r="H84">
        <f>_xll.BDP("FRSD2320 Mtge","MTG_WAL")</f>
        <v>8.2491000000000003</v>
      </c>
      <c r="I84" t="str">
        <f>_xll.BDP("FRSD2320 Mtge","MTG_ORIG_WAL")</f>
        <v>#N/A N/A</v>
      </c>
    </row>
    <row r="85" spans="1:9" x14ac:dyDescent="0.25">
      <c r="A85" t="str">
        <f>_xll.BDP("!!03LZBG Mtge","ID_CUSIP")</f>
        <v>3137HLER9</v>
      </c>
      <c r="B85" t="str">
        <f>_xll.BDP("!!03LZBG Mtge","SECURITY_NAME")</f>
        <v>FHR 5534 FP</v>
      </c>
      <c r="C85" t="str">
        <f>_xll.BDP("!!03LZBG Mtge","GENERIC_TICKER_VINTAGE")</f>
        <v>FNCL 6 2025</v>
      </c>
      <c r="D85" t="str">
        <f>_xll.BDP("!!03LZBG Mtge","CRNCY")</f>
        <v>USD</v>
      </c>
      <c r="E85">
        <v>100000000</v>
      </c>
      <c r="F85">
        <f>_xll.BDP("!!03LZBG Mtge","CPN")</f>
        <v>4.9672099999999997</v>
      </c>
      <c r="G85">
        <f>_xll.BDP("!!03LZBG Mtge","MTG_FACTOR")</f>
        <v>0.75194156999999995</v>
      </c>
      <c r="H85">
        <f>_xll.BDP("!!03LZBG Mtge","MTG_WAL")</f>
        <v>3.0621999999999998</v>
      </c>
      <c r="I85">
        <f>_xll.BDP("!!03LZBG Mtge","MTG_ORIG_WAL")</f>
        <v>6.3</v>
      </c>
    </row>
    <row r="86" spans="1:9" x14ac:dyDescent="0.25">
      <c r="A86" t="str">
        <f>_xll.BDP("!!03MZG5 Mtge","ID_CUSIP")</f>
        <v>3137HM2W9</v>
      </c>
      <c r="B86" t="str">
        <f>_xll.BDP("!!03MZG5 Mtge","SECURITY_NAME")</f>
        <v>FHR 5555 SE</v>
      </c>
      <c r="C86" t="str">
        <f>_xll.BDP("!!03MZG5 Mtge","GENERIC_TICKER_VINTAGE")</f>
        <v>FNCL 6 2025</v>
      </c>
      <c r="D86" t="str">
        <f>_xll.BDP("!!03MZG5 Mtge","CRNCY")</f>
        <v>USD</v>
      </c>
      <c r="E86">
        <v>41217632</v>
      </c>
      <c r="F86">
        <f>_xll.BDP("!!03MZG5 Mtge","CPN")</f>
        <v>2.1827899999999998</v>
      </c>
      <c r="G86">
        <f>_xll.BDP("!!03MZG5 Mtge","MTG_FACTOR")</f>
        <v>0.94529512000000004</v>
      </c>
      <c r="H86">
        <f>_xll.BDP("!!03MZG5 Mtge","MTG_WAL")</f>
        <v>3.0996000000000001</v>
      </c>
      <c r="I86">
        <f>_xll.BDP("!!03MZG5 Mtge","MTG_ORIG_WAL")</f>
        <v>6.5</v>
      </c>
    </row>
    <row r="87" spans="1:9" x14ac:dyDescent="0.25">
      <c r="A87" t="str">
        <f>_xll.BDP("!!03NNG3 Mtge","ID_CUSIP")</f>
        <v>3137HMD23</v>
      </c>
      <c r="B87" t="str">
        <f>_xll.BDP("!!03NNG3 Mtge","SECURITY_NAME")</f>
        <v>FHR 5564 FB</v>
      </c>
      <c r="C87" t="str">
        <f>_xll.BDP("!!03NNG3 Mtge","GENERIC_TICKER_VINTAGE")</f>
        <v>FNCL 6 2025</v>
      </c>
      <c r="D87" t="str">
        <f>_xll.BDP("!!03NNG3 Mtge","CRNCY")</f>
        <v>USD</v>
      </c>
      <c r="E87">
        <v>140000000</v>
      </c>
      <c r="F87">
        <f>_xll.BDP("!!03NNG3 Mtge","CPN")</f>
        <v>4.86721</v>
      </c>
      <c r="G87">
        <f>_xll.BDP("!!03NNG3 Mtge","MTG_FACTOR")</f>
        <v>0.93521290000000001</v>
      </c>
      <c r="H87">
        <f>_xll.BDP("!!03NNG3 Mtge","MTG_WAL")</f>
        <v>3.2904</v>
      </c>
      <c r="I87">
        <f>_xll.BDP("!!03NNG3 Mtge","MTG_ORIG_WAL")</f>
        <v>6.5</v>
      </c>
    </row>
    <row r="88" spans="1:9" x14ac:dyDescent="0.25">
      <c r="A88" t="str">
        <f>_xll.BDP("FNFA1541 Mtge","ID_CUSIP")</f>
        <v>3140W1WB5</v>
      </c>
      <c r="B88" t="str">
        <f>_xll.BDP("FNFA1541 Mtge","SECURITY_NAME")</f>
        <v>FN FA1541</v>
      </c>
      <c r="C88" t="str">
        <f>_xll.BDP("FNFA1541 Mtge","GENERIC_TICKER_VINTAGE")</f>
        <v>FNCL 3 2021</v>
      </c>
      <c r="D88" t="str">
        <f>_xll.BDP("FNFA1541 Mtge","CRNCY")</f>
        <v>USD</v>
      </c>
      <c r="E88">
        <v>15818288</v>
      </c>
      <c r="F88">
        <f>_xll.BDP("FNFA1541 Mtge","CPN")</f>
        <v>3</v>
      </c>
      <c r="G88">
        <f>_xll.BDP("FNFA1541 Mtge","MTG_FACTOR")</f>
        <v>0.92773410999999995</v>
      </c>
      <c r="H88">
        <f>_xll.BDP("FNFA1541 Mtge","MTG_WAL")</f>
        <v>8.3363999999999994</v>
      </c>
      <c r="I88" t="str">
        <f>_xll.BDP("FNFA1541 Mtge","MTG_ORIG_WAL")</f>
        <v>#N/A N/A</v>
      </c>
    </row>
    <row r="89" spans="1:9" x14ac:dyDescent="0.25">
      <c r="A89" t="str">
        <f>_xll.BDP("FRSD7555 Mtge","ID_CUSIP")</f>
        <v>3132DVMC6</v>
      </c>
      <c r="B89" t="str">
        <f>_xll.BDP("FRSD7555 Mtge","SECURITY_NAME")</f>
        <v>FR SD7555</v>
      </c>
      <c r="C89" t="str">
        <f>_xll.BDP("FRSD7555 Mtge","GENERIC_TICKER_VINTAGE")</f>
        <v>FNCL 3 2021</v>
      </c>
      <c r="D89" t="str">
        <f>_xll.BDP("FRSD7555 Mtge","CRNCY")</f>
        <v>USD</v>
      </c>
      <c r="E89">
        <v>1166442829</v>
      </c>
      <c r="F89">
        <f>_xll.BDP("FRSD7555 Mtge","CPN")</f>
        <v>3</v>
      </c>
      <c r="G89">
        <f>_xll.BDP("FRSD7555 Mtge","MTG_FACTOR")</f>
        <v>0.72333210000000003</v>
      </c>
      <c r="H89">
        <f>_xll.BDP("FRSD7555 Mtge","MTG_WAL")</f>
        <v>8.2341999999999995</v>
      </c>
      <c r="I89" t="str">
        <f>_xll.BDP("FRSD7555 Mtge","MTG_ORIG_WAL")</f>
        <v>#N/A N/A</v>
      </c>
    </row>
    <row r="90" spans="1:9" x14ac:dyDescent="0.25">
      <c r="A90" t="str">
        <f>_xll.BDP("FRSL0817 Mtge","ID_CUSIP")</f>
        <v>31427M4B4</v>
      </c>
      <c r="B90" t="str">
        <f>_xll.BDP("FRSL0817 Mtge","SECURITY_NAME")</f>
        <v>FR SL0817</v>
      </c>
      <c r="C90" t="str">
        <f>_xll.BDP("FRSL0817 Mtge","GENERIC_TICKER_VINTAGE")</f>
        <v>FNCL 6 2025</v>
      </c>
      <c r="D90" t="str">
        <f>_xll.BDP("FRSL0817 Mtge","CRNCY")</f>
        <v>USD</v>
      </c>
      <c r="E90">
        <v>26494208</v>
      </c>
      <c r="F90">
        <f>_xll.BDP("FRSL0817 Mtge","CPN")</f>
        <v>6</v>
      </c>
      <c r="G90">
        <f>_xll.BDP("FRSL0817 Mtge","MTG_FACTOR")</f>
        <v>0.90347641000000001</v>
      </c>
      <c r="H90">
        <f>_xll.BDP("FRSL0817 Mtge","MTG_WAL")</f>
        <v>3.1642999999999999</v>
      </c>
      <c r="I90" t="str">
        <f>_xll.BDP("FRSL0817 Mtge","MTG_ORIG_WAL")</f>
        <v>#N/A N/A</v>
      </c>
    </row>
    <row r="91" spans="1:9" x14ac:dyDescent="0.25">
      <c r="A91" t="str">
        <f>_xll.BDP("!!03N6X1 Mtge","ID_CUSIP")</f>
        <v>3137HMDP2</v>
      </c>
      <c r="B91" t="str">
        <f>_xll.BDP("!!03N6X1 Mtge","SECURITY_NAME")</f>
        <v>FHR 5564 PF</v>
      </c>
      <c r="C91" t="str">
        <f>_xll.BDP("!!03N6X1 Mtge","GENERIC_TICKER_VINTAGE")</f>
        <v>FNCL 6 2025</v>
      </c>
      <c r="D91" t="str">
        <f>_xll.BDP("!!03N6X1 Mtge","CRNCY")</f>
        <v>USD</v>
      </c>
      <c r="E91">
        <v>272855827</v>
      </c>
      <c r="F91">
        <f>_xll.BDP("!!03N6X1 Mtge","CPN")</f>
        <v>4.86721</v>
      </c>
      <c r="G91">
        <f>_xll.BDP("!!03N6X1 Mtge","MTG_FACTOR")</f>
        <v>0.96588156999999997</v>
      </c>
      <c r="H91">
        <f>_xll.BDP("!!03N6X1 Mtge","MTG_WAL")</f>
        <v>3.5581</v>
      </c>
      <c r="I91">
        <f>_xll.BDP("!!03N6X1 Mtge","MTG_ORIG_WAL")</f>
        <v>6.1</v>
      </c>
    </row>
    <row r="92" spans="1:9" x14ac:dyDescent="0.25">
      <c r="A92" t="str">
        <f>_xll.BDP("!!03NMY7 Mtge","ID_CUSIP")</f>
        <v>3137HMEK2</v>
      </c>
      <c r="B92" t="str">
        <f>_xll.BDP("!!03NMY7 Mtge","SECURITY_NAME")</f>
        <v>FHR 5571 PD</v>
      </c>
      <c r="C92" t="str">
        <f>_xll.BDP("!!03NMY7 Mtge","GENERIC_TICKER_VINTAGE")</f>
        <v>FNCL 6 2025</v>
      </c>
      <c r="D92" t="str">
        <f>_xll.BDP("!!03NMY7 Mtge","CRNCY")</f>
        <v>USD</v>
      </c>
      <c r="E92">
        <v>2879086</v>
      </c>
      <c r="F92">
        <f>_xll.BDP("!!03NMY7 Mtge","CPN")</f>
        <v>5</v>
      </c>
      <c r="G92">
        <f>_xll.BDP("!!03NMY7 Mtge","MTG_FACTOR")</f>
        <v>0.96118780000000004</v>
      </c>
      <c r="H92">
        <f>_xll.BDP("!!03NMY7 Mtge","MTG_WAL")</f>
        <v>0.95079999999999998</v>
      </c>
      <c r="I92">
        <f>_xll.BDP("!!03NMY7 Mtge","MTG_ORIG_WAL")</f>
        <v>3.6</v>
      </c>
    </row>
    <row r="93" spans="1:9" x14ac:dyDescent="0.25">
      <c r="A93" t="str">
        <f>_xll.BDP("FNFS3478 Mtge","ID_CUSIP")</f>
        <v>3140XJ2L6</v>
      </c>
      <c r="B93" t="str">
        <f>_xll.BDP("FNFS3478 Mtge","SECURITY_NAME")</f>
        <v>FN FS3478</v>
      </c>
      <c r="C93" t="str">
        <f>_xll.BDP("FNFS3478 Mtge","GENERIC_TICKER_VINTAGE")</f>
        <v>FNCL 3 2021</v>
      </c>
      <c r="D93" t="str">
        <f>_xll.BDP("FNFS3478 Mtge","CRNCY")</f>
        <v>USD</v>
      </c>
      <c r="E93">
        <v>130264512</v>
      </c>
      <c r="F93">
        <f>_xll.BDP("FNFS3478 Mtge","CPN")</f>
        <v>3</v>
      </c>
      <c r="G93">
        <f>_xll.BDP("FNFS3478 Mtge","MTG_FACTOR")</f>
        <v>0.79918400999999994</v>
      </c>
      <c r="H93">
        <f>_xll.BDP("FNFS3478 Mtge","MTG_WAL")</f>
        <v>8.1844000000000001</v>
      </c>
      <c r="I93" t="str">
        <f>_xll.BDP("FNFS3478 Mtge","MTG_ORIG_WAL")</f>
        <v>#N/A N/A</v>
      </c>
    </row>
    <row r="94" spans="1:9" x14ac:dyDescent="0.25">
      <c r="A94" t="str">
        <f>_xll.BDP("FNMA4357 Mtge","ID_CUSIP")</f>
        <v>31418DZX3</v>
      </c>
      <c r="B94" t="str">
        <f>_xll.BDP("FNMA4357 Mtge","SECURITY_NAME")</f>
        <v>FN MA4357</v>
      </c>
      <c r="C94" t="str">
        <f>_xll.BDP("FNMA4357 Mtge","GENERIC_TICKER_VINTAGE")</f>
        <v>FNCL 3 2021</v>
      </c>
      <c r="D94" t="str">
        <f>_xll.BDP("FNMA4357 Mtge","CRNCY")</f>
        <v>USD</v>
      </c>
      <c r="E94">
        <v>1104998043</v>
      </c>
      <c r="F94">
        <f>_xll.BDP("FNMA4357 Mtge","CPN")</f>
        <v>3</v>
      </c>
      <c r="G94">
        <f>_xll.BDP("FNMA4357 Mtge","MTG_FACTOR")</f>
        <v>0.54488835000000002</v>
      </c>
      <c r="H94">
        <f>_xll.BDP("FNMA4357 Mtge","MTG_WAL")</f>
        <v>8.2916000000000007</v>
      </c>
      <c r="I94" t="str">
        <f>_xll.BDP("FNMA4357 Mtge","MTG_ORIG_WAL")</f>
        <v>#N/A N/A</v>
      </c>
    </row>
    <row r="95" spans="1:9" x14ac:dyDescent="0.25">
      <c r="A95" t="str">
        <f>_xll.BDP("FNMA5674 Mtge","ID_CUSIP")</f>
        <v>31418FJU2</v>
      </c>
      <c r="B95" t="str">
        <f>_xll.BDP("FNMA5674 Mtge","SECURITY_NAME")</f>
        <v>FN MA5674</v>
      </c>
      <c r="C95" t="str">
        <f>_xll.BDP("FNMA5674 Mtge","GENERIC_TICKER_VINTAGE")</f>
        <v>FNCL 6 2025</v>
      </c>
      <c r="D95" t="str">
        <f>_xll.BDP("FNMA5674 Mtge","CRNCY")</f>
        <v>USD</v>
      </c>
      <c r="E95">
        <v>2198221886</v>
      </c>
      <c r="F95">
        <f>_xll.BDP("FNMA5674 Mtge","CPN")</f>
        <v>6</v>
      </c>
      <c r="G95">
        <f>_xll.BDP("FNMA5674 Mtge","MTG_FACTOR")</f>
        <v>0.72603894000000002</v>
      </c>
      <c r="H95">
        <f>_xll.BDP("FNMA5674 Mtge","MTG_WAL")</f>
        <v>3.2006000000000001</v>
      </c>
      <c r="I95" t="str">
        <f>_xll.BDP("FNMA5674 Mtge","MTG_ORIG_WAL")</f>
        <v>#N/A N/A</v>
      </c>
    </row>
    <row r="96" spans="1:9" x14ac:dyDescent="0.25">
      <c r="A96" t="str">
        <f>_xll.BDP("FRQY2423 Mtge","ID_CUSIP")</f>
        <v>31426LVR2</v>
      </c>
      <c r="B96" t="str">
        <f>_xll.BDP("FRQY2423 Mtge","SECURITY_NAME")</f>
        <v>FR QY2423</v>
      </c>
      <c r="C96" t="str">
        <f>_xll.BDP("FRQY2423 Mtge","GENERIC_TICKER_VINTAGE")</f>
        <v>FNCL 6 2025</v>
      </c>
      <c r="D96" t="str">
        <f>_xll.BDP("FRQY2423 Mtge","CRNCY")</f>
        <v>USD</v>
      </c>
      <c r="E96">
        <v>6868167</v>
      </c>
      <c r="F96">
        <f>_xll.BDP("FRQY2423 Mtge","CPN")</f>
        <v>6</v>
      </c>
      <c r="G96">
        <f>_xll.BDP("FRQY2423 Mtge","MTG_FACTOR")</f>
        <v>0.87375649</v>
      </c>
      <c r="H96">
        <f>_xll.BDP("FRQY2423 Mtge","MTG_WAL")</f>
        <v>3.2452999999999999</v>
      </c>
      <c r="I96" t="str">
        <f>_xll.BDP("FRQY2423 Mtge","MTG_ORIG_WAL")</f>
        <v>#N/A N/A</v>
      </c>
    </row>
    <row r="97" spans="1:9" x14ac:dyDescent="0.25">
      <c r="A97" t="str">
        <f>_xll.BDP("!!03MJC8 Mtge","ID_CUSIP")</f>
        <v>3137HLVJ8</v>
      </c>
      <c r="B97" t="str">
        <f>_xll.BDP("!!03MJC8 Mtge","SECURITY_NAME")</f>
        <v>FHR 5547 HA</v>
      </c>
      <c r="C97" t="str">
        <f>_xll.BDP("!!03MJC8 Mtge","GENERIC_TICKER_VINTAGE")</f>
        <v>FNCL 6 2025</v>
      </c>
      <c r="D97" t="str">
        <f>_xll.BDP("!!03MJC8 Mtge","CRNCY")</f>
        <v>USD</v>
      </c>
      <c r="E97">
        <v>74309154</v>
      </c>
      <c r="F97">
        <f>_xll.BDP("!!03MJC8 Mtge","CPN")</f>
        <v>5</v>
      </c>
      <c r="G97">
        <f>_xll.BDP("!!03MJC8 Mtge","MTG_FACTOR")</f>
        <v>0.83365096000000005</v>
      </c>
      <c r="H97">
        <f>_xll.BDP("!!03MJC8 Mtge","MTG_WAL")</f>
        <v>1.6677</v>
      </c>
      <c r="I97">
        <f>_xll.BDP("!!03MJC8 Mtge","MTG_ORIG_WAL")</f>
        <v>4.4000000000000004</v>
      </c>
    </row>
    <row r="98" spans="1:9" x14ac:dyDescent="0.25">
      <c r="A98" t="str">
        <f>_xll.BDP("!!03N6W9 Mtge","ID_CUSIP")</f>
        <v>3137HMKY5</v>
      </c>
      <c r="B98" t="str">
        <f>_xll.BDP("!!03N6W9 Mtge","SECURITY_NAME")</f>
        <v>FHR 5563 JT</v>
      </c>
      <c r="C98" t="str">
        <f>_xll.BDP("!!03N6W9 Mtge","GENERIC_TICKER_VINTAGE")</f>
        <v>FNCL 6 2025</v>
      </c>
      <c r="D98" t="str">
        <f>_xll.BDP("!!03N6W9 Mtge","CRNCY")</f>
        <v>USD</v>
      </c>
      <c r="E98">
        <v>25000000</v>
      </c>
      <c r="F98">
        <f>_xll.BDP("!!03N6W9 Mtge","CPN")</f>
        <v>8.25</v>
      </c>
      <c r="G98">
        <f>_xll.BDP("!!03N6W9 Mtge","MTG_FACTOR")</f>
        <v>0.80760430000000005</v>
      </c>
      <c r="H98">
        <f>_xll.BDP("!!03N6W9 Mtge","MTG_WAL")</f>
        <v>3.1322999999999999</v>
      </c>
      <c r="I98">
        <f>_xll.BDP("!!03N6W9 Mtge","MTG_ORIG_WAL")</f>
        <v>5.9</v>
      </c>
    </row>
    <row r="99" spans="1:9" x14ac:dyDescent="0.25">
      <c r="A99" t="str">
        <f>_xll.BDP("FNFA2291 Mtge","ID_CUSIP")</f>
        <v>3140W2RM5</v>
      </c>
      <c r="B99" t="str">
        <f>_xll.BDP("FNFA2291 Mtge","SECURITY_NAME")</f>
        <v>FN FA2291</v>
      </c>
      <c r="C99" t="str">
        <f>_xll.BDP("FNFA2291 Mtge","GENERIC_TICKER_VINTAGE")</f>
        <v>FNCL 6 2025</v>
      </c>
      <c r="D99" t="str">
        <f>_xll.BDP("FNFA2291 Mtge","CRNCY")</f>
        <v>USD</v>
      </c>
      <c r="E99">
        <v>53977059</v>
      </c>
      <c r="F99">
        <f>_xll.BDP("FNFA2291 Mtge","CPN")</f>
        <v>6</v>
      </c>
      <c r="G99">
        <f>_xll.BDP("FNFA2291 Mtge","MTG_FACTOR")</f>
        <v>0.85039622000000004</v>
      </c>
      <c r="H99">
        <f>_xll.BDP("FNFA2291 Mtge","MTG_WAL")</f>
        <v>3.2810000000000001</v>
      </c>
      <c r="I99" t="str">
        <f>_xll.BDP("FNFA2291 Mtge","MTG_ORIG_WAL")</f>
        <v>#N/A N/A</v>
      </c>
    </row>
    <row r="100" spans="1:9" x14ac:dyDescent="0.25">
      <c r="A100" t="str">
        <f>_xll.BDP("FRSL1191 Mtge","ID_CUSIP")</f>
        <v>31427NKD0</v>
      </c>
      <c r="B100" t="str">
        <f>_xll.BDP("FRSL1191 Mtge","SECURITY_NAME")</f>
        <v>FR SL1191</v>
      </c>
      <c r="C100" t="str">
        <f>_xll.BDP("FRSL1191 Mtge","GENERIC_TICKER_VINTAGE")</f>
        <v>FNCL 6 2025</v>
      </c>
      <c r="D100" t="str">
        <f>_xll.BDP("FRSL1191 Mtge","CRNCY")</f>
        <v>USD</v>
      </c>
      <c r="E100">
        <v>21687066</v>
      </c>
      <c r="F100">
        <f>_xll.BDP("FRSL1191 Mtge","CPN")</f>
        <v>6</v>
      </c>
      <c r="G100">
        <f>_xll.BDP("FRSL1191 Mtge","MTG_FACTOR")</f>
        <v>0.89281480000000002</v>
      </c>
      <c r="H100">
        <f>_xll.BDP("FRSL1191 Mtge","MTG_WAL")</f>
        <v>3.2332000000000001</v>
      </c>
      <c r="I100" t="str">
        <f>_xll.BDP("FRSL1191 Mtge","MTG_ORIG_WAL")</f>
        <v>#N/A N/A</v>
      </c>
    </row>
    <row r="101" spans="1:9" x14ac:dyDescent="0.25">
      <c r="A101" t="str">
        <f>_xll.BDP("FNCB2661 Mtge","ID_CUSIP")</f>
        <v>3140QM5X8</v>
      </c>
      <c r="B101" t="str">
        <f>_xll.BDP("FNCB2661 Mtge","SECURITY_NAME")</f>
        <v>FN CB2661</v>
      </c>
      <c r="C101" t="str">
        <f>_xll.BDP("FNCB2661 Mtge","GENERIC_TICKER_VINTAGE")</f>
        <v>FNCL 3 2021</v>
      </c>
      <c r="D101" t="str">
        <f>_xll.BDP("FNCB2661 Mtge","CRNCY")</f>
        <v>USD</v>
      </c>
      <c r="E101">
        <v>200306019</v>
      </c>
      <c r="F101">
        <f>_xll.BDP("FNCB2661 Mtge","CPN")</f>
        <v>3</v>
      </c>
      <c r="G101">
        <f>_xll.BDP("FNCB2661 Mtge","MTG_FACTOR")</f>
        <v>0.70797681999999995</v>
      </c>
      <c r="H101">
        <f>_xll.BDP("FNCB2661 Mtge","MTG_WAL")</f>
        <v>8.4620999999999995</v>
      </c>
      <c r="I101" t="str">
        <f>_xll.BDP("FNCB2661 Mtge","MTG_ORIG_WAL")</f>
        <v>#N/A N/A</v>
      </c>
    </row>
    <row r="102" spans="1:9" x14ac:dyDescent="0.25">
      <c r="A102" t="str">
        <f>_xll.BDP("FNDD2807 Mtge","ID_CUSIP")</f>
        <v>3140B3DM1</v>
      </c>
      <c r="B102" t="str">
        <f>_xll.BDP("FNDD2807 Mtge","SECURITY_NAME")</f>
        <v>FN DD2807</v>
      </c>
      <c r="C102" t="str">
        <f>_xll.BDP("FNDD2807 Mtge","GENERIC_TICKER_VINTAGE")</f>
        <v>FNCL 6 2025</v>
      </c>
      <c r="D102" t="str">
        <f>_xll.BDP("FNDD2807 Mtge","CRNCY")</f>
        <v>USD</v>
      </c>
      <c r="E102">
        <v>36587889</v>
      </c>
      <c r="F102">
        <f>_xll.BDP("FNDD2807 Mtge","CPN")</f>
        <v>6</v>
      </c>
      <c r="G102">
        <f>_xll.BDP("FNDD2807 Mtge","MTG_FACTOR")</f>
        <v>0.96980317000000005</v>
      </c>
      <c r="H102">
        <f>_xll.BDP("FNDD2807 Mtge","MTG_WAL")</f>
        <v>3.2852000000000001</v>
      </c>
      <c r="I102" t="str">
        <f>_xll.BDP("FNDD2807 Mtge","MTG_ORIG_WAL")</f>
        <v>#N/A N/A</v>
      </c>
    </row>
    <row r="103" spans="1:9" x14ac:dyDescent="0.25">
      <c r="A103" t="str">
        <f>_xll.BDP("FNDD3417 Mtge","ID_CUSIP")</f>
        <v>3140B3YP1</v>
      </c>
      <c r="B103" t="str">
        <f>_xll.BDP("FNDD3417 Mtge","SECURITY_NAME")</f>
        <v>FN DD3417</v>
      </c>
      <c r="C103" t="str">
        <f>_xll.BDP("FNDD3417 Mtge","GENERIC_TICKER_VINTAGE")</f>
        <v>FNCL 6 2025</v>
      </c>
      <c r="D103" t="str">
        <f>_xll.BDP("FNDD3417 Mtge","CRNCY")</f>
        <v>USD</v>
      </c>
      <c r="E103">
        <v>49001969</v>
      </c>
      <c r="F103">
        <f>_xll.BDP("FNDD3417 Mtge","CPN")</f>
        <v>6</v>
      </c>
      <c r="G103">
        <f>_xll.BDP("FNDD3417 Mtge","MTG_FACTOR")</f>
        <v>0.83771660000000003</v>
      </c>
      <c r="H103">
        <f>_xll.BDP("FNDD3417 Mtge","MTG_WAL")</f>
        <v>3.1625999999999999</v>
      </c>
      <c r="I103" t="str">
        <f>_xll.BDP("FNDD3417 Mtge","MTG_ORIG_WAL")</f>
        <v>#N/A N/A</v>
      </c>
    </row>
    <row r="104" spans="1:9" x14ac:dyDescent="0.25">
      <c r="A104" t="str">
        <f>_xll.BDP("FNDE2545 Mtge","ID_CUSIP")</f>
        <v>3140BEZK7</v>
      </c>
      <c r="B104" t="str">
        <f>_xll.BDP("FNDE2545 Mtge","SECURITY_NAME")</f>
        <v>FN DE2545</v>
      </c>
      <c r="C104" t="str">
        <f>_xll.BDP("FNDE2545 Mtge","GENERIC_TICKER_VINTAGE")</f>
        <v>FNCL 6 2025</v>
      </c>
      <c r="D104" t="str">
        <f>_xll.BDP("FNDE2545 Mtge","CRNCY")</f>
        <v>USD</v>
      </c>
      <c r="E104">
        <v>1428100</v>
      </c>
      <c r="F104">
        <f>_xll.BDP("FNDE2545 Mtge","CPN")</f>
        <v>6</v>
      </c>
      <c r="G104">
        <f>_xll.BDP("FNDE2545 Mtge","MTG_FACTOR")</f>
        <v>0.99180285000000001</v>
      </c>
      <c r="H104">
        <f>_xll.BDP("FNDE2545 Mtge","MTG_WAL")</f>
        <v>3.3456000000000001</v>
      </c>
      <c r="I104" t="str">
        <f>_xll.BDP("FNDE2545 Mtge","MTG_ORIG_WAL")</f>
        <v>#N/A N/A</v>
      </c>
    </row>
    <row r="105" spans="1:9" x14ac:dyDescent="0.25">
      <c r="A105" t="str">
        <f>_xll.BDP("FNFS2122 Mtge","ID_CUSIP")</f>
        <v>3140XHLC9</v>
      </c>
      <c r="B105" t="str">
        <f>_xll.BDP("FNFS2122 Mtge","SECURITY_NAME")</f>
        <v>FN FS2122</v>
      </c>
      <c r="C105" t="str">
        <f>_xll.BDP("FNFS2122 Mtge","GENERIC_TICKER_VINTAGE")</f>
        <v>FNCL 3 2021</v>
      </c>
      <c r="D105" t="str">
        <f>_xll.BDP("FNFS2122 Mtge","CRNCY")</f>
        <v>USD</v>
      </c>
      <c r="E105">
        <v>259767108</v>
      </c>
      <c r="F105">
        <f>_xll.BDP("FNFS2122 Mtge","CPN")</f>
        <v>3</v>
      </c>
      <c r="G105">
        <f>_xll.BDP("FNFS2122 Mtge","MTG_FACTOR")</f>
        <v>0.74495126</v>
      </c>
      <c r="H105">
        <f>_xll.BDP("FNFS2122 Mtge","MTG_WAL")</f>
        <v>8.3358000000000008</v>
      </c>
      <c r="I105" t="str">
        <f>_xll.BDP("FNFS2122 Mtge","MTG_ORIG_WAL")</f>
        <v>#N/A N/A</v>
      </c>
    </row>
    <row r="106" spans="1:9" x14ac:dyDescent="0.25">
      <c r="A106" t="str">
        <f>_xll.BDP("FRSL1194 Mtge","ID_CUSIP")</f>
        <v>31427NKG3</v>
      </c>
      <c r="B106" t="str">
        <f>_xll.BDP("FRSL1194 Mtge","SECURITY_NAME")</f>
        <v>FR SL1194</v>
      </c>
      <c r="C106" t="str">
        <f>_xll.BDP("FRSL1194 Mtge","GENERIC_TICKER_VINTAGE")</f>
        <v>FNCL 6 2025</v>
      </c>
      <c r="D106" t="str">
        <f>_xll.BDP("FRSL1194 Mtge","CRNCY")</f>
        <v>USD</v>
      </c>
      <c r="E106">
        <v>631064620</v>
      </c>
      <c r="F106">
        <f>_xll.BDP("FRSL1194 Mtge","CPN")</f>
        <v>6</v>
      </c>
      <c r="G106">
        <f>_xll.BDP("FRSL1194 Mtge","MTG_FACTOR")</f>
        <v>0.8008284</v>
      </c>
      <c r="H106">
        <f>_xll.BDP("FRSL1194 Mtge","MTG_WAL")</f>
        <v>3.2183999999999999</v>
      </c>
      <c r="I106" t="str">
        <f>_xll.BDP("FRSL1194 Mtge","MTG_ORIG_WAL")</f>
        <v>#N/A N/A</v>
      </c>
    </row>
    <row r="107" spans="1:9" x14ac:dyDescent="0.25">
      <c r="A107" t="str">
        <f>_xll.BDP("!!034V24 Mtge","ID_CUSIP")</f>
        <v>3137H5JE8</v>
      </c>
      <c r="B107" t="str">
        <f>_xll.BDP("!!034V24 Mtge","SECURITY_NAME")</f>
        <v>FHR 5188 GA</v>
      </c>
      <c r="C107" t="str">
        <f>_xll.BDP("!!034V24 Mtge","GENERIC_TICKER_VINTAGE")</f>
        <v>FNCL 3 2021</v>
      </c>
      <c r="D107" t="str">
        <f>_xll.BDP("!!034V24 Mtge","CRNCY")</f>
        <v>USD</v>
      </c>
      <c r="E107">
        <v>67154000</v>
      </c>
      <c r="F107">
        <f>_xll.BDP("!!034V24 Mtge","CPN")</f>
        <v>2</v>
      </c>
      <c r="G107">
        <f>_xll.BDP("!!034V24 Mtge","MTG_FACTOR")</f>
        <v>0.59297305</v>
      </c>
      <c r="H107">
        <f>_xll.BDP("!!034V24 Mtge","MTG_WAL")</f>
        <v>3.9398</v>
      </c>
      <c r="I107">
        <f>_xll.BDP("!!034V24 Mtge","MTG_ORIG_WAL")</f>
        <v>3.4</v>
      </c>
    </row>
    <row r="108" spans="1:9" x14ac:dyDescent="0.25">
      <c r="A108" t="str">
        <f>_xll.BDP("!!039K1M Mtge","ID_CUSIP")</f>
        <v>3137H9YM5</v>
      </c>
      <c r="B108" t="str">
        <f>_xll.BDP("!!039K1M Mtge","SECURITY_NAME")</f>
        <v>FHR 5304 UB</v>
      </c>
      <c r="C108" t="str">
        <f>_xll.BDP("!!039K1M Mtge","GENERIC_TICKER_VINTAGE")</f>
        <v>FNCL 3 2021</v>
      </c>
      <c r="D108" t="str">
        <f>_xll.BDP("!!039K1M Mtge","CRNCY")</f>
        <v>USD</v>
      </c>
      <c r="E108">
        <v>24714727</v>
      </c>
      <c r="F108">
        <f>_xll.BDP("!!039K1M Mtge","CPN")</f>
        <v>4</v>
      </c>
      <c r="G108">
        <f>_xll.BDP("!!039K1M Mtge","MTG_FACTOR")</f>
        <v>0.74919674000000003</v>
      </c>
      <c r="H108">
        <f>_xll.BDP("!!039K1M Mtge","MTG_WAL")</f>
        <v>8.2716999999999992</v>
      </c>
      <c r="I108">
        <f>_xll.BDP("!!039K1M Mtge","MTG_ORIG_WAL")</f>
        <v>9.6999999999999993</v>
      </c>
    </row>
    <row r="109" spans="1:9" x14ac:dyDescent="0.25">
      <c r="A109" t="str">
        <f>_xll.BDP("!!03NKLB Mtge","ID_CUSIP")</f>
        <v>3137HMHW3</v>
      </c>
      <c r="B109" t="str">
        <f>_xll.BDP("!!03NKLB Mtge","SECURITY_NAME")</f>
        <v>FHR 5566 F</v>
      </c>
      <c r="C109" t="str">
        <f>_xll.BDP("!!03NKLB Mtge","GENERIC_TICKER_VINTAGE")</f>
        <v>FNCL 6 2025</v>
      </c>
      <c r="D109" t="str">
        <f>_xll.BDP("!!03NKLB Mtge","CRNCY")</f>
        <v>USD</v>
      </c>
      <c r="E109">
        <v>68379980</v>
      </c>
      <c r="F109">
        <f>_xll.BDP("!!03NKLB Mtge","CPN")</f>
        <v>4.8172100000000002</v>
      </c>
      <c r="G109">
        <f>_xll.BDP("!!03NKLB Mtge","MTG_FACTOR")</f>
        <v>0.87504280999999995</v>
      </c>
      <c r="H109">
        <f>_xll.BDP("!!03NKLB Mtge","MTG_WAL")</f>
        <v>3.2332999999999998</v>
      </c>
      <c r="I109">
        <f>_xll.BDP("!!03NKLB Mtge","MTG_ORIG_WAL")</f>
        <v>6.5</v>
      </c>
    </row>
    <row r="110" spans="1:9" x14ac:dyDescent="0.25">
      <c r="A110" t="str">
        <f>_xll.BDP("FNCC0586 Mtge","ID_CUSIP")</f>
        <v>3140Y6UL2</v>
      </c>
      <c r="B110" t="str">
        <f>_xll.BDP("FNCC0586 Mtge","SECURITY_NAME")</f>
        <v>FN CC0586</v>
      </c>
      <c r="C110" t="str">
        <f>_xll.BDP("FNCC0586 Mtge","GENERIC_TICKER_VINTAGE")</f>
        <v>FNCL 6 2025</v>
      </c>
      <c r="D110" t="str">
        <f>_xll.BDP("FNCC0586 Mtge","CRNCY")</f>
        <v>USD</v>
      </c>
      <c r="E110">
        <v>97556483</v>
      </c>
      <c r="F110">
        <f>_xll.BDP("FNCC0586 Mtge","CPN")</f>
        <v>6</v>
      </c>
      <c r="G110">
        <f>_xll.BDP("FNCC0586 Mtge","MTG_FACTOR")</f>
        <v>0.91748704000000003</v>
      </c>
      <c r="H110">
        <f>_xll.BDP("FNCC0586 Mtge","MTG_WAL")</f>
        <v>3.2833000000000001</v>
      </c>
      <c r="I110" t="str">
        <f>_xll.BDP("FNCC0586 Mtge","MTG_ORIG_WAL")</f>
        <v>#N/A N/A</v>
      </c>
    </row>
    <row r="111" spans="1:9" x14ac:dyDescent="0.25">
      <c r="A111" t="str">
        <f>_xll.BDP("FRQY6631 Mtge","ID_CUSIP")</f>
        <v>31426RLM1</v>
      </c>
      <c r="B111" t="str">
        <f>_xll.BDP("FRQY6631 Mtge","SECURITY_NAME")</f>
        <v>FR QY6631</v>
      </c>
      <c r="C111" t="str">
        <f>_xll.BDP("FRQY6631 Mtge","GENERIC_TICKER_VINTAGE")</f>
        <v>FNCL 6 2025</v>
      </c>
      <c r="D111" t="str">
        <f>_xll.BDP("FRQY6631 Mtge","CRNCY")</f>
        <v>USD</v>
      </c>
      <c r="E111">
        <v>12859825</v>
      </c>
      <c r="F111">
        <f>_xll.BDP("FRQY6631 Mtge","CPN")</f>
        <v>6</v>
      </c>
      <c r="G111">
        <f>_xll.BDP("FRQY6631 Mtge","MTG_FACTOR")</f>
        <v>0.87062043</v>
      </c>
      <c r="H111">
        <f>_xll.BDP("FRQY6631 Mtge","MTG_WAL")</f>
        <v>3.3435999999999999</v>
      </c>
      <c r="I111" t="str">
        <f>_xll.BDP("FRQY6631 Mtge","MTG_ORIG_WAL")</f>
        <v>#N/A N/A</v>
      </c>
    </row>
    <row r="112" spans="1:9" x14ac:dyDescent="0.25">
      <c r="A112" t="str">
        <f>_xll.BDP("FRRJ3893 Mtge","ID_CUSIP")</f>
        <v>3142GUKF9</v>
      </c>
      <c r="B112" t="str">
        <f>_xll.BDP("FRRJ3893 Mtge","SECURITY_NAME")</f>
        <v>FR RJ3893</v>
      </c>
      <c r="C112" t="str">
        <f>_xll.BDP("FRRJ3893 Mtge","GENERIC_TICKER_VINTAGE")</f>
        <v>FNCL 6 2025</v>
      </c>
      <c r="D112" t="str">
        <f>_xll.BDP("FRRJ3893 Mtge","CRNCY")</f>
        <v>USD</v>
      </c>
      <c r="E112">
        <v>58055203</v>
      </c>
      <c r="F112">
        <f>_xll.BDP("FRRJ3893 Mtge","CPN")</f>
        <v>6</v>
      </c>
      <c r="G112">
        <f>_xll.BDP("FRRJ3893 Mtge","MTG_FACTOR")</f>
        <v>0.90336291999999996</v>
      </c>
      <c r="H112">
        <f>_xll.BDP("FRRJ3893 Mtge","MTG_WAL")</f>
        <v>3.1997</v>
      </c>
      <c r="I112" t="str">
        <f>_xll.BDP("FRRJ3893 Mtge","MTG_ORIG_WAL")</f>
        <v>#N/A N/A</v>
      </c>
    </row>
    <row r="113" spans="1:9" x14ac:dyDescent="0.25">
      <c r="A113" t="str">
        <f>_xll.BDP("FRSL1181 Mtge","ID_CUSIP")</f>
        <v>31427NJ34</v>
      </c>
      <c r="B113" t="str">
        <f>_xll.BDP("FRSL1181 Mtge","SECURITY_NAME")</f>
        <v>FR SL1181</v>
      </c>
      <c r="C113" t="str">
        <f>_xll.BDP("FRSL1181 Mtge","GENERIC_TICKER_VINTAGE")</f>
        <v>FNCL 6 2025</v>
      </c>
      <c r="D113" t="str">
        <f>_xll.BDP("FRSL1181 Mtge","CRNCY")</f>
        <v>USD</v>
      </c>
      <c r="E113">
        <v>70507564</v>
      </c>
      <c r="F113">
        <f>_xll.BDP("FRSL1181 Mtge","CPN")</f>
        <v>6</v>
      </c>
      <c r="G113">
        <f>_xll.BDP("FRSL1181 Mtge","MTG_FACTOR")</f>
        <v>0.84397496999999999</v>
      </c>
      <c r="H113">
        <f>_xll.BDP("FRSL1181 Mtge","MTG_WAL")</f>
        <v>3.1861999999999999</v>
      </c>
      <c r="I113" t="str">
        <f>_xll.BDP("FRSL1181 Mtge","MTG_ORIG_WAL")</f>
        <v>#N/A N/A</v>
      </c>
    </row>
    <row r="114" spans="1:9" x14ac:dyDescent="0.25">
      <c r="A114" t="str">
        <f>_xll.BDP("!!0352ZG Mtge","ID_CUSIP")</f>
        <v>3136BL3M0</v>
      </c>
      <c r="B114" t="str">
        <f>_xll.BDP("!!0352ZG Mtge","SECURITY_NAME")</f>
        <v>FNR 2022-10 CA</v>
      </c>
      <c r="C114" t="str">
        <f>_xll.BDP("!!0352ZG Mtge","GENERIC_TICKER_VINTAGE")</f>
        <v>FNCL 3 2021</v>
      </c>
      <c r="D114" t="str">
        <f>_xll.BDP("!!0352ZG Mtge","CRNCY")</f>
        <v>USD</v>
      </c>
      <c r="E114">
        <v>17312500</v>
      </c>
      <c r="F114">
        <f>_xll.BDP("!!0352ZG Mtge","CPN")</f>
        <v>2.5</v>
      </c>
      <c r="G114">
        <f>_xll.BDP("!!0352ZG Mtge","MTG_FACTOR")</f>
        <v>0.61087117000000002</v>
      </c>
      <c r="H114">
        <f>_xll.BDP("!!0352ZG Mtge","MTG_WAL")</f>
        <v>19.5154</v>
      </c>
      <c r="I114">
        <f>_xll.BDP("!!0352ZG Mtge","MTG_ORIG_WAL")</f>
        <v>10.9</v>
      </c>
    </row>
    <row r="115" spans="1:9" x14ac:dyDescent="0.25">
      <c r="A115" t="str">
        <f>_xll.BDP("!!03MM1S Mtge","ID_CUSIP")</f>
        <v>3137HLUR1</v>
      </c>
      <c r="B115" t="str">
        <f>_xll.BDP("!!03MM1S Mtge","SECURITY_NAME")</f>
        <v>FHR 5553 BL</v>
      </c>
      <c r="C115" t="str">
        <f>_xll.BDP("!!03MM1S Mtge","GENERIC_TICKER_VINTAGE")</f>
        <v>FNCL 6 2025</v>
      </c>
      <c r="D115" t="str">
        <f>_xll.BDP("!!03MM1S Mtge","CRNCY")</f>
        <v>USD</v>
      </c>
      <c r="E115">
        <v>15898847</v>
      </c>
      <c r="F115">
        <f>_xll.BDP("!!03MM1S Mtge","CPN")</f>
        <v>4.5</v>
      </c>
      <c r="G115">
        <f>_xll.BDP("!!03MM1S Mtge","MTG_FACTOR")</f>
        <v>1</v>
      </c>
      <c r="H115">
        <f>_xll.BDP("!!03MM1S Mtge","MTG_WAL")</f>
        <v>6.4406999999999996</v>
      </c>
      <c r="I115">
        <f>_xll.BDP("!!03MM1S Mtge","MTG_ORIG_WAL")</f>
        <v>12.9</v>
      </c>
    </row>
    <row r="116" spans="1:9" x14ac:dyDescent="0.25">
      <c r="A116" t="str">
        <f>_xll.BDP("!!03NNGP Mtge","ID_CUSIP")</f>
        <v>3137HMDH0</v>
      </c>
      <c r="B116" t="str">
        <f>_xll.BDP("!!03NNGP Mtge","SECURITY_NAME")</f>
        <v>FHR 5564 NS</v>
      </c>
      <c r="C116" t="str">
        <f>_xll.BDP("!!03NNGP Mtge","GENERIC_TICKER_VINTAGE")</f>
        <v>FNCL 6 2025</v>
      </c>
      <c r="D116" t="str">
        <f>_xll.BDP("!!03NNGP Mtge","CRNCY")</f>
        <v>USD</v>
      </c>
      <c r="E116">
        <v>105641000</v>
      </c>
      <c r="F116">
        <f>_xll.BDP("!!03NNGP Mtge","CPN")</f>
        <v>2.13279</v>
      </c>
      <c r="G116">
        <f>_xll.BDP("!!03NNGP Mtge","MTG_FACTOR")</f>
        <v>0.94635550000000002</v>
      </c>
      <c r="H116">
        <f>_xll.BDP("!!03NNGP Mtge","MTG_WAL")</f>
        <v>3.3397999999999999</v>
      </c>
      <c r="I116">
        <f>_xll.BDP("!!03NNGP Mtge","MTG_ORIG_WAL")</f>
        <v>6.5</v>
      </c>
    </row>
    <row r="117" spans="1:9" x14ac:dyDescent="0.25">
      <c r="A117" t="str">
        <f>_xll.BDP("FNCC0536 Mtge","ID_CUSIP")</f>
        <v>3140Y6S27</v>
      </c>
      <c r="B117" t="str">
        <f>_xll.BDP("FNCC0536 Mtge","SECURITY_NAME")</f>
        <v>FN CC0536</v>
      </c>
      <c r="C117" t="str">
        <f>_xll.BDP("FNCC0536 Mtge","GENERIC_TICKER_VINTAGE")</f>
        <v>FNCL 6 2025</v>
      </c>
      <c r="D117" t="str">
        <f>_xll.BDP("FNCC0536 Mtge","CRNCY")</f>
        <v>USD</v>
      </c>
      <c r="E117">
        <v>143192645</v>
      </c>
      <c r="F117">
        <f>_xll.BDP("FNCC0536 Mtge","CPN")</f>
        <v>6</v>
      </c>
      <c r="G117">
        <f>_xll.BDP("FNCC0536 Mtge","MTG_FACTOR")</f>
        <v>0.93544782999999998</v>
      </c>
      <c r="H117">
        <f>_xll.BDP("FNCC0536 Mtge","MTG_WAL")</f>
        <v>3.2896000000000001</v>
      </c>
      <c r="I117" t="str">
        <f>_xll.BDP("FNCC0536 Mtge","MTG_ORIG_WAL")</f>
        <v>#N/A N/A</v>
      </c>
    </row>
    <row r="118" spans="1:9" x14ac:dyDescent="0.25">
      <c r="A118" t="str">
        <f>_xll.BDP("FRSL0655 Mtge","ID_CUSIP")</f>
        <v>31427MWR8</v>
      </c>
      <c r="B118" t="str">
        <f>_xll.BDP("FRSL0655 Mtge","SECURITY_NAME")</f>
        <v>FR SL0655</v>
      </c>
      <c r="C118" t="str">
        <f>_xll.BDP("FRSL0655 Mtge","GENERIC_TICKER_VINTAGE")</f>
        <v>FNCL 6 2025</v>
      </c>
      <c r="D118" t="str">
        <f>_xll.BDP("FRSL0655 Mtge","CRNCY")</f>
        <v>USD</v>
      </c>
      <c r="E118">
        <v>81987966</v>
      </c>
      <c r="F118">
        <f>_xll.BDP("FRSL0655 Mtge","CPN")</f>
        <v>6</v>
      </c>
      <c r="G118">
        <f>_xll.BDP("FRSL0655 Mtge","MTG_FACTOR")</f>
        <v>0.81787131999999996</v>
      </c>
      <c r="H118">
        <f>_xll.BDP("FRSL0655 Mtge","MTG_WAL")</f>
        <v>3.1640000000000001</v>
      </c>
      <c r="I118" t="str">
        <f>_xll.BDP("FRSL0655 Mtge","MTG_ORIG_WAL")</f>
        <v>#N/A N/A</v>
      </c>
    </row>
    <row r="119" spans="1:9" x14ac:dyDescent="0.25">
      <c r="A119" t="str">
        <f>_xll.BDP("FRSL1663 Mtge","ID_CUSIP")</f>
        <v>31427NZ51</v>
      </c>
      <c r="B119" t="str">
        <f>_xll.BDP("FRSL1663 Mtge","SECURITY_NAME")</f>
        <v>FR SL1663</v>
      </c>
      <c r="C119" t="str">
        <f>_xll.BDP("FRSL1663 Mtge","GENERIC_TICKER_VINTAGE")</f>
        <v>FNCL 6 2025</v>
      </c>
      <c r="D119" t="str">
        <f>_xll.BDP("FRSL1663 Mtge","CRNCY")</f>
        <v>USD</v>
      </c>
      <c r="E119">
        <v>10469736</v>
      </c>
      <c r="F119">
        <f>_xll.BDP("FRSL1663 Mtge","CPN")</f>
        <v>6</v>
      </c>
      <c r="G119">
        <f>_xll.BDP("FRSL1663 Mtge","MTG_FACTOR")</f>
        <v>0.95027828000000003</v>
      </c>
      <c r="H119">
        <f>_xll.BDP("FRSL1663 Mtge","MTG_WAL")</f>
        <v>3.3386999999999998</v>
      </c>
      <c r="I119" t="str">
        <f>_xll.BDP("FRSL1663 Mtge","MTG_ORIG_WAL")</f>
        <v>#N/A N/A</v>
      </c>
    </row>
    <row r="120" spans="1:9" x14ac:dyDescent="0.25">
      <c r="A120" t="str">
        <f>_xll.BDP("FRSL1669 Mtge","ID_CUSIP")</f>
        <v>31427N2B4</v>
      </c>
      <c r="B120" t="str">
        <f>_xll.BDP("FRSL1669 Mtge","SECURITY_NAME")</f>
        <v>FR SL1669</v>
      </c>
      <c r="C120" t="str">
        <f>_xll.BDP("FRSL1669 Mtge","GENERIC_TICKER_VINTAGE")</f>
        <v>FNCL 6 2025</v>
      </c>
      <c r="D120" t="str">
        <f>_xll.BDP("FRSL1669 Mtge","CRNCY")</f>
        <v>USD</v>
      </c>
      <c r="E120">
        <v>91816100</v>
      </c>
      <c r="F120">
        <f>_xll.BDP("FRSL1669 Mtge","CPN")</f>
        <v>6</v>
      </c>
      <c r="G120">
        <f>_xll.BDP("FRSL1669 Mtge","MTG_FACTOR")</f>
        <v>0.91773658999999996</v>
      </c>
      <c r="H120">
        <f>_xll.BDP("FRSL1669 Mtge","MTG_WAL")</f>
        <v>3.2061000000000002</v>
      </c>
      <c r="I120" t="str">
        <f>_xll.BDP("FRSL1669 Mtge","MTG_ORIG_WAL")</f>
        <v>#N/A N/A</v>
      </c>
    </row>
    <row r="121" spans="1:9" x14ac:dyDescent="0.25">
      <c r="A121" t="str">
        <f>_xll.BDP("!!035229 Mtge","ID_CUSIP")</f>
        <v>3136BMDE5</v>
      </c>
      <c r="B121" t="str">
        <f>_xll.BDP("!!035229 Mtge","SECURITY_NAME")</f>
        <v>FNR 2022-12 GE</v>
      </c>
      <c r="C121" t="str">
        <f>_xll.BDP("!!035229 Mtge","GENERIC_TICKER_VINTAGE")</f>
        <v>FNCL 3 2021</v>
      </c>
      <c r="D121" t="str">
        <f>_xll.BDP("!!035229 Mtge","CRNCY")</f>
        <v>USD</v>
      </c>
      <c r="E121">
        <v>74000000</v>
      </c>
      <c r="F121">
        <f>_xll.BDP("!!035229 Mtge","CPN")</f>
        <v>2.5</v>
      </c>
      <c r="G121">
        <f>_xll.BDP("!!035229 Mtge","MTG_FACTOR")</f>
        <v>0.61799274000000004</v>
      </c>
      <c r="H121">
        <f>_xll.BDP("!!035229 Mtge","MTG_WAL")</f>
        <v>4.0034999999999998</v>
      </c>
      <c r="I121">
        <f>_xll.BDP("!!035229 Mtge","MTG_ORIG_WAL")</f>
        <v>3.2</v>
      </c>
    </row>
    <row r="122" spans="1:9" x14ac:dyDescent="0.25">
      <c r="A122" t="str">
        <f>_xll.BDP("!!03N6W5 Mtge","ID_CUSIP")</f>
        <v>3137HMKC3</v>
      </c>
      <c r="B122" t="str">
        <f>_xll.BDP("!!03N6W5 Mtge","SECURITY_NAME")</f>
        <v>FHR 5563 FC</v>
      </c>
      <c r="C122" t="str">
        <f>_xll.BDP("!!03N6W5 Mtge","GENERIC_TICKER_VINTAGE")</f>
        <v>FNCL 6 2025</v>
      </c>
      <c r="D122" t="str">
        <f>_xll.BDP("!!03N6W5 Mtge","CRNCY")</f>
        <v>USD</v>
      </c>
      <c r="E122">
        <v>40000000</v>
      </c>
      <c r="F122">
        <f>_xll.BDP("!!03N6W5 Mtge","CPN")</f>
        <v>4.86721</v>
      </c>
      <c r="G122">
        <f>_xll.BDP("!!03N6W5 Mtge","MTG_FACTOR")</f>
        <v>0.80760430000000005</v>
      </c>
      <c r="H122">
        <f>_xll.BDP("!!03N6W5 Mtge","MTG_WAL")</f>
        <v>3.1322999999999999</v>
      </c>
      <c r="I122">
        <f>_xll.BDP("!!03N6W5 Mtge","MTG_ORIG_WAL")</f>
        <v>6.2</v>
      </c>
    </row>
    <row r="123" spans="1:9" x14ac:dyDescent="0.25">
      <c r="A123" t="str">
        <f>_xll.BDP("FNCC0579 Mtge","ID_CUSIP")</f>
        <v>3140Y6UD0</v>
      </c>
      <c r="B123" t="str">
        <f>_xll.BDP("FNCC0579 Mtge","SECURITY_NAME")</f>
        <v>FN CC0579</v>
      </c>
      <c r="C123" t="str">
        <f>_xll.BDP("FNCC0579 Mtge","GENERIC_TICKER_VINTAGE")</f>
        <v>FNCL 6 2025</v>
      </c>
      <c r="D123" t="str">
        <f>_xll.BDP("FNCC0579 Mtge","CRNCY")</f>
        <v>USD</v>
      </c>
      <c r="E123">
        <v>208703607</v>
      </c>
      <c r="F123">
        <f>_xll.BDP("FNCC0579 Mtge","CPN")</f>
        <v>6</v>
      </c>
      <c r="G123">
        <f>_xll.BDP("FNCC0579 Mtge","MTG_FACTOR")</f>
        <v>0.92545898999999998</v>
      </c>
      <c r="H123">
        <f>_xll.BDP("FNCC0579 Mtge","MTG_WAL")</f>
        <v>3.2888000000000002</v>
      </c>
      <c r="I123" t="str">
        <f>_xll.BDP("FNCC0579 Mtge","MTG_ORIG_WAL")</f>
        <v>#N/A N/A</v>
      </c>
    </row>
    <row r="124" spans="1:9" x14ac:dyDescent="0.25">
      <c r="A124" t="str">
        <f>_xll.BDP("FNCC0583 Mtge","ID_CUSIP")</f>
        <v>3140Y6UH1</v>
      </c>
      <c r="B124" t="str">
        <f>_xll.BDP("FNCC0583 Mtge","SECURITY_NAME")</f>
        <v>FN CC0583</v>
      </c>
      <c r="C124" t="str">
        <f>_xll.BDP("FNCC0583 Mtge","GENERIC_TICKER_VINTAGE")</f>
        <v>FNCL 6 2025</v>
      </c>
      <c r="D124" t="str">
        <f>_xll.BDP("FNCC0583 Mtge","CRNCY")</f>
        <v>USD</v>
      </c>
      <c r="E124">
        <v>215937409</v>
      </c>
      <c r="F124">
        <f>_xll.BDP("FNCC0583 Mtge","CPN")</f>
        <v>6</v>
      </c>
      <c r="G124">
        <f>_xll.BDP("FNCC0583 Mtge","MTG_FACTOR")</f>
        <v>0.93587774999999995</v>
      </c>
      <c r="H124">
        <f>_xll.BDP("FNCC0583 Mtge","MTG_WAL")</f>
        <v>3.2885</v>
      </c>
      <c r="I124" t="str">
        <f>_xll.BDP("FNCC0583 Mtge","MTG_ORIG_WAL")</f>
        <v>#N/A N/A</v>
      </c>
    </row>
    <row r="125" spans="1:9" x14ac:dyDescent="0.25">
      <c r="A125" t="str">
        <f>_xll.BDP("FNFA1667 Mtge","ID_CUSIP")</f>
        <v>3140W1Z97</v>
      </c>
      <c r="B125" t="str">
        <f>_xll.BDP("FNFA1667 Mtge","SECURITY_NAME")</f>
        <v>FN FA1667</v>
      </c>
      <c r="C125" t="str">
        <f>_xll.BDP("FNFA1667 Mtge","GENERIC_TICKER_VINTAGE")</f>
        <v>FNCL 3 2021</v>
      </c>
      <c r="D125" t="str">
        <f>_xll.BDP("FNFA1667 Mtge","CRNCY")</f>
        <v>USD</v>
      </c>
      <c r="E125">
        <v>17326495</v>
      </c>
      <c r="F125">
        <f>_xll.BDP("FNFA1667 Mtge","CPN")</f>
        <v>3</v>
      </c>
      <c r="G125">
        <f>_xll.BDP("FNFA1667 Mtge","MTG_FACTOR")</f>
        <v>0.9282456</v>
      </c>
      <c r="H125">
        <f>_xll.BDP("FNFA1667 Mtge","MTG_WAL")</f>
        <v>8.3000000000000007</v>
      </c>
      <c r="I125" t="str">
        <f>_xll.BDP("FNFA1667 Mtge","MTG_ORIG_WAL")</f>
        <v>#N/A N/A</v>
      </c>
    </row>
    <row r="126" spans="1:9" x14ac:dyDescent="0.25">
      <c r="A126" t="str">
        <f>_xll.BDP("FNFS8819 Mtge","ID_CUSIP")</f>
        <v>3140XQYR2</v>
      </c>
      <c r="B126" t="str">
        <f>_xll.BDP("FNFS8819 Mtge","SECURITY_NAME")</f>
        <v>FN FS8819</v>
      </c>
      <c r="C126" t="str">
        <f>_xll.BDP("FNFS8819 Mtge","GENERIC_TICKER_VINTAGE")</f>
        <v>FNCL 3 2021</v>
      </c>
      <c r="D126" t="str">
        <f>_xll.BDP("FNFS8819 Mtge","CRNCY")</f>
        <v>USD</v>
      </c>
      <c r="E126">
        <v>36762388</v>
      </c>
      <c r="F126">
        <f>_xll.BDP("FNFS8819 Mtge","CPN")</f>
        <v>3</v>
      </c>
      <c r="G126">
        <f>_xll.BDP("FNFS8819 Mtge","MTG_FACTOR")</f>
        <v>0.85507657000000004</v>
      </c>
      <c r="H126">
        <f>_xll.BDP("FNFS8819 Mtge","MTG_WAL")</f>
        <v>8.3469999999999995</v>
      </c>
      <c r="I126" t="str">
        <f>_xll.BDP("FNFS8819 Mtge","MTG_ORIG_WAL")</f>
        <v>#N/A N/A</v>
      </c>
    </row>
    <row r="127" spans="1:9" x14ac:dyDescent="0.25">
      <c r="A127" t="str">
        <f>_xll.BDP("FRQY6122 Mtge","ID_CUSIP")</f>
        <v>31426QYU1</v>
      </c>
      <c r="B127" t="str">
        <f>_xll.BDP("FRQY6122 Mtge","SECURITY_NAME")</f>
        <v>FR QY6122</v>
      </c>
      <c r="C127" t="str">
        <f>_xll.BDP("FRQY6122 Mtge","GENERIC_TICKER_VINTAGE")</f>
        <v>FNCL 6 2025</v>
      </c>
      <c r="D127" t="str">
        <f>_xll.BDP("FRQY6122 Mtge","CRNCY")</f>
        <v>USD</v>
      </c>
      <c r="E127">
        <v>46249526</v>
      </c>
      <c r="F127">
        <f>_xll.BDP("FRQY6122 Mtge","CPN")</f>
        <v>6</v>
      </c>
      <c r="G127">
        <f>_xll.BDP("FRQY6122 Mtge","MTG_FACTOR")</f>
        <v>0.88710155000000002</v>
      </c>
      <c r="H127">
        <f>_xll.BDP("FRQY6122 Mtge","MTG_WAL")</f>
        <v>3.2778999999999998</v>
      </c>
      <c r="I127" t="str">
        <f>_xll.BDP("FRQY6122 Mtge","MTG_ORIG_WAL")</f>
        <v>#N/A N/A</v>
      </c>
    </row>
    <row r="128" spans="1:9" x14ac:dyDescent="0.25">
      <c r="A128" t="str">
        <f>_xll.BDP("!!03LWKX Mtge","ID_CUSIP")</f>
        <v>3137HLE65</v>
      </c>
      <c r="B128" t="str">
        <f>_xll.BDP("!!03LWKX Mtge","SECURITY_NAME")</f>
        <v>FHR 5534 DS</v>
      </c>
      <c r="C128" t="str">
        <f>_xll.BDP("!!03LWKX Mtge","GENERIC_TICKER_VINTAGE")</f>
        <v>FNCL 6 2025</v>
      </c>
      <c r="D128" t="str">
        <f>_xll.BDP("!!03LWKX Mtge","CRNCY")</f>
        <v>USD</v>
      </c>
      <c r="E128">
        <v>334620347</v>
      </c>
      <c r="F128">
        <f>_xll.BDP("!!03LWKX Mtge","CPN")</f>
        <v>1.5827899999999999</v>
      </c>
      <c r="G128">
        <f>_xll.BDP("!!03LWKX Mtge","MTG_FACTOR")</f>
        <v>0.87443875000000004</v>
      </c>
      <c r="H128">
        <f>_xll.BDP("!!03LWKX Mtge","MTG_WAL")</f>
        <v>3.1488</v>
      </c>
      <c r="I128">
        <f>_xll.BDP("!!03LWKX Mtge","MTG_ORIG_WAL")</f>
        <v>6.7</v>
      </c>
    </row>
    <row r="129" spans="1:9" x14ac:dyDescent="0.25">
      <c r="A129" t="str">
        <f>_xll.BDP("!!03MF7L Mtge","ID_CUSIP")</f>
        <v>3136BWJF4</v>
      </c>
      <c r="B129" t="str">
        <f>_xll.BDP("!!03MF7L Mtge","SECURITY_NAME")</f>
        <v>FNR 2025-47 SB</v>
      </c>
      <c r="C129" t="str">
        <f>_xll.BDP("!!03MF7L Mtge","GENERIC_TICKER_VINTAGE")</f>
        <v>FNCL 6 2025</v>
      </c>
      <c r="D129" t="str">
        <f>_xll.BDP("!!03MF7L Mtge","CRNCY")</f>
        <v>USD</v>
      </c>
      <c r="E129">
        <v>105000000</v>
      </c>
      <c r="F129">
        <f>_xll.BDP("!!03MF7L Mtge","CPN")</f>
        <v>2.1627900000000002</v>
      </c>
      <c r="G129">
        <f>_xll.BDP("!!03MF7L Mtge","MTG_FACTOR")</f>
        <v>0.95188035000000004</v>
      </c>
      <c r="H129">
        <f>_xll.BDP("!!03MF7L Mtge","MTG_WAL")</f>
        <v>3.1646999999999998</v>
      </c>
      <c r="I129">
        <f>_xll.BDP("!!03MF7L Mtge","MTG_ORIG_WAL")</f>
        <v>6.3847300000000002</v>
      </c>
    </row>
    <row r="130" spans="1:9" x14ac:dyDescent="0.25">
      <c r="A130" t="str">
        <f>_xll.BDP("!!03NTDK Mtge","ID_CUSIP")</f>
        <v>3137HMPW4</v>
      </c>
      <c r="B130" t="str">
        <f>_xll.BDP("!!03NTDK Mtge","SECURITY_NAME")</f>
        <v>FHR 5572 GB</v>
      </c>
      <c r="C130" t="str">
        <f>_xll.BDP("!!03NTDK Mtge","GENERIC_TICKER_VINTAGE")</f>
        <v>FNCL 6 2025</v>
      </c>
      <c r="D130" t="str">
        <f>_xll.BDP("!!03NTDK Mtge","CRNCY")</f>
        <v>USD</v>
      </c>
      <c r="E130">
        <v>80384000</v>
      </c>
      <c r="F130">
        <f>_xll.BDP("!!03NTDK Mtge","CPN")</f>
        <v>4.5</v>
      </c>
      <c r="G130">
        <f>_xll.BDP("!!03NTDK Mtge","MTG_FACTOR")</f>
        <v>0.76541141000000001</v>
      </c>
      <c r="H130">
        <f>_xll.BDP("!!03NTDK Mtge","MTG_WAL")</f>
        <v>1.8494999999999999</v>
      </c>
      <c r="I130">
        <f>_xll.BDP("!!03NTDK Mtge","MTG_ORIG_WAL")</f>
        <v>3.6</v>
      </c>
    </row>
    <row r="131" spans="1:9" x14ac:dyDescent="0.25">
      <c r="A131" t="str">
        <f>_xll.BDP("FRQY3606 Mtge","ID_CUSIP")</f>
        <v>31426NAG5</v>
      </c>
      <c r="B131" t="str">
        <f>_xll.BDP("FRQY3606 Mtge","SECURITY_NAME")</f>
        <v>FR QY3606</v>
      </c>
      <c r="C131" t="str">
        <f>_xll.BDP("FRQY3606 Mtge","GENERIC_TICKER_VINTAGE")</f>
        <v>FNCL 6 2025</v>
      </c>
      <c r="D131" t="str">
        <f>_xll.BDP("FRQY3606 Mtge","CRNCY")</f>
        <v>USD</v>
      </c>
      <c r="E131">
        <v>1866920</v>
      </c>
      <c r="F131">
        <f>_xll.BDP("FRQY3606 Mtge","CPN")</f>
        <v>6</v>
      </c>
      <c r="G131">
        <f>_xll.BDP("FRQY3606 Mtge","MTG_FACTOR")</f>
        <v>0.79042628999999998</v>
      </c>
      <c r="H131">
        <f>_xll.BDP("FRQY3606 Mtge","MTG_WAL")</f>
        <v>3.2946</v>
      </c>
      <c r="I131" t="str">
        <f>_xll.BDP("FRQY3606 Mtge","MTG_ORIG_WAL")</f>
        <v>#N/A N/A</v>
      </c>
    </row>
    <row r="132" spans="1:9" x14ac:dyDescent="0.25">
      <c r="A132" t="str">
        <f>_xll.BDP("!!03M01K Mtge","ID_CUSIP")</f>
        <v>3136BVM54</v>
      </c>
      <c r="B132" t="str">
        <f>_xll.BDP("!!03M01K Mtge","SECURITY_NAME")</f>
        <v>FNR 2025-35 A</v>
      </c>
      <c r="C132" t="str">
        <f>_xll.BDP("!!03M01K Mtge","GENERIC_TICKER_VINTAGE")</f>
        <v>FNCL 6 2025</v>
      </c>
      <c r="D132" t="str">
        <f>_xll.BDP("!!03M01K Mtge","CRNCY")</f>
        <v>USD</v>
      </c>
      <c r="E132">
        <v>27521531</v>
      </c>
      <c r="F132">
        <f>_xll.BDP("!!03M01K Mtge","CPN")</f>
        <v>5</v>
      </c>
      <c r="G132">
        <f>_xll.BDP("!!03M01K Mtge","MTG_FACTOR")</f>
        <v>0.91100877999999996</v>
      </c>
      <c r="H132">
        <f>_xll.BDP("!!03M01K Mtge","MTG_WAL")</f>
        <v>3.1787000000000001</v>
      </c>
      <c r="I132">
        <f>_xll.BDP("!!03M01K Mtge","MTG_ORIG_WAL")</f>
        <v>6.7372199999999998</v>
      </c>
    </row>
    <row r="133" spans="1:9" x14ac:dyDescent="0.25">
      <c r="A133" t="str">
        <f>_xll.BDP("FNCB0193 Mtge","ID_CUSIP")</f>
        <v>3140QKGB8</v>
      </c>
      <c r="B133" t="str">
        <f>_xll.BDP("FNCB0193 Mtge","SECURITY_NAME")</f>
        <v>FN CB0193</v>
      </c>
      <c r="C133" t="str">
        <f>_xll.BDP("FNCB0193 Mtge","GENERIC_TICKER_VINTAGE")</f>
        <v>FNCL 3 2021</v>
      </c>
      <c r="D133" t="str">
        <f>_xll.BDP("FNCB0193 Mtge","CRNCY")</f>
        <v>USD</v>
      </c>
      <c r="E133">
        <v>223968996</v>
      </c>
      <c r="F133">
        <f>_xll.BDP("FNCB0193 Mtge","CPN")</f>
        <v>3</v>
      </c>
      <c r="G133">
        <f>_xll.BDP("FNCB0193 Mtge","MTG_FACTOR")</f>
        <v>0.58766622000000002</v>
      </c>
      <c r="H133">
        <f>_xll.BDP("FNCB0193 Mtge","MTG_WAL")</f>
        <v>8.3287999999999993</v>
      </c>
      <c r="I133" t="str">
        <f>_xll.BDP("FNCB0193 Mtge","MTG_ORIG_WAL")</f>
        <v>#N/A N/A</v>
      </c>
    </row>
    <row r="134" spans="1:9" x14ac:dyDescent="0.25">
      <c r="A134" t="str">
        <f>_xll.BDP("FNCC0581 Mtge","ID_CUSIP")</f>
        <v>3140Y6UF5</v>
      </c>
      <c r="B134" t="str">
        <f>_xll.BDP("FNCC0581 Mtge","SECURITY_NAME")</f>
        <v>FN CC0581</v>
      </c>
      <c r="C134" t="str">
        <f>_xll.BDP("FNCC0581 Mtge","GENERIC_TICKER_VINTAGE")</f>
        <v>FNCL 6 2025</v>
      </c>
      <c r="D134" t="str">
        <f>_xll.BDP("FNCC0581 Mtge","CRNCY")</f>
        <v>USD</v>
      </c>
      <c r="E134">
        <v>36946628</v>
      </c>
      <c r="F134">
        <f>_xll.BDP("FNCC0581 Mtge","CPN")</f>
        <v>6</v>
      </c>
      <c r="G134">
        <f>_xll.BDP("FNCC0581 Mtge","MTG_FACTOR")</f>
        <v>0.87375389999999997</v>
      </c>
      <c r="H134">
        <f>_xll.BDP("FNCC0581 Mtge","MTG_WAL")</f>
        <v>3.2829999999999999</v>
      </c>
      <c r="I134" t="str">
        <f>_xll.BDP("FNCC0581 Mtge","MTG_ORIG_WAL")</f>
        <v>#N/A N/A</v>
      </c>
    </row>
    <row r="135" spans="1:9" x14ac:dyDescent="0.25">
      <c r="A135" t="str">
        <f>_xll.BDP("FNCC0877 Mtge","ID_CUSIP")</f>
        <v>3140Y66P0</v>
      </c>
      <c r="B135" t="str">
        <f>_xll.BDP("FNCC0877 Mtge","SECURITY_NAME")</f>
        <v>FN CC0877</v>
      </c>
      <c r="C135" t="str">
        <f>_xll.BDP("FNCC0877 Mtge","GENERIC_TICKER_VINTAGE")</f>
        <v>FNCL 6 2025</v>
      </c>
      <c r="D135" t="str">
        <f>_xll.BDP("FNCC0877 Mtge","CRNCY")</f>
        <v>USD</v>
      </c>
      <c r="E135">
        <v>29315499</v>
      </c>
      <c r="F135">
        <f>_xll.BDP("FNCC0877 Mtge","CPN")</f>
        <v>6</v>
      </c>
      <c r="G135">
        <f>_xll.BDP("FNCC0877 Mtge","MTG_FACTOR")</f>
        <v>0.95252139000000002</v>
      </c>
      <c r="H135">
        <f>_xll.BDP("FNCC0877 Mtge","MTG_WAL")</f>
        <v>3.3915000000000002</v>
      </c>
      <c r="I135" t="str">
        <f>_xll.BDP("FNCC0877 Mtge","MTG_ORIG_WAL")</f>
        <v>#N/A N/A</v>
      </c>
    </row>
    <row r="136" spans="1:9" x14ac:dyDescent="0.25">
      <c r="A136" t="str">
        <f>_xll.BDP("FNDE1159 Mtge","ID_CUSIP")</f>
        <v>3140BDJD3</v>
      </c>
      <c r="B136" t="str">
        <f>_xll.BDP("FNDE1159 Mtge","SECURITY_NAME")</f>
        <v>FN DE1159</v>
      </c>
      <c r="C136" t="str">
        <f>_xll.BDP("FNDE1159 Mtge","GENERIC_TICKER_VINTAGE")</f>
        <v>FNCL 6 2025</v>
      </c>
      <c r="D136" t="str">
        <f>_xll.BDP("FNDE1159 Mtge","CRNCY")</f>
        <v>USD</v>
      </c>
      <c r="E136">
        <v>1064904</v>
      </c>
      <c r="F136">
        <f>_xll.BDP("FNDE1159 Mtge","CPN")</f>
        <v>6</v>
      </c>
      <c r="G136">
        <f>_xll.BDP("FNDE1159 Mtge","MTG_FACTOR")</f>
        <v>0.72038674999999996</v>
      </c>
      <c r="H136">
        <f>_xll.BDP("FNDE1159 Mtge","MTG_WAL")</f>
        <v>3.2930999999999999</v>
      </c>
      <c r="I136" t="str">
        <f>_xll.BDP("FNDE1159 Mtge","MTG_ORIG_WAL")</f>
        <v>#N/A N/A</v>
      </c>
    </row>
    <row r="137" spans="1:9" x14ac:dyDescent="0.25">
      <c r="A137" t="str">
        <f>_xll.BDP("FNFS3826 Mtge","ID_CUSIP")</f>
        <v>3140XKHC7</v>
      </c>
      <c r="B137" t="str">
        <f>_xll.BDP("FNFS3826 Mtge","SECURITY_NAME")</f>
        <v>FN FS3826</v>
      </c>
      <c r="C137" t="str">
        <f>_xll.BDP("FNFS3826 Mtge","GENERIC_TICKER_VINTAGE")</f>
        <v>FNCL 3 2021</v>
      </c>
      <c r="D137" t="str">
        <f>_xll.BDP("FNFS3826 Mtge","CRNCY")</f>
        <v>USD</v>
      </c>
      <c r="E137">
        <v>55889309</v>
      </c>
      <c r="F137">
        <f>_xll.BDP("FNFS3826 Mtge","CPN")</f>
        <v>3</v>
      </c>
      <c r="G137">
        <f>_xll.BDP("FNFS3826 Mtge","MTG_FACTOR")</f>
        <v>0.74466136000000005</v>
      </c>
      <c r="H137">
        <f>_xll.BDP("FNFS3826 Mtge","MTG_WAL")</f>
        <v>8.4526000000000003</v>
      </c>
      <c r="I137" t="str">
        <f>_xll.BDP("FNFS3826 Mtge","MTG_ORIG_WAL")</f>
        <v>#N/A N/A</v>
      </c>
    </row>
    <row r="138" spans="1:9" x14ac:dyDescent="0.25">
      <c r="A138" t="str">
        <f>_xll.BDP("FNFS9520 Mtge","ID_CUSIP")</f>
        <v>3140XRSJ5</v>
      </c>
      <c r="B138" t="str">
        <f>_xll.BDP("FNFS9520 Mtge","SECURITY_NAME")</f>
        <v>FN FS9520</v>
      </c>
      <c r="C138" t="str">
        <f>_xll.BDP("FNFS9520 Mtge","GENERIC_TICKER_VINTAGE")</f>
        <v>FNCL 3 2021</v>
      </c>
      <c r="D138" t="str">
        <f>_xll.BDP("FNFS9520 Mtge","CRNCY")</f>
        <v>USD</v>
      </c>
      <c r="E138">
        <v>41086289</v>
      </c>
      <c r="F138">
        <f>_xll.BDP("FNFS9520 Mtge","CPN")</f>
        <v>3</v>
      </c>
      <c r="G138">
        <f>_xll.BDP("FNFS9520 Mtge","MTG_FACTOR")</f>
        <v>0.88907285999999996</v>
      </c>
      <c r="H138">
        <f>_xll.BDP("FNFS9520 Mtge","MTG_WAL")</f>
        <v>8.2805</v>
      </c>
      <c r="I138" t="str">
        <f>_xll.BDP("FNFS9520 Mtge","MTG_ORIG_WAL")</f>
        <v>#N/A N/A</v>
      </c>
    </row>
    <row r="139" spans="1:9" x14ac:dyDescent="0.25">
      <c r="A139" t="str">
        <f>_xll.BDP("FRQY4616 Mtge","ID_CUSIP")</f>
        <v>31426PDW2</v>
      </c>
      <c r="B139" t="str">
        <f>_xll.BDP("FRQY4616 Mtge","SECURITY_NAME")</f>
        <v>FR QY4616</v>
      </c>
      <c r="C139" t="str">
        <f>_xll.BDP("FRQY4616 Mtge","GENERIC_TICKER_VINTAGE")</f>
        <v>FNCL 6 2025</v>
      </c>
      <c r="D139" t="str">
        <f>_xll.BDP("FRQY4616 Mtge","CRNCY")</f>
        <v>USD</v>
      </c>
      <c r="E139">
        <v>53849523</v>
      </c>
      <c r="F139">
        <f>_xll.BDP("FRQY4616 Mtge","CPN")</f>
        <v>6</v>
      </c>
      <c r="G139">
        <f>_xll.BDP("FRQY4616 Mtge","MTG_FACTOR")</f>
        <v>0.88656699000000005</v>
      </c>
      <c r="H139">
        <f>_xll.BDP("FRQY4616 Mtge","MTG_WAL")</f>
        <v>3.2930000000000001</v>
      </c>
      <c r="I139" t="str">
        <f>_xll.BDP("FRQY4616 Mtge","MTG_ORIG_WAL")</f>
        <v>#N/A N/A</v>
      </c>
    </row>
    <row r="140" spans="1:9" x14ac:dyDescent="0.25">
      <c r="A140" t="str">
        <f>_xll.BDP("FRSD2864 Mtge","ID_CUSIP")</f>
        <v>3132DQFD3</v>
      </c>
      <c r="B140" t="str">
        <f>_xll.BDP("FRSD2864 Mtge","SECURITY_NAME")</f>
        <v>FR SD2864</v>
      </c>
      <c r="C140" t="str">
        <f>_xll.BDP("FRSD2864 Mtge","GENERIC_TICKER_VINTAGE")</f>
        <v>FNCL 3 2021</v>
      </c>
      <c r="D140" t="str">
        <f>_xll.BDP("FRSD2864 Mtge","CRNCY")</f>
        <v>USD</v>
      </c>
      <c r="E140">
        <v>95117393</v>
      </c>
      <c r="F140">
        <f>_xll.BDP("FRSD2864 Mtge","CPN")</f>
        <v>3</v>
      </c>
      <c r="G140">
        <f>_xll.BDP("FRSD2864 Mtge","MTG_FACTOR")</f>
        <v>0.76554526000000001</v>
      </c>
      <c r="H140">
        <f>_xll.BDP("FRSD2864 Mtge","MTG_WAL")</f>
        <v>8.3886000000000003</v>
      </c>
      <c r="I140" t="str">
        <f>_xll.BDP("FRSD2864 Mtge","MTG_ORIG_WAL")</f>
        <v>#N/A N/A</v>
      </c>
    </row>
    <row r="141" spans="1:9" x14ac:dyDescent="0.25">
      <c r="A141" t="str">
        <f>_xll.BDP("FRSD8184 Mtge","ID_CUSIP")</f>
        <v>3132DWCV3</v>
      </c>
      <c r="B141" t="str">
        <f>_xll.BDP("FRSD8184 Mtge","SECURITY_NAME")</f>
        <v>FR SD8184</v>
      </c>
      <c r="C141" t="str">
        <f>_xll.BDP("FRSD8184 Mtge","GENERIC_TICKER_VINTAGE")</f>
        <v>FNCL 3 2021</v>
      </c>
      <c r="D141" t="str">
        <f>_xll.BDP("FRSD8184 Mtge","CRNCY")</f>
        <v>USD</v>
      </c>
      <c r="E141">
        <v>640238903</v>
      </c>
      <c r="F141">
        <f>_xll.BDP("FRSD8184 Mtge","CPN")</f>
        <v>3</v>
      </c>
      <c r="G141">
        <f>_xll.BDP("FRSD8184 Mtge","MTG_FACTOR")</f>
        <v>0.66279960999999998</v>
      </c>
      <c r="H141">
        <f>_xll.BDP("FRSD8184 Mtge","MTG_WAL")</f>
        <v>8.3880999999999997</v>
      </c>
      <c r="I141" t="str">
        <f>_xll.BDP("FRSD8184 Mtge","MTG_ORIG_WAL")</f>
        <v>#N/A N/A</v>
      </c>
    </row>
    <row r="142" spans="1:9" x14ac:dyDescent="0.25">
      <c r="A142" t="str">
        <f>_xll.BDP("FRSL1573 Mtge","ID_CUSIP")</f>
        <v>31427NXB0</v>
      </c>
      <c r="B142" t="str">
        <f>_xll.BDP("FRSL1573 Mtge","SECURITY_NAME")</f>
        <v>FR SL1573</v>
      </c>
      <c r="C142" t="str">
        <f>_xll.BDP("FRSL1573 Mtge","GENERIC_TICKER_VINTAGE")</f>
        <v>FNCL 6 2025</v>
      </c>
      <c r="D142" t="str">
        <f>_xll.BDP("FRSL1573 Mtge","CRNCY")</f>
        <v>USD</v>
      </c>
      <c r="E142">
        <v>24802946</v>
      </c>
      <c r="F142">
        <f>_xll.BDP("FRSL1573 Mtge","CPN")</f>
        <v>6</v>
      </c>
      <c r="G142">
        <f>_xll.BDP("FRSL1573 Mtge","MTG_FACTOR")</f>
        <v>0.94797516000000004</v>
      </c>
      <c r="H142">
        <f>_xll.BDP("FRSL1573 Mtge","MTG_WAL")</f>
        <v>3.2881999999999998</v>
      </c>
      <c r="I142" t="str">
        <f>_xll.BDP("FRSL1573 Mtge","MTG_ORIG_WAL")</f>
        <v>#N/A N/A</v>
      </c>
    </row>
    <row r="143" spans="1:9" x14ac:dyDescent="0.25">
      <c r="A143" t="str">
        <f>_xll.BDP("!!031RYY Mtge","ID_CUSIP")</f>
        <v>3137H1NH5</v>
      </c>
      <c r="B143" t="str">
        <f>_xll.BDP("!!031RYY Mtge","SECURITY_NAME")</f>
        <v>FHR 5130 SD</v>
      </c>
      <c r="C143" t="str">
        <f>_xll.BDP("!!031RYY Mtge","GENERIC_TICKER_VINTAGE")</f>
        <v>FNCL 3 2021</v>
      </c>
      <c r="D143" t="str">
        <f>_xll.BDP("!!031RYY Mtge","CRNCY")</f>
        <v>USD</v>
      </c>
      <c r="E143">
        <v>185000000</v>
      </c>
      <c r="F143">
        <f>_xll.BDP("!!031RYY Mtge","CPN")</f>
        <v>0</v>
      </c>
      <c r="G143">
        <f>_xll.BDP("!!031RYY Mtge","MTG_FACTOR")</f>
        <v>0.65934956</v>
      </c>
      <c r="H143">
        <f>_xll.BDP("!!031RYY Mtge","MTG_WAL")</f>
        <v>8.1808999999999994</v>
      </c>
      <c r="I143">
        <f>_xll.BDP("!!031RYY Mtge","MTG_ORIG_WAL")</f>
        <v>5.0999999999999996</v>
      </c>
    </row>
    <row r="144" spans="1:9" x14ac:dyDescent="0.25">
      <c r="A144" t="str">
        <f>_xll.BDP("!!034VWV Mtge","ID_CUSIP")</f>
        <v>3137H5R25</v>
      </c>
      <c r="B144" t="str">
        <f>_xll.BDP("!!034VWV Mtge","SECURITY_NAME")</f>
        <v>FHR 5195 ZN</v>
      </c>
      <c r="C144" t="str">
        <f>_xll.BDP("!!034VWV Mtge","GENERIC_TICKER_VINTAGE")</f>
        <v>FNCL 3 2021</v>
      </c>
      <c r="D144" t="str">
        <f>_xll.BDP("!!034VWV Mtge","CRNCY")</f>
        <v>USD</v>
      </c>
      <c r="E144">
        <v>29979868</v>
      </c>
      <c r="F144">
        <f>_xll.BDP("!!034VWV Mtge","CPN")</f>
        <v>2.5</v>
      </c>
      <c r="G144">
        <f>_xll.BDP("!!034VWV Mtge","MTG_FACTOR")</f>
        <v>1.10966516</v>
      </c>
      <c r="H144">
        <f>_xll.BDP("!!034VWV Mtge","MTG_WAL")</f>
        <v>15.4834</v>
      </c>
      <c r="I144">
        <f>_xll.BDP("!!034VWV Mtge","MTG_ORIG_WAL")</f>
        <v>14.8</v>
      </c>
    </row>
    <row r="145" spans="1:9" x14ac:dyDescent="0.25">
      <c r="A145" t="str">
        <f>_xll.BDP("!!03M5LQ Mtge","ID_CUSIP")</f>
        <v>3137HLHU9</v>
      </c>
      <c r="B145" t="str">
        <f>_xll.BDP("!!03M5LQ Mtge","SECURITY_NAME")</f>
        <v>FHR 5542 SL</v>
      </c>
      <c r="C145" t="str">
        <f>_xll.BDP("!!03M5LQ Mtge","GENERIC_TICKER_VINTAGE")</f>
        <v>FNCL 6 2025</v>
      </c>
      <c r="D145" t="str">
        <f>_xll.BDP("!!03M5LQ Mtge","CRNCY")</f>
        <v>USD</v>
      </c>
      <c r="E145">
        <v>80843241</v>
      </c>
      <c r="F145">
        <f>_xll.BDP("!!03M5LQ Mtge","CPN")</f>
        <v>2.0827900000000001</v>
      </c>
      <c r="G145">
        <f>_xll.BDP("!!03M5LQ Mtge","MTG_FACTOR")</f>
        <v>0.84546080999999995</v>
      </c>
      <c r="H145">
        <f>_xll.BDP("!!03M5LQ Mtge","MTG_WAL")</f>
        <v>3.0457999999999998</v>
      </c>
      <c r="I145">
        <f>_xll.BDP("!!03M5LQ Mtge","MTG_ORIG_WAL")</f>
        <v>6.5</v>
      </c>
    </row>
    <row r="146" spans="1:9" x14ac:dyDescent="0.25">
      <c r="A146" t="str">
        <f>_xll.BDP("!!03MJKG Mtge","ID_CUSIP")</f>
        <v>3137HLTX0</v>
      </c>
      <c r="B146" t="str">
        <f>_xll.BDP("!!03MJKG Mtge","SECURITY_NAME")</f>
        <v>FHR 5551 BL</v>
      </c>
      <c r="C146" t="str">
        <f>_xll.BDP("!!03MJKG Mtge","GENERIC_TICKER_VINTAGE")</f>
        <v>FNCL 6 2025</v>
      </c>
      <c r="D146" t="str">
        <f>_xll.BDP("!!03MJKG Mtge","CRNCY")</f>
        <v>USD</v>
      </c>
      <c r="E146">
        <v>21792000</v>
      </c>
      <c r="F146">
        <f>_xll.BDP("!!03MJKG Mtge","CPN")</f>
        <v>5</v>
      </c>
      <c r="G146">
        <f>_xll.BDP("!!03MJKG Mtge","MTG_FACTOR")</f>
        <v>1</v>
      </c>
      <c r="H146">
        <f>_xll.BDP("!!03MJKG Mtge","MTG_WAL")</f>
        <v>6.2766999999999999</v>
      </c>
      <c r="I146">
        <f>_xll.BDP("!!03MJKG Mtge","MTG_ORIG_WAL")</f>
        <v>13.2</v>
      </c>
    </row>
    <row r="147" spans="1:9" x14ac:dyDescent="0.25">
      <c r="A147" t="str">
        <f>_xll.BDP("!!03MJKJ Mtge","ID_CUSIP")</f>
        <v>3137HLTZ5</v>
      </c>
      <c r="B147" t="str">
        <f>_xll.BDP("!!03MJKJ Mtge","SECURITY_NAME")</f>
        <v>FHR 5551 BZ</v>
      </c>
      <c r="C147" t="str">
        <f>_xll.BDP("!!03MJKJ Mtge","GENERIC_TICKER_VINTAGE")</f>
        <v>FNCL 6 2025</v>
      </c>
      <c r="D147" t="str">
        <f>_xll.BDP("!!03MJKJ Mtge","CRNCY")</f>
        <v>USD</v>
      </c>
      <c r="E147">
        <v>12628000</v>
      </c>
      <c r="F147">
        <f>_xll.BDP("!!03MJKJ Mtge","CPN")</f>
        <v>5</v>
      </c>
      <c r="G147">
        <f>_xll.BDP("!!03MJKJ Mtge","MTG_FACTOR")</f>
        <v>1.04245666</v>
      </c>
      <c r="H147">
        <f>_xll.BDP("!!03MJKJ Mtge","MTG_WAL")</f>
        <v>6.9051</v>
      </c>
      <c r="I147">
        <f>_xll.BDP("!!03MJKJ Mtge","MTG_ORIG_WAL")</f>
        <v>13.7</v>
      </c>
    </row>
    <row r="148" spans="1:9" x14ac:dyDescent="0.25">
      <c r="A148" t="str">
        <f>_xll.BDP("!!03MR1W Mtge","ID_CUSIP")</f>
        <v>3137HLZA3</v>
      </c>
      <c r="B148" t="str">
        <f>_xll.BDP("!!03MR1W Mtge","SECURITY_NAME")</f>
        <v>FHR 5557 UM</v>
      </c>
      <c r="C148" t="str">
        <f>_xll.BDP("!!03MR1W Mtge","GENERIC_TICKER_VINTAGE")</f>
        <v>FNCL 6 2025</v>
      </c>
      <c r="D148" t="str">
        <f>_xll.BDP("!!03MR1W Mtge","CRNCY")</f>
        <v>USD</v>
      </c>
      <c r="E148">
        <v>25000000</v>
      </c>
      <c r="F148">
        <f>_xll.BDP("!!03MR1W Mtge","CPN")</f>
        <v>7.8072100000000004</v>
      </c>
      <c r="G148">
        <f>_xll.BDP("!!03MR1W Mtge","MTG_FACTOR")</f>
        <v>0.79721315999999998</v>
      </c>
      <c r="H148">
        <f>_xll.BDP("!!03MR1W Mtge","MTG_WAL")</f>
        <v>3.1322999999999999</v>
      </c>
      <c r="I148">
        <f>_xll.BDP("!!03MR1W Mtge","MTG_ORIG_WAL")</f>
        <v>7.1</v>
      </c>
    </row>
    <row r="149" spans="1:9" x14ac:dyDescent="0.25">
      <c r="A149" t="str">
        <f>_xll.BDP("!!03NC3Y Mtge","ID_CUSIP")</f>
        <v>3137HMCU2</v>
      </c>
      <c r="B149" t="str">
        <f>_xll.BDP("!!03NC3Y Mtge","SECURITY_NAME")</f>
        <v>FHR 5564 DA</v>
      </c>
      <c r="C149" t="str">
        <f>_xll.BDP("!!03NC3Y Mtge","GENERIC_TICKER_VINTAGE")</f>
        <v>FNCL 6 2025</v>
      </c>
      <c r="D149" t="str">
        <f>_xll.BDP("!!03NC3Y Mtge","CRNCY")</f>
        <v>USD</v>
      </c>
      <c r="E149">
        <v>65690000</v>
      </c>
      <c r="F149">
        <f>_xll.BDP("!!03NC3Y Mtge","CPN")</f>
        <v>5</v>
      </c>
      <c r="G149">
        <f>_xll.BDP("!!03NC3Y Mtge","MTG_FACTOR")</f>
        <v>0.91373028000000001</v>
      </c>
      <c r="H149">
        <f>_xll.BDP("!!03NC3Y Mtge","MTG_WAL")</f>
        <v>1.6538999999999999</v>
      </c>
      <c r="I149">
        <f>_xll.BDP("!!03NC3Y Mtge","MTG_ORIG_WAL")</f>
        <v>3.3</v>
      </c>
    </row>
    <row r="150" spans="1:9" x14ac:dyDescent="0.25">
      <c r="A150" t="str">
        <f>_xll.BDP("!!03NC3Z Mtge","ID_CUSIP")</f>
        <v>3137HMCY4</v>
      </c>
      <c r="B150" t="str">
        <f>_xll.BDP("!!03NC3Z Mtge","SECURITY_NAME")</f>
        <v>FHR 5564 DV</v>
      </c>
      <c r="C150" t="str">
        <f>_xll.BDP("!!03NC3Z Mtge","GENERIC_TICKER_VINTAGE")</f>
        <v>FNCL 6 2025</v>
      </c>
      <c r="D150" t="str">
        <f>_xll.BDP("!!03NC3Z Mtge","CRNCY")</f>
        <v>USD</v>
      </c>
      <c r="E150">
        <v>16807000</v>
      </c>
      <c r="F150">
        <f>_xll.BDP("!!03NC3Z Mtge","CPN")</f>
        <v>5</v>
      </c>
      <c r="G150">
        <f>_xll.BDP("!!03NC3Z Mtge","MTG_FACTOR")</f>
        <v>0.95342349000000004</v>
      </c>
      <c r="H150">
        <f>_xll.BDP("!!03NC3Z Mtge","MTG_WAL")</f>
        <v>3.1227</v>
      </c>
      <c r="I150">
        <f>_xll.BDP("!!03NC3Z Mtge","MTG_ORIG_WAL")</f>
        <v>5.0999999999999996</v>
      </c>
    </row>
    <row r="151" spans="1:9" x14ac:dyDescent="0.25">
      <c r="A151" t="str">
        <f>_xll.BDP("FNFA2313 Mtge","ID_CUSIP")</f>
        <v>3140W2SB8</v>
      </c>
      <c r="B151" t="str">
        <f>_xll.BDP("FNFA2313 Mtge","SECURITY_NAME")</f>
        <v>FN FA2313</v>
      </c>
      <c r="C151" t="str">
        <f>_xll.BDP("FNFA2313 Mtge","GENERIC_TICKER_VINTAGE")</f>
        <v>FNCL 6 2025</v>
      </c>
      <c r="D151" t="str">
        <f>_xll.BDP("FNFA2313 Mtge","CRNCY")</f>
        <v>USD</v>
      </c>
      <c r="E151">
        <v>56376403</v>
      </c>
      <c r="F151">
        <f>_xll.BDP("FNFA2313 Mtge","CPN")</f>
        <v>6</v>
      </c>
      <c r="G151">
        <f>_xll.BDP("FNFA2313 Mtge","MTG_FACTOR")</f>
        <v>0.93006562000000004</v>
      </c>
      <c r="H151">
        <f>_xll.BDP("FNFA2313 Mtge","MTG_WAL")</f>
        <v>3.3300999999999998</v>
      </c>
      <c r="I151" t="str">
        <f>_xll.BDP("FNFA2313 Mtge","MTG_ORIG_WAL")</f>
        <v>#N/A N/A</v>
      </c>
    </row>
    <row r="152" spans="1:9" x14ac:dyDescent="0.25">
      <c r="A152" t="str">
        <f>_xll.BDP("FRSD5573 Mtge","ID_CUSIP")</f>
        <v>3132DTFN5</v>
      </c>
      <c r="B152" t="str">
        <f>_xll.BDP("FRSD5573 Mtge","SECURITY_NAME")</f>
        <v>FR SD5573</v>
      </c>
      <c r="C152" t="str">
        <f>_xll.BDP("FRSD5573 Mtge","GENERIC_TICKER_VINTAGE")</f>
        <v>FNCL 3 2021</v>
      </c>
      <c r="D152" t="str">
        <f>_xll.BDP("FRSD5573 Mtge","CRNCY")</f>
        <v>USD</v>
      </c>
      <c r="E152">
        <v>488236567</v>
      </c>
      <c r="F152">
        <f>_xll.BDP("FRSD5573 Mtge","CPN")</f>
        <v>3</v>
      </c>
      <c r="G152">
        <f>_xll.BDP("FRSD5573 Mtge","MTG_FACTOR")</f>
        <v>0.83328815000000001</v>
      </c>
      <c r="H152">
        <f>_xll.BDP("FRSD5573 Mtge","MTG_WAL")</f>
        <v>8.2476000000000003</v>
      </c>
      <c r="I152" t="str">
        <f>_xll.BDP("FRSD5573 Mtge","MTG_ORIG_WAL")</f>
        <v>#N/A N/A</v>
      </c>
    </row>
    <row r="153" spans="1:9" x14ac:dyDescent="0.25">
      <c r="A153" t="str">
        <f>_xll.BDP("!!03LPM2 Mtge","ID_CUSIP")</f>
        <v>3137HLFD9</v>
      </c>
      <c r="B153" t="str">
        <f>_xll.BDP("!!03LPM2 Mtge","SECURITY_NAME")</f>
        <v>FHR 5534 MT</v>
      </c>
      <c r="C153" t="str">
        <f>_xll.BDP("!!03LPM2 Mtge","GENERIC_TICKER_VINTAGE")</f>
        <v>FNCL 6 2025</v>
      </c>
      <c r="D153" t="str">
        <f>_xll.BDP("!!03LPM2 Mtge","CRNCY")</f>
        <v>USD</v>
      </c>
      <c r="E153">
        <v>50000000</v>
      </c>
      <c r="F153">
        <f>_xll.BDP("!!03LPM2 Mtge","CPN")</f>
        <v>7.2772100000000002</v>
      </c>
      <c r="G153">
        <f>_xll.BDP("!!03LPM2 Mtge","MTG_FACTOR")</f>
        <v>0.71002679999999996</v>
      </c>
      <c r="H153">
        <f>_xll.BDP("!!03LPM2 Mtge","MTG_WAL")</f>
        <v>3.0367000000000002</v>
      </c>
      <c r="I153">
        <f>_xll.BDP("!!03LPM2 Mtge","MTG_ORIG_WAL")</f>
        <v>6.8</v>
      </c>
    </row>
    <row r="154" spans="1:9" x14ac:dyDescent="0.25">
      <c r="A154" t="str">
        <f>_xll.BDP("!!03M5LL Mtge","ID_CUSIP")</f>
        <v>3137HLH62</v>
      </c>
      <c r="B154" t="str">
        <f>_xll.BDP("!!03M5LL Mtge","SECURITY_NAME")</f>
        <v>FHR 5542 LT</v>
      </c>
      <c r="C154" t="str">
        <f>_xll.BDP("!!03M5LL Mtge","GENERIC_TICKER_VINTAGE")</f>
        <v>FNCL 6 2025</v>
      </c>
      <c r="D154" t="str">
        <f>_xll.BDP("!!03M5LL Mtge","CRNCY")</f>
        <v>USD</v>
      </c>
      <c r="E154">
        <v>80843241</v>
      </c>
      <c r="F154">
        <f>_xll.BDP("!!03M5LL Mtge","CPN")</f>
        <v>5</v>
      </c>
      <c r="G154">
        <f>_xll.BDP("!!03M5LL Mtge","MTG_FACTOR")</f>
        <v>0.84546080999999995</v>
      </c>
      <c r="H154">
        <f>_xll.BDP("!!03M5LL Mtge","MTG_WAL")</f>
        <v>3.1198999999999999</v>
      </c>
      <c r="I154">
        <f>_xll.BDP("!!03M5LL Mtge","MTG_ORIG_WAL")</f>
        <v>6.5</v>
      </c>
    </row>
    <row r="155" spans="1:9" x14ac:dyDescent="0.25">
      <c r="A155" t="str">
        <f>_xll.BDP("!!03MB42 Mtge","ID_CUSIP")</f>
        <v>3136BWEL6</v>
      </c>
      <c r="B155" t="str">
        <f>_xll.BDP("!!03MB42 Mtge","SECURITY_NAME")</f>
        <v>FNR 2025-45 AS</v>
      </c>
      <c r="C155" t="str">
        <f>_xll.BDP("!!03MB42 Mtge","GENERIC_TICKER_VINTAGE")</f>
        <v>FNCL 6 2025</v>
      </c>
      <c r="D155" t="str">
        <f>_xll.BDP("!!03MB42 Mtge","CRNCY")</f>
        <v>USD</v>
      </c>
      <c r="E155">
        <v>150000000</v>
      </c>
      <c r="F155">
        <f>_xll.BDP("!!03MB42 Mtge","CPN")</f>
        <v>1.38279</v>
      </c>
      <c r="G155">
        <f>_xll.BDP("!!03MB42 Mtge","MTG_FACTOR")</f>
        <v>0.89972299</v>
      </c>
      <c r="H155">
        <f>_xll.BDP("!!03MB42 Mtge","MTG_WAL")</f>
        <v>3.2700999999999998</v>
      </c>
      <c r="I155">
        <f>_xll.BDP("!!03MB42 Mtge","MTG_ORIG_WAL")</f>
        <v>6.5</v>
      </c>
    </row>
    <row r="156" spans="1:9" x14ac:dyDescent="0.25">
      <c r="A156" t="str">
        <f>_xll.BDP("!!03NKHP Mtge","ID_CUSIP")</f>
        <v>3137HMH29</v>
      </c>
      <c r="B156" t="str">
        <f>_xll.BDP("!!03NKHP Mtge","SECURITY_NAME")</f>
        <v>FHR 5565 SC</v>
      </c>
      <c r="C156" t="str">
        <f>_xll.BDP("!!03NKHP Mtge","GENERIC_TICKER_VINTAGE")</f>
        <v>FNCL 6 2025</v>
      </c>
      <c r="D156" t="str">
        <f>_xll.BDP("!!03NKHP Mtge","CRNCY")</f>
        <v>USD</v>
      </c>
      <c r="E156">
        <v>164195349</v>
      </c>
      <c r="F156">
        <f>_xll.BDP("!!03NKHP Mtge","CPN")</f>
        <v>2.13279</v>
      </c>
      <c r="G156">
        <f>_xll.BDP("!!03NKHP Mtge","MTG_FACTOR")</f>
        <v>0.92958481000000004</v>
      </c>
      <c r="H156">
        <f>_xll.BDP("!!03NKHP Mtge","MTG_WAL")</f>
        <v>3.2574999999999998</v>
      </c>
      <c r="I156">
        <f>_xll.BDP("!!03NKHP Mtge","MTG_ORIG_WAL")</f>
        <v>6.2</v>
      </c>
    </row>
    <row r="157" spans="1:9" x14ac:dyDescent="0.25">
      <c r="A157" t="str">
        <f>_xll.BDP("FNCC0527 Mtge","ID_CUSIP")</f>
        <v>3140Y6SR2</v>
      </c>
      <c r="B157" t="str">
        <f>_xll.BDP("FNCC0527 Mtge","SECURITY_NAME")</f>
        <v>FN CC0527</v>
      </c>
      <c r="C157" t="str">
        <f>_xll.BDP("FNCC0527 Mtge","GENERIC_TICKER_VINTAGE")</f>
        <v>FNCL 6 2025</v>
      </c>
      <c r="D157" t="str">
        <f>_xll.BDP("FNCC0527 Mtge","CRNCY")</f>
        <v>USD</v>
      </c>
      <c r="E157">
        <v>66755374</v>
      </c>
      <c r="F157">
        <f>_xll.BDP("FNCC0527 Mtge","CPN")</f>
        <v>6</v>
      </c>
      <c r="G157">
        <f>_xll.BDP("FNCC0527 Mtge","MTG_FACTOR")</f>
        <v>0.92906630999999995</v>
      </c>
      <c r="H157">
        <f>_xll.BDP("FNCC0527 Mtge","MTG_WAL")</f>
        <v>3.2892000000000001</v>
      </c>
      <c r="I157" t="str">
        <f>_xll.BDP("FNCC0527 Mtge","MTG_ORIG_WAL")</f>
        <v>#N/A N/A</v>
      </c>
    </row>
    <row r="158" spans="1:9" x14ac:dyDescent="0.25">
      <c r="A158" t="str">
        <f>_xll.BDP("FNDD5479 Mtge","ID_CUSIP")</f>
        <v>3140B6CR4</v>
      </c>
      <c r="B158" t="str">
        <f>_xll.BDP("FNDD5479 Mtge","SECURITY_NAME")</f>
        <v>FN DD5479</v>
      </c>
      <c r="C158" t="str">
        <f>_xll.BDP("FNDD5479 Mtge","GENERIC_TICKER_VINTAGE")</f>
        <v>FNCL 6 2025</v>
      </c>
      <c r="D158" t="str">
        <f>_xll.BDP("FNDD5479 Mtge","CRNCY")</f>
        <v>USD</v>
      </c>
      <c r="E158">
        <v>30170289</v>
      </c>
      <c r="F158">
        <f>_xll.BDP("FNDD5479 Mtge","CPN")</f>
        <v>6</v>
      </c>
      <c r="G158">
        <f>_xll.BDP("FNDD5479 Mtge","MTG_FACTOR")</f>
        <v>0.91816562000000002</v>
      </c>
      <c r="H158">
        <f>_xll.BDP("FNDD5479 Mtge","MTG_WAL")</f>
        <v>3.2456</v>
      </c>
      <c r="I158" t="str">
        <f>_xll.BDP("FNDD5479 Mtge","MTG_ORIG_WAL")</f>
        <v>#N/A N/A</v>
      </c>
    </row>
    <row r="159" spans="1:9" x14ac:dyDescent="0.25">
      <c r="A159" t="str">
        <f>_xll.BDP("FNDD5670 Mtge","ID_CUSIP")</f>
        <v>3140B6JQ9</v>
      </c>
      <c r="B159" t="str">
        <f>_xll.BDP("FNDD5670 Mtge","SECURITY_NAME")</f>
        <v>FN DD5670</v>
      </c>
      <c r="C159" t="str">
        <f>_xll.BDP("FNDD5670 Mtge","GENERIC_TICKER_VINTAGE")</f>
        <v>FNCL 6 2025</v>
      </c>
      <c r="D159" t="str">
        <f>_xll.BDP("FNDD5670 Mtge","CRNCY")</f>
        <v>USD</v>
      </c>
      <c r="E159">
        <v>4717865</v>
      </c>
      <c r="F159">
        <f>_xll.BDP("FNDD5670 Mtge","CPN")</f>
        <v>6</v>
      </c>
      <c r="G159">
        <f>_xll.BDP("FNDD5670 Mtge","MTG_FACTOR")</f>
        <v>0.68554758000000005</v>
      </c>
      <c r="H159">
        <f>_xll.BDP("FNDD5670 Mtge","MTG_WAL")</f>
        <v>3.2523</v>
      </c>
      <c r="I159" t="str">
        <f>_xll.BDP("FNDD5670 Mtge","MTG_ORIG_WAL")</f>
        <v>#N/A N/A</v>
      </c>
    </row>
    <row r="160" spans="1:9" x14ac:dyDescent="0.25">
      <c r="A160" t="str">
        <f>_xll.BDP("FNDE2120 Mtge","ID_CUSIP")</f>
        <v>3140BELA4</v>
      </c>
      <c r="B160" t="str">
        <f>_xll.BDP("FNDE2120 Mtge","SECURITY_NAME")</f>
        <v>FN DE2120</v>
      </c>
      <c r="C160" t="str">
        <f>_xll.BDP("FNDE2120 Mtge","GENERIC_TICKER_VINTAGE")</f>
        <v>FNCL 6 2025</v>
      </c>
      <c r="D160" t="str">
        <f>_xll.BDP("FNDE2120 Mtge","CRNCY")</f>
        <v>USD</v>
      </c>
      <c r="E160">
        <v>10712741</v>
      </c>
      <c r="F160">
        <f>_xll.BDP("FNDE2120 Mtge","CPN")</f>
        <v>6</v>
      </c>
      <c r="G160">
        <f>_xll.BDP("FNDE2120 Mtge","MTG_FACTOR")</f>
        <v>0.99142872999999998</v>
      </c>
      <c r="H160">
        <f>_xll.BDP("FNDE2120 Mtge","MTG_WAL")</f>
        <v>3.3456999999999999</v>
      </c>
      <c r="I160" t="str">
        <f>_xll.BDP("FNDE2120 Mtge","MTG_ORIG_WAL")</f>
        <v>#N/A N/A</v>
      </c>
    </row>
    <row r="161" spans="1:9" x14ac:dyDescent="0.25">
      <c r="A161" t="str">
        <f>_xll.BDP("FNFA0297 Mtge","ID_CUSIP")</f>
        <v>3140W0KK0</v>
      </c>
      <c r="B161" t="str">
        <f>_xll.BDP("FNFA0297 Mtge","SECURITY_NAME")</f>
        <v>FN FA0297</v>
      </c>
      <c r="C161" t="str">
        <f>_xll.BDP("FNFA0297 Mtge","GENERIC_TICKER_VINTAGE")</f>
        <v>FNCL 3 2021</v>
      </c>
      <c r="D161" t="str">
        <f>_xll.BDP("FNFA0297 Mtge","CRNCY")</f>
        <v>USD</v>
      </c>
      <c r="E161">
        <v>32265087</v>
      </c>
      <c r="F161">
        <f>_xll.BDP("FNFA0297 Mtge","CPN")</f>
        <v>3</v>
      </c>
      <c r="G161">
        <f>_xll.BDP("FNFA0297 Mtge","MTG_FACTOR")</f>
        <v>0.91554882000000004</v>
      </c>
      <c r="H161">
        <f>_xll.BDP("FNFA0297 Mtge","MTG_WAL")</f>
        <v>8.3224</v>
      </c>
      <c r="I161" t="str">
        <f>_xll.BDP("FNFA0297 Mtge","MTG_ORIG_WAL")</f>
        <v>#N/A N/A</v>
      </c>
    </row>
    <row r="162" spans="1:9" x14ac:dyDescent="0.25">
      <c r="A162" t="str">
        <f>_xll.BDP("FNFS4815 Mtge","ID_CUSIP")</f>
        <v>3140XLK56</v>
      </c>
      <c r="B162" t="str">
        <f>_xll.BDP("FNFS4815 Mtge","SECURITY_NAME")</f>
        <v>FN FS4815</v>
      </c>
      <c r="C162" t="str">
        <f>_xll.BDP("FNFS4815 Mtge","GENERIC_TICKER_VINTAGE")</f>
        <v>FNCL 3 2021</v>
      </c>
      <c r="D162" t="str">
        <f>_xll.BDP("FNFS4815 Mtge","CRNCY")</f>
        <v>USD</v>
      </c>
      <c r="E162">
        <v>453295516</v>
      </c>
      <c r="F162">
        <f>_xll.BDP("FNFS4815 Mtge","CPN")</f>
        <v>3</v>
      </c>
      <c r="G162">
        <f>_xll.BDP("FNFS4815 Mtge","MTG_FACTOR")</f>
        <v>0.83042990999999999</v>
      </c>
      <c r="H162">
        <f>_xll.BDP("FNFS4815 Mtge","MTG_WAL")</f>
        <v>8.3036999999999992</v>
      </c>
      <c r="I162" t="str">
        <f>_xll.BDP("FNFS4815 Mtge","MTG_ORIG_WAL")</f>
        <v>#N/A N/A</v>
      </c>
    </row>
    <row r="163" spans="1:9" x14ac:dyDescent="0.25">
      <c r="A163" t="str">
        <f>_xll.BDP("FNFS5050 Mtge","ID_CUSIP")</f>
        <v>3140XLTG3</v>
      </c>
      <c r="B163" t="str">
        <f>_xll.BDP("FNFS5050 Mtge","SECURITY_NAME")</f>
        <v>FN FS5050</v>
      </c>
      <c r="C163" t="str">
        <f>_xll.BDP("FNFS5050 Mtge","GENERIC_TICKER_VINTAGE")</f>
        <v>FNCL 3 2021</v>
      </c>
      <c r="D163" t="str">
        <f>_xll.BDP("FNFS5050 Mtge","CRNCY")</f>
        <v>USD</v>
      </c>
      <c r="E163">
        <v>265724043</v>
      </c>
      <c r="F163">
        <f>_xll.BDP("FNFS5050 Mtge","CPN")</f>
        <v>3</v>
      </c>
      <c r="G163">
        <f>_xll.BDP("FNFS5050 Mtge","MTG_FACTOR")</f>
        <v>0.82853915</v>
      </c>
      <c r="H163">
        <f>_xll.BDP("FNFS5050 Mtge","MTG_WAL")</f>
        <v>8.2565000000000008</v>
      </c>
      <c r="I163" t="str">
        <f>_xll.BDP("FNFS5050 Mtge","MTG_ORIG_WAL")</f>
        <v>#N/A N/A</v>
      </c>
    </row>
    <row r="164" spans="1:9" x14ac:dyDescent="0.25">
      <c r="A164" t="str">
        <f>_xll.BDP("FRQX6724 Mtge","ID_CUSIP")</f>
        <v>31426CPJ7</v>
      </c>
      <c r="B164" t="str">
        <f>_xll.BDP("FRQX6724 Mtge","SECURITY_NAME")</f>
        <v>FR QX6724</v>
      </c>
      <c r="C164" t="str">
        <f>_xll.BDP("FRQX6724 Mtge","GENERIC_TICKER_VINTAGE")</f>
        <v>FNCL 6 2025</v>
      </c>
      <c r="D164" t="str">
        <f>_xll.BDP("FRQX6724 Mtge","CRNCY")</f>
        <v>USD</v>
      </c>
      <c r="E164">
        <v>54639212</v>
      </c>
      <c r="F164">
        <f>_xll.BDP("FRQX6724 Mtge","CPN")</f>
        <v>6</v>
      </c>
      <c r="G164">
        <f>_xll.BDP("FRQX6724 Mtge","MTG_FACTOR")</f>
        <v>0.84689113000000005</v>
      </c>
      <c r="H164">
        <f>_xll.BDP("FRQX6724 Mtge","MTG_WAL")</f>
        <v>3.1572</v>
      </c>
      <c r="I164" t="str">
        <f>_xll.BDP("FRQX6724 Mtge","MTG_ORIG_WAL")</f>
        <v>#N/A N/A</v>
      </c>
    </row>
    <row r="165" spans="1:9" x14ac:dyDescent="0.25">
      <c r="A165" t="str">
        <f>_xll.BDP("FRQY5052 Mtge","ID_CUSIP")</f>
        <v>31426PTJ4</v>
      </c>
      <c r="B165" t="str">
        <f>_xll.BDP("FRQY5052 Mtge","SECURITY_NAME")</f>
        <v>FR QY5052</v>
      </c>
      <c r="C165" t="str">
        <f>_xll.BDP("FRQY5052 Mtge","GENERIC_TICKER_VINTAGE")</f>
        <v>FNCL 6 2025</v>
      </c>
      <c r="D165" t="str">
        <f>_xll.BDP("FRQY5052 Mtge","CRNCY")</f>
        <v>USD</v>
      </c>
      <c r="E165">
        <v>21605187</v>
      </c>
      <c r="F165">
        <f>_xll.BDP("FRQY5052 Mtge","CPN")</f>
        <v>6</v>
      </c>
      <c r="G165">
        <f>_xll.BDP("FRQY5052 Mtge","MTG_FACTOR")</f>
        <v>0.80832482999999999</v>
      </c>
      <c r="H165">
        <f>_xll.BDP("FRQY5052 Mtge","MTG_WAL")</f>
        <v>3.1917</v>
      </c>
      <c r="I165" t="str">
        <f>_xll.BDP("FRQY5052 Mtge","MTG_ORIG_WAL")</f>
        <v>#N/A N/A</v>
      </c>
    </row>
    <row r="166" spans="1:9" x14ac:dyDescent="0.25">
      <c r="A166" t="str">
        <f>_xll.BDP("FRQY6721 Mtge","ID_CUSIP")</f>
        <v>31426RPF2</v>
      </c>
      <c r="B166" t="str">
        <f>_xll.BDP("FRQY6721 Mtge","SECURITY_NAME")</f>
        <v>FR QY6721</v>
      </c>
      <c r="C166" t="str">
        <f>_xll.BDP("FRQY6721 Mtge","GENERIC_TICKER_VINTAGE")</f>
        <v>FNCL 6 2025</v>
      </c>
      <c r="D166" t="str">
        <f>_xll.BDP("FRQY6721 Mtge","CRNCY")</f>
        <v>USD</v>
      </c>
      <c r="E166">
        <v>6875599</v>
      </c>
      <c r="F166">
        <f>_xll.BDP("FRQY6721 Mtge","CPN")</f>
        <v>6</v>
      </c>
      <c r="G166">
        <f>_xll.BDP("FRQY6721 Mtge","MTG_FACTOR")</f>
        <v>0.90645575</v>
      </c>
      <c r="H166">
        <f>_xll.BDP("FRQY6721 Mtge","MTG_WAL")</f>
        <v>3.3464</v>
      </c>
      <c r="I166" t="str">
        <f>_xll.BDP("FRQY6721 Mtge","MTG_ORIG_WAL")</f>
        <v>#N/A N/A</v>
      </c>
    </row>
    <row r="167" spans="1:9" x14ac:dyDescent="0.25">
      <c r="A167" t="str">
        <f>_xll.BDP("FRSD8190 Mtge","ID_CUSIP")</f>
        <v>3132DWC35</v>
      </c>
      <c r="B167" t="str">
        <f>_xll.BDP("FRSD8190 Mtge","SECURITY_NAME")</f>
        <v>FR SD8190</v>
      </c>
      <c r="C167" t="str">
        <f>_xll.BDP("FRSD8190 Mtge","GENERIC_TICKER_VINTAGE")</f>
        <v>FNCL 3 2021</v>
      </c>
      <c r="D167" t="str">
        <f>_xll.BDP("FRSD8190 Mtge","CRNCY")</f>
        <v>USD</v>
      </c>
      <c r="E167">
        <v>764299335</v>
      </c>
      <c r="F167">
        <f>_xll.BDP("FRSD8190 Mtge","CPN")</f>
        <v>3</v>
      </c>
      <c r="G167">
        <f>_xll.BDP("FRSD8190 Mtge","MTG_FACTOR")</f>
        <v>0.68343529000000003</v>
      </c>
      <c r="H167">
        <f>_xll.BDP("FRSD8190 Mtge","MTG_WAL")</f>
        <v>8.4212000000000007</v>
      </c>
      <c r="I167" t="str">
        <f>_xll.BDP("FRSD8190 Mtge","MTG_ORIG_WAL")</f>
        <v>#N/A N/A</v>
      </c>
    </row>
    <row r="168" spans="1:9" x14ac:dyDescent="0.25">
      <c r="A168" t="str">
        <f>_xll.BDP("FRSL0528 Mtge","ID_CUSIP")</f>
        <v>31427MSS1</v>
      </c>
      <c r="B168" t="str">
        <f>_xll.BDP("FRSL0528 Mtge","SECURITY_NAME")</f>
        <v>FR SL0528</v>
      </c>
      <c r="C168" t="str">
        <f>_xll.BDP("FRSL0528 Mtge","GENERIC_TICKER_VINTAGE")</f>
        <v>FNCL 6 2025</v>
      </c>
      <c r="D168" t="str">
        <f>_xll.BDP("FRSL0528 Mtge","CRNCY")</f>
        <v>USD</v>
      </c>
      <c r="E168">
        <v>50435179</v>
      </c>
      <c r="F168">
        <f>_xll.BDP("FRSL0528 Mtge","CPN")</f>
        <v>6</v>
      </c>
      <c r="G168">
        <f>_xll.BDP("FRSL0528 Mtge","MTG_FACTOR")</f>
        <v>0.74292970999999997</v>
      </c>
      <c r="H168">
        <f>_xll.BDP("FRSL0528 Mtge","MTG_WAL")</f>
        <v>3.1589</v>
      </c>
      <c r="I168" t="str">
        <f>_xll.BDP("FRSL0528 Mtge","MTG_ORIG_WAL")</f>
        <v>#N/A N/A</v>
      </c>
    </row>
    <row r="169" spans="1:9" x14ac:dyDescent="0.25">
      <c r="A169" t="str">
        <f>_xll.BDP("!!0349ZP Mtge","ID_CUSIP")</f>
        <v>3137H4W22</v>
      </c>
      <c r="B169" t="str">
        <f>_xll.BDP("!!0349ZP Mtge","SECURITY_NAME")</f>
        <v>FHR 5180 PM</v>
      </c>
      <c r="C169" t="str">
        <f>_xll.BDP("!!0349ZP Mtge","GENERIC_TICKER_VINTAGE")</f>
        <v>FNCL 3 2021</v>
      </c>
      <c r="D169" t="str">
        <f>_xll.BDP("!!0349ZP Mtge","CRNCY")</f>
        <v>USD</v>
      </c>
      <c r="E169">
        <v>4399000</v>
      </c>
      <c r="F169">
        <f>_xll.BDP("!!0349ZP Mtge","CPN")</f>
        <v>2</v>
      </c>
      <c r="G169">
        <f>_xll.BDP("!!0349ZP Mtge","MTG_FACTOR")</f>
        <v>0.95639766000000004</v>
      </c>
      <c r="H169">
        <f>_xll.BDP("!!0349ZP Mtge","MTG_WAL")</f>
        <v>12.286099999999999</v>
      </c>
      <c r="I169">
        <f>_xll.BDP("!!0349ZP Mtge","MTG_ORIG_WAL")</f>
        <v>3</v>
      </c>
    </row>
    <row r="170" spans="1:9" x14ac:dyDescent="0.25">
      <c r="A170" t="str">
        <f>_xll.BDP("!!03MM1X Mtge","ID_CUSIP")</f>
        <v>3137HLUV2</v>
      </c>
      <c r="B170" t="str">
        <f>_xll.BDP("!!03MM1X Mtge","SECURITY_NAME")</f>
        <v>FHR 5553 BZ</v>
      </c>
      <c r="C170" t="str">
        <f>_xll.BDP("!!03MM1X Mtge","GENERIC_TICKER_VINTAGE")</f>
        <v>FNCL 6 2025</v>
      </c>
      <c r="D170" t="str">
        <f>_xll.BDP("!!03MM1X Mtge","CRNCY")</f>
        <v>USD</v>
      </c>
      <c r="E170">
        <v>9688847</v>
      </c>
      <c r="F170">
        <f>_xll.BDP("!!03MM1X Mtge","CPN")</f>
        <v>4.5</v>
      </c>
      <c r="G170">
        <f>_xll.BDP("!!03MM1X Mtge","MTG_FACTOR")</f>
        <v>1.0381391799999999</v>
      </c>
      <c r="H170">
        <f>_xll.BDP("!!03MM1X Mtge","MTG_WAL")</f>
        <v>7.1535000000000002</v>
      </c>
      <c r="I170">
        <f>_xll.BDP("!!03MM1X Mtge","MTG_ORIG_WAL")</f>
        <v>13.4</v>
      </c>
    </row>
    <row r="171" spans="1:9" x14ac:dyDescent="0.25">
      <c r="A171" t="str">
        <f>_xll.BDP("!!03NMXY Mtge","ID_CUSIP")</f>
        <v>3137HMEE6</v>
      </c>
      <c r="B171" t="str">
        <f>_xll.BDP("!!03NMXY Mtge","SECURITY_NAME")</f>
        <v>FHR 5571 FA</v>
      </c>
      <c r="C171" t="str">
        <f>_xll.BDP("!!03NMXY Mtge","GENERIC_TICKER_VINTAGE")</f>
        <v>FNCL 6 2025</v>
      </c>
      <c r="D171" t="str">
        <f>_xll.BDP("!!03NMXY Mtge","CRNCY")</f>
        <v>USD</v>
      </c>
      <c r="E171">
        <v>147609000</v>
      </c>
      <c r="F171">
        <f>_xll.BDP("!!03NMXY Mtge","CPN")</f>
        <v>4.86721</v>
      </c>
      <c r="G171">
        <f>_xll.BDP("!!03NMXY Mtge","MTG_FACTOR")</f>
        <v>0.89373493000000004</v>
      </c>
      <c r="H171">
        <f>_xll.BDP("!!03NMXY Mtge","MTG_WAL")</f>
        <v>3.2153999999999998</v>
      </c>
      <c r="I171">
        <f>_xll.BDP("!!03NMXY Mtge","MTG_ORIG_WAL")</f>
        <v>7.9</v>
      </c>
    </row>
    <row r="172" spans="1:9" x14ac:dyDescent="0.25">
      <c r="A172" t="str">
        <f>_xll.BDP("FNBT1701 Mtge","ID_CUSIP")</f>
        <v>3140LP3K6</v>
      </c>
      <c r="B172" t="str">
        <f>_xll.BDP("FNBT1701 Mtge","SECURITY_NAME")</f>
        <v>FN BT1701</v>
      </c>
      <c r="C172" t="str">
        <f>_xll.BDP("FNBT1701 Mtge","GENERIC_TICKER_VINTAGE")</f>
        <v>FNCL 3 2021</v>
      </c>
      <c r="D172" t="str">
        <f>_xll.BDP("FNBT1701 Mtge","CRNCY")</f>
        <v>USD</v>
      </c>
      <c r="E172">
        <v>82135849</v>
      </c>
      <c r="F172">
        <f>_xll.BDP("FNBT1701 Mtge","CPN")</f>
        <v>3</v>
      </c>
      <c r="G172">
        <f>_xll.BDP("FNBT1701 Mtge","MTG_FACTOR")</f>
        <v>0.57236379000000004</v>
      </c>
      <c r="H172">
        <f>_xll.BDP("FNBT1701 Mtge","MTG_WAL")</f>
        <v>8.3467000000000002</v>
      </c>
      <c r="I172" t="str">
        <f>_xll.BDP("FNBT1701 Mtge","MTG_ORIG_WAL")</f>
        <v>#N/A N/A</v>
      </c>
    </row>
    <row r="173" spans="1:9" x14ac:dyDescent="0.25">
      <c r="A173" t="str">
        <f>_xll.BDP("FNCC0407 Mtge","ID_CUSIP")</f>
        <v>3140Y6NZ9</v>
      </c>
      <c r="B173" t="str">
        <f>_xll.BDP("FNCC0407 Mtge","SECURITY_NAME")</f>
        <v>FN CC0407</v>
      </c>
      <c r="C173" t="str">
        <f>_xll.BDP("FNCC0407 Mtge","GENERIC_TICKER_VINTAGE")</f>
        <v>FNCL 6 2025</v>
      </c>
      <c r="D173" t="str">
        <f>_xll.BDP("FNCC0407 Mtge","CRNCY")</f>
        <v>USD</v>
      </c>
      <c r="E173">
        <v>202953432</v>
      </c>
      <c r="F173">
        <f>_xll.BDP("FNCC0407 Mtge","CPN")</f>
        <v>6</v>
      </c>
      <c r="G173">
        <f>_xll.BDP("FNCC0407 Mtge","MTG_FACTOR")</f>
        <v>0.88501595</v>
      </c>
      <c r="H173">
        <f>_xll.BDP("FNCC0407 Mtge","MTG_WAL")</f>
        <v>3.2450999999999999</v>
      </c>
      <c r="I173" t="str">
        <f>_xll.BDP("FNCC0407 Mtge","MTG_ORIG_WAL")</f>
        <v>#N/A N/A</v>
      </c>
    </row>
    <row r="174" spans="1:9" x14ac:dyDescent="0.25">
      <c r="A174" t="str">
        <f>_xll.BDP("FNCC0526 Mtge","ID_CUSIP")</f>
        <v>3140Y6SQ4</v>
      </c>
      <c r="B174" t="str">
        <f>_xll.BDP("FNCC0526 Mtge","SECURITY_NAME")</f>
        <v>FN CC0526</v>
      </c>
      <c r="C174" t="str">
        <f>_xll.BDP("FNCC0526 Mtge","GENERIC_TICKER_VINTAGE")</f>
        <v>FNCL 6 2025</v>
      </c>
      <c r="D174" t="str">
        <f>_xll.BDP("FNCC0526 Mtge","CRNCY")</f>
        <v>USD</v>
      </c>
      <c r="E174">
        <v>158261584</v>
      </c>
      <c r="F174">
        <f>_xll.BDP("FNCC0526 Mtge","CPN")</f>
        <v>6</v>
      </c>
      <c r="G174">
        <f>_xll.BDP("FNCC0526 Mtge","MTG_FACTOR")</f>
        <v>0.93223593999999999</v>
      </c>
      <c r="H174">
        <f>_xll.BDP("FNCC0526 Mtge","MTG_WAL")</f>
        <v>3.2904</v>
      </c>
      <c r="I174" t="str">
        <f>_xll.BDP("FNCC0526 Mtge","MTG_ORIG_WAL")</f>
        <v>#N/A N/A</v>
      </c>
    </row>
    <row r="175" spans="1:9" x14ac:dyDescent="0.25">
      <c r="A175" t="str">
        <f>_xll.BDP("FNCC0645 Mtge","ID_CUSIP")</f>
        <v>3140Y6WF3</v>
      </c>
      <c r="B175" t="str">
        <f>_xll.BDP("FNCC0645 Mtge","SECURITY_NAME")</f>
        <v>FN CC0645</v>
      </c>
      <c r="C175" t="str">
        <f>_xll.BDP("FNCC0645 Mtge","GENERIC_TICKER_VINTAGE")</f>
        <v>FNCL 6 2025</v>
      </c>
      <c r="D175" t="str">
        <f>_xll.BDP("FNCC0645 Mtge","CRNCY")</f>
        <v>USD</v>
      </c>
      <c r="E175">
        <v>2203268</v>
      </c>
      <c r="F175">
        <f>_xll.BDP("FNCC0645 Mtge","CPN")</f>
        <v>6</v>
      </c>
      <c r="G175">
        <f>_xll.BDP("FNCC0645 Mtge","MTG_FACTOR")</f>
        <v>0.87860716999999999</v>
      </c>
      <c r="H175">
        <f>_xll.BDP("FNCC0645 Mtge","MTG_WAL")</f>
        <v>3.3370000000000002</v>
      </c>
      <c r="I175" t="str">
        <f>_xll.BDP("FNCC0645 Mtge","MTG_ORIG_WAL")</f>
        <v>#N/A N/A</v>
      </c>
    </row>
    <row r="176" spans="1:9" x14ac:dyDescent="0.25">
      <c r="A176" t="str">
        <f>_xll.BDP("FNDD5550 Mtge","ID_CUSIP")</f>
        <v>3140B6EY7</v>
      </c>
      <c r="B176" t="str">
        <f>_xll.BDP("FNDD5550 Mtge","SECURITY_NAME")</f>
        <v>FN DD5550</v>
      </c>
      <c r="C176" t="str">
        <f>_xll.BDP("FNDD5550 Mtge","GENERIC_TICKER_VINTAGE")</f>
        <v>FNCL 6 2025</v>
      </c>
      <c r="D176" t="str">
        <f>_xll.BDP("FNDD5550 Mtge","CRNCY")</f>
        <v>USD</v>
      </c>
      <c r="E176">
        <v>3000183</v>
      </c>
      <c r="F176">
        <f>_xll.BDP("FNDD5550 Mtge","CPN")</f>
        <v>6</v>
      </c>
      <c r="G176">
        <f>_xll.BDP("FNDD5550 Mtge","MTG_FACTOR")</f>
        <v>0.73773951999999998</v>
      </c>
      <c r="H176">
        <f>_xll.BDP("FNDD5550 Mtge","MTG_WAL")</f>
        <v>3.2953999999999999</v>
      </c>
      <c r="I176" t="str">
        <f>_xll.BDP("FNDD5550 Mtge","MTG_ORIG_WAL")</f>
        <v>#N/A N/A</v>
      </c>
    </row>
    <row r="177" spans="1:9" x14ac:dyDescent="0.25">
      <c r="A177" t="str">
        <f>_xll.BDP("FNDE0753 Mtge","ID_CUSIP")</f>
        <v>3140BCZT2</v>
      </c>
      <c r="B177" t="str">
        <f>_xll.BDP("FNDE0753 Mtge","SECURITY_NAME")</f>
        <v>FN DE0753</v>
      </c>
      <c r="C177" t="str">
        <f>_xll.BDP("FNDE0753 Mtge","GENERIC_TICKER_VINTAGE")</f>
        <v>FNCL 6 2025</v>
      </c>
      <c r="D177" t="str">
        <f>_xll.BDP("FNDE0753 Mtge","CRNCY")</f>
        <v>USD</v>
      </c>
      <c r="E177">
        <v>10696110</v>
      </c>
      <c r="F177">
        <f>_xll.BDP("FNDE0753 Mtge","CPN")</f>
        <v>6</v>
      </c>
      <c r="G177">
        <f>_xll.BDP("FNDE0753 Mtge","MTG_FACTOR")</f>
        <v>0.89752370999999997</v>
      </c>
      <c r="H177">
        <f>_xll.BDP("FNDE0753 Mtge","MTG_WAL")</f>
        <v>3.3298000000000001</v>
      </c>
      <c r="I177" t="str">
        <f>_xll.BDP("FNDE0753 Mtge","MTG_ORIG_WAL")</f>
        <v>#N/A N/A</v>
      </c>
    </row>
    <row r="178" spans="1:9" x14ac:dyDescent="0.25">
      <c r="A178" t="str">
        <f>_xll.BDP("FNDE3143 Mtge","ID_CUSIP")</f>
        <v>3140BFP58</v>
      </c>
      <c r="B178" t="str">
        <f>_xll.BDP("FNDE3143 Mtge","SECURITY_NAME")</f>
        <v>FN DE3143</v>
      </c>
      <c r="C178" t="str">
        <f>_xll.BDP("FNDE3143 Mtge","GENERIC_TICKER_VINTAGE")</f>
        <v>FNCL 6 2025</v>
      </c>
      <c r="D178" t="str">
        <f>_xll.BDP("FNDE3143 Mtge","CRNCY")</f>
        <v>USD</v>
      </c>
      <c r="E178">
        <v>1046891</v>
      </c>
      <c r="F178">
        <f>_xll.BDP("FNDE3143 Mtge","CPN")</f>
        <v>6</v>
      </c>
      <c r="G178">
        <f>_xll.BDP("FNDE3143 Mtge","MTG_FACTOR")</f>
        <v>0.99207142999999998</v>
      </c>
      <c r="H178">
        <f>_xll.BDP("FNDE3143 Mtge","MTG_WAL")</f>
        <v>3.3431999999999999</v>
      </c>
      <c r="I178" t="str">
        <f>_xll.BDP("FNDE3143 Mtge","MTG_ORIG_WAL")</f>
        <v>#N/A N/A</v>
      </c>
    </row>
    <row r="179" spans="1:9" x14ac:dyDescent="0.25">
      <c r="A179" t="str">
        <f>_xll.BDP("FRQY6947 Mtge","ID_CUSIP")</f>
        <v>31426RWH0</v>
      </c>
      <c r="B179" t="str">
        <f>_xll.BDP("FRQY6947 Mtge","SECURITY_NAME")</f>
        <v>FR QY6947</v>
      </c>
      <c r="C179" t="str">
        <f>_xll.BDP("FRQY6947 Mtge","GENERIC_TICKER_VINTAGE")</f>
        <v>FNCL 6 2025</v>
      </c>
      <c r="D179" t="str">
        <f>_xll.BDP("FRQY6947 Mtge","CRNCY")</f>
        <v>USD</v>
      </c>
      <c r="E179">
        <v>11664944</v>
      </c>
      <c r="F179">
        <f>_xll.BDP("FRQY6947 Mtge","CPN")</f>
        <v>6</v>
      </c>
      <c r="G179">
        <f>_xll.BDP("FRQY6947 Mtge","MTG_FACTOR")</f>
        <v>0.85427142</v>
      </c>
      <c r="H179">
        <f>_xll.BDP("FRQY6947 Mtge","MTG_WAL")</f>
        <v>3.3414000000000001</v>
      </c>
      <c r="I179" t="str">
        <f>_xll.BDP("FRQY6947 Mtge","MTG_ORIG_WAL")</f>
        <v>#N/A N/A</v>
      </c>
    </row>
    <row r="180" spans="1:9" x14ac:dyDescent="0.25">
      <c r="A180" t="str">
        <f>_xll.BDP("FRSD8525 Mtge","ID_CUSIP")</f>
        <v>3132DWPJ6</v>
      </c>
      <c r="B180" t="str">
        <f>_xll.BDP("FRSD8525 Mtge","SECURITY_NAME")</f>
        <v>FR SD8525</v>
      </c>
      <c r="C180" t="str">
        <f>_xll.BDP("FRSD8525 Mtge","GENERIC_TICKER_VINTAGE")</f>
        <v>FNCL 6 2025</v>
      </c>
      <c r="D180" t="str">
        <f>_xll.BDP("FRSD8525 Mtge","CRNCY")</f>
        <v>USD</v>
      </c>
      <c r="E180">
        <v>3158459639</v>
      </c>
      <c r="F180">
        <f>_xll.BDP("FRSD8525 Mtge","CPN")</f>
        <v>6</v>
      </c>
      <c r="G180">
        <f>_xll.BDP("FRSD8525 Mtge","MTG_FACTOR")</f>
        <v>0.70565230000000001</v>
      </c>
      <c r="H180">
        <f>_xll.BDP("FRSD8525 Mtge","MTG_WAL")</f>
        <v>3.2</v>
      </c>
      <c r="I180" t="str">
        <f>_xll.BDP("FRSD8525 Mtge","MTG_ORIG_WAL")</f>
        <v>#N/A N/A</v>
      </c>
    </row>
    <row r="181" spans="1:9" x14ac:dyDescent="0.25">
      <c r="A181" t="str">
        <f>_xll.BDP("!!036HVL Mtge","ID_CUSIP")</f>
        <v>3136BMM88</v>
      </c>
      <c r="B181" t="str">
        <f>_xll.BDP("!!036HVL Mtge","SECURITY_NAME")</f>
        <v>FNR 2022-28 Z</v>
      </c>
      <c r="C181" t="str">
        <f>_xll.BDP("!!036HVL Mtge","GENERIC_TICKER_VINTAGE")</f>
        <v>FNCL 3 2021</v>
      </c>
      <c r="D181" t="str">
        <f>_xll.BDP("!!036HVL Mtge","CRNCY")</f>
        <v>USD</v>
      </c>
      <c r="E181">
        <v>61445496</v>
      </c>
      <c r="F181">
        <f>_xll.BDP("!!036HVL Mtge","CPN")</f>
        <v>2.5</v>
      </c>
      <c r="G181">
        <f>_xll.BDP("!!036HVL Mtge","MTG_FACTOR")</f>
        <v>1.10046591</v>
      </c>
      <c r="H181">
        <f>_xll.BDP("!!036HVL Mtge","MTG_WAL")</f>
        <v>11.0467</v>
      </c>
      <c r="I181" t="str">
        <f>_xll.BDP("!!036HVL Mtge","MTG_ORIG_WAL")</f>
        <v>#N/A N/A</v>
      </c>
    </row>
    <row r="182" spans="1:9" x14ac:dyDescent="0.25">
      <c r="A182" t="str">
        <f>_xll.BDP("!!03N1JT Mtge","ID_CUSIP")</f>
        <v>3137HLZY1</v>
      </c>
      <c r="B182" t="str">
        <f>_xll.BDP("!!03N1JT Mtge","SECURITY_NAME")</f>
        <v>FHR 5555 EC</v>
      </c>
      <c r="C182" t="str">
        <f>_xll.BDP("!!03N1JT Mtge","GENERIC_TICKER_VINTAGE")</f>
        <v>FNCL 6 2025</v>
      </c>
      <c r="D182" t="str">
        <f>_xll.BDP("!!03N1JT Mtge","CRNCY")</f>
        <v>USD</v>
      </c>
      <c r="E182">
        <v>29347000</v>
      </c>
      <c r="F182">
        <f>_xll.BDP("!!03N1JT Mtge","CPN")</f>
        <v>5</v>
      </c>
      <c r="G182">
        <f>_xll.BDP("!!03N1JT Mtge","MTG_FACTOR")</f>
        <v>0.92316741999999996</v>
      </c>
      <c r="H182">
        <f>_xll.BDP("!!03N1JT Mtge","MTG_WAL")</f>
        <v>1.7176</v>
      </c>
      <c r="I182">
        <f>_xll.BDP("!!03N1JT Mtge","MTG_ORIG_WAL")</f>
        <v>3.7</v>
      </c>
    </row>
    <row r="183" spans="1:9" x14ac:dyDescent="0.25">
      <c r="A183" t="str">
        <f>_xll.BDP("!!03NM8B Mtge","ID_CUSIP")</f>
        <v>3137HMJ35</v>
      </c>
      <c r="B183" t="str">
        <f>_xll.BDP("!!03NM8B Mtge","SECURITY_NAME")</f>
        <v>FHR 5566 FE</v>
      </c>
      <c r="C183" t="str">
        <f>_xll.BDP("!!03NM8B Mtge","GENERIC_TICKER_VINTAGE")</f>
        <v>FNCL 6 2025</v>
      </c>
      <c r="D183" t="str">
        <f>_xll.BDP("!!03NM8B Mtge","CRNCY")</f>
        <v>USD</v>
      </c>
      <c r="E183">
        <v>337374207</v>
      </c>
      <c r="F183">
        <f>_xll.BDP("!!03NM8B Mtge","CPN")</f>
        <v>5.0672100000000002</v>
      </c>
      <c r="G183">
        <f>_xll.BDP("!!03NM8B Mtge","MTG_FACTOR")</f>
        <v>0.89954168000000001</v>
      </c>
      <c r="H183">
        <f>_xll.BDP("!!03NM8B Mtge","MTG_WAL")</f>
        <v>3.1838000000000002</v>
      </c>
      <c r="I183">
        <f>_xll.BDP("!!03NM8B Mtge","MTG_ORIG_WAL")</f>
        <v>6.5</v>
      </c>
    </row>
    <row r="184" spans="1:9" x14ac:dyDescent="0.25">
      <c r="A184" t="str">
        <f>_xll.BDP("!!03NS7Q Mtge","ID_CUSIP")</f>
        <v>3137HMNV8</v>
      </c>
      <c r="B184" t="str">
        <f>_xll.BDP("!!03NS7Q Mtge","SECURITY_NAME")</f>
        <v>FHR 5563 FV</v>
      </c>
      <c r="C184" t="str">
        <f>_xll.BDP("!!03NS7Q Mtge","GENERIC_TICKER_VINTAGE")</f>
        <v>FNCL 6 2025</v>
      </c>
      <c r="D184" t="str">
        <f>_xll.BDP("!!03NS7Q Mtge","CRNCY")</f>
        <v>USD</v>
      </c>
      <c r="E184">
        <v>150000000</v>
      </c>
      <c r="F184">
        <f>_xll.BDP("!!03NS7Q Mtge","CPN")</f>
        <v>4.6472100000000003</v>
      </c>
      <c r="G184">
        <f>_xll.BDP("!!03NS7Q Mtge","MTG_FACTOR")</f>
        <v>0.82181945999999995</v>
      </c>
      <c r="H184">
        <f>_xll.BDP("!!03NS7Q Mtge","MTG_WAL")</f>
        <v>3.2414000000000001</v>
      </c>
      <c r="I184">
        <f>_xll.BDP("!!03NS7Q Mtge","MTG_ORIG_WAL")</f>
        <v>6.4</v>
      </c>
    </row>
    <row r="185" spans="1:9" x14ac:dyDescent="0.25">
      <c r="A185" t="str">
        <f>_xll.BDP("!!03NT91 Mtge","ID_CUSIP")</f>
        <v>3137HMQ78</v>
      </c>
      <c r="B185" t="str">
        <f>_xll.BDP("!!03NT91 Mtge","SECURITY_NAME")</f>
        <v>FHR 5572 GZ</v>
      </c>
      <c r="C185" t="str">
        <f>_xll.BDP("!!03NT91 Mtge","GENERIC_TICKER_VINTAGE")</f>
        <v>FNCL 6 2025</v>
      </c>
      <c r="D185" t="str">
        <f>_xll.BDP("!!03NT91 Mtge","CRNCY")</f>
        <v>USD</v>
      </c>
      <c r="E185">
        <v>19616000</v>
      </c>
      <c r="F185">
        <f>_xll.BDP("!!03NT91 Mtge","CPN")</f>
        <v>6</v>
      </c>
      <c r="G185">
        <f>_xll.BDP("!!03NT91 Mtge","MTG_FACTOR")</f>
        <v>1.0355293999999999</v>
      </c>
      <c r="H185">
        <f>_xll.BDP("!!03NT91 Mtge","MTG_WAL")</f>
        <v>6.4602000000000004</v>
      </c>
      <c r="I185">
        <f>_xll.BDP("!!03NT91 Mtge","MTG_ORIG_WAL")</f>
        <v>12.3</v>
      </c>
    </row>
    <row r="186" spans="1:9" x14ac:dyDescent="0.25">
      <c r="A186" t="str">
        <f>_xll.BDP("FNDD3717 Mtge","ID_CUSIP")</f>
        <v>3140B4DX5</v>
      </c>
      <c r="B186" t="str">
        <f>_xll.BDP("FNDD3717 Mtge","SECURITY_NAME")</f>
        <v>FN DD3717</v>
      </c>
      <c r="C186" t="str">
        <f>_xll.BDP("FNDD3717 Mtge","GENERIC_TICKER_VINTAGE")</f>
        <v>FNCL 6 2025</v>
      </c>
      <c r="D186" t="str">
        <f>_xll.BDP("FNDD3717 Mtge","CRNCY")</f>
        <v>USD</v>
      </c>
      <c r="E186">
        <v>6653283</v>
      </c>
      <c r="F186">
        <f>_xll.BDP("FNDD3717 Mtge","CPN")</f>
        <v>6</v>
      </c>
      <c r="G186">
        <f>_xll.BDP("FNDD3717 Mtge","MTG_FACTOR")</f>
        <v>0.82870655999999998</v>
      </c>
      <c r="H186">
        <f>_xll.BDP("FNDD3717 Mtge","MTG_WAL")</f>
        <v>3.1615000000000002</v>
      </c>
      <c r="I186" t="str">
        <f>_xll.BDP("FNDD3717 Mtge","MTG_ORIG_WAL")</f>
        <v>#N/A N/A</v>
      </c>
    </row>
    <row r="187" spans="1:9" x14ac:dyDescent="0.25">
      <c r="A187" t="str">
        <f>_xll.BDP("FNDE2099 Mtge","ID_CUSIP")</f>
        <v>3140BEKM9</v>
      </c>
      <c r="B187" t="str">
        <f>_xll.BDP("FNDE2099 Mtge","SECURITY_NAME")</f>
        <v>FN DE2099</v>
      </c>
      <c r="C187" t="str">
        <f>_xll.BDP("FNDE2099 Mtge","GENERIC_TICKER_VINTAGE")</f>
        <v>FNCL 6 2025</v>
      </c>
      <c r="D187" t="str">
        <f>_xll.BDP("FNDE2099 Mtge","CRNCY")</f>
        <v>USD</v>
      </c>
      <c r="E187">
        <v>11625291</v>
      </c>
      <c r="F187">
        <f>_xll.BDP("FNDE2099 Mtge","CPN")</f>
        <v>6</v>
      </c>
      <c r="G187">
        <f>_xll.BDP("FNDE2099 Mtge","MTG_FACTOR")</f>
        <v>0.85485343000000003</v>
      </c>
      <c r="H187">
        <f>_xll.BDP("FNDE2099 Mtge","MTG_WAL")</f>
        <v>3.3466</v>
      </c>
      <c r="I187" t="str">
        <f>_xll.BDP("FNDE2099 Mtge","MTG_ORIG_WAL")</f>
        <v>#N/A N/A</v>
      </c>
    </row>
    <row r="188" spans="1:9" x14ac:dyDescent="0.25">
      <c r="A188" t="str">
        <f>_xll.BDP("FNDE3166 Mtge","ID_CUSIP")</f>
        <v>3140BFQU2</v>
      </c>
      <c r="B188" t="str">
        <f>_xll.BDP("FNDE3166 Mtge","SECURITY_NAME")</f>
        <v>FN DE3166</v>
      </c>
      <c r="C188" t="str">
        <f>_xll.BDP("FNDE3166 Mtge","GENERIC_TICKER_VINTAGE")</f>
        <v>FNCL 6 2025</v>
      </c>
      <c r="D188" t="str">
        <f>_xll.BDP("FNDE3166 Mtge","CRNCY")</f>
        <v>USD</v>
      </c>
      <c r="E188">
        <v>20914848</v>
      </c>
      <c r="F188">
        <f>_xll.BDP("FNDE3166 Mtge","CPN")</f>
        <v>6</v>
      </c>
      <c r="G188">
        <f>_xll.BDP("FNDE3166 Mtge","MTG_FACTOR")</f>
        <v>0.89236406000000001</v>
      </c>
      <c r="H188">
        <f>_xll.BDP("FNDE3166 Mtge","MTG_WAL")</f>
        <v>3.3401000000000001</v>
      </c>
      <c r="I188" t="str">
        <f>_xll.BDP("FNDE3166 Mtge","MTG_ORIG_WAL")</f>
        <v>#N/A N/A</v>
      </c>
    </row>
    <row r="189" spans="1:9" x14ac:dyDescent="0.25">
      <c r="A189" t="str">
        <f>_xll.BDP("FNFS6112 Mtge","ID_CUSIP")</f>
        <v>3140XMYJ9</v>
      </c>
      <c r="B189" t="str">
        <f>_xll.BDP("FNFS6112 Mtge","SECURITY_NAME")</f>
        <v>FN FS6112</v>
      </c>
      <c r="C189" t="str">
        <f>_xll.BDP("FNFS6112 Mtge","GENERIC_TICKER_VINTAGE")</f>
        <v>FNCL 3 2021</v>
      </c>
      <c r="D189" t="str">
        <f>_xll.BDP("FNFS6112 Mtge","CRNCY")</f>
        <v>USD</v>
      </c>
      <c r="E189">
        <v>209645522</v>
      </c>
      <c r="F189">
        <f>_xll.BDP("FNFS6112 Mtge","CPN")</f>
        <v>3</v>
      </c>
      <c r="G189">
        <f>_xll.BDP("FNFS6112 Mtge","MTG_FACTOR")</f>
        <v>0.81850160999999999</v>
      </c>
      <c r="H189">
        <f>_xll.BDP("FNFS6112 Mtge","MTG_WAL")</f>
        <v>8.3399000000000001</v>
      </c>
      <c r="I189" t="str">
        <f>_xll.BDP("FNFS6112 Mtge","MTG_ORIG_WAL")</f>
        <v>#N/A N/A</v>
      </c>
    </row>
    <row r="190" spans="1:9" x14ac:dyDescent="0.25">
      <c r="A190" t="str">
        <f>_xll.BDP("FRQX9908 Mtge","ID_CUSIP")</f>
        <v>31426HAJ2</v>
      </c>
      <c r="B190" t="str">
        <f>_xll.BDP("FRQX9908 Mtge","SECURITY_NAME")</f>
        <v>FR QX9908</v>
      </c>
      <c r="C190" t="str">
        <f>_xll.BDP("FRQX9908 Mtge","GENERIC_TICKER_VINTAGE")</f>
        <v>FNCL 6 2025</v>
      </c>
      <c r="D190" t="str">
        <f>_xll.BDP("FRQX9908 Mtge","CRNCY")</f>
        <v>USD</v>
      </c>
      <c r="E190">
        <v>10151596</v>
      </c>
      <c r="F190">
        <f>_xll.BDP("FRQX9908 Mtge","CPN")</f>
        <v>6</v>
      </c>
      <c r="G190">
        <f>_xll.BDP("FRQX9908 Mtge","MTG_FACTOR")</f>
        <v>0.78250671999999999</v>
      </c>
      <c r="H190">
        <f>_xll.BDP("FRQX9908 Mtge","MTG_WAL")</f>
        <v>3.1995</v>
      </c>
      <c r="I190" t="str">
        <f>_xll.BDP("FRQX9908 Mtge","MTG_ORIG_WAL")</f>
        <v>#N/A N/A</v>
      </c>
    </row>
    <row r="191" spans="1:9" x14ac:dyDescent="0.25">
      <c r="A191" t="str">
        <f>_xll.BDP("FRQY0236 Mtge","ID_CUSIP")</f>
        <v>31426JHN2</v>
      </c>
      <c r="B191" t="str">
        <f>_xll.BDP("FRQY0236 Mtge","SECURITY_NAME")</f>
        <v>FR QY0236</v>
      </c>
      <c r="C191" t="str">
        <f>_xll.BDP("FRQY0236 Mtge","GENERIC_TICKER_VINTAGE")</f>
        <v>FNCL 6 2025</v>
      </c>
      <c r="D191" t="str">
        <f>_xll.BDP("FRQY0236 Mtge","CRNCY")</f>
        <v>USD</v>
      </c>
      <c r="E191">
        <v>72144338</v>
      </c>
      <c r="F191">
        <f>_xll.BDP("FRQY0236 Mtge","CPN")</f>
        <v>6</v>
      </c>
      <c r="G191">
        <f>_xll.BDP("FRQY0236 Mtge","MTG_FACTOR")</f>
        <v>0.73608753000000005</v>
      </c>
      <c r="H191">
        <f>_xll.BDP("FRQY0236 Mtge","MTG_WAL")</f>
        <v>3.2418999999999998</v>
      </c>
      <c r="I191" t="str">
        <f>_xll.BDP("FRQY0236 Mtge","MTG_ORIG_WAL")</f>
        <v>#N/A N/A</v>
      </c>
    </row>
    <row r="192" spans="1:9" x14ac:dyDescent="0.25">
      <c r="A192" t="str">
        <f>_xll.BDP("FRQY6123 Mtge","ID_CUSIP")</f>
        <v>31426QYV9</v>
      </c>
      <c r="B192" t="str">
        <f>_xll.BDP("FRQY6123 Mtge","SECURITY_NAME")</f>
        <v>FR QY6123</v>
      </c>
      <c r="C192" t="str">
        <f>_xll.BDP("FRQY6123 Mtge","GENERIC_TICKER_VINTAGE")</f>
        <v>FNCL 6 2025</v>
      </c>
      <c r="D192" t="str">
        <f>_xll.BDP("FRQY6123 Mtge","CRNCY")</f>
        <v>USD</v>
      </c>
      <c r="E192">
        <v>47485293</v>
      </c>
      <c r="F192">
        <f>_xll.BDP("FRQY6123 Mtge","CPN")</f>
        <v>6</v>
      </c>
      <c r="G192">
        <f>_xll.BDP("FRQY6123 Mtge","MTG_FACTOR")</f>
        <v>0.91253974000000004</v>
      </c>
      <c r="H192">
        <f>_xll.BDP("FRQY6123 Mtge","MTG_WAL")</f>
        <v>3.2823000000000002</v>
      </c>
      <c r="I192" t="str">
        <f>_xll.BDP("FRQY6123 Mtge","MTG_ORIG_WAL")</f>
        <v>#N/A N/A</v>
      </c>
    </row>
    <row r="193" spans="1:9" x14ac:dyDescent="0.25">
      <c r="A193" t="str">
        <f>_xll.BDP("FRQY6124 Mtge","ID_CUSIP")</f>
        <v>31426QYW7</v>
      </c>
      <c r="B193" t="str">
        <f>_xll.BDP("FRQY6124 Mtge","SECURITY_NAME")</f>
        <v>FR QY6124</v>
      </c>
      <c r="C193" t="str">
        <f>_xll.BDP("FRQY6124 Mtge","GENERIC_TICKER_VINTAGE")</f>
        <v>FNCL 6 2025</v>
      </c>
      <c r="D193" t="str">
        <f>_xll.BDP("FRQY6124 Mtge","CRNCY")</f>
        <v>USD</v>
      </c>
      <c r="E193">
        <v>32004909</v>
      </c>
      <c r="F193">
        <f>_xll.BDP("FRQY6124 Mtge","CPN")</f>
        <v>6</v>
      </c>
      <c r="G193">
        <f>_xll.BDP("FRQY6124 Mtge","MTG_FACTOR")</f>
        <v>0.89695407999999999</v>
      </c>
      <c r="H193">
        <f>_xll.BDP("FRQY6124 Mtge","MTG_WAL")</f>
        <v>3.2803</v>
      </c>
      <c r="I193" t="str">
        <f>_xll.BDP("FRQY6124 Mtge","MTG_ORIG_WAL")</f>
        <v>#N/A N/A</v>
      </c>
    </row>
    <row r="194" spans="1:9" x14ac:dyDescent="0.25">
      <c r="A194" t="str">
        <f>_xll.BDP("FRQY6453 Mtge","ID_CUSIP")</f>
        <v>31426RE31</v>
      </c>
      <c r="B194" t="str">
        <f>_xll.BDP("FRQY6453 Mtge","SECURITY_NAME")</f>
        <v>FR QY6453</v>
      </c>
      <c r="C194" t="str">
        <f>_xll.BDP("FRQY6453 Mtge","GENERIC_TICKER_VINTAGE")</f>
        <v>FNCL 6 2025</v>
      </c>
      <c r="D194" t="str">
        <f>_xll.BDP("FRQY6453 Mtge","CRNCY")</f>
        <v>USD</v>
      </c>
      <c r="E194">
        <v>4158500</v>
      </c>
      <c r="F194">
        <f>_xll.BDP("FRQY6453 Mtge","CPN")</f>
        <v>6</v>
      </c>
      <c r="G194">
        <f>_xll.BDP("FRQY6453 Mtge","MTG_FACTOR")</f>
        <v>0.99237346000000004</v>
      </c>
      <c r="H194">
        <f>_xll.BDP("FRQY6453 Mtge","MTG_WAL")</f>
        <v>3.3464999999999998</v>
      </c>
      <c r="I194" t="str">
        <f>_xll.BDP("FRQY6453 Mtge","MTG_ORIG_WAL")</f>
        <v>#N/A N/A</v>
      </c>
    </row>
    <row r="195" spans="1:9" x14ac:dyDescent="0.25">
      <c r="A195" t="str">
        <f>_xll.BDP("!!032RHV Mtge","ID_CUSIP")</f>
        <v>3136BJBD6</v>
      </c>
      <c r="B195" t="str">
        <f>_xll.BDP("!!032RHV Mtge","SECURITY_NAME")</f>
        <v>FNR 2021-72 NA</v>
      </c>
      <c r="C195" t="str">
        <f>_xll.BDP("!!032RHV Mtge","GENERIC_TICKER_VINTAGE")</f>
        <v>FNCL 3 2021</v>
      </c>
      <c r="D195" t="str">
        <f>_xll.BDP("!!032RHV Mtge","CRNCY")</f>
        <v>USD</v>
      </c>
      <c r="E195">
        <v>10015000</v>
      </c>
      <c r="F195">
        <f>_xll.BDP("!!032RHV Mtge","CPN")</f>
        <v>1.5</v>
      </c>
      <c r="G195">
        <f>_xll.BDP("!!032RHV Mtge","MTG_FACTOR")</f>
        <v>0.96101685999999997</v>
      </c>
      <c r="H195">
        <f>_xll.BDP("!!032RHV Mtge","MTG_WAL")</f>
        <v>18.1036</v>
      </c>
      <c r="I195">
        <f>_xll.BDP("!!032RHV Mtge","MTG_ORIG_WAL")</f>
        <v>7</v>
      </c>
    </row>
    <row r="196" spans="1:9" x14ac:dyDescent="0.25">
      <c r="A196" t="str">
        <f>_xll.BDP("!!03MF7J Mtge","ID_CUSIP")</f>
        <v>3136BWJD9</v>
      </c>
      <c r="B196" t="str">
        <f>_xll.BDP("!!03MF7J Mtge","SECURITY_NAME")</f>
        <v>FNR 2025-47 GZ</v>
      </c>
      <c r="C196" t="str">
        <f>_xll.BDP("!!03MF7J Mtge","GENERIC_TICKER_VINTAGE")</f>
        <v>FNCL 6 2025</v>
      </c>
      <c r="D196" t="str">
        <f>_xll.BDP("!!03MF7J Mtge","CRNCY")</f>
        <v>USD</v>
      </c>
      <c r="E196">
        <v>12526000</v>
      </c>
      <c r="F196">
        <f>_xll.BDP("!!03MF7J Mtge","CPN")</f>
        <v>4.5</v>
      </c>
      <c r="G196">
        <f>_xll.BDP("!!03MF7J Mtge","MTG_FACTOR")</f>
        <v>1.0381391799999999</v>
      </c>
      <c r="H196">
        <f>_xll.BDP("!!03MF7J Mtge","MTG_WAL")</f>
        <v>7.1467000000000001</v>
      </c>
      <c r="I196">
        <f>_xll.BDP("!!03MF7J Mtge","MTG_ORIG_WAL")</f>
        <v>13.445919999999999</v>
      </c>
    </row>
    <row r="197" spans="1:9" x14ac:dyDescent="0.25">
      <c r="A197" t="str">
        <f>_xll.BDP("FNCC0264 Mtge","ID_CUSIP")</f>
        <v>3140Y6JJ0</v>
      </c>
      <c r="B197" t="str">
        <f>_xll.BDP("FNCC0264 Mtge","SECURITY_NAME")</f>
        <v>FN CC0264</v>
      </c>
      <c r="C197" t="str">
        <f>_xll.BDP("FNCC0264 Mtge","GENERIC_TICKER_VINTAGE")</f>
        <v>FNCL 6 2025</v>
      </c>
      <c r="D197" t="str">
        <f>_xll.BDP("FNCC0264 Mtge","CRNCY")</f>
        <v>USD</v>
      </c>
      <c r="E197">
        <v>251585900</v>
      </c>
      <c r="F197">
        <f>_xll.BDP("FNCC0264 Mtge","CPN")</f>
        <v>6</v>
      </c>
      <c r="G197">
        <f>_xll.BDP("FNCC0264 Mtge","MTG_FACTOR")</f>
        <v>0.86675670999999999</v>
      </c>
      <c r="H197">
        <f>_xll.BDP("FNCC0264 Mtge","MTG_WAL")</f>
        <v>3.1998000000000002</v>
      </c>
      <c r="I197" t="str">
        <f>_xll.BDP("FNCC0264 Mtge","MTG_ORIG_WAL")</f>
        <v>#N/A N/A</v>
      </c>
    </row>
    <row r="198" spans="1:9" x14ac:dyDescent="0.25">
      <c r="A198" t="str">
        <f>_xll.BDP("FNDC9092 Mtge","ID_CUSIP")</f>
        <v>3140AXC62</v>
      </c>
      <c r="B198" t="str">
        <f>_xll.BDP("FNDC9092 Mtge","SECURITY_NAME")</f>
        <v>FN DC9092</v>
      </c>
      <c r="C198" t="str">
        <f>_xll.BDP("FNDC9092 Mtge","GENERIC_TICKER_VINTAGE")</f>
        <v>FNCL 6 2025</v>
      </c>
      <c r="D198" t="str">
        <f>_xll.BDP("FNDC9092 Mtge","CRNCY")</f>
        <v>USD</v>
      </c>
      <c r="E198">
        <v>4007065</v>
      </c>
      <c r="F198">
        <f>_xll.BDP("FNDC9092 Mtge","CPN")</f>
        <v>6</v>
      </c>
      <c r="G198">
        <f>_xll.BDP("FNDC9092 Mtge","MTG_FACTOR")</f>
        <v>0.76787094</v>
      </c>
      <c r="H198">
        <f>_xll.BDP("FNDC9092 Mtge","MTG_WAL")</f>
        <v>3.3405</v>
      </c>
      <c r="I198" t="str">
        <f>_xll.BDP("FNDC9092 Mtge","MTG_ORIG_WAL")</f>
        <v>#N/A N/A</v>
      </c>
    </row>
    <row r="199" spans="1:9" x14ac:dyDescent="0.25">
      <c r="A199" t="str">
        <f>_xll.BDP("FNFA1836 Mtge","ID_CUSIP")</f>
        <v>3140W2BE0</v>
      </c>
      <c r="B199" t="str">
        <f>_xll.BDP("FNFA1836 Mtge","SECURITY_NAME")</f>
        <v>FN FA1836</v>
      </c>
      <c r="C199" t="str">
        <f>_xll.BDP("FNFA1836 Mtge","GENERIC_TICKER_VINTAGE")</f>
        <v>FNCL 6 2025</v>
      </c>
      <c r="D199" t="str">
        <f>_xll.BDP("FNFA1836 Mtge","CRNCY")</f>
        <v>USD</v>
      </c>
      <c r="E199">
        <v>49732382</v>
      </c>
      <c r="F199">
        <f>_xll.BDP("FNFA1836 Mtge","CPN")</f>
        <v>6</v>
      </c>
      <c r="G199">
        <f>_xll.BDP("FNFA1836 Mtge","MTG_FACTOR")</f>
        <v>0.92690108000000004</v>
      </c>
      <c r="H199">
        <f>_xll.BDP("FNFA1836 Mtge","MTG_WAL")</f>
        <v>3.2359</v>
      </c>
      <c r="I199" t="str">
        <f>_xll.BDP("FNFA1836 Mtge","MTG_ORIG_WAL")</f>
        <v>#N/A N/A</v>
      </c>
    </row>
    <row r="200" spans="1:9" x14ac:dyDescent="0.25">
      <c r="A200" t="str">
        <f>_xll.BDP("FNFA1865 Mtge","ID_CUSIP")</f>
        <v>3140W2CB5</v>
      </c>
      <c r="B200" t="str">
        <f>_xll.BDP("FNFA1865 Mtge","SECURITY_NAME")</f>
        <v>FN FA1865</v>
      </c>
      <c r="C200" t="str">
        <f>_xll.BDP("FNFA1865 Mtge","GENERIC_TICKER_VINTAGE")</f>
        <v>FNCL 6 2025</v>
      </c>
      <c r="D200" t="str">
        <f>_xll.BDP("FNFA1865 Mtge","CRNCY")</f>
        <v>USD</v>
      </c>
      <c r="E200">
        <v>318440159</v>
      </c>
      <c r="F200">
        <f>_xll.BDP("FNFA1865 Mtge","CPN")</f>
        <v>6</v>
      </c>
      <c r="G200">
        <f>_xll.BDP("FNFA1865 Mtge","MTG_FACTOR")</f>
        <v>0.89479169000000003</v>
      </c>
      <c r="H200">
        <f>_xll.BDP("FNFA1865 Mtge","MTG_WAL")</f>
        <v>3.1774</v>
      </c>
      <c r="I200" t="str">
        <f>_xll.BDP("FNFA1865 Mtge","MTG_ORIG_WAL")</f>
        <v>#N/A N/A</v>
      </c>
    </row>
    <row r="201" spans="1:9" x14ac:dyDescent="0.25">
      <c r="A201" t="str">
        <f>_xll.BDP("FNFA1902 Mtge","ID_CUSIP")</f>
        <v>3140W2DG3</v>
      </c>
      <c r="B201" t="str">
        <f>_xll.BDP("FNFA1902 Mtge","SECURITY_NAME")</f>
        <v>FN FA1902</v>
      </c>
      <c r="C201" t="str">
        <f>_xll.BDP("FNFA1902 Mtge","GENERIC_TICKER_VINTAGE")</f>
        <v>FNCL 6 2025</v>
      </c>
      <c r="D201" t="str">
        <f>_xll.BDP("FNFA1902 Mtge","CRNCY")</f>
        <v>USD</v>
      </c>
      <c r="E201">
        <v>8844897</v>
      </c>
      <c r="F201">
        <f>_xll.BDP("FNFA1902 Mtge","CPN")</f>
        <v>6</v>
      </c>
      <c r="G201">
        <f>_xll.BDP("FNFA1902 Mtge","MTG_FACTOR")</f>
        <v>0.90284584000000001</v>
      </c>
      <c r="H201">
        <f>_xll.BDP("FNFA1902 Mtge","MTG_WAL")</f>
        <v>3.2000999999999999</v>
      </c>
      <c r="I201" t="str">
        <f>_xll.BDP("FNFA1902 Mtge","MTG_ORIG_WAL")</f>
        <v>#N/A N/A</v>
      </c>
    </row>
    <row r="202" spans="1:9" x14ac:dyDescent="0.25">
      <c r="A202" t="str">
        <f>_xll.BDP("FRQC9677 Mtge","ID_CUSIP")</f>
        <v>3133AUXE3</v>
      </c>
      <c r="B202" t="str">
        <f>_xll.BDP("FRQC9677 Mtge","SECURITY_NAME")</f>
        <v>FR QC9677</v>
      </c>
      <c r="C202" t="str">
        <f>_xll.BDP("FRQC9677 Mtge","GENERIC_TICKER_VINTAGE")</f>
        <v>FNCL 3 2021</v>
      </c>
      <c r="D202" t="str">
        <f>_xll.BDP("FRQC9677 Mtge","CRNCY")</f>
        <v>USD</v>
      </c>
      <c r="E202">
        <v>2223354</v>
      </c>
      <c r="F202">
        <f>_xll.BDP("FRQC9677 Mtge","CPN")</f>
        <v>3</v>
      </c>
      <c r="G202">
        <f>_xll.BDP("FRQC9677 Mtge","MTG_FACTOR")</f>
        <v>0.67743622999999997</v>
      </c>
      <c r="H202">
        <f>_xll.BDP("FRQC9677 Mtge","MTG_WAL")</f>
        <v>8.2193000000000005</v>
      </c>
      <c r="I202" t="str">
        <f>_xll.BDP("FRQC9677 Mtge","MTG_ORIG_WAL")</f>
        <v>#N/A N/A</v>
      </c>
    </row>
    <row r="203" spans="1:9" x14ac:dyDescent="0.25">
      <c r="A203" t="str">
        <f>_xll.BDP("FRQY6569 Mtge","ID_CUSIP")</f>
        <v>31426RJP7</v>
      </c>
      <c r="B203" t="str">
        <f>_xll.BDP("FRQY6569 Mtge","SECURITY_NAME")</f>
        <v>FR QY6569</v>
      </c>
      <c r="C203" t="str">
        <f>_xll.BDP("FRQY6569 Mtge","GENERIC_TICKER_VINTAGE")</f>
        <v>FNCL 6 2025</v>
      </c>
      <c r="D203" t="str">
        <f>_xll.BDP("FRQY6569 Mtge","CRNCY")</f>
        <v>USD</v>
      </c>
      <c r="E203">
        <v>6272370</v>
      </c>
      <c r="F203">
        <f>_xll.BDP("FRQY6569 Mtge","CPN")</f>
        <v>6</v>
      </c>
      <c r="G203">
        <f>_xll.BDP("FRQY6569 Mtge","MTG_FACTOR")</f>
        <v>0.91047080000000002</v>
      </c>
      <c r="H203">
        <f>_xll.BDP("FRQY6569 Mtge","MTG_WAL")</f>
        <v>3.3458999999999999</v>
      </c>
      <c r="I203" t="str">
        <f>_xll.BDP("FRQY6569 Mtge","MTG_ORIG_WAL")</f>
        <v>#N/A N/A</v>
      </c>
    </row>
    <row r="204" spans="1:9" x14ac:dyDescent="0.25">
      <c r="A204" t="str">
        <f>_xll.BDP("FRSL0818 Mtge","ID_CUSIP")</f>
        <v>31427M4C2</v>
      </c>
      <c r="B204" t="str">
        <f>_xll.BDP("FRSL0818 Mtge","SECURITY_NAME")</f>
        <v>FR SL0818</v>
      </c>
      <c r="C204" t="str">
        <f>_xll.BDP("FRSL0818 Mtge","GENERIC_TICKER_VINTAGE")</f>
        <v>FNCL 6 2025</v>
      </c>
      <c r="D204" t="str">
        <f>_xll.BDP("FRSL0818 Mtge","CRNCY")</f>
        <v>USD</v>
      </c>
      <c r="E204">
        <v>11383025</v>
      </c>
      <c r="F204">
        <f>_xll.BDP("FRSL0818 Mtge","CPN")</f>
        <v>6</v>
      </c>
      <c r="G204">
        <f>_xll.BDP("FRSL0818 Mtge","MTG_FACTOR")</f>
        <v>0.88173853000000002</v>
      </c>
      <c r="H204">
        <f>_xll.BDP("FRSL0818 Mtge","MTG_WAL")</f>
        <v>3.1657000000000002</v>
      </c>
      <c r="I204" t="str">
        <f>_xll.BDP("FRSL0818 Mtge","MTG_ORIG_WAL")</f>
        <v>#N/A N/A</v>
      </c>
    </row>
    <row r="205" spans="1:9" x14ac:dyDescent="0.25">
      <c r="A205" t="str">
        <f>_xll.BDP("!!0349TJ Mtge","ID_CUSIP")</f>
        <v>3137H5AR8</v>
      </c>
      <c r="B205" t="str">
        <f>_xll.BDP("!!0349TJ Mtge","SECURITY_NAME")</f>
        <v>FHR 5187 LE</v>
      </c>
      <c r="C205" t="str">
        <f>_xll.BDP("!!0349TJ Mtge","GENERIC_TICKER_VINTAGE")</f>
        <v>FNCL 3 2021</v>
      </c>
      <c r="D205" t="str">
        <f>_xll.BDP("!!0349TJ Mtge","CRNCY")</f>
        <v>USD</v>
      </c>
      <c r="E205">
        <v>73888494</v>
      </c>
      <c r="F205">
        <f>_xll.BDP("!!0349TJ Mtge","CPN")</f>
        <v>2</v>
      </c>
      <c r="G205">
        <f>_xll.BDP("!!0349TJ Mtge","MTG_FACTOR")</f>
        <v>0.75655393000000004</v>
      </c>
      <c r="H205">
        <f>_xll.BDP("!!0349TJ Mtge","MTG_WAL")</f>
        <v>5.4688999999999997</v>
      </c>
      <c r="I205">
        <f>_xll.BDP("!!0349TJ Mtge","MTG_ORIG_WAL")</f>
        <v>4.7</v>
      </c>
    </row>
    <row r="206" spans="1:9" x14ac:dyDescent="0.25">
      <c r="A206" t="str">
        <f>_xll.BDP("!!03MMZY Mtge","ID_CUSIP")</f>
        <v>3137HLJF0</v>
      </c>
      <c r="B206" t="str">
        <f>_xll.BDP("!!03MMZY Mtge","SECURITY_NAME")</f>
        <v>FHR 5548 AB</v>
      </c>
      <c r="C206" t="str">
        <f>_xll.BDP("!!03MMZY Mtge","GENERIC_TICKER_VINTAGE")</f>
        <v>FNCL 6 2025</v>
      </c>
      <c r="D206" t="str">
        <f>_xll.BDP("!!03MMZY Mtge","CRNCY")</f>
        <v>USD</v>
      </c>
      <c r="E206">
        <v>35240036</v>
      </c>
      <c r="F206">
        <f>_xll.BDP("!!03MMZY Mtge","CPN")</f>
        <v>5</v>
      </c>
      <c r="G206">
        <f>_xll.BDP("!!03MMZY Mtge","MTG_FACTOR")</f>
        <v>0.79946154999999997</v>
      </c>
      <c r="H206">
        <f>_xll.BDP("!!03MMZY Mtge","MTG_WAL")</f>
        <v>1.6942999999999999</v>
      </c>
      <c r="I206">
        <f>_xll.BDP("!!03MMZY Mtge","MTG_ORIG_WAL")</f>
        <v>3.8</v>
      </c>
    </row>
    <row r="207" spans="1:9" x14ac:dyDescent="0.25">
      <c r="A207" t="str">
        <f>_xll.BDP("!!03NM8C Mtge","ID_CUSIP")</f>
        <v>3137HMJU5</v>
      </c>
      <c r="B207" t="str">
        <f>_xll.BDP("!!03NM8C Mtge","SECURITY_NAME")</f>
        <v>FHR 5566 SE</v>
      </c>
      <c r="C207" t="str">
        <f>_xll.BDP("!!03NM8C Mtge","GENERIC_TICKER_VINTAGE")</f>
        <v>FNCL 6 2025</v>
      </c>
      <c r="D207" t="str">
        <f>_xll.BDP("!!03NM8C Mtge","CRNCY")</f>
        <v>USD</v>
      </c>
      <c r="E207">
        <v>337374207</v>
      </c>
      <c r="F207">
        <f>_xll.BDP("!!03NM8C Mtge","CPN")</f>
        <v>1.43279</v>
      </c>
      <c r="G207">
        <f>_xll.BDP("!!03NM8C Mtge","MTG_FACTOR")</f>
        <v>0.89954168000000001</v>
      </c>
      <c r="H207">
        <f>_xll.BDP("!!03NM8C Mtge","MTG_WAL")</f>
        <v>3.1838000000000002</v>
      </c>
      <c r="I207">
        <f>_xll.BDP("!!03NM8C Mtge","MTG_ORIG_WAL")</f>
        <v>6.5</v>
      </c>
    </row>
    <row r="208" spans="1:9" x14ac:dyDescent="0.25">
      <c r="A208" t="str">
        <f>_xll.BDP("!!03NS61 Mtge","ID_CUSIP")</f>
        <v>3137HMLH1</v>
      </c>
      <c r="B208" t="str">
        <f>_xll.BDP("!!03NS61 Mtge","SECURITY_NAME")</f>
        <v>FHR 5563 SB</v>
      </c>
      <c r="C208" t="str">
        <f>_xll.BDP("!!03NS61 Mtge","GENERIC_TICKER_VINTAGE")</f>
        <v>FNCL 6 2025</v>
      </c>
      <c r="D208" t="str">
        <f>_xll.BDP("!!03NS61 Mtge","CRNCY")</f>
        <v>USD</v>
      </c>
      <c r="E208">
        <v>285000000</v>
      </c>
      <c r="F208">
        <f>_xll.BDP("!!03NS61 Mtge","CPN")</f>
        <v>0.63278999999999996</v>
      </c>
      <c r="G208">
        <f>_xll.BDP("!!03NS61 Mtge","MTG_FACTOR")</f>
        <v>0.80760430000000005</v>
      </c>
      <c r="H208">
        <f>_xll.BDP("!!03NS61 Mtge","MTG_WAL")</f>
        <v>3.1322999999999999</v>
      </c>
      <c r="I208">
        <f>_xll.BDP("!!03NS61 Mtge","MTG_ORIG_WAL")</f>
        <v>6.2</v>
      </c>
    </row>
    <row r="209" spans="1:9" x14ac:dyDescent="0.25">
      <c r="A209" t="str">
        <f>_xll.BDP("FNCC0538 Mtge","ID_CUSIP")</f>
        <v>3140Y6S43</v>
      </c>
      <c r="B209" t="str">
        <f>_xll.BDP("FNCC0538 Mtge","SECURITY_NAME")</f>
        <v>FN CC0538</v>
      </c>
      <c r="C209" t="str">
        <f>_xll.BDP("FNCC0538 Mtge","GENERIC_TICKER_VINTAGE")</f>
        <v>FNCL 6 2025</v>
      </c>
      <c r="D209" t="str">
        <f>_xll.BDP("FNCC0538 Mtge","CRNCY")</f>
        <v>USD</v>
      </c>
      <c r="E209">
        <v>75427189</v>
      </c>
      <c r="F209">
        <f>_xll.BDP("FNCC0538 Mtge","CPN")</f>
        <v>6</v>
      </c>
      <c r="G209">
        <f>_xll.BDP("FNCC0538 Mtge","MTG_FACTOR")</f>
        <v>0.87989249000000003</v>
      </c>
      <c r="H209">
        <f>_xll.BDP("FNCC0538 Mtge","MTG_WAL")</f>
        <v>3.2869000000000002</v>
      </c>
      <c r="I209" t="str">
        <f>_xll.BDP("FNCC0538 Mtge","MTG_ORIG_WAL")</f>
        <v>#N/A N/A</v>
      </c>
    </row>
    <row r="210" spans="1:9" x14ac:dyDescent="0.25">
      <c r="A210" t="str">
        <f>_xll.BDP("FNCC0589 Mtge","ID_CUSIP")</f>
        <v>3140Y6UP3</v>
      </c>
      <c r="B210" t="str">
        <f>_xll.BDP("FNCC0589 Mtge","SECURITY_NAME")</f>
        <v>FN CC0589</v>
      </c>
      <c r="C210" t="str">
        <f>_xll.BDP("FNCC0589 Mtge","GENERIC_TICKER_VINTAGE")</f>
        <v>FNCL 6 2025</v>
      </c>
      <c r="D210" t="str">
        <f>_xll.BDP("FNCC0589 Mtge","CRNCY")</f>
        <v>USD</v>
      </c>
      <c r="E210">
        <v>144882319</v>
      </c>
      <c r="F210">
        <f>_xll.BDP("FNCC0589 Mtge","CPN")</f>
        <v>6</v>
      </c>
      <c r="G210">
        <f>_xll.BDP("FNCC0589 Mtge","MTG_FACTOR")</f>
        <v>0.95436745999999995</v>
      </c>
      <c r="H210">
        <f>_xll.BDP("FNCC0589 Mtge","MTG_WAL")</f>
        <v>3.2858999999999998</v>
      </c>
      <c r="I210" t="str">
        <f>_xll.BDP("FNCC0589 Mtge","MTG_ORIG_WAL")</f>
        <v>#N/A N/A</v>
      </c>
    </row>
    <row r="211" spans="1:9" x14ac:dyDescent="0.25">
      <c r="A211" t="str">
        <f>_xll.BDP("FNDD8420 Mtge","ID_CUSIP")</f>
        <v>3140B9LA5</v>
      </c>
      <c r="B211" t="str">
        <f>_xll.BDP("FNDD8420 Mtge","SECURITY_NAME")</f>
        <v>FN DD8420</v>
      </c>
      <c r="C211" t="str">
        <f>_xll.BDP("FNDD8420 Mtge","GENERIC_TICKER_VINTAGE")</f>
        <v>FNCL 6 2025</v>
      </c>
      <c r="D211" t="str">
        <f>_xll.BDP("FNDD8420 Mtge","CRNCY")</f>
        <v>USD</v>
      </c>
      <c r="E211">
        <v>8898700</v>
      </c>
      <c r="F211">
        <f>_xll.BDP("FNDD8420 Mtge","CPN")</f>
        <v>6</v>
      </c>
      <c r="G211">
        <f>_xll.BDP("FNDD8420 Mtge","MTG_FACTOR")</f>
        <v>0.65473667999999996</v>
      </c>
      <c r="H211">
        <f>_xll.BDP("FNDD8420 Mtge","MTG_WAL")</f>
        <v>3.3338000000000001</v>
      </c>
      <c r="I211" t="str">
        <f>_xll.BDP("FNDD8420 Mtge","MTG_ORIG_WAL")</f>
        <v>#N/A N/A</v>
      </c>
    </row>
    <row r="212" spans="1:9" x14ac:dyDescent="0.25">
      <c r="A212" t="str">
        <f>_xll.BDP("FNFA2323 Mtge","ID_CUSIP")</f>
        <v>3140W2SM4</v>
      </c>
      <c r="B212" t="str">
        <f>_xll.BDP("FNFA2323 Mtge","SECURITY_NAME")</f>
        <v>FN FA2323</v>
      </c>
      <c r="C212" t="str">
        <f>_xll.BDP("FNFA2323 Mtge","GENERIC_TICKER_VINTAGE")</f>
        <v>FNCL 6 2025</v>
      </c>
      <c r="D212" t="str">
        <f>_xll.BDP("FNFA2323 Mtge","CRNCY")</f>
        <v>USD</v>
      </c>
      <c r="E212">
        <v>69221571</v>
      </c>
      <c r="F212">
        <f>_xll.BDP("FNFA2323 Mtge","CPN")</f>
        <v>6</v>
      </c>
      <c r="G212">
        <f>_xll.BDP("FNFA2323 Mtge","MTG_FACTOR")</f>
        <v>0.94395112999999997</v>
      </c>
      <c r="H212">
        <f>_xll.BDP("FNFA2323 Mtge","MTG_WAL")</f>
        <v>3.2216999999999998</v>
      </c>
      <c r="I212" t="str">
        <f>_xll.BDP("FNFA2323 Mtge","MTG_ORIG_WAL")</f>
        <v>#N/A N/A</v>
      </c>
    </row>
    <row r="213" spans="1:9" x14ac:dyDescent="0.25">
      <c r="A213" t="str">
        <f>_xll.BDP("FRSD8195 Mtge","ID_CUSIP")</f>
        <v>3132DWC84</v>
      </c>
      <c r="B213" t="str">
        <f>_xll.BDP("FRSD8195 Mtge","SECURITY_NAME")</f>
        <v>FR SD8195</v>
      </c>
      <c r="C213" t="str">
        <f>_xll.BDP("FRSD8195 Mtge","GENERIC_TICKER_VINTAGE")</f>
        <v>FNCL 3 2021</v>
      </c>
      <c r="D213" t="str">
        <f>_xll.BDP("FRSD8195 Mtge","CRNCY")</f>
        <v>USD</v>
      </c>
      <c r="E213">
        <v>2125870641</v>
      </c>
      <c r="F213">
        <f>_xll.BDP("FRSD8195 Mtge","CPN")</f>
        <v>3</v>
      </c>
      <c r="G213">
        <f>_xll.BDP("FRSD8195 Mtge","MTG_FACTOR")</f>
        <v>0.71547497999999998</v>
      </c>
      <c r="H213">
        <f>_xll.BDP("FRSD8195 Mtge","MTG_WAL")</f>
        <v>8.3978000000000002</v>
      </c>
      <c r="I213" t="str">
        <f>_xll.BDP("FRSD8195 Mtge","MTG_ORIG_WAL")</f>
        <v>#N/A N/A</v>
      </c>
    </row>
    <row r="214" spans="1:9" x14ac:dyDescent="0.25">
      <c r="A214" t="str">
        <f>_xll.BDP("FRSL1067 Mtge","ID_CUSIP")</f>
        <v>31427NFH7</v>
      </c>
      <c r="B214" t="str">
        <f>_xll.BDP("FRSL1067 Mtge","SECURITY_NAME")</f>
        <v>FR SL1067</v>
      </c>
      <c r="C214" t="str">
        <f>_xll.BDP("FRSL1067 Mtge","GENERIC_TICKER_VINTAGE")</f>
        <v>FNCL 3 2021</v>
      </c>
      <c r="D214" t="str">
        <f>_xll.BDP("FRSL1067 Mtge","CRNCY")</f>
        <v>USD</v>
      </c>
      <c r="E214">
        <v>6211543</v>
      </c>
      <c r="F214">
        <f>_xll.BDP("FRSL1067 Mtge","CPN")</f>
        <v>3</v>
      </c>
      <c r="G214">
        <f>_xll.BDP("FRSL1067 Mtge","MTG_FACTOR")</f>
        <v>0.93757816000000005</v>
      </c>
      <c r="H214">
        <f>_xll.BDP("FRSL1067 Mtge","MTG_WAL")</f>
        <v>8.4298999999999999</v>
      </c>
      <c r="I214" t="str">
        <f>_xll.BDP("FRSL1067 Mtge","MTG_ORIG_WAL")</f>
        <v>#N/A N/A</v>
      </c>
    </row>
    <row r="215" spans="1:9" x14ac:dyDescent="0.25">
      <c r="A215" t="str">
        <f>_xll.BDP("!!03MLKT Mtge","ID_CUSIP")</f>
        <v>3136BWKR6</v>
      </c>
      <c r="B215" t="str">
        <f>_xll.BDP("!!03MLKT Mtge","SECURITY_NAME")</f>
        <v>FNR 2025-47 SM</v>
      </c>
      <c r="C215" t="str">
        <f>_xll.BDP("!!03MLKT Mtge","GENERIC_TICKER_VINTAGE")</f>
        <v>FNCL 6 2025</v>
      </c>
      <c r="D215" t="str">
        <f>_xll.BDP("!!03MLKT Mtge","CRNCY")</f>
        <v>USD</v>
      </c>
      <c r="E215">
        <v>253500000</v>
      </c>
      <c r="F215">
        <f>_xll.BDP("!!03MLKT Mtge","CPN")</f>
        <v>2.13279</v>
      </c>
      <c r="G215">
        <f>_xll.BDP("!!03MLKT Mtge","MTG_FACTOR")</f>
        <v>0.89996841000000005</v>
      </c>
      <c r="H215">
        <f>_xll.BDP("!!03MLKT Mtge","MTG_WAL")</f>
        <v>3.1892999999999998</v>
      </c>
      <c r="I215">
        <f>_xll.BDP("!!03MLKT Mtge","MTG_ORIG_WAL")</f>
        <v>6.4699900000000001</v>
      </c>
    </row>
    <row r="216" spans="1:9" x14ac:dyDescent="0.25">
      <c r="A216" t="str">
        <f>_xll.BDP("!!03MLXQ Mtge","ID_CUSIP")</f>
        <v>3137HLU34</v>
      </c>
      <c r="B216" t="str">
        <f>_xll.BDP("!!03MLXQ Mtge","SECURITY_NAME")</f>
        <v>FHR 5549 AF</v>
      </c>
      <c r="C216" t="str">
        <f>_xll.BDP("!!03MLXQ Mtge","GENERIC_TICKER_VINTAGE")</f>
        <v>FNCL 6 2025</v>
      </c>
      <c r="D216" t="str">
        <f>_xll.BDP("!!03MLXQ Mtge","CRNCY")</f>
        <v>USD</v>
      </c>
      <c r="E216">
        <v>178313000</v>
      </c>
      <c r="F216">
        <f>_xll.BDP("!!03MLXQ Mtge","CPN")</f>
        <v>5.1672099999999999</v>
      </c>
      <c r="G216">
        <f>_xll.BDP("!!03MLXQ Mtge","MTG_FACTOR")</f>
        <v>0.75737337999999998</v>
      </c>
      <c r="H216">
        <f>_xll.BDP("!!03MLXQ Mtge","MTG_WAL")</f>
        <v>3.0621999999999998</v>
      </c>
      <c r="I216">
        <f>_xll.BDP("!!03MLXQ Mtge","MTG_ORIG_WAL")</f>
        <v>7</v>
      </c>
    </row>
    <row r="217" spans="1:9" x14ac:dyDescent="0.25">
      <c r="A217" t="str">
        <f>_xll.BDP("!!03MS0Y Mtge","ID_CUSIP")</f>
        <v>3137HMBM1</v>
      </c>
      <c r="B217" t="str">
        <f>_xll.BDP("!!03MS0Y Mtge","SECURITY_NAME")</f>
        <v>FHR 5559 JF</v>
      </c>
      <c r="C217" t="str">
        <f>_xll.BDP("!!03MS0Y Mtge","GENERIC_TICKER_VINTAGE")</f>
        <v>FNCL 6 2025</v>
      </c>
      <c r="D217" t="str">
        <f>_xll.BDP("!!03MS0Y Mtge","CRNCY")</f>
        <v>USD</v>
      </c>
      <c r="E217">
        <v>200000000</v>
      </c>
      <c r="F217">
        <f>_xll.BDP("!!03MS0Y Mtge","CPN")</f>
        <v>5.5972099999999996</v>
      </c>
      <c r="G217">
        <f>_xll.BDP("!!03MS0Y Mtge","MTG_FACTOR")</f>
        <v>0.79721315999999998</v>
      </c>
      <c r="H217">
        <f>_xll.BDP("!!03MS0Y Mtge","MTG_WAL")</f>
        <v>3.1322999999999999</v>
      </c>
      <c r="I217">
        <f>_xll.BDP("!!03MS0Y Mtge","MTG_ORIG_WAL")</f>
        <v>6.5</v>
      </c>
    </row>
    <row r="218" spans="1:9" x14ac:dyDescent="0.25">
      <c r="A218" t="str">
        <f>_xll.BDP("FNCC0261 Mtge","ID_CUSIP")</f>
        <v>3140Y6JF8</v>
      </c>
      <c r="B218" t="str">
        <f>_xll.BDP("FNCC0261 Mtge","SECURITY_NAME")</f>
        <v>FN CC0261</v>
      </c>
      <c r="C218" t="str">
        <f>_xll.BDP("FNCC0261 Mtge","GENERIC_TICKER_VINTAGE")</f>
        <v>FNCL 6 2025</v>
      </c>
      <c r="D218" t="str">
        <f>_xll.BDP("FNCC0261 Mtge","CRNCY")</f>
        <v>USD</v>
      </c>
      <c r="E218">
        <v>200042490</v>
      </c>
      <c r="F218">
        <f>_xll.BDP("FNCC0261 Mtge","CPN")</f>
        <v>6</v>
      </c>
      <c r="G218">
        <f>_xll.BDP("FNCC0261 Mtge","MTG_FACTOR")</f>
        <v>0.90516333999999998</v>
      </c>
      <c r="H218">
        <f>_xll.BDP("FNCC0261 Mtge","MTG_WAL")</f>
        <v>3.2008999999999999</v>
      </c>
      <c r="I218" t="str">
        <f>_xll.BDP("FNCC0261 Mtge","MTG_ORIG_WAL")</f>
        <v>#N/A N/A</v>
      </c>
    </row>
    <row r="219" spans="1:9" x14ac:dyDescent="0.25">
      <c r="A219" t="str">
        <f>_xll.BDP("FNCC0537 Mtge","ID_CUSIP")</f>
        <v>3140Y6S35</v>
      </c>
      <c r="B219" t="str">
        <f>_xll.BDP("FNCC0537 Mtge","SECURITY_NAME")</f>
        <v>FN CC0537</v>
      </c>
      <c r="C219" t="str">
        <f>_xll.BDP("FNCC0537 Mtge","GENERIC_TICKER_VINTAGE")</f>
        <v>FNCL 6 2025</v>
      </c>
      <c r="D219" t="str">
        <f>_xll.BDP("FNCC0537 Mtge","CRNCY")</f>
        <v>USD</v>
      </c>
      <c r="E219">
        <v>192252735</v>
      </c>
      <c r="F219">
        <f>_xll.BDP("FNCC0537 Mtge","CPN")</f>
        <v>6</v>
      </c>
      <c r="G219">
        <f>_xll.BDP("FNCC0537 Mtge","MTG_FACTOR")</f>
        <v>0.93828652999999995</v>
      </c>
      <c r="H219">
        <f>_xll.BDP("FNCC0537 Mtge","MTG_WAL")</f>
        <v>3.2877999999999998</v>
      </c>
      <c r="I219" t="str">
        <f>_xll.BDP("FNCC0537 Mtge","MTG_ORIG_WAL")</f>
        <v>#N/A N/A</v>
      </c>
    </row>
    <row r="220" spans="1:9" x14ac:dyDescent="0.25">
      <c r="A220" t="str">
        <f>_xll.BDP("FNCC0580 Mtge","ID_CUSIP")</f>
        <v>3140Y6UE8</v>
      </c>
      <c r="B220" t="str">
        <f>_xll.BDP("FNCC0580 Mtge","SECURITY_NAME")</f>
        <v>FN CC0580</v>
      </c>
      <c r="C220" t="str">
        <f>_xll.BDP("FNCC0580 Mtge","GENERIC_TICKER_VINTAGE")</f>
        <v>FNCL 6 2025</v>
      </c>
      <c r="D220" t="str">
        <f>_xll.BDP("FNCC0580 Mtge","CRNCY")</f>
        <v>USD</v>
      </c>
      <c r="E220">
        <v>133773239</v>
      </c>
      <c r="F220">
        <f>_xll.BDP("FNCC0580 Mtge","CPN")</f>
        <v>6</v>
      </c>
      <c r="G220">
        <f>_xll.BDP("FNCC0580 Mtge","MTG_FACTOR")</f>
        <v>0.93611900999999997</v>
      </c>
      <c r="H220">
        <f>_xll.BDP("FNCC0580 Mtge","MTG_WAL")</f>
        <v>3.2858000000000001</v>
      </c>
      <c r="I220" t="str">
        <f>_xll.BDP("FNCC0580 Mtge","MTG_ORIG_WAL")</f>
        <v>#N/A N/A</v>
      </c>
    </row>
    <row r="221" spans="1:9" x14ac:dyDescent="0.25">
      <c r="A221" t="str">
        <f>_xll.BDP("FNDD2765 Mtge","ID_CUSIP")</f>
        <v>3140B3CB6</v>
      </c>
      <c r="B221" t="str">
        <f>_xll.BDP("FNDD2765 Mtge","SECURITY_NAME")</f>
        <v>FN DD2765</v>
      </c>
      <c r="C221" t="str">
        <f>_xll.BDP("FNDD2765 Mtge","GENERIC_TICKER_VINTAGE")</f>
        <v>FNCL 6 2025</v>
      </c>
      <c r="D221" t="str">
        <f>_xll.BDP("FNDD2765 Mtge","CRNCY")</f>
        <v>USD</v>
      </c>
      <c r="E221">
        <v>1345997</v>
      </c>
      <c r="F221">
        <f>_xll.BDP("FNDD2765 Mtge","CPN")</f>
        <v>6</v>
      </c>
      <c r="G221">
        <f>_xll.BDP("FNDD2765 Mtge","MTG_FACTOR")</f>
        <v>0.63390033000000001</v>
      </c>
      <c r="H221">
        <f>_xll.BDP("FNDD2765 Mtge","MTG_WAL")</f>
        <v>3.2496</v>
      </c>
      <c r="I221" t="str">
        <f>_xll.BDP("FNDD2765 Mtge","MTG_ORIG_WAL")</f>
        <v>#N/A N/A</v>
      </c>
    </row>
    <row r="222" spans="1:9" x14ac:dyDescent="0.25">
      <c r="A222" t="str">
        <f>_xll.BDP("FNDD7818 Mtge","ID_CUSIP")</f>
        <v>3140B8VL2</v>
      </c>
      <c r="B222" t="str">
        <f>_xll.BDP("FNDD7818 Mtge","SECURITY_NAME")</f>
        <v>FN DD7818</v>
      </c>
      <c r="C222" t="str">
        <f>_xll.BDP("FNDD7818 Mtge","GENERIC_TICKER_VINTAGE")</f>
        <v>FNCL 6 2025</v>
      </c>
      <c r="D222" t="str">
        <f>_xll.BDP("FNDD7818 Mtge","CRNCY")</f>
        <v>USD</v>
      </c>
      <c r="E222">
        <v>13574583</v>
      </c>
      <c r="F222">
        <f>_xll.BDP("FNDD7818 Mtge","CPN")</f>
        <v>6</v>
      </c>
      <c r="G222">
        <f>_xll.BDP("FNDD7818 Mtge","MTG_FACTOR")</f>
        <v>0.91837727999999996</v>
      </c>
      <c r="H222">
        <f>_xll.BDP("FNDD7818 Mtge","MTG_WAL")</f>
        <v>3.2957999999999998</v>
      </c>
      <c r="I222" t="str">
        <f>_xll.BDP("FNDD7818 Mtge","MTG_ORIG_WAL")</f>
        <v>#N/A N/A</v>
      </c>
    </row>
    <row r="223" spans="1:9" x14ac:dyDescent="0.25">
      <c r="A223" t="str">
        <f>_xll.BDP("FNDE1417 Mtge","ID_CUSIP")</f>
        <v>3140BDSF8</v>
      </c>
      <c r="B223" t="str">
        <f>_xll.BDP("FNDE1417 Mtge","SECURITY_NAME")</f>
        <v>FN DE1417</v>
      </c>
      <c r="C223" t="str">
        <f>_xll.BDP("FNDE1417 Mtge","GENERIC_TICKER_VINTAGE")</f>
        <v>FNCL 6 2025</v>
      </c>
      <c r="D223" t="str">
        <f>_xll.BDP("FNDE1417 Mtge","CRNCY")</f>
        <v>USD</v>
      </c>
      <c r="E223">
        <v>9141183</v>
      </c>
      <c r="F223">
        <f>_xll.BDP("FNDE1417 Mtge","CPN")</f>
        <v>6</v>
      </c>
      <c r="G223">
        <f>_xll.BDP("FNDE1417 Mtge","MTG_FACTOR")</f>
        <v>0.97710562000000001</v>
      </c>
      <c r="H223">
        <f>_xll.BDP("FNDE1417 Mtge","MTG_WAL")</f>
        <v>3.3368000000000002</v>
      </c>
      <c r="I223" t="str">
        <f>_xll.BDP("FNDE1417 Mtge","MTG_ORIG_WAL")</f>
        <v>#N/A N/A</v>
      </c>
    </row>
    <row r="224" spans="1:9" x14ac:dyDescent="0.25">
      <c r="A224" t="str">
        <f>_xll.BDP("FNDE2536 Mtge","ID_CUSIP")</f>
        <v>3140BEZA9</v>
      </c>
      <c r="B224" t="str">
        <f>_xll.BDP("FNDE2536 Mtge","SECURITY_NAME")</f>
        <v>FN DE2536</v>
      </c>
      <c r="C224" t="str">
        <f>_xll.BDP("FNDE2536 Mtge","GENERIC_TICKER_VINTAGE")</f>
        <v>FNCL 6 2025</v>
      </c>
      <c r="D224" t="str">
        <f>_xll.BDP("FNDE2536 Mtge","CRNCY")</f>
        <v>USD</v>
      </c>
      <c r="E224">
        <v>1429980</v>
      </c>
      <c r="F224">
        <f>_xll.BDP("FNDE2536 Mtge","CPN")</f>
        <v>6</v>
      </c>
      <c r="G224">
        <f>_xll.BDP("FNDE2536 Mtge","MTG_FACTOR")</f>
        <v>0.99236307000000001</v>
      </c>
      <c r="H224">
        <f>_xll.BDP("FNDE2536 Mtge","MTG_WAL")</f>
        <v>3.3475000000000001</v>
      </c>
      <c r="I224" t="str">
        <f>_xll.BDP("FNDE2536 Mtge","MTG_ORIG_WAL")</f>
        <v>#N/A N/A</v>
      </c>
    </row>
    <row r="225" spans="1:9" x14ac:dyDescent="0.25">
      <c r="A225" t="str">
        <f>_xll.BDP("FNFA1897 Mtge","ID_CUSIP")</f>
        <v>3140W2DB4</v>
      </c>
      <c r="B225" t="str">
        <f>_xll.BDP("FNFA1897 Mtge","SECURITY_NAME")</f>
        <v>FN FA1897</v>
      </c>
      <c r="C225" t="str">
        <f>_xll.BDP("FNFA1897 Mtge","GENERIC_TICKER_VINTAGE")</f>
        <v>FNCL 6 2025</v>
      </c>
      <c r="D225" t="str">
        <f>_xll.BDP("FNFA1897 Mtge","CRNCY")</f>
        <v>USD</v>
      </c>
      <c r="E225">
        <v>236933603</v>
      </c>
      <c r="F225">
        <f>_xll.BDP("FNFA1897 Mtge","CPN")</f>
        <v>6</v>
      </c>
      <c r="G225">
        <f>_xll.BDP("FNFA1897 Mtge","MTG_FACTOR")</f>
        <v>0.87358837</v>
      </c>
      <c r="H225">
        <f>_xll.BDP("FNFA1897 Mtge","MTG_WAL")</f>
        <v>3.1974</v>
      </c>
      <c r="I225" t="str">
        <f>_xll.BDP("FNFA1897 Mtge","MTG_ORIG_WAL")</f>
        <v>#N/A N/A</v>
      </c>
    </row>
    <row r="226" spans="1:9" x14ac:dyDescent="0.25">
      <c r="A226" t="str">
        <f>_xll.BDP("FNFA1949 Mtge","ID_CUSIP")</f>
        <v>3140W2EX5</v>
      </c>
      <c r="B226" t="str">
        <f>_xll.BDP("FNFA1949 Mtge","SECURITY_NAME")</f>
        <v>FN FA1949</v>
      </c>
      <c r="C226" t="str">
        <f>_xll.BDP("FNFA1949 Mtge","GENERIC_TICKER_VINTAGE")</f>
        <v>FNCL 3 2021</v>
      </c>
      <c r="D226" t="str">
        <f>_xll.BDP("FNFA1949 Mtge","CRNCY")</f>
        <v>USD</v>
      </c>
      <c r="E226">
        <v>5171139</v>
      </c>
      <c r="F226">
        <f>_xll.BDP("FNFA1949 Mtge","CPN")</f>
        <v>3</v>
      </c>
      <c r="G226">
        <f>_xll.BDP("FNFA1949 Mtge","MTG_FACTOR")</f>
        <v>0.92646589999999995</v>
      </c>
      <c r="H226">
        <f>_xll.BDP("FNFA1949 Mtge","MTG_WAL")</f>
        <v>8.1637000000000004</v>
      </c>
      <c r="I226" t="str">
        <f>_xll.BDP("FNFA1949 Mtge","MTG_ORIG_WAL")</f>
        <v>#N/A N/A</v>
      </c>
    </row>
    <row r="227" spans="1:9" x14ac:dyDescent="0.25">
      <c r="A227" t="str">
        <f>_xll.BDP("FNFA2328 Mtge","ID_CUSIP")</f>
        <v>3140W2SS1</v>
      </c>
      <c r="B227" t="str">
        <f>_xll.BDP("FNFA2328 Mtge","SECURITY_NAME")</f>
        <v>FN FA2328</v>
      </c>
      <c r="C227" t="str">
        <f>_xll.BDP("FNFA2328 Mtge","GENERIC_TICKER_VINTAGE")</f>
        <v>FNCL 6 2025</v>
      </c>
      <c r="D227" t="str">
        <f>_xll.BDP("FNFA2328 Mtge","CRNCY")</f>
        <v>USD</v>
      </c>
      <c r="E227">
        <v>56516353</v>
      </c>
      <c r="F227">
        <f>_xll.BDP("FNFA2328 Mtge","CPN")</f>
        <v>6</v>
      </c>
      <c r="G227">
        <f>_xll.BDP("FNFA2328 Mtge","MTG_FACTOR")</f>
        <v>0.88842902000000001</v>
      </c>
      <c r="H227">
        <f>_xll.BDP("FNFA2328 Mtge","MTG_WAL")</f>
        <v>3.2738999999999998</v>
      </c>
      <c r="I227" t="str">
        <f>_xll.BDP("FNFA2328 Mtge","MTG_ORIG_WAL")</f>
        <v>#N/A N/A</v>
      </c>
    </row>
    <row r="228" spans="1:9" x14ac:dyDescent="0.25">
      <c r="A228" t="str">
        <f>_xll.BDP("FNFM8685 Mtge","ID_CUSIP")</f>
        <v>3140XCUK2</v>
      </c>
      <c r="B228" t="str">
        <f>_xll.BDP("FNFM8685 Mtge","SECURITY_NAME")</f>
        <v>FN FM8685</v>
      </c>
      <c r="C228" t="str">
        <f>_xll.BDP("FNFM8685 Mtge","GENERIC_TICKER_VINTAGE")</f>
        <v>FNCL 3 2021</v>
      </c>
      <c r="D228" t="str">
        <f>_xll.BDP("FNFM8685 Mtge","CRNCY")</f>
        <v>USD</v>
      </c>
      <c r="E228">
        <v>75744425</v>
      </c>
      <c r="F228">
        <f>_xll.BDP("FNFM8685 Mtge","CPN")</f>
        <v>3</v>
      </c>
      <c r="G228">
        <f>_xll.BDP("FNFM8685 Mtge","MTG_FACTOR")</f>
        <v>0.6240888</v>
      </c>
      <c r="H228">
        <f>_xll.BDP("FNFM8685 Mtge","MTG_WAL")</f>
        <v>8.3299000000000003</v>
      </c>
      <c r="I228" t="str">
        <f>_xll.BDP("FNFM8685 Mtge","MTG_ORIG_WAL")</f>
        <v>#N/A N/A</v>
      </c>
    </row>
    <row r="229" spans="1:9" x14ac:dyDescent="0.25">
      <c r="A229" t="str">
        <f>_xll.BDP("FNFS5724 Mtge","ID_CUSIP")</f>
        <v>3140XMLE4</v>
      </c>
      <c r="B229" t="str">
        <f>_xll.BDP("FNFS5724 Mtge","SECURITY_NAME")</f>
        <v>FN FS5724</v>
      </c>
      <c r="C229" t="str">
        <f>_xll.BDP("FNFS5724 Mtge","GENERIC_TICKER_VINTAGE")</f>
        <v>FNCL 3 2021</v>
      </c>
      <c r="D229" t="str">
        <f>_xll.BDP("FNFS5724 Mtge","CRNCY")</f>
        <v>USD</v>
      </c>
      <c r="E229">
        <v>34656529</v>
      </c>
      <c r="F229">
        <f>_xll.BDP("FNFS5724 Mtge","CPN")</f>
        <v>3</v>
      </c>
      <c r="G229">
        <f>_xll.BDP("FNFS5724 Mtge","MTG_FACTOR")</f>
        <v>0.81639006999999997</v>
      </c>
      <c r="H229">
        <f>_xll.BDP("FNFS5724 Mtge","MTG_WAL")</f>
        <v>8.2766999999999999</v>
      </c>
      <c r="I229" t="str">
        <f>_xll.BDP("FNFS5724 Mtge","MTG_ORIG_WAL")</f>
        <v>#N/A N/A</v>
      </c>
    </row>
    <row r="230" spans="1:9" x14ac:dyDescent="0.25">
      <c r="A230" t="str">
        <f>_xll.BDP("FRQC5763 Mtge","ID_CUSIP")</f>
        <v>3133AQML8</v>
      </c>
      <c r="B230" t="str">
        <f>_xll.BDP("FRQC5763 Mtge","SECURITY_NAME")</f>
        <v>FR QC5763</v>
      </c>
      <c r="C230" t="str">
        <f>_xll.BDP("FRQC5763 Mtge","GENERIC_TICKER_VINTAGE")</f>
        <v>FNCL 3 2021</v>
      </c>
      <c r="D230" t="str">
        <f>_xll.BDP("FRQC5763 Mtge","CRNCY")</f>
        <v>USD</v>
      </c>
      <c r="E230">
        <v>20160707</v>
      </c>
      <c r="F230">
        <f>_xll.BDP("FRQC5763 Mtge","CPN")</f>
        <v>3</v>
      </c>
      <c r="G230">
        <f>_xll.BDP("FRQC5763 Mtge","MTG_FACTOR")</f>
        <v>0.67427017</v>
      </c>
      <c r="H230">
        <f>_xll.BDP("FRQC5763 Mtge","MTG_WAL")</f>
        <v>8.3855000000000004</v>
      </c>
      <c r="I230" t="str">
        <f>_xll.BDP("FRQC5763 Mtge","MTG_ORIG_WAL")</f>
        <v>#N/A N/A</v>
      </c>
    </row>
    <row r="231" spans="1:9" x14ac:dyDescent="0.25">
      <c r="A231" t="str">
        <f>_xll.BDP("FRQY6956 Mtge","ID_CUSIP")</f>
        <v>31426RWS6</v>
      </c>
      <c r="B231" t="str">
        <f>_xll.BDP("FRQY6956 Mtge","SECURITY_NAME")</f>
        <v>FR QY6956</v>
      </c>
      <c r="C231" t="str">
        <f>_xll.BDP("FRQY6956 Mtge","GENERIC_TICKER_VINTAGE")</f>
        <v>FNCL 6 2025</v>
      </c>
      <c r="D231" t="str">
        <f>_xll.BDP("FRQY6956 Mtge","CRNCY")</f>
        <v>USD</v>
      </c>
      <c r="E231">
        <v>11424350</v>
      </c>
      <c r="F231">
        <f>_xll.BDP("FRQY6956 Mtge","CPN")</f>
        <v>6</v>
      </c>
      <c r="G231">
        <f>_xll.BDP("FRQY6956 Mtge","MTG_FACTOR")</f>
        <v>0.94213409999999997</v>
      </c>
      <c r="H231">
        <f>_xll.BDP("FRQY6956 Mtge","MTG_WAL")</f>
        <v>3.3887</v>
      </c>
      <c r="I231" t="str">
        <f>_xll.BDP("FRQY6956 Mtge","MTG_ORIG_WAL")</f>
        <v>#N/A N/A</v>
      </c>
    </row>
    <row r="232" spans="1:9" x14ac:dyDescent="0.25">
      <c r="A232" t="str">
        <f>_xll.BDP("FRQY7030 Mtge","ID_CUSIP")</f>
        <v>31426RY47</v>
      </c>
      <c r="B232" t="str">
        <f>_xll.BDP("FRQY7030 Mtge","SECURITY_NAME")</f>
        <v>FR QY7030</v>
      </c>
      <c r="C232" t="str">
        <f>_xll.BDP("FRQY7030 Mtge","GENERIC_TICKER_VINTAGE")</f>
        <v>FNCL 6 2025</v>
      </c>
      <c r="D232" t="str">
        <f>_xll.BDP("FRQY7030 Mtge","CRNCY")</f>
        <v>USD</v>
      </c>
      <c r="E232">
        <v>1002397</v>
      </c>
      <c r="F232">
        <f>_xll.BDP("FRQY7030 Mtge","CPN")</f>
        <v>6</v>
      </c>
      <c r="G232">
        <f>_xll.BDP("FRQY7030 Mtge","MTG_FACTOR")</f>
        <v>0.83354214000000004</v>
      </c>
      <c r="H232">
        <f>_xll.BDP("FRQY7030 Mtge","MTG_WAL")</f>
        <v>3.3401999999999998</v>
      </c>
      <c r="I232" t="str">
        <f>_xll.BDP("FRQY7030 Mtge","MTG_ORIG_WAL")</f>
        <v>#N/A N/A</v>
      </c>
    </row>
    <row r="233" spans="1:9" x14ac:dyDescent="0.25">
      <c r="A233" t="str">
        <f>_xll.BDP("FRRA5152 Mtge","ID_CUSIP")</f>
        <v>3133KLWM5</v>
      </c>
      <c r="B233" t="str">
        <f>_xll.BDP("FRRA5152 Mtge","SECURITY_NAME")</f>
        <v>FR RA5152</v>
      </c>
      <c r="C233" t="str">
        <f>_xll.BDP("FRRA5152 Mtge","GENERIC_TICKER_VINTAGE")</f>
        <v>FNCL 3 2021</v>
      </c>
      <c r="D233" t="str">
        <f>_xll.BDP("FRRA5152 Mtge","CRNCY")</f>
        <v>USD</v>
      </c>
      <c r="E233">
        <v>362057902</v>
      </c>
      <c r="F233">
        <f>_xll.BDP("FRRA5152 Mtge","CPN")</f>
        <v>3</v>
      </c>
      <c r="G233">
        <f>_xll.BDP("FRRA5152 Mtge","MTG_FACTOR")</f>
        <v>0.67449460000000006</v>
      </c>
      <c r="H233">
        <f>_xll.BDP("FRRA5152 Mtge","MTG_WAL")</f>
        <v>8.3163</v>
      </c>
      <c r="I233" t="str">
        <f>_xll.BDP("FRRA5152 Mtge","MTG_ORIG_WAL")</f>
        <v>#N/A N/A</v>
      </c>
    </row>
    <row r="234" spans="1:9" x14ac:dyDescent="0.25">
      <c r="A234" t="str">
        <f>_xll.BDP("!!032KXS Mtge","ID_CUSIP")</f>
        <v>3136BG4C2</v>
      </c>
      <c r="B234" t="str">
        <f>_xll.BDP("!!032KXS Mtge","SECURITY_NAME")</f>
        <v>FNR 2021-65 DZ</v>
      </c>
      <c r="C234" t="str">
        <f>_xll.BDP("!!032KXS Mtge","GENERIC_TICKER_VINTAGE")</f>
        <v>FNCL 3 2021</v>
      </c>
      <c r="D234" t="str">
        <f>_xll.BDP("!!032KXS Mtge","CRNCY")</f>
        <v>USD</v>
      </c>
      <c r="E234">
        <v>8363463</v>
      </c>
      <c r="F234">
        <f>_xll.BDP("!!032KXS Mtge","CPN")</f>
        <v>3</v>
      </c>
      <c r="G234">
        <f>_xll.BDP("!!032KXS Mtge","MTG_FACTOR")</f>
        <v>0.62727608000000001</v>
      </c>
      <c r="H234">
        <f>_xll.BDP("!!032KXS Mtge","MTG_WAL")</f>
        <v>17.088799999999999</v>
      </c>
      <c r="I234">
        <f>_xll.BDP("!!032KXS Mtge","MTG_ORIG_WAL")</f>
        <v>15.2</v>
      </c>
    </row>
    <row r="235" spans="1:9" x14ac:dyDescent="0.25">
      <c r="A235" t="str">
        <f>_xll.BDP("!!03MZDR Mtge","ID_CUSIP")</f>
        <v>3137HLZE5</v>
      </c>
      <c r="B235" t="str">
        <f>_xll.BDP("!!03MZDR Mtge","SECURITY_NAME")</f>
        <v>FHR 5560 MB</v>
      </c>
      <c r="C235" t="str">
        <f>_xll.BDP("!!03MZDR Mtge","GENERIC_TICKER_VINTAGE")</f>
        <v>FNCL 6 2025</v>
      </c>
      <c r="D235" t="str">
        <f>_xll.BDP("!!03MZDR Mtge","CRNCY")</f>
        <v>USD</v>
      </c>
      <c r="E235">
        <v>50000000</v>
      </c>
      <c r="F235">
        <f>_xll.BDP("!!03MZDR Mtge","CPN")</f>
        <v>8.2672100000000004</v>
      </c>
      <c r="G235">
        <f>_xll.BDP("!!03MZDR Mtge","MTG_FACTOR")</f>
        <v>0.79721315999999998</v>
      </c>
      <c r="H235">
        <f>_xll.BDP("!!03MZDR Mtge","MTG_WAL")</f>
        <v>3.1322999999999999</v>
      </c>
      <c r="I235">
        <f>_xll.BDP("!!03MZDR Mtge","MTG_ORIG_WAL")</f>
        <v>6.9</v>
      </c>
    </row>
    <row r="236" spans="1:9" x14ac:dyDescent="0.25">
      <c r="A236" t="str">
        <f>_xll.BDP("!!03NKHN Mtge","ID_CUSIP")</f>
        <v>3137HMGL8</v>
      </c>
      <c r="B236" t="str">
        <f>_xll.BDP("!!03NKHN Mtge","SECURITY_NAME")</f>
        <v>FHR 5565 FC</v>
      </c>
      <c r="C236" t="str">
        <f>_xll.BDP("!!03NKHN Mtge","GENERIC_TICKER_VINTAGE")</f>
        <v>FNCL 6 2025</v>
      </c>
      <c r="D236" t="str">
        <f>_xll.BDP("!!03NKHN Mtge","CRNCY")</f>
        <v>USD</v>
      </c>
      <c r="E236">
        <v>164195349</v>
      </c>
      <c r="F236">
        <f>_xll.BDP("!!03NKHN Mtge","CPN")</f>
        <v>4.86721</v>
      </c>
      <c r="G236">
        <f>_xll.BDP("!!03NKHN Mtge","MTG_FACTOR")</f>
        <v>0.92958481000000004</v>
      </c>
      <c r="H236">
        <f>_xll.BDP("!!03NKHN Mtge","MTG_WAL")</f>
        <v>3.2574999999999998</v>
      </c>
      <c r="I236">
        <f>_xll.BDP("!!03NKHN Mtge","MTG_ORIG_WAL")</f>
        <v>6.2</v>
      </c>
    </row>
    <row r="237" spans="1:9" x14ac:dyDescent="0.25">
      <c r="A237" t="str">
        <f>_xll.BDP("!!03NN76 Mtge","ID_CUSIP")</f>
        <v>3137HMNK2</v>
      </c>
      <c r="B237" t="str">
        <f>_xll.BDP("!!03NN76 Mtge","SECURITY_NAME")</f>
        <v>FHR 5565 MT</v>
      </c>
      <c r="C237" t="str">
        <f>_xll.BDP("!!03NN76 Mtge","GENERIC_TICKER_VINTAGE")</f>
        <v>FNCL 6 2025</v>
      </c>
      <c r="D237" t="str">
        <f>_xll.BDP("!!03NN76 Mtge","CRNCY")</f>
        <v>USD</v>
      </c>
      <c r="E237">
        <v>48188883</v>
      </c>
      <c r="F237">
        <f>_xll.BDP("!!03NN76 Mtge","CPN")</f>
        <v>7.2772100000000002</v>
      </c>
      <c r="G237">
        <f>_xll.BDP("!!03NN76 Mtge","MTG_FACTOR")</f>
        <v>0.73671222999999997</v>
      </c>
      <c r="H237">
        <f>_xll.BDP("!!03NN76 Mtge","MTG_WAL")</f>
        <v>2.9784999999999999</v>
      </c>
      <c r="I237">
        <f>_xll.BDP("!!03NN76 Mtge","MTG_ORIG_WAL")</f>
        <v>6.1</v>
      </c>
    </row>
    <row r="238" spans="1:9" x14ac:dyDescent="0.25">
      <c r="A238" t="str">
        <f>_xll.BDP("FNDD9937 Mtge","ID_CUSIP")</f>
        <v>3140BBBF0</v>
      </c>
      <c r="B238" t="str">
        <f>_xll.BDP("FNDD9937 Mtge","SECURITY_NAME")</f>
        <v>FN DD9937</v>
      </c>
      <c r="C238" t="str">
        <f>_xll.BDP("FNDD9937 Mtge","GENERIC_TICKER_VINTAGE")</f>
        <v>FNCL 6 2025</v>
      </c>
      <c r="D238" t="str">
        <f>_xll.BDP("FNDD9937 Mtge","CRNCY")</f>
        <v>USD</v>
      </c>
      <c r="E238">
        <v>2044246</v>
      </c>
      <c r="F238">
        <f>_xll.BDP("FNDD9937 Mtge","CPN")</f>
        <v>6</v>
      </c>
      <c r="G238">
        <f>_xll.BDP("FNDD9937 Mtge","MTG_FACTOR")</f>
        <v>0.72511086999999996</v>
      </c>
      <c r="H238">
        <f>_xll.BDP("FNDD9937 Mtge","MTG_WAL")</f>
        <v>3.2820999999999998</v>
      </c>
      <c r="I238" t="str">
        <f>_xll.BDP("FNDD9937 Mtge","MTG_ORIG_WAL")</f>
        <v>#N/A N/A</v>
      </c>
    </row>
    <row r="239" spans="1:9" x14ac:dyDescent="0.25">
      <c r="A239" t="str">
        <f>_xll.BDP("FNDE0666 Mtge","ID_CUSIP")</f>
        <v>3140BCW40</v>
      </c>
      <c r="B239" t="str">
        <f>_xll.BDP("FNDE0666 Mtge","SECURITY_NAME")</f>
        <v>FN DE0666</v>
      </c>
      <c r="C239" t="str">
        <f>_xll.BDP("FNDE0666 Mtge","GENERIC_TICKER_VINTAGE")</f>
        <v>FNCL 6 2025</v>
      </c>
      <c r="D239" t="str">
        <f>_xll.BDP("FNDE0666 Mtge","CRNCY")</f>
        <v>USD</v>
      </c>
      <c r="E239">
        <v>1205013</v>
      </c>
      <c r="F239">
        <f>_xll.BDP("FNDE0666 Mtge","CPN")</f>
        <v>6</v>
      </c>
      <c r="G239">
        <f>_xll.BDP("FNDE0666 Mtge","MTG_FACTOR")</f>
        <v>0.96809204999999998</v>
      </c>
      <c r="H239">
        <f>_xll.BDP("FNDE0666 Mtge","MTG_WAL")</f>
        <v>3.2271000000000001</v>
      </c>
      <c r="I239" t="str">
        <f>_xll.BDP("FNDE0666 Mtge","MTG_ORIG_WAL")</f>
        <v>#N/A N/A</v>
      </c>
    </row>
    <row r="240" spans="1:9" x14ac:dyDescent="0.25">
      <c r="A240" t="str">
        <f>_xll.BDP("FNDE1822 Mtge","ID_CUSIP")</f>
        <v>3140BEAY4</v>
      </c>
      <c r="B240" t="str">
        <f>_xll.BDP("FNDE1822 Mtge","SECURITY_NAME")</f>
        <v>FN DE1822</v>
      </c>
      <c r="C240" t="str">
        <f>_xll.BDP("FNDE1822 Mtge","GENERIC_TICKER_VINTAGE")</f>
        <v>FNCL 6 2025</v>
      </c>
      <c r="D240" t="str">
        <f>_xll.BDP("FNDE1822 Mtge","CRNCY")</f>
        <v>USD</v>
      </c>
      <c r="E240">
        <v>7648066</v>
      </c>
      <c r="F240">
        <f>_xll.BDP("FNDE1822 Mtge","CPN")</f>
        <v>6</v>
      </c>
      <c r="G240">
        <f>_xll.BDP("FNDE1822 Mtge","MTG_FACTOR")</f>
        <v>0.83419483000000005</v>
      </c>
      <c r="H240">
        <f>_xll.BDP("FNDE1822 Mtge","MTG_WAL")</f>
        <v>3.2938000000000001</v>
      </c>
      <c r="I240" t="str">
        <f>_xll.BDP("FNDE1822 Mtge","MTG_ORIG_WAL")</f>
        <v>#N/A N/A</v>
      </c>
    </row>
    <row r="241" spans="1:9" x14ac:dyDescent="0.25">
      <c r="A241" t="str">
        <f>_xll.BDP("FNDE2544 Mtge","ID_CUSIP")</f>
        <v>3140BEZJ0</v>
      </c>
      <c r="B241" t="str">
        <f>_xll.BDP("FNDE2544 Mtge","SECURITY_NAME")</f>
        <v>FN DE2544</v>
      </c>
      <c r="C241" t="str">
        <f>_xll.BDP("FNDE2544 Mtge","GENERIC_TICKER_VINTAGE")</f>
        <v>FNCL 6 2025</v>
      </c>
      <c r="D241" t="str">
        <f>_xll.BDP("FNDE2544 Mtge","CRNCY")</f>
        <v>USD</v>
      </c>
      <c r="E241">
        <v>1400900</v>
      </c>
      <c r="F241">
        <f>_xll.BDP("FNDE2544 Mtge","CPN")</f>
        <v>6</v>
      </c>
      <c r="G241">
        <f>_xll.BDP("FNDE2544 Mtge","MTG_FACTOR")</f>
        <v>0.98739058999999996</v>
      </c>
      <c r="H241">
        <f>_xll.BDP("FNDE2544 Mtge","MTG_WAL")</f>
        <v>3.3409</v>
      </c>
      <c r="I241" t="str">
        <f>_xll.BDP("FNDE2544 Mtge","MTG_ORIG_WAL")</f>
        <v>#N/A N/A</v>
      </c>
    </row>
    <row r="242" spans="1:9" x14ac:dyDescent="0.25">
      <c r="A242" t="str">
        <f>_xll.BDP("FNDE7074 Mtge","ID_CUSIP")</f>
        <v>3140BK2G8</v>
      </c>
      <c r="B242" t="str">
        <f>_xll.BDP("FNDE7074 Mtge","SECURITY_NAME")</f>
        <v>FN DE7074</v>
      </c>
      <c r="C242" t="str">
        <f>_xll.BDP("FNDE7074 Mtge","GENERIC_TICKER_VINTAGE")</f>
        <v>FNCL 6 2025</v>
      </c>
      <c r="D242" t="str">
        <f>_xll.BDP("FNDE7074 Mtge","CRNCY")</f>
        <v>USD</v>
      </c>
      <c r="E242">
        <v>29802046</v>
      </c>
      <c r="F242">
        <f>_xll.BDP("FNDE7074 Mtge","CPN")</f>
        <v>6</v>
      </c>
      <c r="G242">
        <f>_xll.BDP("FNDE7074 Mtge","MTG_FACTOR")</f>
        <v>0.87418925999999997</v>
      </c>
      <c r="H242">
        <f>_xll.BDP("FNDE7074 Mtge","MTG_WAL")</f>
        <v>3.4498000000000002</v>
      </c>
      <c r="I242" t="str">
        <f>_xll.BDP("FNDE7074 Mtge","MTG_ORIG_WAL")</f>
        <v>#N/A N/A</v>
      </c>
    </row>
    <row r="243" spans="1:9" x14ac:dyDescent="0.25">
      <c r="A243" t="str">
        <f>_xll.BDP("FNFS0630 Mtge","ID_CUSIP")</f>
        <v>3140XFVY4</v>
      </c>
      <c r="B243" t="str">
        <f>_xll.BDP("FNFS0630 Mtge","SECURITY_NAME")</f>
        <v>FN FS0630</v>
      </c>
      <c r="C243" t="str">
        <f>_xll.BDP("FNFS0630 Mtge","GENERIC_TICKER_VINTAGE")</f>
        <v>FNCL 3 2021</v>
      </c>
      <c r="D243" t="str">
        <f>_xll.BDP("FNFS0630 Mtge","CRNCY")</f>
        <v>USD</v>
      </c>
      <c r="E243">
        <v>282748416</v>
      </c>
      <c r="F243">
        <f>_xll.BDP("FNFS0630 Mtge","CPN")</f>
        <v>3</v>
      </c>
      <c r="G243">
        <f>_xll.BDP("FNFS0630 Mtge","MTG_FACTOR")</f>
        <v>0.72373268999999996</v>
      </c>
      <c r="H243">
        <f>_xll.BDP("FNFS0630 Mtge","MTG_WAL")</f>
        <v>8.3902999999999999</v>
      </c>
      <c r="I243" t="str">
        <f>_xll.BDP("FNFS0630 Mtge","MTG_ORIG_WAL")</f>
        <v>#N/A N/A</v>
      </c>
    </row>
    <row r="244" spans="1:9" x14ac:dyDescent="0.25">
      <c r="A244" t="str">
        <f>_xll.BDP("FRQY2115 Mtge","ID_CUSIP")</f>
        <v>31426LK52</v>
      </c>
      <c r="B244" t="str">
        <f>_xll.BDP("FRQY2115 Mtge","SECURITY_NAME")</f>
        <v>FR QY2115</v>
      </c>
      <c r="C244" t="str">
        <f>_xll.BDP("FRQY2115 Mtge","GENERIC_TICKER_VINTAGE")</f>
        <v>FNCL 6 2025</v>
      </c>
      <c r="D244" t="str">
        <f>_xll.BDP("FRQY2115 Mtge","CRNCY")</f>
        <v>USD</v>
      </c>
      <c r="E244">
        <v>10057227</v>
      </c>
      <c r="F244">
        <f>_xll.BDP("FRQY2115 Mtge","CPN")</f>
        <v>6</v>
      </c>
      <c r="G244">
        <f>_xll.BDP("FRQY2115 Mtge","MTG_FACTOR")</f>
        <v>0.95695436</v>
      </c>
      <c r="H244">
        <f>_xll.BDP("FRQY2115 Mtge","MTG_WAL")</f>
        <v>3.242</v>
      </c>
      <c r="I244" t="str">
        <f>_xll.BDP("FRQY2115 Mtge","MTG_ORIG_WAL")</f>
        <v>#N/A N/A</v>
      </c>
    </row>
    <row r="245" spans="1:9" x14ac:dyDescent="0.25">
      <c r="A245" t="str">
        <f>_xll.BDP("FRQY3461 Mtge","ID_CUSIP")</f>
        <v>31426MZ39</v>
      </c>
      <c r="B245" t="str">
        <f>_xll.BDP("FRQY3461 Mtge","SECURITY_NAME")</f>
        <v>FR QY3461</v>
      </c>
      <c r="C245" t="str">
        <f>_xll.BDP("FRQY3461 Mtge","GENERIC_TICKER_VINTAGE")</f>
        <v>FNCL 6 2025</v>
      </c>
      <c r="D245" t="str">
        <f>_xll.BDP("FRQY3461 Mtge","CRNCY")</f>
        <v>USD</v>
      </c>
      <c r="E245">
        <v>6378222</v>
      </c>
      <c r="F245">
        <f>_xll.BDP("FRQY3461 Mtge","CPN")</f>
        <v>6</v>
      </c>
      <c r="G245">
        <f>_xll.BDP("FRQY3461 Mtge","MTG_FACTOR")</f>
        <v>0.86827551000000003</v>
      </c>
      <c r="H245">
        <f>_xll.BDP("FRQY3461 Mtge","MTG_WAL")</f>
        <v>3.2496999999999998</v>
      </c>
      <c r="I245" t="str">
        <f>_xll.BDP("FRQY3461 Mtge","MTG_ORIG_WAL")</f>
        <v>#N/A N/A</v>
      </c>
    </row>
    <row r="246" spans="1:9" x14ac:dyDescent="0.25">
      <c r="A246" t="str">
        <f>_xll.BDP("FRQY5836 Mtge","ID_CUSIP")</f>
        <v>31426QPW7</v>
      </c>
      <c r="B246" t="str">
        <f>_xll.BDP("FRQY5836 Mtge","SECURITY_NAME")</f>
        <v>FR QY5836</v>
      </c>
      <c r="C246" t="str">
        <f>_xll.BDP("FRQY5836 Mtge","GENERIC_TICKER_VINTAGE")</f>
        <v>FNCL 6 2025</v>
      </c>
      <c r="D246" t="str">
        <f>_xll.BDP("FRQY5836 Mtge","CRNCY")</f>
        <v>USD</v>
      </c>
      <c r="E246">
        <v>5087791</v>
      </c>
      <c r="F246">
        <f>_xll.BDP("FRQY5836 Mtge","CPN")</f>
        <v>6</v>
      </c>
      <c r="G246">
        <f>_xll.BDP("FRQY5836 Mtge","MTG_FACTOR")</f>
        <v>0.92724753000000004</v>
      </c>
      <c r="H246">
        <f>_xll.BDP("FRQY5836 Mtge","MTG_WAL")</f>
        <v>3.3445999999999998</v>
      </c>
      <c r="I246" t="str">
        <f>_xll.BDP("FRQY5836 Mtge","MTG_ORIG_WAL")</f>
        <v>#N/A N/A</v>
      </c>
    </row>
    <row r="247" spans="1:9" x14ac:dyDescent="0.25">
      <c r="A247" t="str">
        <f>_xll.BDP("FRQY6308 Mtge","ID_CUSIP")</f>
        <v>31426RAJ0</v>
      </c>
      <c r="B247" t="str">
        <f>_xll.BDP("FRQY6308 Mtge","SECURITY_NAME")</f>
        <v>FR QY6308</v>
      </c>
      <c r="C247" t="str">
        <f>_xll.BDP("FRQY6308 Mtge","GENERIC_TICKER_VINTAGE")</f>
        <v>FNCL 6 2025</v>
      </c>
      <c r="D247" t="str">
        <f>_xll.BDP("FRQY6308 Mtge","CRNCY")</f>
        <v>USD</v>
      </c>
      <c r="E247">
        <v>42616689</v>
      </c>
      <c r="F247">
        <f>_xll.BDP("FRQY6308 Mtge","CPN")</f>
        <v>6</v>
      </c>
      <c r="G247">
        <f>_xll.BDP("FRQY6308 Mtge","MTG_FACTOR")</f>
        <v>0.91254831000000003</v>
      </c>
      <c r="H247">
        <f>_xll.BDP("FRQY6308 Mtge","MTG_WAL")</f>
        <v>3.3382999999999998</v>
      </c>
      <c r="I247" t="str">
        <f>_xll.BDP("FRQY6308 Mtge","MTG_ORIG_WAL")</f>
        <v>#N/A N/A</v>
      </c>
    </row>
    <row r="248" spans="1:9" x14ac:dyDescent="0.25">
      <c r="A248" t="str">
        <f>_xll.BDP("FRQY6579 Mtge","ID_CUSIP")</f>
        <v>31426RJZ5</v>
      </c>
      <c r="B248" t="str">
        <f>_xll.BDP("FRQY6579 Mtge","SECURITY_NAME")</f>
        <v>FR QY6579</v>
      </c>
      <c r="C248" t="str">
        <f>_xll.BDP("FRQY6579 Mtge","GENERIC_TICKER_VINTAGE")</f>
        <v>FNCL 6 2025</v>
      </c>
      <c r="D248" t="str">
        <f>_xll.BDP("FRQY6579 Mtge","CRNCY")</f>
        <v>USD</v>
      </c>
      <c r="E248">
        <v>1901000</v>
      </c>
      <c r="F248">
        <f>_xll.BDP("FRQY6579 Mtge","CPN")</f>
        <v>6</v>
      </c>
      <c r="G248">
        <f>_xll.BDP("FRQY6579 Mtge","MTG_FACTOR")</f>
        <v>0.99221950000000003</v>
      </c>
      <c r="H248">
        <f>_xll.BDP("FRQY6579 Mtge","MTG_WAL")</f>
        <v>3.3418999999999999</v>
      </c>
      <c r="I248" t="str">
        <f>_xll.BDP("FRQY6579 Mtge","MTG_ORIG_WAL")</f>
        <v>#N/A N/A</v>
      </c>
    </row>
    <row r="249" spans="1:9" x14ac:dyDescent="0.25">
      <c r="A249" t="str">
        <f>_xll.BDP("FRRJ3696 Mtge","ID_CUSIP")</f>
        <v>3142GUDA8</v>
      </c>
      <c r="B249" t="str">
        <f>_xll.BDP("FRRJ3696 Mtge","SECURITY_NAME")</f>
        <v>FR RJ3696</v>
      </c>
      <c r="C249" t="str">
        <f>_xll.BDP("FRRJ3696 Mtge","GENERIC_TICKER_VINTAGE")</f>
        <v>FNCL 6 2025</v>
      </c>
      <c r="D249" t="str">
        <f>_xll.BDP("FRRJ3696 Mtge","CRNCY")</f>
        <v>USD</v>
      </c>
      <c r="E249">
        <v>36179873</v>
      </c>
      <c r="F249">
        <f>_xll.BDP("FRRJ3696 Mtge","CPN")</f>
        <v>6</v>
      </c>
      <c r="G249">
        <f>_xll.BDP("FRRJ3696 Mtge","MTG_FACTOR")</f>
        <v>0.88765603000000004</v>
      </c>
      <c r="H249">
        <f>_xll.BDP("FRRJ3696 Mtge","MTG_WAL")</f>
        <v>3.1545999999999998</v>
      </c>
      <c r="I249" t="str">
        <f>_xll.BDP("FRRJ3696 Mtge","MTG_ORIG_WAL")</f>
        <v>#N/A N/A</v>
      </c>
    </row>
    <row r="250" spans="1:9" x14ac:dyDescent="0.25">
      <c r="A250" t="str">
        <f>_xll.BDP("FRRJ4169 Mtge","ID_CUSIP")</f>
        <v>3142GUT37</v>
      </c>
      <c r="B250" t="str">
        <f>_xll.BDP("FRRJ4169 Mtge","SECURITY_NAME")</f>
        <v>FR RJ4169</v>
      </c>
      <c r="C250" t="str">
        <f>_xll.BDP("FRRJ4169 Mtge","GENERIC_TICKER_VINTAGE")</f>
        <v>FNCL 6 2025</v>
      </c>
      <c r="D250" t="str">
        <f>_xll.BDP("FRRJ4169 Mtge","CRNCY")</f>
        <v>USD</v>
      </c>
      <c r="E250">
        <v>146539842</v>
      </c>
      <c r="F250">
        <f>_xll.BDP("FRRJ4169 Mtge","CPN")</f>
        <v>6</v>
      </c>
      <c r="G250">
        <f>_xll.BDP("FRRJ4169 Mtge","MTG_FACTOR")</f>
        <v>0.78861440999999999</v>
      </c>
      <c r="H250">
        <f>_xll.BDP("FRRJ4169 Mtge","MTG_WAL")</f>
        <v>3.2927</v>
      </c>
      <c r="I250" t="str">
        <f>_xll.BDP("FRRJ4169 Mtge","MTG_ORIG_WAL")</f>
        <v>#N/A N/A</v>
      </c>
    </row>
    <row r="251" spans="1:9" x14ac:dyDescent="0.25">
      <c r="A251" t="str">
        <f>_xll.BDP("FRSL0889 Mtge","ID_CUSIP")</f>
        <v>31427M7B1</v>
      </c>
      <c r="B251" t="str">
        <f>_xll.BDP("FRSL0889 Mtge","SECURITY_NAME")</f>
        <v>FR SL0889</v>
      </c>
      <c r="C251" t="str">
        <f>_xll.BDP("FRSL0889 Mtge","GENERIC_TICKER_VINTAGE")</f>
        <v>FNCL 6 2025</v>
      </c>
      <c r="D251" t="str">
        <f>_xll.BDP("FRSL0889 Mtge","CRNCY")</f>
        <v>USD</v>
      </c>
      <c r="E251">
        <v>117787732</v>
      </c>
      <c r="F251">
        <f>_xll.BDP("FRSL0889 Mtge","CPN")</f>
        <v>6</v>
      </c>
      <c r="G251">
        <f>_xll.BDP("FRSL0889 Mtge","MTG_FACTOR")</f>
        <v>0.89206193</v>
      </c>
      <c r="H251">
        <f>_xll.BDP("FRSL0889 Mtge","MTG_WAL")</f>
        <v>3.1703999999999999</v>
      </c>
      <c r="I251" t="str">
        <f>_xll.BDP("FRSL0889 Mtge","MTG_ORIG_WAL")</f>
        <v>#N/A N/A</v>
      </c>
    </row>
    <row r="252" spans="1:9" x14ac:dyDescent="0.25">
      <c r="A252" t="str">
        <f>_xll.BDP("FRSL1299 Mtge","ID_CUSIP")</f>
        <v>31427NNR6</v>
      </c>
      <c r="B252" t="str">
        <f>_xll.BDP("FRSL1299 Mtge","SECURITY_NAME")</f>
        <v>FR SL1299</v>
      </c>
      <c r="C252" t="str">
        <f>_xll.BDP("FRSL1299 Mtge","GENERIC_TICKER_VINTAGE")</f>
        <v>FNCL 6 2025</v>
      </c>
      <c r="D252" t="str">
        <f>_xll.BDP("FRSL1299 Mtge","CRNCY")</f>
        <v>USD</v>
      </c>
      <c r="E252">
        <v>95051134</v>
      </c>
      <c r="F252">
        <f>_xll.BDP("FRSL1299 Mtge","CPN")</f>
        <v>6</v>
      </c>
      <c r="G252">
        <f>_xll.BDP("FRSL1299 Mtge","MTG_FACTOR")</f>
        <v>0.82770405000000002</v>
      </c>
      <c r="H252">
        <f>_xll.BDP("FRSL1299 Mtge","MTG_WAL")</f>
        <v>3.2458999999999998</v>
      </c>
      <c r="I252" t="str">
        <f>_xll.BDP("FRSL1299 Mtge","MTG_ORIG_WAL")</f>
        <v>#N/A N/A</v>
      </c>
    </row>
    <row r="253" spans="1:9" x14ac:dyDescent="0.25">
      <c r="A253" t="str">
        <f>_xll.BDP("!!030S03 Mtge","ID_CUSIP")</f>
        <v>3137H0N95</v>
      </c>
      <c r="B253" t="str">
        <f>_xll.BDP("!!030S03 Mtge","SECURITY_NAME")</f>
        <v>FHR 5121 WD</v>
      </c>
      <c r="C253" t="str">
        <f>_xll.BDP("!!030S03 Mtge","GENERIC_TICKER_VINTAGE")</f>
        <v>FNCL 3 2021</v>
      </c>
      <c r="D253" t="str">
        <f>_xll.BDP("!!030S03 Mtge","CRNCY")</f>
        <v>USD</v>
      </c>
      <c r="E253">
        <v>40619000</v>
      </c>
      <c r="F253">
        <f>_xll.BDP("!!030S03 Mtge","CPN")</f>
        <v>1.75</v>
      </c>
      <c r="G253">
        <f>_xll.BDP("!!030S03 Mtge","MTG_FACTOR")</f>
        <v>0.56157652999999996</v>
      </c>
      <c r="H253">
        <f>_xll.BDP("!!030S03 Mtge","MTG_WAL")</f>
        <v>6.6914999999999996</v>
      </c>
      <c r="I253">
        <f>_xll.BDP("!!030S03 Mtge","MTG_ORIG_WAL")</f>
        <v>4.4000000000000004</v>
      </c>
    </row>
    <row r="254" spans="1:9" x14ac:dyDescent="0.25">
      <c r="A254" t="str">
        <f>_xll.BDP("!!033YQF Mtge","ID_CUSIP")</f>
        <v>3137H4QT0</v>
      </c>
      <c r="B254" t="str">
        <f>_xll.BDP("!!033YQF Mtge","SECURITY_NAME")</f>
        <v>FHR 5174 IG</v>
      </c>
      <c r="C254" t="str">
        <f>_xll.BDP("!!033YQF Mtge","GENERIC_TICKER_VINTAGE")</f>
        <v>FNCL 3 2021</v>
      </c>
      <c r="D254" t="str">
        <f>_xll.BDP("!!033YQF Mtge","CRNCY")</f>
        <v>USD</v>
      </c>
      <c r="E254">
        <v>30419558</v>
      </c>
      <c r="F254">
        <f>_xll.BDP("!!033YQF Mtge","CPN")</f>
        <v>3</v>
      </c>
      <c r="G254">
        <f>_xll.BDP("!!033YQF Mtge","MTG_FACTOR")</f>
        <v>0.65686080000000002</v>
      </c>
      <c r="H254">
        <f>_xll.BDP("!!033YQF Mtge","MTG_WAL")</f>
        <v>5.4680999999999997</v>
      </c>
      <c r="I254">
        <f>_xll.BDP("!!033YQF Mtge","MTG_ORIG_WAL")</f>
        <v>3.7</v>
      </c>
    </row>
    <row r="255" spans="1:9" x14ac:dyDescent="0.25">
      <c r="A255" t="str">
        <f>_xll.BDP("!!0353JY Mtge","ID_CUSIP")</f>
        <v>3136BL3N8</v>
      </c>
      <c r="B255" t="str">
        <f>_xll.BDP("!!0353JY Mtge","SECURITY_NAME")</f>
        <v>FNR 2022-10 CK</v>
      </c>
      <c r="C255" t="str">
        <f>_xll.BDP("!!0353JY Mtge","GENERIC_TICKER_VINTAGE")</f>
        <v>FNCL 3 2021</v>
      </c>
      <c r="D255" t="str">
        <f>_xll.BDP("!!0353JY Mtge","CRNCY")</f>
        <v>USD</v>
      </c>
      <c r="E255">
        <v>5125000</v>
      </c>
      <c r="F255">
        <f>_xll.BDP("!!0353JY Mtge","CPN")</f>
        <v>2.25</v>
      </c>
      <c r="G255">
        <f>_xll.BDP("!!0353JY Mtge","MTG_FACTOR")</f>
        <v>0.61087117000000002</v>
      </c>
      <c r="H255">
        <f>_xll.BDP("!!0353JY Mtge","MTG_WAL")</f>
        <v>19.5154</v>
      </c>
      <c r="I255">
        <f>_xll.BDP("!!0353JY Mtge","MTG_ORIG_WAL")</f>
        <v>10.9</v>
      </c>
    </row>
    <row r="256" spans="1:9" x14ac:dyDescent="0.25">
      <c r="A256" t="str">
        <f>_xll.BDP("!!03N8HH Mtge","ID_CUSIP")</f>
        <v>3137HMD31</v>
      </c>
      <c r="B256" t="str">
        <f>_xll.BDP("!!03N8HH Mtge","SECURITY_NAME")</f>
        <v>FHR 5564 FC</v>
      </c>
      <c r="C256" t="str">
        <f>_xll.BDP("!!03N8HH Mtge","GENERIC_TICKER_VINTAGE")</f>
        <v>FNCL 6 2025</v>
      </c>
      <c r="D256" t="str">
        <f>_xll.BDP("!!03N8HH Mtge","CRNCY")</f>
        <v>USD</v>
      </c>
      <c r="E256">
        <v>169759558</v>
      </c>
      <c r="F256">
        <f>_xll.BDP("!!03N8HH Mtge","CPN")</f>
        <v>5.0672100000000002</v>
      </c>
      <c r="G256">
        <f>_xll.BDP("!!03N8HH Mtge","MTG_FACTOR")</f>
        <v>0.86194508000000003</v>
      </c>
      <c r="H256">
        <f>_xll.BDP("!!03N8HH Mtge","MTG_WAL")</f>
        <v>3.0743999999999998</v>
      </c>
      <c r="I256">
        <f>_xll.BDP("!!03N8HH Mtge","MTG_ORIG_WAL")</f>
        <v>6.3</v>
      </c>
    </row>
    <row r="257" spans="1:9" x14ac:dyDescent="0.25">
      <c r="A257" t="str">
        <f>_xll.BDP("!!03NKHQ Mtge","ID_CUSIP")</f>
        <v>3137HMFN5</v>
      </c>
      <c r="B257" t="str">
        <f>_xll.BDP("!!03NKHQ Mtge","SECURITY_NAME")</f>
        <v>FHR 5565 CA</v>
      </c>
      <c r="C257" t="str">
        <f>_xll.BDP("!!03NKHQ Mtge","GENERIC_TICKER_VINTAGE")</f>
        <v>FNCL 6 2025</v>
      </c>
      <c r="D257" t="str">
        <f>_xll.BDP("!!03NKHQ Mtge","CRNCY")</f>
        <v>USD</v>
      </c>
      <c r="E257">
        <v>114321000</v>
      </c>
      <c r="F257">
        <f>_xll.BDP("!!03NKHQ Mtge","CPN")</f>
        <v>5</v>
      </c>
      <c r="G257">
        <f>_xll.BDP("!!03NKHQ Mtge","MTG_FACTOR")</f>
        <v>0.89886507000000004</v>
      </c>
      <c r="H257">
        <f>_xll.BDP("!!03NKHQ Mtge","MTG_WAL")</f>
        <v>1.8308</v>
      </c>
      <c r="I257">
        <f>_xll.BDP("!!03NKHQ Mtge","MTG_ORIG_WAL")</f>
        <v>3.6</v>
      </c>
    </row>
    <row r="258" spans="1:9" x14ac:dyDescent="0.25">
      <c r="A258" t="str">
        <f>_xll.BDP("!!03NKLC Mtge","ID_CUSIP")</f>
        <v>3137HMJQ4</v>
      </c>
      <c r="B258" t="str">
        <f>_xll.BDP("!!03NKLC Mtge","SECURITY_NAME")</f>
        <v>FHR 5566 S</v>
      </c>
      <c r="C258" t="str">
        <f>_xll.BDP("!!03NKLC Mtge","GENERIC_TICKER_VINTAGE")</f>
        <v>FNCL 6 2025</v>
      </c>
      <c r="D258" t="str">
        <f>_xll.BDP("!!03NKLC Mtge","CRNCY")</f>
        <v>USD</v>
      </c>
      <c r="E258">
        <v>68379980</v>
      </c>
      <c r="F258">
        <f>_xll.BDP("!!03NKLC Mtge","CPN")</f>
        <v>2.1827899999999998</v>
      </c>
      <c r="G258">
        <f>_xll.BDP("!!03NKLC Mtge","MTG_FACTOR")</f>
        <v>0.87504280999999995</v>
      </c>
      <c r="H258">
        <f>_xll.BDP("!!03NKLC Mtge","MTG_WAL")</f>
        <v>3.2332999999999998</v>
      </c>
      <c r="I258">
        <f>_xll.BDP("!!03NKLC Mtge","MTG_ORIG_WAL")</f>
        <v>6.5</v>
      </c>
    </row>
    <row r="259" spans="1:9" x14ac:dyDescent="0.25">
      <c r="A259" t="str">
        <f>_xll.BDP("!!03NR40 Mtge","ID_CUSIP")</f>
        <v>3137HMHD5</v>
      </c>
      <c r="B259" t="str">
        <f>_xll.BDP("!!03NR40 Mtge","SECURITY_NAME")</f>
        <v>FHR 5566 AS</v>
      </c>
      <c r="C259" t="str">
        <f>_xll.BDP("!!03NR40 Mtge","GENERIC_TICKER_VINTAGE")</f>
        <v>FNCL 6 2025</v>
      </c>
      <c r="D259" t="str">
        <f>_xll.BDP("!!03NR40 Mtge","CRNCY")</f>
        <v>USD</v>
      </c>
      <c r="E259">
        <v>10700000</v>
      </c>
      <c r="F259">
        <f>_xll.BDP("!!03NR40 Mtge","CPN")</f>
        <v>5.0741849999999999</v>
      </c>
      <c r="G259">
        <f>_xll.BDP("!!03NR40 Mtge","MTG_FACTOR")</f>
        <v>0.80760430000000005</v>
      </c>
      <c r="H259">
        <f>_xll.BDP("!!03NR40 Mtge","MTG_WAL")</f>
        <v>3.1322999999999999</v>
      </c>
      <c r="I259">
        <f>_xll.BDP("!!03NR40 Mtge","MTG_ORIG_WAL")</f>
        <v>6.5</v>
      </c>
    </row>
    <row r="260" spans="1:9" x14ac:dyDescent="0.25">
      <c r="A260" t="str">
        <f>_xll.BDP("FNCB2795 Mtge","ID_CUSIP")</f>
        <v>3140QNC91</v>
      </c>
      <c r="B260" t="str">
        <f>_xll.BDP("FNCB2795 Mtge","SECURITY_NAME")</f>
        <v>FN CB2795</v>
      </c>
      <c r="C260" t="str">
        <f>_xll.BDP("FNCB2795 Mtge","GENERIC_TICKER_VINTAGE")</f>
        <v>FNCL 3 2021</v>
      </c>
      <c r="D260" t="str">
        <f>_xll.BDP("FNCB2795 Mtge","CRNCY")</f>
        <v>USD</v>
      </c>
      <c r="E260">
        <v>100059432</v>
      </c>
      <c r="F260">
        <f>_xll.BDP("FNCB2795 Mtge","CPN")</f>
        <v>3</v>
      </c>
      <c r="G260">
        <f>_xll.BDP("FNCB2795 Mtge","MTG_FACTOR")</f>
        <v>0.76337140000000003</v>
      </c>
      <c r="H260">
        <f>_xll.BDP("FNCB2795 Mtge","MTG_WAL")</f>
        <v>8.3789999999999996</v>
      </c>
      <c r="I260" t="str">
        <f>_xll.BDP("FNCB2795 Mtge","MTG_ORIG_WAL")</f>
        <v>#N/A N/A</v>
      </c>
    </row>
    <row r="261" spans="1:9" x14ac:dyDescent="0.25">
      <c r="A261" t="str">
        <f>_xll.BDP("FNCC0266 Mtge","ID_CUSIP")</f>
        <v>3140Y6JL5</v>
      </c>
      <c r="B261" t="str">
        <f>_xll.BDP("FNCC0266 Mtge","SECURITY_NAME")</f>
        <v>FN CC0266</v>
      </c>
      <c r="C261" t="str">
        <f>_xll.BDP("FNCC0266 Mtge","GENERIC_TICKER_VINTAGE")</f>
        <v>FNCL 6 2025</v>
      </c>
      <c r="D261" t="str">
        <f>_xll.BDP("FNCC0266 Mtge","CRNCY")</f>
        <v>USD</v>
      </c>
      <c r="E261">
        <v>22441194</v>
      </c>
      <c r="F261">
        <f>_xll.BDP("FNCC0266 Mtge","CPN")</f>
        <v>6</v>
      </c>
      <c r="G261">
        <f>_xll.BDP("FNCC0266 Mtge","MTG_FACTOR")</f>
        <v>0.89761815</v>
      </c>
      <c r="H261">
        <f>_xll.BDP("FNCC0266 Mtge","MTG_WAL")</f>
        <v>3.1930999999999998</v>
      </c>
      <c r="I261" t="str">
        <f>_xll.BDP("FNCC0266 Mtge","MTG_ORIG_WAL")</f>
        <v>#N/A N/A</v>
      </c>
    </row>
    <row r="262" spans="1:9" x14ac:dyDescent="0.25">
      <c r="A262" t="str">
        <f>_xll.BDP("FNCC0584 Mtge","ID_CUSIP")</f>
        <v>3140Y6UJ7</v>
      </c>
      <c r="B262" t="str">
        <f>_xll.BDP("FNCC0584 Mtge","SECURITY_NAME")</f>
        <v>FN CC0584</v>
      </c>
      <c r="C262" t="str">
        <f>_xll.BDP("FNCC0584 Mtge","GENERIC_TICKER_VINTAGE")</f>
        <v>FNCL 6 2025</v>
      </c>
      <c r="D262" t="str">
        <f>_xll.BDP("FNCC0584 Mtge","CRNCY")</f>
        <v>USD</v>
      </c>
      <c r="E262">
        <v>14658875</v>
      </c>
      <c r="F262">
        <f>_xll.BDP("FNCC0584 Mtge","CPN")</f>
        <v>6</v>
      </c>
      <c r="G262">
        <f>_xll.BDP("FNCC0584 Mtge","MTG_FACTOR")</f>
        <v>0.91511606999999995</v>
      </c>
      <c r="H262">
        <f>_xll.BDP("FNCC0584 Mtge","MTG_WAL")</f>
        <v>3.2795999999999998</v>
      </c>
      <c r="I262" t="str">
        <f>_xll.BDP("FNCC0584 Mtge","MTG_ORIG_WAL")</f>
        <v>#N/A N/A</v>
      </c>
    </row>
    <row r="263" spans="1:9" x14ac:dyDescent="0.25">
      <c r="A263" t="str">
        <f>_xll.BDP("FNDD5544 Mtge","ID_CUSIP")</f>
        <v>3140B6ES0</v>
      </c>
      <c r="B263" t="str">
        <f>_xll.BDP("FNDD5544 Mtge","SECURITY_NAME")</f>
        <v>FN DD5544</v>
      </c>
      <c r="C263" t="str">
        <f>_xll.BDP("FNDD5544 Mtge","GENERIC_TICKER_VINTAGE")</f>
        <v>FNCL 6 2025</v>
      </c>
      <c r="D263" t="str">
        <f>_xll.BDP("FNDD5544 Mtge","CRNCY")</f>
        <v>USD</v>
      </c>
      <c r="E263">
        <v>59784604</v>
      </c>
      <c r="F263">
        <f>_xll.BDP("FNDD5544 Mtge","CPN")</f>
        <v>6</v>
      </c>
      <c r="G263">
        <f>_xll.BDP("FNDD5544 Mtge","MTG_FACTOR")</f>
        <v>0.89472229999999997</v>
      </c>
      <c r="H263">
        <f>_xll.BDP("FNDD5544 Mtge","MTG_WAL")</f>
        <v>3.2888000000000002</v>
      </c>
      <c r="I263" t="str">
        <f>_xll.BDP("FNDD5544 Mtge","MTG_ORIG_WAL")</f>
        <v>#N/A N/A</v>
      </c>
    </row>
    <row r="264" spans="1:9" x14ac:dyDescent="0.25">
      <c r="A264" t="str">
        <f>_xll.BDP("FNDD9022 Mtge","ID_CUSIP")</f>
        <v>3140BAAY2</v>
      </c>
      <c r="B264" t="str">
        <f>_xll.BDP("FNDD9022 Mtge","SECURITY_NAME")</f>
        <v>FN DD9022</v>
      </c>
      <c r="C264" t="str">
        <f>_xll.BDP("FNDD9022 Mtge","GENERIC_TICKER_VINTAGE")</f>
        <v>FNCL 6 2025</v>
      </c>
      <c r="D264" t="str">
        <f>_xll.BDP("FNDD9022 Mtge","CRNCY")</f>
        <v>USD</v>
      </c>
      <c r="E264">
        <v>2340925</v>
      </c>
      <c r="F264">
        <f>_xll.BDP("FNDD9022 Mtge","CPN")</f>
        <v>6</v>
      </c>
      <c r="G264">
        <f>_xll.BDP("FNDD9022 Mtge","MTG_FACTOR")</f>
        <v>0.99004926000000004</v>
      </c>
      <c r="H264">
        <f>_xll.BDP("FNDD9022 Mtge","MTG_WAL")</f>
        <v>3.2884000000000002</v>
      </c>
      <c r="I264" t="str">
        <f>_xll.BDP("FNDD9022 Mtge","MTG_ORIG_WAL")</f>
        <v>#N/A N/A</v>
      </c>
    </row>
    <row r="265" spans="1:9" x14ac:dyDescent="0.25">
      <c r="A265" t="str">
        <f>_xll.BDP("FNDE0295 Mtge","ID_CUSIP")</f>
        <v>3140BCKH4</v>
      </c>
      <c r="B265" t="str">
        <f>_xll.BDP("FNDE0295 Mtge","SECURITY_NAME")</f>
        <v>FN DE0295</v>
      </c>
      <c r="C265" t="str">
        <f>_xll.BDP("FNDE0295 Mtge","GENERIC_TICKER_VINTAGE")</f>
        <v>FNCL 6 2025</v>
      </c>
      <c r="D265" t="str">
        <f>_xll.BDP("FNDE0295 Mtge","CRNCY")</f>
        <v>USD</v>
      </c>
      <c r="E265">
        <v>41467589</v>
      </c>
      <c r="F265">
        <f>_xll.BDP("FNDE0295 Mtge","CPN")</f>
        <v>6</v>
      </c>
      <c r="G265">
        <f>_xll.BDP("FNDE0295 Mtge","MTG_FACTOR")</f>
        <v>0.87355400999999999</v>
      </c>
      <c r="H265">
        <f>_xll.BDP("FNDE0295 Mtge","MTG_WAL")</f>
        <v>3.3424</v>
      </c>
      <c r="I265" t="str">
        <f>_xll.BDP("FNDE0295 Mtge","MTG_ORIG_WAL")</f>
        <v>#N/A N/A</v>
      </c>
    </row>
    <row r="266" spans="1:9" x14ac:dyDescent="0.25">
      <c r="A266" t="str">
        <f>_xll.BDP("FNDE1309 Mtge","ID_CUSIP")</f>
        <v>3140BDN30</v>
      </c>
      <c r="B266" t="str">
        <f>_xll.BDP("FNDE1309 Mtge","SECURITY_NAME")</f>
        <v>FN DE1309</v>
      </c>
      <c r="C266" t="str">
        <f>_xll.BDP("FNDE1309 Mtge","GENERIC_TICKER_VINTAGE")</f>
        <v>FNCL 6 2025</v>
      </c>
      <c r="D266" t="str">
        <f>_xll.BDP("FNDE1309 Mtge","CRNCY")</f>
        <v>USD</v>
      </c>
      <c r="E266">
        <v>7747996</v>
      </c>
      <c r="F266">
        <f>_xll.BDP("FNDE1309 Mtge","CPN")</f>
        <v>6</v>
      </c>
      <c r="G266">
        <f>_xll.BDP("FNDE1309 Mtge","MTG_FACTOR")</f>
        <v>0.76351541999999994</v>
      </c>
      <c r="H266">
        <f>_xll.BDP("FNDE1309 Mtge","MTG_WAL")</f>
        <v>3.3317999999999999</v>
      </c>
      <c r="I266" t="str">
        <f>_xll.BDP("FNDE1309 Mtge","MTG_ORIG_WAL")</f>
        <v>#N/A N/A</v>
      </c>
    </row>
    <row r="267" spans="1:9" x14ac:dyDescent="0.25">
      <c r="A267" t="str">
        <f>_xll.BDP("FNDE1311 Mtge","ID_CUSIP")</f>
        <v>3140BDN55</v>
      </c>
      <c r="B267" t="str">
        <f>_xll.BDP("FNDE1311 Mtge","SECURITY_NAME")</f>
        <v>FN DE1311</v>
      </c>
      <c r="C267" t="str">
        <f>_xll.BDP("FNDE1311 Mtge","GENERIC_TICKER_VINTAGE")</f>
        <v>FNCL 6 2025</v>
      </c>
      <c r="D267" t="str">
        <f>_xll.BDP("FNDE1311 Mtge","CRNCY")</f>
        <v>USD</v>
      </c>
      <c r="E267">
        <v>41607696</v>
      </c>
      <c r="F267">
        <f>_xll.BDP("FNDE1311 Mtge","CPN")</f>
        <v>6</v>
      </c>
      <c r="G267">
        <f>_xll.BDP("FNDE1311 Mtge","MTG_FACTOR")</f>
        <v>0.95491848999999995</v>
      </c>
      <c r="H267">
        <f>_xll.BDP("FNDE1311 Mtge","MTG_WAL")</f>
        <v>3.2966000000000002</v>
      </c>
      <c r="I267" t="str">
        <f>_xll.BDP("FNDE1311 Mtge","MTG_ORIG_WAL")</f>
        <v>#N/A N/A</v>
      </c>
    </row>
    <row r="268" spans="1:9" x14ac:dyDescent="0.25">
      <c r="A268" t="str">
        <f>_xll.BDP("FNDE1466 Mtge","ID_CUSIP")</f>
        <v>3140BDTY6</v>
      </c>
      <c r="B268" t="str">
        <f>_xll.BDP("FNDE1466 Mtge","SECURITY_NAME")</f>
        <v>FN DE1466</v>
      </c>
      <c r="C268" t="str">
        <f>_xll.BDP("FNDE1466 Mtge","GENERIC_TICKER_VINTAGE")</f>
        <v>FNCL 6 2025</v>
      </c>
      <c r="D268" t="str">
        <f>_xll.BDP("FNDE1466 Mtge","CRNCY")</f>
        <v>USD</v>
      </c>
      <c r="E268">
        <v>3553701</v>
      </c>
      <c r="F268">
        <f>_xll.BDP("FNDE1466 Mtge","CPN")</f>
        <v>6</v>
      </c>
      <c r="G268">
        <f>_xll.BDP("FNDE1466 Mtge","MTG_FACTOR")</f>
        <v>0.89773375</v>
      </c>
      <c r="H268">
        <f>_xll.BDP("FNDE1466 Mtge","MTG_WAL")</f>
        <v>3.3332000000000002</v>
      </c>
      <c r="I268" t="str">
        <f>_xll.BDP("FNDE1466 Mtge","MTG_ORIG_WAL")</f>
        <v>#N/A N/A</v>
      </c>
    </row>
    <row r="269" spans="1:9" x14ac:dyDescent="0.25">
      <c r="A269" t="str">
        <f>_xll.BDP("FNDE2097 Mtge","ID_CUSIP")</f>
        <v>3140BEKK3</v>
      </c>
      <c r="B269" t="str">
        <f>_xll.BDP("FNDE2097 Mtge","SECURITY_NAME")</f>
        <v>FN DE2097</v>
      </c>
      <c r="C269" t="str">
        <f>_xll.BDP("FNDE2097 Mtge","GENERIC_TICKER_VINTAGE")</f>
        <v>FNCL 6 2025</v>
      </c>
      <c r="D269" t="str">
        <f>_xll.BDP("FNDE2097 Mtge","CRNCY")</f>
        <v>USD</v>
      </c>
      <c r="E269">
        <v>19394674</v>
      </c>
      <c r="F269">
        <f>_xll.BDP("FNDE2097 Mtge","CPN")</f>
        <v>6</v>
      </c>
      <c r="G269">
        <f>_xll.BDP("FNDE2097 Mtge","MTG_FACTOR")</f>
        <v>0.93336664000000003</v>
      </c>
      <c r="H269">
        <f>_xll.BDP("FNDE2097 Mtge","MTG_WAL")</f>
        <v>3.3408000000000002</v>
      </c>
      <c r="I269" t="str">
        <f>_xll.BDP("FNDE2097 Mtge","MTG_ORIG_WAL")</f>
        <v>#N/A N/A</v>
      </c>
    </row>
    <row r="270" spans="1:9" x14ac:dyDescent="0.25">
      <c r="A270" t="str">
        <f>_xll.BDP("FNDE2506 Mtge","ID_CUSIP")</f>
        <v>3140BEYC6</v>
      </c>
      <c r="B270" t="str">
        <f>_xll.BDP("FNDE2506 Mtge","SECURITY_NAME")</f>
        <v>FN DE2506</v>
      </c>
      <c r="C270" t="str">
        <f>_xll.BDP("FNDE2506 Mtge","GENERIC_TICKER_VINTAGE")</f>
        <v>FNCL 6 2025</v>
      </c>
      <c r="D270" t="str">
        <f>_xll.BDP("FNDE2506 Mtge","CRNCY")</f>
        <v>USD</v>
      </c>
      <c r="E270">
        <v>1344942</v>
      </c>
      <c r="F270">
        <f>_xll.BDP("FNDE2506 Mtge","CPN")</f>
        <v>6</v>
      </c>
      <c r="G270">
        <f>_xll.BDP("FNDE2506 Mtge","MTG_FACTOR")</f>
        <v>0.99251712999999997</v>
      </c>
      <c r="H270">
        <f>_xll.BDP("FNDE2506 Mtge","MTG_WAL")</f>
        <v>3.3494000000000002</v>
      </c>
      <c r="I270" t="str">
        <f>_xll.BDP("FNDE2506 Mtge","MTG_ORIG_WAL")</f>
        <v>#N/A N/A</v>
      </c>
    </row>
    <row r="271" spans="1:9" x14ac:dyDescent="0.25">
      <c r="A271" t="str">
        <f>_xll.BDP("FNDE2962 Mtge","ID_CUSIP")</f>
        <v>3140BFJG1</v>
      </c>
      <c r="B271" t="str">
        <f>_xll.BDP("FNDE2962 Mtge","SECURITY_NAME")</f>
        <v>FN DE2962</v>
      </c>
      <c r="C271" t="str">
        <f>_xll.BDP("FNDE2962 Mtge","GENERIC_TICKER_VINTAGE")</f>
        <v>FNCL 6 2025</v>
      </c>
      <c r="D271" t="str">
        <f>_xll.BDP("FNDE2962 Mtge","CRNCY")</f>
        <v>USD</v>
      </c>
      <c r="E271">
        <v>16621851</v>
      </c>
      <c r="F271">
        <f>_xll.BDP("FNDE2962 Mtge","CPN")</f>
        <v>6</v>
      </c>
      <c r="G271">
        <f>_xll.BDP("FNDE2962 Mtge","MTG_FACTOR")</f>
        <v>0.93566742000000003</v>
      </c>
      <c r="H271">
        <f>_xll.BDP("FNDE2962 Mtge","MTG_WAL")</f>
        <v>3.3957000000000002</v>
      </c>
      <c r="I271" t="str">
        <f>_xll.BDP("FNDE2962 Mtge","MTG_ORIG_WAL")</f>
        <v>#N/A N/A</v>
      </c>
    </row>
    <row r="272" spans="1:9" x14ac:dyDescent="0.25">
      <c r="A272" t="str">
        <f>_xll.BDP("FNFA1097 Mtge","ID_CUSIP")</f>
        <v>3140W1GF4</v>
      </c>
      <c r="B272" t="str">
        <f>_xll.BDP("FNFA1097 Mtge","SECURITY_NAME")</f>
        <v>FN FA1097</v>
      </c>
      <c r="C272" t="str">
        <f>_xll.BDP("FNFA1097 Mtge","GENERIC_TICKER_VINTAGE")</f>
        <v>FNCL 3 2021</v>
      </c>
      <c r="D272" t="str">
        <f>_xll.BDP("FNFA1097 Mtge","CRNCY")</f>
        <v>USD</v>
      </c>
      <c r="E272">
        <v>39654373</v>
      </c>
      <c r="F272">
        <f>_xll.BDP("FNFA1097 Mtge","CPN")</f>
        <v>3</v>
      </c>
      <c r="G272">
        <f>_xll.BDP("FNFA1097 Mtge","MTG_FACTOR")</f>
        <v>0.91765677000000001</v>
      </c>
      <c r="H272">
        <f>_xll.BDP("FNFA1097 Mtge","MTG_WAL")</f>
        <v>8.2796000000000003</v>
      </c>
      <c r="I272" t="str">
        <f>_xll.BDP("FNFA1097 Mtge","MTG_ORIG_WAL")</f>
        <v>#N/A N/A</v>
      </c>
    </row>
    <row r="273" spans="1:9" x14ac:dyDescent="0.25">
      <c r="A273" t="str">
        <f>_xll.BDP("FNFA1564 Mtge","ID_CUSIP")</f>
        <v>3140W1W25</v>
      </c>
      <c r="B273" t="str">
        <f>_xll.BDP("FNFA1564 Mtge","SECURITY_NAME")</f>
        <v>FN FA1564</v>
      </c>
      <c r="C273" t="str">
        <f>_xll.BDP("FNFA1564 Mtge","GENERIC_TICKER_VINTAGE")</f>
        <v>FNCL 6 2025</v>
      </c>
      <c r="D273" t="str">
        <f>_xll.BDP("FNFA1564 Mtge","CRNCY")</f>
        <v>USD</v>
      </c>
      <c r="E273">
        <v>69426504</v>
      </c>
      <c r="F273">
        <f>_xll.BDP("FNFA1564 Mtge","CPN")</f>
        <v>6</v>
      </c>
      <c r="G273">
        <f>_xll.BDP("FNFA1564 Mtge","MTG_FACTOR")</f>
        <v>0.76173245999999994</v>
      </c>
      <c r="H273">
        <f>_xll.BDP("FNFA1564 Mtge","MTG_WAL")</f>
        <v>3.1793999999999998</v>
      </c>
      <c r="I273" t="str">
        <f>_xll.BDP("FNFA1564 Mtge","MTG_ORIG_WAL")</f>
        <v>#N/A N/A</v>
      </c>
    </row>
    <row r="274" spans="1:9" x14ac:dyDescent="0.25">
      <c r="A274" t="str">
        <f>_xll.BDP("FNFA1951 Mtge","ID_CUSIP")</f>
        <v>3140W2EZ0</v>
      </c>
      <c r="B274" t="str">
        <f>_xll.BDP("FNFA1951 Mtge","SECURITY_NAME")</f>
        <v>FN FA1951</v>
      </c>
      <c r="C274" t="str">
        <f>_xll.BDP("FNFA1951 Mtge","GENERIC_TICKER_VINTAGE")</f>
        <v>FNCL 6 2025</v>
      </c>
      <c r="D274" t="str">
        <f>_xll.BDP("FNFA1951 Mtge","CRNCY")</f>
        <v>USD</v>
      </c>
      <c r="E274">
        <v>42238275</v>
      </c>
      <c r="F274">
        <f>_xll.BDP("FNFA1951 Mtge","CPN")</f>
        <v>6</v>
      </c>
      <c r="G274">
        <f>_xll.BDP("FNFA1951 Mtge","MTG_FACTOR")</f>
        <v>0.82304582000000004</v>
      </c>
      <c r="H274">
        <f>_xll.BDP("FNFA1951 Mtge","MTG_WAL")</f>
        <v>3.1962999999999999</v>
      </c>
      <c r="I274" t="str">
        <f>_xll.BDP("FNFA1951 Mtge","MTG_ORIG_WAL")</f>
        <v>#N/A N/A</v>
      </c>
    </row>
    <row r="275" spans="1:9" x14ac:dyDescent="0.25">
      <c r="A275" t="str">
        <f>_xll.BDP("FNFS0338 Mtge","ID_CUSIP")</f>
        <v>3140XFLU3</v>
      </c>
      <c r="B275" t="str">
        <f>_xll.BDP("FNFS0338 Mtge","SECURITY_NAME")</f>
        <v>FN FS0338</v>
      </c>
      <c r="C275" t="str">
        <f>_xll.BDP("FNFS0338 Mtge","GENERIC_TICKER_VINTAGE")</f>
        <v>FNCL 3 2021</v>
      </c>
      <c r="D275" t="str">
        <f>_xll.BDP("FNFS0338 Mtge","CRNCY")</f>
        <v>USD</v>
      </c>
      <c r="E275">
        <v>27408116</v>
      </c>
      <c r="F275">
        <f>_xll.BDP("FNFS0338 Mtge","CPN")</f>
        <v>3</v>
      </c>
      <c r="G275">
        <f>_xll.BDP("FNFS0338 Mtge","MTG_FACTOR")</f>
        <v>0.71941414000000004</v>
      </c>
      <c r="H275">
        <f>_xll.BDP("FNFS0338 Mtge","MTG_WAL")</f>
        <v>8.3884000000000007</v>
      </c>
      <c r="I275" t="str">
        <f>_xll.BDP("FNFS0338 Mtge","MTG_ORIG_WAL")</f>
        <v>#N/A N/A</v>
      </c>
    </row>
    <row r="276" spans="1:9" x14ac:dyDescent="0.25">
      <c r="A276" t="str">
        <f>_xll.BDP("FNFS6943 Mtge","ID_CUSIP")</f>
        <v>3140XNWD2</v>
      </c>
      <c r="B276" t="str">
        <f>_xll.BDP("FNFS6943 Mtge","SECURITY_NAME")</f>
        <v>FN FS6943</v>
      </c>
      <c r="C276" t="str">
        <f>_xll.BDP("FNFS6943 Mtge","GENERIC_TICKER_VINTAGE")</f>
        <v>FNCL 3 2021</v>
      </c>
      <c r="D276" t="str">
        <f>_xll.BDP("FNFS6943 Mtge","CRNCY")</f>
        <v>USD</v>
      </c>
      <c r="E276">
        <v>315591549</v>
      </c>
      <c r="F276">
        <f>_xll.BDP("FNFS6943 Mtge","CPN")</f>
        <v>3</v>
      </c>
      <c r="G276">
        <f>_xll.BDP("FNFS6943 Mtge","MTG_FACTOR")</f>
        <v>0.86126965</v>
      </c>
      <c r="H276">
        <f>_xll.BDP("FNFS6943 Mtge","MTG_WAL")</f>
        <v>8.3733000000000004</v>
      </c>
      <c r="I276" t="str">
        <f>_xll.BDP("FNFS6943 Mtge","MTG_ORIG_WAL")</f>
        <v>#N/A N/A</v>
      </c>
    </row>
    <row r="277" spans="1:9" x14ac:dyDescent="0.25">
      <c r="A277" t="str">
        <f>_xll.BDP("FRQX8268 Mtge","ID_CUSIP")</f>
        <v>31426FFJ1</v>
      </c>
      <c r="B277" t="str">
        <f>_xll.BDP("FRQX8268 Mtge","SECURITY_NAME")</f>
        <v>FR QX8268</v>
      </c>
      <c r="C277" t="str">
        <f>_xll.BDP("FRQX8268 Mtge","GENERIC_TICKER_VINTAGE")</f>
        <v>FNCL 6 2025</v>
      </c>
      <c r="D277" t="str">
        <f>_xll.BDP("FRQX8268 Mtge","CRNCY")</f>
        <v>USD</v>
      </c>
      <c r="E277">
        <v>10287524</v>
      </c>
      <c r="F277">
        <f>_xll.BDP("FRQX8268 Mtge","CPN")</f>
        <v>6</v>
      </c>
      <c r="G277">
        <f>_xll.BDP("FRQX8268 Mtge","MTG_FACTOR")</f>
        <v>0.5699497</v>
      </c>
      <c r="H277">
        <f>_xll.BDP("FRQX8268 Mtge","MTG_WAL")</f>
        <v>3.1993</v>
      </c>
      <c r="I277" t="str">
        <f>_xll.BDP("FRQX8268 Mtge","MTG_ORIG_WAL")</f>
        <v>#N/A N/A</v>
      </c>
    </row>
    <row r="278" spans="1:9" x14ac:dyDescent="0.25">
      <c r="A278" t="str">
        <f>_xll.BDP("FRQY5031 Mtge","ID_CUSIP")</f>
        <v>31426PSV8</v>
      </c>
      <c r="B278" t="str">
        <f>_xll.BDP("FRQY5031 Mtge","SECURITY_NAME")</f>
        <v>FR QY5031</v>
      </c>
      <c r="C278" t="str">
        <f>_xll.BDP("FRQY5031 Mtge","GENERIC_TICKER_VINTAGE")</f>
        <v>FNCL 6 2025</v>
      </c>
      <c r="D278" t="str">
        <f>_xll.BDP("FRQY5031 Mtge","CRNCY")</f>
        <v>USD</v>
      </c>
      <c r="E278">
        <v>6076747</v>
      </c>
      <c r="F278">
        <f>_xll.BDP("FRQY5031 Mtge","CPN")</f>
        <v>6</v>
      </c>
      <c r="G278">
        <f>_xll.BDP("FRQY5031 Mtge","MTG_FACTOR")</f>
        <v>0.77478451999999998</v>
      </c>
      <c r="H278">
        <f>_xll.BDP("FRQY5031 Mtge","MTG_WAL")</f>
        <v>3.2919999999999998</v>
      </c>
      <c r="I278" t="str">
        <f>_xll.BDP("FRQY5031 Mtge","MTG_ORIG_WAL")</f>
        <v>#N/A N/A</v>
      </c>
    </row>
    <row r="279" spans="1:9" x14ac:dyDescent="0.25">
      <c r="A279" t="str">
        <f>_xll.BDP("FRQY5245 Mtge","ID_CUSIP")</f>
        <v>31426PZK4</v>
      </c>
      <c r="B279" t="str">
        <f>_xll.BDP("FRQY5245 Mtge","SECURITY_NAME")</f>
        <v>FR QY5245</v>
      </c>
      <c r="C279" t="str">
        <f>_xll.BDP("FRQY5245 Mtge","GENERIC_TICKER_VINTAGE")</f>
        <v>FNCL 6 2025</v>
      </c>
      <c r="D279" t="str">
        <f>_xll.BDP("FRQY5245 Mtge","CRNCY")</f>
        <v>USD</v>
      </c>
      <c r="E279">
        <v>29803989</v>
      </c>
      <c r="F279">
        <f>_xll.BDP("FRQY5245 Mtge","CPN")</f>
        <v>6</v>
      </c>
      <c r="G279">
        <f>_xll.BDP("FRQY5245 Mtge","MTG_FACTOR")</f>
        <v>0.87499587999999995</v>
      </c>
      <c r="H279">
        <f>_xll.BDP("FRQY5245 Mtge","MTG_WAL")</f>
        <v>3.3439000000000001</v>
      </c>
      <c r="I279" t="str">
        <f>_xll.BDP("FRQY5245 Mtge","MTG_ORIG_WAL")</f>
        <v>#N/A N/A</v>
      </c>
    </row>
    <row r="280" spans="1:9" x14ac:dyDescent="0.25">
      <c r="A280" t="str">
        <f>_xll.BDP("FRQY5463 Mtge","ID_CUSIP")</f>
        <v>31426QB93</v>
      </c>
      <c r="B280" t="str">
        <f>_xll.BDP("FRQY5463 Mtge","SECURITY_NAME")</f>
        <v>FR QY5463</v>
      </c>
      <c r="C280" t="str">
        <f>_xll.BDP("FRQY5463 Mtge","GENERIC_TICKER_VINTAGE")</f>
        <v>FNCL 6 2025</v>
      </c>
      <c r="D280" t="str">
        <f>_xll.BDP("FRQY5463 Mtge","CRNCY")</f>
        <v>USD</v>
      </c>
      <c r="E280">
        <v>32333674</v>
      </c>
      <c r="F280">
        <f>_xll.BDP("FRQY5463 Mtge","CPN")</f>
        <v>6</v>
      </c>
      <c r="G280">
        <f>_xll.BDP("FRQY5463 Mtge","MTG_FACTOR")</f>
        <v>0.93986532</v>
      </c>
      <c r="H280">
        <f>_xll.BDP("FRQY5463 Mtge","MTG_WAL")</f>
        <v>3.3420000000000001</v>
      </c>
      <c r="I280" t="str">
        <f>_xll.BDP("FRQY5463 Mtge","MTG_ORIG_WAL")</f>
        <v>#N/A N/A</v>
      </c>
    </row>
    <row r="281" spans="1:9" x14ac:dyDescent="0.25">
      <c r="A281" t="str">
        <f>_xll.BDP("FRRJ4432 Mtge","ID_CUSIP")</f>
        <v>3142GU4S9</v>
      </c>
      <c r="B281" t="str">
        <f>_xll.BDP("FRRJ4432 Mtge","SECURITY_NAME")</f>
        <v>FR RJ4432</v>
      </c>
      <c r="C281" t="str">
        <f>_xll.BDP("FRRJ4432 Mtge","GENERIC_TICKER_VINTAGE")</f>
        <v>FNCL 6 2025</v>
      </c>
      <c r="D281" t="str">
        <f>_xll.BDP("FRRJ4432 Mtge","CRNCY")</f>
        <v>USD</v>
      </c>
      <c r="E281">
        <v>1092738</v>
      </c>
      <c r="F281">
        <f>_xll.BDP("FRRJ4432 Mtge","CPN")</f>
        <v>6</v>
      </c>
      <c r="G281">
        <f>_xll.BDP("FRRJ4432 Mtge","MTG_FACTOR")</f>
        <v>0.99005825999999997</v>
      </c>
      <c r="H281">
        <f>_xll.BDP("FRRJ4432 Mtge","MTG_WAL")</f>
        <v>3.3422999999999998</v>
      </c>
      <c r="I281" t="str">
        <f>_xll.BDP("FRRJ4432 Mtge","MTG_ORIG_WAL")</f>
        <v>#N/A N/A</v>
      </c>
    </row>
    <row r="282" spans="1:9" x14ac:dyDescent="0.25">
      <c r="A282" t="str">
        <f>_xll.BDP("FRSD7553 Mtge","ID_CUSIP")</f>
        <v>3132DVMA0</v>
      </c>
      <c r="B282" t="str">
        <f>_xll.BDP("FRSD7553 Mtge","SECURITY_NAME")</f>
        <v>FR SD7553</v>
      </c>
      <c r="C282" t="str">
        <f>_xll.BDP("FRSD7553 Mtge","GENERIC_TICKER_VINTAGE")</f>
        <v>FNCL 3 2021</v>
      </c>
      <c r="D282" t="str">
        <f>_xll.BDP("FRSD7553 Mtge","CRNCY")</f>
        <v>USD</v>
      </c>
      <c r="E282">
        <v>2614117815</v>
      </c>
      <c r="F282">
        <f>_xll.BDP("FRSD7553 Mtge","CPN")</f>
        <v>3</v>
      </c>
      <c r="G282">
        <f>_xll.BDP("FRSD7553 Mtge","MTG_FACTOR")</f>
        <v>0.70669174000000001</v>
      </c>
      <c r="H282">
        <f>_xll.BDP("FRSD7553 Mtge","MTG_WAL")</f>
        <v>8.2744</v>
      </c>
      <c r="I282" t="str">
        <f>_xll.BDP("FRSD7553 Mtge","MTG_ORIG_WAL")</f>
        <v>#N/A N/A</v>
      </c>
    </row>
    <row r="283" spans="1:9" x14ac:dyDescent="0.25">
      <c r="A283" t="str">
        <f>_xll.BDP("FRSD8168 Mtge","ID_CUSIP")</f>
        <v>3132DWCD3</v>
      </c>
      <c r="B283" t="str">
        <f>_xll.BDP("FRSD8168 Mtge","SECURITY_NAME")</f>
        <v>FR SD8168</v>
      </c>
      <c r="C283" t="str">
        <f>_xll.BDP("FRSD8168 Mtge","GENERIC_TICKER_VINTAGE")</f>
        <v>FNCL 3 2021</v>
      </c>
      <c r="D283" t="str">
        <f>_xll.BDP("FRSD8168 Mtge","CRNCY")</f>
        <v>USD</v>
      </c>
      <c r="E283">
        <v>644615263</v>
      </c>
      <c r="F283">
        <f>_xll.BDP("FRSD8168 Mtge","CPN")</f>
        <v>3</v>
      </c>
      <c r="G283">
        <f>_xll.BDP("FRSD8168 Mtge","MTG_FACTOR")</f>
        <v>0.60846522999999997</v>
      </c>
      <c r="H283">
        <f>_xll.BDP("FRSD8168 Mtge","MTG_WAL")</f>
        <v>8.3355999999999995</v>
      </c>
      <c r="I283" t="str">
        <f>_xll.BDP("FRSD8168 Mtge","MTG_ORIG_WAL")</f>
        <v>#N/A N/A</v>
      </c>
    </row>
    <row r="284" spans="1:9" x14ac:dyDescent="0.25">
      <c r="A284" t="str">
        <f>_xll.BDP("FRSL1597 Mtge","ID_CUSIP")</f>
        <v>31427NX38</v>
      </c>
      <c r="B284" t="str">
        <f>_xll.BDP("FRSL1597 Mtge","SECURITY_NAME")</f>
        <v>FR SL1597</v>
      </c>
      <c r="C284" t="str">
        <f>_xll.BDP("FRSL1597 Mtge","GENERIC_TICKER_VINTAGE")</f>
        <v>FNCL 6 2025</v>
      </c>
      <c r="D284" t="str">
        <f>_xll.BDP("FRSL1597 Mtge","CRNCY")</f>
        <v>USD</v>
      </c>
      <c r="E284">
        <v>71418658</v>
      </c>
      <c r="F284">
        <f>_xll.BDP("FRSL1597 Mtge","CPN")</f>
        <v>6</v>
      </c>
      <c r="G284">
        <f>_xll.BDP("FRSL1597 Mtge","MTG_FACTOR")</f>
        <v>0.91667275000000004</v>
      </c>
      <c r="H284">
        <f>_xll.BDP("FRSL1597 Mtge","MTG_WAL")</f>
        <v>3.2848999999999999</v>
      </c>
      <c r="I284" t="str">
        <f>_xll.BDP("FRSL1597 Mtge","MTG_ORIG_WAL")</f>
        <v>#N/A N/A</v>
      </c>
    </row>
    <row r="285" spans="1:9" x14ac:dyDescent="0.25">
      <c r="A285" t="str">
        <f>_xll.BDP("!!0313CH Mtge","ID_CUSIP")</f>
        <v>3136BHS26</v>
      </c>
      <c r="B285" t="str">
        <f>_xll.BDP("!!0313CH Mtge","SECURITY_NAME")</f>
        <v>FNR 2021-41 PZ</v>
      </c>
      <c r="C285" t="str">
        <f>_xll.BDP("!!0313CH Mtge","GENERIC_TICKER_VINTAGE")</f>
        <v>FNCL 3 2021</v>
      </c>
      <c r="D285" t="str">
        <f>_xll.BDP("!!0313CH Mtge","CRNCY")</f>
        <v>USD</v>
      </c>
      <c r="E285">
        <v>3762962</v>
      </c>
      <c r="F285">
        <f>_xll.BDP("!!0313CH Mtge","CPN")</f>
        <v>3</v>
      </c>
      <c r="G285">
        <f>_xll.BDP("!!0313CH Mtge","MTG_FACTOR")</f>
        <v>0.27187932999999997</v>
      </c>
      <c r="H285">
        <f>_xll.BDP("!!0313CH Mtge","MTG_WAL")</f>
        <v>20.1828</v>
      </c>
      <c r="I285">
        <f>_xll.BDP("!!0313CH Mtge","MTG_ORIG_WAL")</f>
        <v>14.07578</v>
      </c>
    </row>
    <row r="286" spans="1:9" x14ac:dyDescent="0.25">
      <c r="A286" t="str">
        <f>_xll.BDP("!!031LC1 Mtge","ID_CUSIP")</f>
        <v>3136BGJL6</v>
      </c>
      <c r="B286" t="str">
        <f>_xll.BDP("!!031LC1 Mtge","SECURITY_NAME")</f>
        <v>FNR 2021-54 NZ</v>
      </c>
      <c r="C286" t="str">
        <f>_xll.BDP("!!031LC1 Mtge","GENERIC_TICKER_VINTAGE")</f>
        <v>FNCL 3 2021</v>
      </c>
      <c r="D286" t="str">
        <f>_xll.BDP("!!031LC1 Mtge","CRNCY")</f>
        <v>USD</v>
      </c>
      <c r="E286">
        <v>20000000</v>
      </c>
      <c r="F286">
        <f>_xll.BDP("!!031LC1 Mtge","CPN")</f>
        <v>2</v>
      </c>
      <c r="G286">
        <f>_xll.BDP("!!031LC1 Mtge","MTG_FACTOR")</f>
        <v>0.93810269999999996</v>
      </c>
      <c r="H286">
        <f>_xll.BDP("!!031LC1 Mtge","MTG_WAL")</f>
        <v>15.7334</v>
      </c>
      <c r="I286">
        <f>_xll.BDP("!!031LC1 Mtge","MTG_ORIG_WAL")</f>
        <v>6.4</v>
      </c>
    </row>
    <row r="287" spans="1:9" x14ac:dyDescent="0.25">
      <c r="A287" t="str">
        <f>_xll.BDP("!!0331CZ Mtge","ID_CUSIP")</f>
        <v>3136BJE50</v>
      </c>
      <c r="B287" t="str">
        <f>_xll.BDP("!!0331CZ Mtge","SECURITY_NAME")</f>
        <v>FNR 2021-73 PZ</v>
      </c>
      <c r="C287" t="str">
        <f>_xll.BDP("!!0331CZ Mtge","GENERIC_TICKER_VINTAGE")</f>
        <v>FNCL 3 2021</v>
      </c>
      <c r="D287" t="str">
        <f>_xll.BDP("!!0331CZ Mtge","CRNCY")</f>
        <v>USD</v>
      </c>
      <c r="E287">
        <v>4697021</v>
      </c>
      <c r="F287">
        <f>_xll.BDP("!!0331CZ Mtge","CPN")</f>
        <v>3</v>
      </c>
      <c r="G287">
        <f>_xll.BDP("!!0331CZ Mtge","MTG_FACTOR")</f>
        <v>0.70455614</v>
      </c>
      <c r="H287">
        <f>_xll.BDP("!!0331CZ Mtge","MTG_WAL")</f>
        <v>17.476099999999999</v>
      </c>
      <c r="I287">
        <f>_xll.BDP("!!0331CZ Mtge","MTG_ORIG_WAL")</f>
        <v>14.4</v>
      </c>
    </row>
    <row r="288" spans="1:9" x14ac:dyDescent="0.25">
      <c r="A288" t="str">
        <f>_xll.BDP("!!03MH9N Mtge","ID_CUSIP")</f>
        <v>3136BWEN2</v>
      </c>
      <c r="B288" t="str">
        <f>_xll.BDP("!!03MH9N Mtge","SECURITY_NAME")</f>
        <v>FNR 2025-45 AZ</v>
      </c>
      <c r="C288" t="str">
        <f>_xll.BDP("!!03MH9N Mtge","GENERIC_TICKER_VINTAGE")</f>
        <v>FNCL 6 2025</v>
      </c>
      <c r="D288" t="str">
        <f>_xll.BDP("!!03MH9N Mtge","CRNCY")</f>
        <v>USD</v>
      </c>
      <c r="E288">
        <v>13401000</v>
      </c>
      <c r="F288">
        <f>_xll.BDP("!!03MH9N Mtge","CPN")</f>
        <v>5</v>
      </c>
      <c r="G288">
        <f>_xll.BDP("!!03MH9N Mtge","MTG_FACTOR")</f>
        <v>1.04245666</v>
      </c>
      <c r="H288">
        <f>_xll.BDP("!!03MH9N Mtge","MTG_WAL")</f>
        <v>7.0845000000000002</v>
      </c>
      <c r="I288">
        <f>_xll.BDP("!!03MH9N Mtge","MTG_ORIG_WAL")</f>
        <v>13.4</v>
      </c>
    </row>
    <row r="289" spans="1:9" x14ac:dyDescent="0.25">
      <c r="A289" t="str">
        <f>_xll.BDP("!!03MKR6 Mtge","ID_CUSIP")</f>
        <v>3136BWCS3</v>
      </c>
      <c r="B289" t="str">
        <f>_xll.BDP("!!03MKR6 Mtge","SECURITY_NAME")</f>
        <v>FNR 2025-44 FB</v>
      </c>
      <c r="C289" t="str">
        <f>_xll.BDP("!!03MKR6 Mtge","GENERIC_TICKER_VINTAGE")</f>
        <v>FNCL 6 2025</v>
      </c>
      <c r="D289" t="str">
        <f>_xll.BDP("!!03MKR6 Mtge","CRNCY")</f>
        <v>USD</v>
      </c>
      <c r="E289">
        <v>156399000</v>
      </c>
      <c r="F289">
        <f>_xll.BDP("!!03MKR6 Mtge","CPN")</f>
        <v>5.0672100000000002</v>
      </c>
      <c r="G289">
        <f>_xll.BDP("!!03MKR6 Mtge","MTG_FACTOR")</f>
        <v>0.88368232000000002</v>
      </c>
      <c r="H289">
        <f>_xll.BDP("!!03MKR6 Mtge","MTG_WAL")</f>
        <v>3.1244000000000001</v>
      </c>
      <c r="I289">
        <f>_xll.BDP("!!03MKR6 Mtge","MTG_ORIG_WAL")</f>
        <v>6.9250699999999998</v>
      </c>
    </row>
    <row r="290" spans="1:9" x14ac:dyDescent="0.25">
      <c r="A290" t="str">
        <f>_xll.BDP("!!03N6X3 Mtge","ID_CUSIP")</f>
        <v>3137HME22</v>
      </c>
      <c r="B290" t="str">
        <f>_xll.BDP("!!03N6X3 Mtge","SECURITY_NAME")</f>
        <v>FHR 5564 PZ</v>
      </c>
      <c r="C290" t="str">
        <f>_xll.BDP("!!03N6X3 Mtge","GENERIC_TICKER_VINTAGE")</f>
        <v>FNCL 6 2025</v>
      </c>
      <c r="D290" t="str">
        <f>_xll.BDP("!!03N6X3 Mtge","CRNCY")</f>
        <v>USD</v>
      </c>
      <c r="E290">
        <v>75000000</v>
      </c>
      <c r="F290">
        <f>_xll.BDP("!!03N6X3 Mtge","CPN")</f>
        <v>6</v>
      </c>
      <c r="G290">
        <f>_xll.BDP("!!03N6X3 Mtge","MTG_FACTOR")</f>
        <v>0.65407835000000003</v>
      </c>
      <c r="H290">
        <f>_xll.BDP("!!03N6X3 Mtge","MTG_WAL")</f>
        <v>0.60209999999999997</v>
      </c>
      <c r="I290">
        <f>_xll.BDP("!!03N6X3 Mtge","MTG_ORIG_WAL")</f>
        <v>8.6999999999999993</v>
      </c>
    </row>
    <row r="291" spans="1:9" x14ac:dyDescent="0.25">
      <c r="A291" t="str">
        <f>_xll.BDP("!!03N7R7 Mtge","ID_CUSIP")</f>
        <v>3137HMGS3</v>
      </c>
      <c r="B291" t="str">
        <f>_xll.BDP("!!03N7R7 Mtge","SECURITY_NAME")</f>
        <v>FHR 5565 PA</v>
      </c>
      <c r="C291" t="str">
        <f>_xll.BDP("!!03N7R7 Mtge","GENERIC_TICKER_VINTAGE")</f>
        <v>FNCL 6 2025</v>
      </c>
      <c r="D291" t="str">
        <f>_xll.BDP("!!03N7R7 Mtge","CRNCY")</f>
        <v>USD</v>
      </c>
      <c r="E291">
        <v>20000000</v>
      </c>
      <c r="F291">
        <f>_xll.BDP("!!03N7R7 Mtge","CPN")</f>
        <v>5.25</v>
      </c>
      <c r="G291">
        <f>_xll.BDP("!!03N7R7 Mtge","MTG_FACTOR")</f>
        <v>0.91767821000000005</v>
      </c>
      <c r="H291">
        <f>_xll.BDP("!!03N7R7 Mtge","MTG_WAL")</f>
        <v>3.3205</v>
      </c>
      <c r="I291">
        <f>_xll.BDP("!!03N7R7 Mtge","MTG_ORIG_WAL")</f>
        <v>7</v>
      </c>
    </row>
    <row r="292" spans="1:9" x14ac:dyDescent="0.25">
      <c r="A292" t="str">
        <f>_xll.BDP("!!03N8HJ Mtge","ID_CUSIP")</f>
        <v>3137HME63</v>
      </c>
      <c r="B292" t="str">
        <f>_xll.BDP("!!03N8HJ Mtge","SECURITY_NAME")</f>
        <v>FHR 5564 SC</v>
      </c>
      <c r="C292" t="str">
        <f>_xll.BDP("!!03N8HJ Mtge","GENERIC_TICKER_VINTAGE")</f>
        <v>FNCL 6 2025</v>
      </c>
      <c r="D292" t="str">
        <f>_xll.BDP("!!03N8HJ Mtge","CRNCY")</f>
        <v>USD</v>
      </c>
      <c r="E292">
        <v>169759558</v>
      </c>
      <c r="F292">
        <f>_xll.BDP("!!03N8HJ Mtge","CPN")</f>
        <v>1.43279</v>
      </c>
      <c r="G292">
        <f>_xll.BDP("!!03N8HJ Mtge","MTG_FACTOR")</f>
        <v>0.86194508000000003</v>
      </c>
      <c r="H292">
        <f>_xll.BDP("!!03N8HJ Mtge","MTG_WAL")</f>
        <v>3.0743999999999998</v>
      </c>
      <c r="I292">
        <f>_xll.BDP("!!03N8HJ Mtge","MTG_ORIG_WAL")</f>
        <v>6.3</v>
      </c>
    </row>
    <row r="293" spans="1:9" x14ac:dyDescent="0.25">
      <c r="A293" t="str">
        <f>_xll.BDP("!!03NMY0 Mtge","ID_CUSIP")</f>
        <v>3137HMEB2</v>
      </c>
      <c r="B293" t="str">
        <f>_xll.BDP("!!03NMY0 Mtge","SECURITY_NAME")</f>
        <v>FHR 5571 BA</v>
      </c>
      <c r="C293" t="str">
        <f>_xll.BDP("!!03NMY0 Mtge","GENERIC_TICKER_VINTAGE")</f>
        <v>FNCL 6 2025</v>
      </c>
      <c r="D293" t="str">
        <f>_xll.BDP("!!03NMY0 Mtge","CRNCY")</f>
        <v>USD</v>
      </c>
      <c r="E293">
        <v>102628405</v>
      </c>
      <c r="F293">
        <f>_xll.BDP("!!03NMY0 Mtge","CPN")</f>
        <v>5</v>
      </c>
      <c r="G293">
        <f>_xll.BDP("!!03NMY0 Mtge","MTG_FACTOR")</f>
        <v>0.84716042999999996</v>
      </c>
      <c r="H293">
        <f>_xll.BDP("!!03NMY0 Mtge","MTG_WAL")</f>
        <v>1.7755000000000001</v>
      </c>
      <c r="I293">
        <f>_xll.BDP("!!03NMY0 Mtge","MTG_ORIG_WAL")</f>
        <v>4.5</v>
      </c>
    </row>
    <row r="294" spans="1:9" x14ac:dyDescent="0.25">
      <c r="A294" t="str">
        <f>_xll.BDP("!!03NN77 Mtge","ID_CUSIP")</f>
        <v>3137HMNG1</v>
      </c>
      <c r="B294" t="str">
        <f>_xll.BDP("!!03NN77 Mtge","SECURITY_NAME")</f>
        <v>FHR 5565 FM</v>
      </c>
      <c r="C294" t="str">
        <f>_xll.BDP("!!03NN77 Mtge","GENERIC_TICKER_VINTAGE")</f>
        <v>FNCL 6 2025</v>
      </c>
      <c r="D294" t="str">
        <f>_xll.BDP("!!03NN77 Mtge","CRNCY")</f>
        <v>USD</v>
      </c>
      <c r="E294">
        <v>144566649</v>
      </c>
      <c r="F294">
        <f>_xll.BDP("!!03NN77 Mtge","CPN")</f>
        <v>4.5972099999999996</v>
      </c>
      <c r="G294">
        <f>_xll.BDP("!!03NN77 Mtge","MTG_FACTOR")</f>
        <v>0.73671222999999997</v>
      </c>
      <c r="H294">
        <f>_xll.BDP("!!03NN77 Mtge","MTG_WAL")</f>
        <v>2.9784999999999999</v>
      </c>
      <c r="I294">
        <f>_xll.BDP("!!03NN77 Mtge","MTG_ORIG_WAL")</f>
        <v>6.1</v>
      </c>
    </row>
    <row r="295" spans="1:9" x14ac:dyDescent="0.25">
      <c r="A295" t="str">
        <f>_xll.BDP("!!03NRLV Mtge","ID_CUSIP")</f>
        <v>3137HMEX4</v>
      </c>
      <c r="B295" t="str">
        <f>_xll.BDP("!!03NRLV Mtge","SECURITY_NAME")</f>
        <v>FHR 5567 FB</v>
      </c>
      <c r="C295" t="str">
        <f>_xll.BDP("!!03NRLV Mtge","GENERIC_TICKER_VINTAGE")</f>
        <v>FNCL 6 2025</v>
      </c>
      <c r="D295" t="str">
        <f>_xll.BDP("!!03NRLV Mtge","CRNCY")</f>
        <v>USD</v>
      </c>
      <c r="E295">
        <v>120000000</v>
      </c>
      <c r="F295">
        <f>_xll.BDP("!!03NRLV Mtge","CPN")</f>
        <v>4.6672099999999999</v>
      </c>
      <c r="G295">
        <f>_xll.BDP("!!03NRLV Mtge","MTG_FACTOR")</f>
        <v>0.80760430000000005</v>
      </c>
      <c r="H295">
        <f>_xll.BDP("!!03NRLV Mtge","MTG_WAL")</f>
        <v>3.1322999999999999</v>
      </c>
      <c r="I295">
        <f>_xll.BDP("!!03NRLV Mtge","MTG_ORIG_WAL")</f>
        <v>6.1</v>
      </c>
    </row>
    <row r="296" spans="1:9" x14ac:dyDescent="0.25">
      <c r="A296" t="str">
        <f>_xll.BDP("!!03NS5Y Mtge","ID_CUSIP")</f>
        <v>3137HML24</v>
      </c>
      <c r="B296" t="str">
        <f>_xll.BDP("!!03NS5Y Mtge","SECURITY_NAME")</f>
        <v>FHR 5563 MC</v>
      </c>
      <c r="C296" t="str">
        <f>_xll.BDP("!!03NS5Y Mtge","GENERIC_TICKER_VINTAGE")</f>
        <v>FNCL 6 2025</v>
      </c>
      <c r="D296" t="str">
        <f>_xll.BDP("!!03NS5Y Mtge","CRNCY")</f>
        <v>USD</v>
      </c>
      <c r="E296">
        <v>5000000</v>
      </c>
      <c r="F296">
        <f>_xll.BDP("!!03NS5Y Mtge","CPN")</f>
        <v>6.61721</v>
      </c>
      <c r="G296">
        <f>_xll.BDP("!!03NS5Y Mtge","MTG_FACTOR")</f>
        <v>0.80760430000000005</v>
      </c>
      <c r="H296">
        <f>_xll.BDP("!!03NS5Y Mtge","MTG_WAL")</f>
        <v>3.1322999999999999</v>
      </c>
      <c r="I296">
        <f>_xll.BDP("!!03NS5Y Mtge","MTG_ORIG_WAL")</f>
        <v>6.2</v>
      </c>
    </row>
    <row r="297" spans="1:9" x14ac:dyDescent="0.25">
      <c r="A297" t="str">
        <f>_xll.BDP("FNCB0046 Mtge","ID_CUSIP")</f>
        <v>3140QKBQ0</v>
      </c>
      <c r="B297" t="str">
        <f>_xll.BDP("FNCB0046 Mtge","SECURITY_NAME")</f>
        <v>FN CB0046</v>
      </c>
      <c r="C297" t="str">
        <f>_xll.BDP("FNCB0046 Mtge","GENERIC_TICKER_VINTAGE")</f>
        <v>FNCL 3 2021</v>
      </c>
      <c r="D297" t="str">
        <f>_xll.BDP("FNCB0046 Mtge","CRNCY")</f>
        <v>USD</v>
      </c>
      <c r="E297">
        <v>200697824</v>
      </c>
      <c r="F297">
        <f>_xll.BDP("FNCB0046 Mtge","CPN")</f>
        <v>3</v>
      </c>
      <c r="G297">
        <f>_xll.BDP("FNCB0046 Mtge","MTG_FACTOR")</f>
        <v>0.68732941999999997</v>
      </c>
      <c r="H297">
        <f>_xll.BDP("FNCB0046 Mtge","MTG_WAL")</f>
        <v>8.2943999999999996</v>
      </c>
      <c r="I297" t="str">
        <f>_xll.BDP("FNCB0046 Mtge","MTG_ORIG_WAL")</f>
        <v>#N/A N/A</v>
      </c>
    </row>
    <row r="298" spans="1:9" x14ac:dyDescent="0.25">
      <c r="A298" t="str">
        <f>_xll.BDP("FNCC0435 Mtge","ID_CUSIP")</f>
        <v>3140Y6PV6</v>
      </c>
      <c r="B298" t="str">
        <f>_xll.BDP("FNCC0435 Mtge","SECURITY_NAME")</f>
        <v>FN CC0435</v>
      </c>
      <c r="C298" t="str">
        <f>_xll.BDP("FNCC0435 Mtge","GENERIC_TICKER_VINTAGE")</f>
        <v>FNCL 6 2025</v>
      </c>
      <c r="D298" t="str">
        <f>_xll.BDP("FNCC0435 Mtge","CRNCY")</f>
        <v>USD</v>
      </c>
      <c r="E298">
        <v>24467593</v>
      </c>
      <c r="F298">
        <f>_xll.BDP("FNCC0435 Mtge","CPN")</f>
        <v>6</v>
      </c>
      <c r="G298">
        <f>_xll.BDP("FNCC0435 Mtge","MTG_FACTOR")</f>
        <v>0.83370719999999998</v>
      </c>
      <c r="H298">
        <f>_xll.BDP("FNCC0435 Mtge","MTG_WAL")</f>
        <v>3.2473999999999998</v>
      </c>
      <c r="I298" t="str">
        <f>_xll.BDP("FNCC0435 Mtge","MTG_ORIG_WAL")</f>
        <v>#N/A N/A</v>
      </c>
    </row>
    <row r="299" spans="1:9" x14ac:dyDescent="0.25">
      <c r="A299" t="str">
        <f>_xll.BDP("FNDD5205 Mtge","ID_CUSIP")</f>
        <v>3140B5YB7</v>
      </c>
      <c r="B299" t="str">
        <f>_xll.BDP("FNDD5205 Mtge","SECURITY_NAME")</f>
        <v>FN DD5205</v>
      </c>
      <c r="C299" t="str">
        <f>_xll.BDP("FNDD5205 Mtge","GENERIC_TICKER_VINTAGE")</f>
        <v>FNCL 6 2025</v>
      </c>
      <c r="D299" t="str">
        <f>_xll.BDP("FNDD5205 Mtge","CRNCY")</f>
        <v>USD</v>
      </c>
      <c r="E299">
        <v>2127875</v>
      </c>
      <c r="F299">
        <f>_xll.BDP("FNDD5205 Mtge","CPN")</f>
        <v>6</v>
      </c>
      <c r="G299">
        <f>_xll.BDP("FNDD5205 Mtge","MTG_FACTOR")</f>
        <v>0.89826908999999999</v>
      </c>
      <c r="H299">
        <f>_xll.BDP("FNDD5205 Mtge","MTG_WAL")</f>
        <v>3.2435999999999998</v>
      </c>
      <c r="I299" t="str">
        <f>_xll.BDP("FNDD5205 Mtge","MTG_ORIG_WAL")</f>
        <v>#N/A N/A</v>
      </c>
    </row>
    <row r="300" spans="1:9" x14ac:dyDescent="0.25">
      <c r="A300" t="str">
        <f>_xll.BDP("FNDD6158 Mtge","ID_CUSIP")</f>
        <v>3140B6ZY4</v>
      </c>
      <c r="B300" t="str">
        <f>_xll.BDP("FNDD6158 Mtge","SECURITY_NAME")</f>
        <v>FN DD6158</v>
      </c>
      <c r="C300" t="str">
        <f>_xll.BDP("FNDD6158 Mtge","GENERIC_TICKER_VINTAGE")</f>
        <v>FNCL 6 2025</v>
      </c>
      <c r="D300" t="str">
        <f>_xll.BDP("FNDD6158 Mtge","CRNCY")</f>
        <v>USD</v>
      </c>
      <c r="E300">
        <v>15318897</v>
      </c>
      <c r="F300">
        <f>_xll.BDP("FNDD6158 Mtge","CPN")</f>
        <v>6</v>
      </c>
      <c r="G300">
        <f>_xll.BDP("FNDD6158 Mtge","MTG_FACTOR")</f>
        <v>0.88860594000000004</v>
      </c>
      <c r="H300">
        <f>_xll.BDP("FNDD6158 Mtge","MTG_WAL")</f>
        <v>3.2044000000000001</v>
      </c>
      <c r="I300" t="str">
        <f>_xll.BDP("FNDD6158 Mtge","MTG_ORIG_WAL")</f>
        <v>#N/A N/A</v>
      </c>
    </row>
    <row r="301" spans="1:9" x14ac:dyDescent="0.25">
      <c r="A301" t="str">
        <f>_xll.BDP("FNDD9892 Mtge","ID_CUSIP")</f>
        <v>3140BA7E0</v>
      </c>
      <c r="B301" t="str">
        <f>_xll.BDP("FNDD9892 Mtge","SECURITY_NAME")</f>
        <v>FN DD9892</v>
      </c>
      <c r="C301" t="str">
        <f>_xll.BDP("FNDD9892 Mtge","GENERIC_TICKER_VINTAGE")</f>
        <v>FNCL 6 2025</v>
      </c>
      <c r="D301" t="str">
        <f>_xll.BDP("FNDD9892 Mtge","CRNCY")</f>
        <v>USD</v>
      </c>
      <c r="E301">
        <v>1135082</v>
      </c>
      <c r="F301">
        <f>_xll.BDP("FNDD9892 Mtge","CPN")</f>
        <v>6</v>
      </c>
      <c r="G301">
        <f>_xll.BDP("FNDD9892 Mtge","MTG_FACTOR")</f>
        <v>0.99128908999999998</v>
      </c>
      <c r="H301">
        <f>_xll.BDP("FNDD9892 Mtge","MTG_WAL")</f>
        <v>3.2927</v>
      </c>
      <c r="I301" t="str">
        <f>_xll.BDP("FNDD9892 Mtge","MTG_ORIG_WAL")</f>
        <v>#N/A N/A</v>
      </c>
    </row>
    <row r="302" spans="1:9" x14ac:dyDescent="0.25">
      <c r="A302" t="str">
        <f>_xll.BDP("FNDE0097 Mtge","ID_CUSIP")</f>
        <v>3140BCDB5</v>
      </c>
      <c r="B302" t="str">
        <f>_xll.BDP("FNDE0097 Mtge","SECURITY_NAME")</f>
        <v>FN DE0097</v>
      </c>
      <c r="C302" t="str">
        <f>_xll.BDP("FNDE0097 Mtge","GENERIC_TICKER_VINTAGE")</f>
        <v>FNCL 6 2025</v>
      </c>
      <c r="D302" t="str">
        <f>_xll.BDP("FNDE0097 Mtge","CRNCY")</f>
        <v>USD</v>
      </c>
      <c r="E302">
        <v>11051491</v>
      </c>
      <c r="F302">
        <f>_xll.BDP("FNDE0097 Mtge","CPN")</f>
        <v>6</v>
      </c>
      <c r="G302">
        <f>_xll.BDP("FNDE0097 Mtge","MTG_FACTOR")</f>
        <v>0.93354415999999996</v>
      </c>
      <c r="H302">
        <f>_xll.BDP("FNDE0097 Mtge","MTG_WAL")</f>
        <v>3.3348</v>
      </c>
      <c r="I302" t="str">
        <f>_xll.BDP("FNDE0097 Mtge","MTG_ORIG_WAL")</f>
        <v>#N/A N/A</v>
      </c>
    </row>
    <row r="303" spans="1:9" x14ac:dyDescent="0.25">
      <c r="A303" t="str">
        <f>_xll.BDP("FNDE1017 Mtge","ID_CUSIP")</f>
        <v>3140BDDX5</v>
      </c>
      <c r="B303" t="str">
        <f>_xll.BDP("FNDE1017 Mtge","SECURITY_NAME")</f>
        <v>FN DE1017</v>
      </c>
      <c r="C303" t="str">
        <f>_xll.BDP("FNDE1017 Mtge","GENERIC_TICKER_VINTAGE")</f>
        <v>FNCL 6 2025</v>
      </c>
      <c r="D303" t="str">
        <f>_xll.BDP("FNDE1017 Mtge","CRNCY")</f>
        <v>USD</v>
      </c>
      <c r="E303">
        <v>29368081</v>
      </c>
      <c r="F303">
        <f>_xll.BDP("FNDE1017 Mtge","CPN")</f>
        <v>6</v>
      </c>
      <c r="G303">
        <f>_xll.BDP("FNDE1017 Mtge","MTG_FACTOR")</f>
        <v>0.98280462999999996</v>
      </c>
      <c r="H303">
        <f>_xll.BDP("FNDE1017 Mtge","MTG_WAL")</f>
        <v>3.3445999999999998</v>
      </c>
      <c r="I303" t="str">
        <f>_xll.BDP("FNDE1017 Mtge","MTG_ORIG_WAL")</f>
        <v>#N/A N/A</v>
      </c>
    </row>
    <row r="304" spans="1:9" x14ac:dyDescent="0.25">
      <c r="A304" t="str">
        <f>_xll.BDP("FNDE1210 Mtge","ID_CUSIP")</f>
        <v>3140BDKY5</v>
      </c>
      <c r="B304" t="str">
        <f>_xll.BDP("FNDE1210 Mtge","SECURITY_NAME")</f>
        <v>FN DE1210</v>
      </c>
      <c r="C304" t="str">
        <f>_xll.BDP("FNDE1210 Mtge","GENERIC_TICKER_VINTAGE")</f>
        <v>FNCL 6 2025</v>
      </c>
      <c r="D304" t="str">
        <f>_xll.BDP("FNDE1210 Mtge","CRNCY")</f>
        <v>USD</v>
      </c>
      <c r="E304">
        <v>2189901</v>
      </c>
      <c r="F304">
        <f>_xll.BDP("FNDE1210 Mtge","CPN")</f>
        <v>6</v>
      </c>
      <c r="G304">
        <f>_xll.BDP("FNDE1210 Mtge","MTG_FACTOR")</f>
        <v>0.99192729000000002</v>
      </c>
      <c r="H304">
        <f>_xll.BDP("FNDE1210 Mtge","MTG_WAL")</f>
        <v>3.3410000000000002</v>
      </c>
      <c r="I304" t="str">
        <f>_xll.BDP("FNDE1210 Mtge","MTG_ORIG_WAL")</f>
        <v>#N/A N/A</v>
      </c>
    </row>
    <row r="305" spans="1:9" x14ac:dyDescent="0.25">
      <c r="A305" t="str">
        <f>_xll.BDP("FNDE1430 Mtge","ID_CUSIP")</f>
        <v>3140BDSU5</v>
      </c>
      <c r="B305" t="str">
        <f>_xll.BDP("FNDE1430 Mtge","SECURITY_NAME")</f>
        <v>FN DE1430</v>
      </c>
      <c r="C305" t="str">
        <f>_xll.BDP("FNDE1430 Mtge","GENERIC_TICKER_VINTAGE")</f>
        <v>FNCL 6 2025</v>
      </c>
      <c r="D305" t="str">
        <f>_xll.BDP("FNDE1430 Mtge","CRNCY")</f>
        <v>USD</v>
      </c>
      <c r="E305">
        <v>2165175</v>
      </c>
      <c r="F305">
        <f>_xll.BDP("FNDE1430 Mtge","CPN")</f>
        <v>6</v>
      </c>
      <c r="G305">
        <f>_xll.BDP("FNDE1430 Mtge","MTG_FACTOR")</f>
        <v>0.99134096000000005</v>
      </c>
      <c r="H305">
        <f>_xll.BDP("FNDE1430 Mtge","MTG_WAL")</f>
        <v>3.3464999999999998</v>
      </c>
      <c r="I305" t="str">
        <f>_xll.BDP("FNDE1430 Mtge","MTG_ORIG_WAL")</f>
        <v>#N/A N/A</v>
      </c>
    </row>
    <row r="306" spans="1:9" x14ac:dyDescent="0.25">
      <c r="A306" t="str">
        <f>_xll.BDP("FNDE7771 Mtge","ID_CUSIP")</f>
        <v>3140BLT51</v>
      </c>
      <c r="B306" t="str">
        <f>_xll.BDP("FNDE7771 Mtge","SECURITY_NAME")</f>
        <v>FN DE7771</v>
      </c>
      <c r="C306" t="str">
        <f>_xll.BDP("FNDE7771 Mtge","GENERIC_TICKER_VINTAGE")</f>
        <v>FNCL 6 2025</v>
      </c>
      <c r="D306" t="str">
        <f>_xll.BDP("FNDE7771 Mtge","CRNCY")</f>
        <v>USD</v>
      </c>
      <c r="E306">
        <v>7064159</v>
      </c>
      <c r="F306">
        <f>_xll.BDP("FNDE7771 Mtge","CPN")</f>
        <v>6</v>
      </c>
      <c r="G306">
        <f>_xll.BDP("FNDE7771 Mtge","MTG_FACTOR")</f>
        <v>0.92266676999999997</v>
      </c>
      <c r="H306">
        <f>_xll.BDP("FNDE7771 Mtge","MTG_WAL")</f>
        <v>3.4499</v>
      </c>
      <c r="I306" t="str">
        <f>_xll.BDP("FNDE7771 Mtge","MTG_ORIG_WAL")</f>
        <v>#N/A N/A</v>
      </c>
    </row>
    <row r="307" spans="1:9" x14ac:dyDescent="0.25">
      <c r="A307" t="str">
        <f>_xll.BDP("FNFA1670 Mtge","ID_CUSIP")</f>
        <v>3140W12C6</v>
      </c>
      <c r="B307" t="str">
        <f>_xll.BDP("FNFA1670 Mtge","SECURITY_NAME")</f>
        <v>FN FA1670</v>
      </c>
      <c r="C307" t="str">
        <f>_xll.BDP("FNFA1670 Mtge","GENERIC_TICKER_VINTAGE")</f>
        <v>FNCL 6 2025</v>
      </c>
      <c r="D307" t="str">
        <f>_xll.BDP("FNFA1670 Mtge","CRNCY")</f>
        <v>USD</v>
      </c>
      <c r="E307">
        <v>58645158</v>
      </c>
      <c r="F307">
        <f>_xll.BDP("FNFA1670 Mtge","CPN")</f>
        <v>6</v>
      </c>
      <c r="G307">
        <f>_xll.BDP("FNFA1670 Mtge","MTG_FACTOR")</f>
        <v>0.93258015999999999</v>
      </c>
      <c r="H307">
        <f>_xll.BDP("FNFA1670 Mtge","MTG_WAL")</f>
        <v>3.2002999999999999</v>
      </c>
      <c r="I307" t="str">
        <f>_xll.BDP("FNFA1670 Mtge","MTG_ORIG_WAL")</f>
        <v>#N/A N/A</v>
      </c>
    </row>
    <row r="308" spans="1:9" x14ac:dyDescent="0.25">
      <c r="A308" t="str">
        <f>_xll.BDP("FNFS1026 Mtge","ID_CUSIP")</f>
        <v>3140XGD89</v>
      </c>
      <c r="B308" t="str">
        <f>_xll.BDP("FNFS1026 Mtge","SECURITY_NAME")</f>
        <v>FN FS1026</v>
      </c>
      <c r="C308" t="str">
        <f>_xll.BDP("FNFS1026 Mtge","GENERIC_TICKER_VINTAGE")</f>
        <v>FNCL 3 2021</v>
      </c>
      <c r="D308" t="str">
        <f>_xll.BDP("FNFS1026 Mtge","CRNCY")</f>
        <v>USD</v>
      </c>
      <c r="E308">
        <v>15195748</v>
      </c>
      <c r="F308">
        <f>_xll.BDP("FNFS1026 Mtge","CPN")</f>
        <v>3</v>
      </c>
      <c r="G308">
        <f>_xll.BDP("FNFS1026 Mtge","MTG_FACTOR")</f>
        <v>0.78919214000000004</v>
      </c>
      <c r="H308">
        <f>_xll.BDP("FNFS1026 Mtge","MTG_WAL")</f>
        <v>8.3271999999999995</v>
      </c>
      <c r="I308" t="str">
        <f>_xll.BDP("FNFS1026 Mtge","MTG_ORIG_WAL")</f>
        <v>#N/A N/A</v>
      </c>
    </row>
    <row r="309" spans="1:9" x14ac:dyDescent="0.25">
      <c r="A309" t="str">
        <f>_xll.BDP("FNFS1030 Mtge","ID_CUSIP")</f>
        <v>3140XGEC9</v>
      </c>
      <c r="B309" t="str">
        <f>_xll.BDP("FNFS1030 Mtge","SECURITY_NAME")</f>
        <v>FN FS1030</v>
      </c>
      <c r="C309" t="str">
        <f>_xll.BDP("FNFS1030 Mtge","GENERIC_TICKER_VINTAGE")</f>
        <v>FNCL 3 2021</v>
      </c>
      <c r="D309" t="str">
        <f>_xll.BDP("FNFS1030 Mtge","CRNCY")</f>
        <v>USD</v>
      </c>
      <c r="E309">
        <v>111181178</v>
      </c>
      <c r="F309">
        <f>_xll.BDP("FNFS1030 Mtge","CPN")</f>
        <v>3</v>
      </c>
      <c r="G309">
        <f>_xll.BDP("FNFS1030 Mtge","MTG_FACTOR")</f>
        <v>0.79434121999999996</v>
      </c>
      <c r="H309">
        <f>_xll.BDP("FNFS1030 Mtge","MTG_WAL")</f>
        <v>8.3347999999999995</v>
      </c>
      <c r="I309" t="str">
        <f>_xll.BDP("FNFS1030 Mtge","MTG_ORIG_WAL")</f>
        <v>#N/A N/A</v>
      </c>
    </row>
    <row r="310" spans="1:9" x14ac:dyDescent="0.25">
      <c r="A310" t="str">
        <f>_xll.BDP("FNFS1374 Mtge","ID_CUSIP")</f>
        <v>3140XGQ44</v>
      </c>
      <c r="B310" t="str">
        <f>_xll.BDP("FNFS1374 Mtge","SECURITY_NAME")</f>
        <v>FN FS1374</v>
      </c>
      <c r="C310" t="str">
        <f>_xll.BDP("FNFS1374 Mtge","GENERIC_TICKER_VINTAGE")</f>
        <v>FNCL 3 2021</v>
      </c>
      <c r="D310" t="str">
        <f>_xll.BDP("FNFS1374 Mtge","CRNCY")</f>
        <v>USD</v>
      </c>
      <c r="E310">
        <v>313636843</v>
      </c>
      <c r="F310">
        <f>_xll.BDP("FNFS1374 Mtge","CPN")</f>
        <v>3</v>
      </c>
      <c r="G310">
        <f>_xll.BDP("FNFS1374 Mtge","MTG_FACTOR")</f>
        <v>0.77219640000000001</v>
      </c>
      <c r="H310">
        <f>_xll.BDP("FNFS1374 Mtge","MTG_WAL")</f>
        <v>8.3431999999999995</v>
      </c>
      <c r="I310" t="str">
        <f>_xll.BDP("FNFS1374 Mtge","MTG_ORIG_WAL")</f>
        <v>#N/A N/A</v>
      </c>
    </row>
    <row r="311" spans="1:9" x14ac:dyDescent="0.25">
      <c r="A311" t="str">
        <f>_xll.BDP("FRQX9906 Mtge","ID_CUSIP")</f>
        <v>31426HAG8</v>
      </c>
      <c r="B311" t="str">
        <f>_xll.BDP("FRQX9906 Mtge","SECURITY_NAME")</f>
        <v>FR QX9906</v>
      </c>
      <c r="C311" t="str">
        <f>_xll.BDP("FRQX9906 Mtge","GENERIC_TICKER_VINTAGE")</f>
        <v>FNCL 6 2025</v>
      </c>
      <c r="D311" t="str">
        <f>_xll.BDP("FRQX9906 Mtge","CRNCY")</f>
        <v>USD</v>
      </c>
      <c r="E311">
        <v>9074526</v>
      </c>
      <c r="F311">
        <f>_xll.BDP("FRQX9906 Mtge","CPN")</f>
        <v>6</v>
      </c>
      <c r="G311">
        <f>_xll.BDP("FRQX9906 Mtge","MTG_FACTOR")</f>
        <v>0.86147094000000002</v>
      </c>
      <c r="H311">
        <f>_xll.BDP("FRQX9906 Mtge","MTG_WAL")</f>
        <v>3.1970000000000001</v>
      </c>
      <c r="I311" t="str">
        <f>_xll.BDP("FRQX9906 Mtge","MTG_ORIG_WAL")</f>
        <v>#N/A N/A</v>
      </c>
    </row>
    <row r="312" spans="1:9" x14ac:dyDescent="0.25">
      <c r="A312" t="str">
        <f>_xll.BDP("FRQX9926 Mtge","ID_CUSIP")</f>
        <v>31426HA45</v>
      </c>
      <c r="B312" t="str">
        <f>_xll.BDP("FRQX9926 Mtge","SECURITY_NAME")</f>
        <v>FR QX9926</v>
      </c>
      <c r="C312" t="str">
        <f>_xll.BDP("FRQX9926 Mtge","GENERIC_TICKER_VINTAGE")</f>
        <v>FNCL 6 2025</v>
      </c>
      <c r="D312" t="str">
        <f>_xll.BDP("FRQX9926 Mtge","CRNCY")</f>
        <v>USD</v>
      </c>
      <c r="E312">
        <v>8611048</v>
      </c>
      <c r="F312">
        <f>_xll.BDP("FRQX9926 Mtge","CPN")</f>
        <v>6</v>
      </c>
      <c r="G312">
        <f>_xll.BDP("FRQX9926 Mtge","MTG_FACTOR")</f>
        <v>0.84529052999999998</v>
      </c>
      <c r="H312">
        <f>_xll.BDP("FRQX9926 Mtge","MTG_WAL")</f>
        <v>3.1981999999999999</v>
      </c>
      <c r="I312" t="str">
        <f>_xll.BDP("FRQX9926 Mtge","MTG_ORIG_WAL")</f>
        <v>#N/A N/A</v>
      </c>
    </row>
    <row r="313" spans="1:9" x14ac:dyDescent="0.25">
      <c r="A313" t="str">
        <f>_xll.BDP("FRQY2018 Mtge","ID_CUSIP")</f>
        <v>31426LG40</v>
      </c>
      <c r="B313" t="str">
        <f>_xll.BDP("FRQY2018 Mtge","SECURITY_NAME")</f>
        <v>FR QY2018</v>
      </c>
      <c r="C313" t="str">
        <f>_xll.BDP("FRQY2018 Mtge","GENERIC_TICKER_VINTAGE")</f>
        <v>FNCL 6 2025</v>
      </c>
      <c r="D313" t="str">
        <f>_xll.BDP("FRQY2018 Mtge","CRNCY")</f>
        <v>USD</v>
      </c>
      <c r="E313">
        <v>9337844</v>
      </c>
      <c r="F313">
        <f>_xll.BDP("FRQY2018 Mtge","CPN")</f>
        <v>6</v>
      </c>
      <c r="G313">
        <f>_xll.BDP("FRQY2018 Mtge","MTG_FACTOR")</f>
        <v>0.84886170999999999</v>
      </c>
      <c r="H313">
        <f>_xll.BDP("FRQY2018 Mtge","MTG_WAL")</f>
        <v>3.2490999999999999</v>
      </c>
      <c r="I313" t="str">
        <f>_xll.BDP("FRQY2018 Mtge","MTG_ORIG_WAL")</f>
        <v>#N/A N/A</v>
      </c>
    </row>
    <row r="314" spans="1:9" x14ac:dyDescent="0.25">
      <c r="A314" t="str">
        <f>_xll.BDP("FRQY6933 Mtge","ID_CUSIP")</f>
        <v>31426RV32</v>
      </c>
      <c r="B314" t="str">
        <f>_xll.BDP("FRQY6933 Mtge","SECURITY_NAME")</f>
        <v>FR QY6933</v>
      </c>
      <c r="C314" t="str">
        <f>_xll.BDP("FRQY6933 Mtge","GENERIC_TICKER_VINTAGE")</f>
        <v>FNCL 6 2025</v>
      </c>
      <c r="D314" t="str">
        <f>_xll.BDP("FRQY6933 Mtge","CRNCY")</f>
        <v>USD</v>
      </c>
      <c r="E314">
        <v>36774922</v>
      </c>
      <c r="F314">
        <f>_xll.BDP("FRQY6933 Mtge","CPN")</f>
        <v>6</v>
      </c>
      <c r="G314">
        <f>_xll.BDP("FRQY6933 Mtge","MTG_FACTOR")</f>
        <v>0.93150312999999996</v>
      </c>
      <c r="H314">
        <f>_xll.BDP("FRQY6933 Mtge","MTG_WAL")</f>
        <v>3.3456000000000001</v>
      </c>
      <c r="I314" t="str">
        <f>_xll.BDP("FRQY6933 Mtge","MTG_ORIG_WAL")</f>
        <v>#N/A N/A</v>
      </c>
    </row>
    <row r="315" spans="1:9" x14ac:dyDescent="0.25">
      <c r="A315" t="str">
        <f>_xll.BDP("FRQY7099 Mtge","ID_CUSIP")</f>
        <v>31426R3H2</v>
      </c>
      <c r="B315" t="str">
        <f>_xll.BDP("FRQY7099 Mtge","SECURITY_NAME")</f>
        <v>FR QY7099</v>
      </c>
      <c r="C315" t="str">
        <f>_xll.BDP("FRQY7099 Mtge","GENERIC_TICKER_VINTAGE")</f>
        <v>FNCL 6 2025</v>
      </c>
      <c r="D315" t="str">
        <f>_xll.BDP("FRQY7099 Mtge","CRNCY")</f>
        <v>USD</v>
      </c>
      <c r="E315">
        <v>16886437</v>
      </c>
      <c r="F315">
        <f>_xll.BDP("FRQY7099 Mtge","CPN")</f>
        <v>6</v>
      </c>
      <c r="G315">
        <f>_xll.BDP("FRQY7099 Mtge","MTG_FACTOR")</f>
        <v>0.84343789000000002</v>
      </c>
      <c r="H315">
        <f>_xll.BDP("FRQY7099 Mtge","MTG_WAL")</f>
        <v>3.3980000000000001</v>
      </c>
      <c r="I315" t="str">
        <f>_xll.BDP("FRQY7099 Mtge","MTG_ORIG_WAL")</f>
        <v>#N/A N/A</v>
      </c>
    </row>
    <row r="316" spans="1:9" x14ac:dyDescent="0.25">
      <c r="A316" t="str">
        <f>_xll.BDP("FRRA5552 Mtge","ID_CUSIP")</f>
        <v>3133KMEZ4</v>
      </c>
      <c r="B316" t="str">
        <f>_xll.BDP("FRRA5552 Mtge","SECURITY_NAME")</f>
        <v>FR RA5552</v>
      </c>
      <c r="C316" t="str">
        <f>_xll.BDP("FRRA5552 Mtge","GENERIC_TICKER_VINTAGE")</f>
        <v>FNCL 3 2021</v>
      </c>
      <c r="D316" t="str">
        <f>_xll.BDP("FRRA5552 Mtge","CRNCY")</f>
        <v>USD</v>
      </c>
      <c r="E316">
        <v>250000998</v>
      </c>
      <c r="F316">
        <f>_xll.BDP("FRRA5552 Mtge","CPN")</f>
        <v>3</v>
      </c>
      <c r="G316">
        <f>_xll.BDP("FRRA5552 Mtge","MTG_FACTOR")</f>
        <v>0.66116788000000004</v>
      </c>
      <c r="H316">
        <f>_xll.BDP("FRRA5552 Mtge","MTG_WAL")</f>
        <v>8.2734000000000005</v>
      </c>
      <c r="I316" t="str">
        <f>_xll.BDP("FRRA5552 Mtge","MTG_ORIG_WAL")</f>
        <v>#N/A N/A</v>
      </c>
    </row>
    <row r="317" spans="1:9" x14ac:dyDescent="0.25">
      <c r="A317" t="str">
        <f>_xll.BDP("FRRA6427 Mtge","ID_CUSIP")</f>
        <v>3133KND83</v>
      </c>
      <c r="B317" t="str">
        <f>_xll.BDP("FRRA6427 Mtge","SECURITY_NAME")</f>
        <v>FR RA6427</v>
      </c>
      <c r="C317" t="str">
        <f>_xll.BDP("FRRA6427 Mtge","GENERIC_TICKER_VINTAGE")</f>
        <v>FNCL 3 2021</v>
      </c>
      <c r="D317" t="str">
        <f>_xll.BDP("FRRA6427 Mtge","CRNCY")</f>
        <v>USD</v>
      </c>
      <c r="E317">
        <v>177885463</v>
      </c>
      <c r="F317">
        <f>_xll.BDP("FRRA6427 Mtge","CPN")</f>
        <v>3</v>
      </c>
      <c r="G317">
        <f>_xll.BDP("FRRA6427 Mtge","MTG_FACTOR")</f>
        <v>0.74821747000000005</v>
      </c>
      <c r="H317">
        <f>_xll.BDP("FRRA6427 Mtge","MTG_WAL")</f>
        <v>8.3567</v>
      </c>
      <c r="I317" t="str">
        <f>_xll.BDP("FRRA6427 Mtge","MTG_ORIG_WAL")</f>
        <v>#N/A N/A</v>
      </c>
    </row>
    <row r="318" spans="1:9" x14ac:dyDescent="0.25">
      <c r="A318" t="str">
        <f>_xll.BDP("FRRA6605 Mtge","ID_CUSIP")</f>
        <v>3133KNKS1</v>
      </c>
      <c r="B318" t="str">
        <f>_xll.BDP("FRRA6605 Mtge","SECURITY_NAME")</f>
        <v>FR RA6605</v>
      </c>
      <c r="C318" t="str">
        <f>_xll.BDP("FRRA6605 Mtge","GENERIC_TICKER_VINTAGE")</f>
        <v>FNCL 3 2021</v>
      </c>
      <c r="D318" t="str">
        <f>_xll.BDP("FRRA6605 Mtge","CRNCY")</f>
        <v>USD</v>
      </c>
      <c r="E318">
        <v>181888822</v>
      </c>
      <c r="F318">
        <f>_xll.BDP("FRRA6605 Mtge","CPN")</f>
        <v>3</v>
      </c>
      <c r="G318">
        <f>_xll.BDP("FRRA6605 Mtge","MTG_FACTOR")</f>
        <v>0.71453613999999999</v>
      </c>
      <c r="H318">
        <f>_xll.BDP("FRRA6605 Mtge","MTG_WAL")</f>
        <v>8.4384999999999994</v>
      </c>
      <c r="I318" t="str">
        <f>_xll.BDP("FRRA6605 Mtge","MTG_ORIG_WAL")</f>
        <v>#N/A N/A</v>
      </c>
    </row>
    <row r="319" spans="1:9" x14ac:dyDescent="0.25">
      <c r="A319" t="str">
        <f>_xll.BDP("FRRJ3732 Mtge","ID_CUSIP")</f>
        <v>3142GUEE9</v>
      </c>
      <c r="B319" t="str">
        <f>_xll.BDP("FRRJ3732 Mtge","SECURITY_NAME")</f>
        <v>FR RJ3732</v>
      </c>
      <c r="C319" t="str">
        <f>_xll.BDP("FRRJ3732 Mtge","GENERIC_TICKER_VINTAGE")</f>
        <v>FNCL 6 2025</v>
      </c>
      <c r="D319" t="str">
        <f>_xll.BDP("FRRJ3732 Mtge","CRNCY")</f>
        <v>USD</v>
      </c>
      <c r="E319">
        <v>38557657</v>
      </c>
      <c r="F319">
        <f>_xll.BDP("FRRJ3732 Mtge","CPN")</f>
        <v>6</v>
      </c>
      <c r="G319">
        <f>_xll.BDP("FRRJ3732 Mtge","MTG_FACTOR")</f>
        <v>0.75977154000000002</v>
      </c>
      <c r="H319">
        <f>_xll.BDP("FRRJ3732 Mtge","MTG_WAL")</f>
        <v>3.2014</v>
      </c>
      <c r="I319" t="str">
        <f>_xll.BDP("FRRJ3732 Mtge","MTG_ORIG_WAL")</f>
        <v>#N/A N/A</v>
      </c>
    </row>
    <row r="320" spans="1:9" x14ac:dyDescent="0.25">
      <c r="A320" t="str">
        <f>_xll.BDP("FRSD1463 Mtge","ID_CUSIP")</f>
        <v>3132DNTU7</v>
      </c>
      <c r="B320" t="str">
        <f>_xll.BDP("FRSD1463 Mtge","SECURITY_NAME")</f>
        <v>FR SD1463</v>
      </c>
      <c r="C320" t="str">
        <f>_xll.BDP("FRSD1463 Mtge","GENERIC_TICKER_VINTAGE")</f>
        <v>FNCL 3 2021</v>
      </c>
      <c r="D320" t="str">
        <f>_xll.BDP("FRSD1463 Mtge","CRNCY")</f>
        <v>USD</v>
      </c>
      <c r="E320">
        <v>18566381</v>
      </c>
      <c r="F320">
        <f>_xll.BDP("FRSD1463 Mtge","CPN")</f>
        <v>3</v>
      </c>
      <c r="G320">
        <f>_xll.BDP("FRSD1463 Mtge","MTG_FACTOR")</f>
        <v>0.72307829000000001</v>
      </c>
      <c r="H320">
        <f>_xll.BDP("FRSD1463 Mtge","MTG_WAL")</f>
        <v>8.3557000000000006</v>
      </c>
      <c r="I320" t="str">
        <f>_xll.BDP("FRSD1463 Mtge","MTG_ORIG_WAL")</f>
        <v>#N/A N/A</v>
      </c>
    </row>
    <row r="321" spans="1:9" x14ac:dyDescent="0.25">
      <c r="A321" t="str">
        <f>_xll.BDP("FRSL1454 Mtge","ID_CUSIP")</f>
        <v>31427NTL3</v>
      </c>
      <c r="B321" t="str">
        <f>_xll.BDP("FRSL1454 Mtge","SECURITY_NAME")</f>
        <v>FR SL1454</v>
      </c>
      <c r="C321" t="str">
        <f>_xll.BDP("FRSL1454 Mtge","GENERIC_TICKER_VINTAGE")</f>
        <v>FNCL 6 2025</v>
      </c>
      <c r="D321" t="str">
        <f>_xll.BDP("FRSL1454 Mtge","CRNCY")</f>
        <v>USD</v>
      </c>
      <c r="E321">
        <v>27703303</v>
      </c>
      <c r="F321">
        <f>_xll.BDP("FRSL1454 Mtge","CPN")</f>
        <v>6</v>
      </c>
      <c r="G321">
        <f>_xll.BDP("FRSL1454 Mtge","MTG_FACTOR")</f>
        <v>0.91869568000000001</v>
      </c>
      <c r="H321">
        <f>_xll.BDP("FRSL1454 Mtge","MTG_WAL")</f>
        <v>3.2646999999999999</v>
      </c>
      <c r="I321" t="str">
        <f>_xll.BDP("FRSL1454 Mtge","MTG_ORIG_WAL")</f>
        <v>#N/A N/A</v>
      </c>
    </row>
    <row r="322" spans="1:9" x14ac:dyDescent="0.25">
      <c r="A322" t="str">
        <f>_xll.BDP("!!02R6YD Mtge","ID_CUSIP")</f>
        <v>3137FXZT8</v>
      </c>
      <c r="B322" t="str">
        <f>_xll.BDP("!!02R6YD Mtge","SECURITY_NAME")</f>
        <v>FHR 5095 NZ</v>
      </c>
      <c r="C322" t="str">
        <f>_xll.BDP("!!02R6YD Mtge","GENERIC_TICKER_VINTAGE")</f>
        <v>FNCL 3 2021</v>
      </c>
      <c r="D322" t="str">
        <f>_xll.BDP("!!02R6YD Mtge","CRNCY")</f>
        <v>USD</v>
      </c>
      <c r="E322">
        <v>20000000</v>
      </c>
      <c r="F322">
        <f>_xll.BDP("!!02R6YD Mtge","CPN")</f>
        <v>1.5</v>
      </c>
      <c r="G322">
        <f>_xll.BDP("!!02R6YD Mtge","MTG_FACTOR")</f>
        <v>0.38791487000000002</v>
      </c>
      <c r="H322">
        <f>_xll.BDP("!!02R6YD Mtge","MTG_WAL")</f>
        <v>18.832000000000001</v>
      </c>
      <c r="I322">
        <f>_xll.BDP("!!02R6YD Mtge","MTG_ORIG_WAL")</f>
        <v>12.9</v>
      </c>
    </row>
    <row r="323" spans="1:9" x14ac:dyDescent="0.25">
      <c r="A323" t="str">
        <f>_xll.BDP("!!033Q6J Mtge","ID_CUSIP")</f>
        <v>3136BKAM4</v>
      </c>
      <c r="B323" t="str">
        <f>_xll.BDP("!!033Q6J Mtge","SECURITY_NAME")</f>
        <v>FNR 2021-81 ZD</v>
      </c>
      <c r="C323" t="str">
        <f>_xll.BDP("!!033Q6J Mtge","GENERIC_TICKER_VINTAGE")</f>
        <v>FNCL 3 2021</v>
      </c>
      <c r="D323" t="str">
        <f>_xll.BDP("!!033Q6J Mtge","CRNCY")</f>
        <v>USD</v>
      </c>
      <c r="E323">
        <v>10000000</v>
      </c>
      <c r="F323">
        <f>_xll.BDP("!!033Q6J Mtge","CPN")</f>
        <v>2.5</v>
      </c>
      <c r="G323">
        <f>_xll.BDP("!!033Q6J Mtge","MTG_FACTOR")</f>
        <v>0.88048760999999998</v>
      </c>
      <c r="H323">
        <f>_xll.BDP("!!033Q6J Mtge","MTG_WAL")</f>
        <v>18.314800000000002</v>
      </c>
      <c r="I323">
        <f>_xll.BDP("!!033Q6J Mtge","MTG_ORIG_WAL")</f>
        <v>12.79307</v>
      </c>
    </row>
    <row r="324" spans="1:9" x14ac:dyDescent="0.25">
      <c r="A324" t="str">
        <f>_xll.BDP("!!033TX1 Mtge","ID_CUSIP")</f>
        <v>3137H4HS2</v>
      </c>
      <c r="B324" t="str">
        <f>_xll.BDP("!!033TX1 Mtge","SECURITY_NAME")</f>
        <v>FHR 5169 YA</v>
      </c>
      <c r="C324" t="str">
        <f>_xll.BDP("!!033TX1 Mtge","GENERIC_TICKER_VINTAGE")</f>
        <v>FNCL 3 2021</v>
      </c>
      <c r="D324" t="str">
        <f>_xll.BDP("!!033TX1 Mtge","CRNCY")</f>
        <v>USD</v>
      </c>
      <c r="E324">
        <v>18492026</v>
      </c>
      <c r="F324">
        <f>_xll.BDP("!!033TX1 Mtge","CPN")</f>
        <v>2</v>
      </c>
      <c r="G324">
        <f>_xll.BDP("!!033TX1 Mtge","MTG_FACTOR")</f>
        <v>0.68747347000000003</v>
      </c>
      <c r="H324">
        <f>_xll.BDP("!!033TX1 Mtge","MTG_WAL")</f>
        <v>18.665900000000001</v>
      </c>
      <c r="I324">
        <f>_xll.BDP("!!033TX1 Mtge","MTG_ORIG_WAL")</f>
        <v>9.6999999999999993</v>
      </c>
    </row>
    <row r="325" spans="1:9" x14ac:dyDescent="0.25">
      <c r="A325" t="str">
        <f>_xll.BDP("!!0345FF Mtge","ID_CUSIP")</f>
        <v>3136BKL91</v>
      </c>
      <c r="B325" t="str">
        <f>_xll.BDP("!!0345FF Mtge","SECURITY_NAME")</f>
        <v>FNR 2021-92 CD</v>
      </c>
      <c r="C325" t="str">
        <f>_xll.BDP("!!0345FF Mtge","GENERIC_TICKER_VINTAGE")</f>
        <v>FNCL 3 2021</v>
      </c>
      <c r="D325" t="str">
        <f>_xll.BDP("!!0345FF Mtge","CRNCY")</f>
        <v>USD</v>
      </c>
      <c r="E325">
        <v>160327000</v>
      </c>
      <c r="F325">
        <f>_xll.BDP("!!0345FF Mtge","CPN")</f>
        <v>1.75</v>
      </c>
      <c r="G325">
        <f>_xll.BDP("!!0345FF Mtge","MTG_FACTOR")</f>
        <v>0.74629445999999999</v>
      </c>
      <c r="H325">
        <f>_xll.BDP("!!0345FF Mtge","MTG_WAL")</f>
        <v>6.1509</v>
      </c>
      <c r="I325">
        <f>_xll.BDP("!!0345FF Mtge","MTG_ORIG_WAL")</f>
        <v>5.6</v>
      </c>
    </row>
    <row r="326" spans="1:9" x14ac:dyDescent="0.25">
      <c r="A326" t="str">
        <f>_xll.BDP("!!0345YW Mtge","ID_CUSIP")</f>
        <v>3137H4ZM5</v>
      </c>
      <c r="B326" t="str">
        <f>_xll.BDP("!!0345YW Mtge","SECURITY_NAME")</f>
        <v>FHR 5183 KD</v>
      </c>
      <c r="C326" t="str">
        <f>_xll.BDP("!!0345YW Mtge","GENERIC_TICKER_VINTAGE")</f>
        <v>FNCL 3 2021</v>
      </c>
      <c r="D326" t="str">
        <f>_xll.BDP("!!0345YW Mtge","CRNCY")</f>
        <v>USD</v>
      </c>
      <c r="E326">
        <v>210000000</v>
      </c>
      <c r="F326">
        <f>_xll.BDP("!!0345YW Mtge","CPN")</f>
        <v>1.75</v>
      </c>
      <c r="G326">
        <f>_xll.BDP("!!0345YW Mtge","MTG_FACTOR")</f>
        <v>0.72939160999999997</v>
      </c>
      <c r="H326">
        <f>_xll.BDP("!!0345YW Mtge","MTG_WAL")</f>
        <v>6.7641</v>
      </c>
      <c r="I326">
        <f>_xll.BDP("!!0345YW Mtge","MTG_ORIG_WAL")</f>
        <v>5.8</v>
      </c>
    </row>
    <row r="327" spans="1:9" x14ac:dyDescent="0.25">
      <c r="A327" t="str">
        <f>_xll.BDP("!!03LT6P Mtge","ID_CUSIP")</f>
        <v>3137HLAQ5</v>
      </c>
      <c r="B327" t="str">
        <f>_xll.BDP("!!03LT6P Mtge","SECURITY_NAME")</f>
        <v>FHR 5542 S</v>
      </c>
      <c r="C327" t="str">
        <f>_xll.BDP("!!03LT6P Mtge","GENERIC_TICKER_VINTAGE")</f>
        <v>FNCL 6 2025</v>
      </c>
      <c r="D327" t="str">
        <f>_xll.BDP("!!03LT6P Mtge","CRNCY")</f>
        <v>USD</v>
      </c>
      <c r="E327">
        <v>276620801</v>
      </c>
      <c r="F327">
        <f>_xll.BDP("!!03LT6P Mtge","CPN")</f>
        <v>0.58279000000000003</v>
      </c>
      <c r="G327">
        <f>_xll.BDP("!!03LT6P Mtge","MTG_FACTOR")</f>
        <v>0.71002679999999996</v>
      </c>
      <c r="H327">
        <f>_xll.BDP("!!03LT6P Mtge","MTG_WAL")</f>
        <v>2.9784999999999999</v>
      </c>
      <c r="I327">
        <f>_xll.BDP("!!03LT6P Mtge","MTG_ORIG_WAL")</f>
        <v>6.6</v>
      </c>
    </row>
    <row r="328" spans="1:9" x14ac:dyDescent="0.25">
      <c r="A328" t="str">
        <f>_xll.BDP("!!03LZBH Mtge","ID_CUSIP")</f>
        <v>3137HLG63</v>
      </c>
      <c r="B328" t="str">
        <f>_xll.BDP("!!03LZBH Mtge","SECURITY_NAME")</f>
        <v>FHR 5534 TD</v>
      </c>
      <c r="C328" t="str">
        <f>_xll.BDP("!!03LZBH Mtge","GENERIC_TICKER_VINTAGE")</f>
        <v>FNCL 6 2025</v>
      </c>
      <c r="D328" t="str">
        <f>_xll.BDP("!!03LZBH Mtge","CRNCY")</f>
        <v>USD</v>
      </c>
      <c r="E328">
        <v>100000000</v>
      </c>
      <c r="F328">
        <f>_xll.BDP("!!03LZBH Mtge","CPN")</f>
        <v>0.25</v>
      </c>
      <c r="G328">
        <f>_xll.BDP("!!03LZBH Mtge","MTG_FACTOR")</f>
        <v>0.75194156999999995</v>
      </c>
      <c r="H328">
        <f>_xll.BDP("!!03LZBH Mtge","MTG_WAL")</f>
        <v>3.0621999999999998</v>
      </c>
      <c r="I328">
        <f>_xll.BDP("!!03LZBH Mtge","MTG_ORIG_WAL")</f>
        <v>6.3</v>
      </c>
    </row>
    <row r="329" spans="1:9" x14ac:dyDescent="0.25">
      <c r="A329" t="str">
        <f>_xll.BDP("!!03MBH7 Mtge","ID_CUSIP")</f>
        <v>3137HLTG7</v>
      </c>
      <c r="B329" t="str">
        <f>_xll.BDP("!!03MBH7 Mtge","SECURITY_NAME")</f>
        <v>FHR 5549 SC</v>
      </c>
      <c r="C329" t="str">
        <f>_xll.BDP("!!03MBH7 Mtge","GENERIC_TICKER_VINTAGE")</f>
        <v>FNCL 6 2025</v>
      </c>
      <c r="D329" t="str">
        <f>_xll.BDP("!!03MBH7 Mtge","CRNCY")</f>
        <v>USD</v>
      </c>
      <c r="E329">
        <v>150000000</v>
      </c>
      <c r="F329">
        <f>_xll.BDP("!!03MBH7 Mtge","CPN")</f>
        <v>1.3327899999999999</v>
      </c>
      <c r="G329">
        <f>_xll.BDP("!!03MBH7 Mtge","MTG_FACTOR")</f>
        <v>0.89904198999999996</v>
      </c>
      <c r="H329">
        <f>_xll.BDP("!!03MBH7 Mtge","MTG_WAL")</f>
        <v>3.2111000000000001</v>
      </c>
      <c r="I329">
        <f>_xll.BDP("!!03MBH7 Mtge","MTG_ORIG_WAL")</f>
        <v>6.7</v>
      </c>
    </row>
    <row r="330" spans="1:9" x14ac:dyDescent="0.25">
      <c r="A330" t="str">
        <f>_xll.BDP("!!03MJ0H Mtge","ID_CUSIP")</f>
        <v>3137HLS86</v>
      </c>
      <c r="B330" t="str">
        <f>_xll.BDP("!!03MJ0H Mtge","SECURITY_NAME")</f>
        <v>FHR 5549 CD</v>
      </c>
      <c r="C330" t="str">
        <f>_xll.BDP("!!03MJ0H Mtge","GENERIC_TICKER_VINTAGE")</f>
        <v>FNCL 6 2025</v>
      </c>
      <c r="D330" t="str">
        <f>_xll.BDP("!!03MJ0H Mtge","CRNCY")</f>
        <v>USD</v>
      </c>
      <c r="E330">
        <v>51887000</v>
      </c>
      <c r="F330">
        <f>_xll.BDP("!!03MJ0H Mtge","CPN")</f>
        <v>5</v>
      </c>
      <c r="G330">
        <f>_xll.BDP("!!03MJ0H Mtge","MTG_FACTOR")</f>
        <v>0.85407036999999997</v>
      </c>
      <c r="H330">
        <f>_xll.BDP("!!03MJ0H Mtge","MTG_WAL")</f>
        <v>1.7304999999999999</v>
      </c>
      <c r="I330">
        <f>_xll.BDP("!!03MJ0H Mtge","MTG_ORIG_WAL")</f>
        <v>3.8</v>
      </c>
    </row>
    <row r="331" spans="1:9" x14ac:dyDescent="0.25">
      <c r="A331" t="str">
        <f>_xll.BDP("!!03N1JM Mtge","ID_CUSIP")</f>
        <v>3137HM3D0</v>
      </c>
      <c r="B331" t="str">
        <f>_xll.BDP("!!03N1JM Mtge","SECURITY_NAME")</f>
        <v>FHR 5555 ZE</v>
      </c>
      <c r="C331" t="str">
        <f>_xll.BDP("!!03N1JM Mtge","GENERIC_TICKER_VINTAGE")</f>
        <v>FNCL 6 2025</v>
      </c>
      <c r="D331" t="str">
        <f>_xll.BDP("!!03N1JM Mtge","CRNCY")</f>
        <v>USD</v>
      </c>
      <c r="E331">
        <v>6876632</v>
      </c>
      <c r="F331">
        <f>_xll.BDP("!!03N1JM Mtge","CPN")</f>
        <v>5</v>
      </c>
      <c r="G331">
        <f>_xll.BDP("!!03N1JM Mtge","MTG_FACTOR")</f>
        <v>1.0381311099999999</v>
      </c>
      <c r="H331">
        <f>_xll.BDP("!!03N1JM Mtge","MTG_WAL")</f>
        <v>7.1132</v>
      </c>
      <c r="I331">
        <f>_xll.BDP("!!03N1JM Mtge","MTG_ORIG_WAL")</f>
        <v>13.7</v>
      </c>
    </row>
    <row r="332" spans="1:9" x14ac:dyDescent="0.25">
      <c r="A332" t="str">
        <f>_xll.BDP("!!03NR5F Mtge","ID_CUSIP")</f>
        <v>3137HMHM5</v>
      </c>
      <c r="B332" t="str">
        <f>_xll.BDP("!!03NR5F Mtge","SECURITY_NAME")</f>
        <v>FHR 5566 DF</v>
      </c>
      <c r="C332" t="str">
        <f>_xll.BDP("!!03NR5F Mtge","GENERIC_TICKER_VINTAGE")</f>
        <v>FNCL 3 2021</v>
      </c>
      <c r="D332" t="str">
        <f>_xll.BDP("!!03NR5F Mtge","CRNCY")</f>
        <v>USD</v>
      </c>
      <c r="E332">
        <v>15655932</v>
      </c>
      <c r="F332">
        <f>_xll.BDP("!!03NR5F Mtge","CPN")</f>
        <v>4.61721</v>
      </c>
      <c r="G332">
        <f>_xll.BDP("!!03NR5F Mtge","MTG_FACTOR")</f>
        <v>0.93836925000000004</v>
      </c>
      <c r="H332">
        <f>_xll.BDP("!!03NR5F Mtge","MTG_WAL")</f>
        <v>8.2375000000000007</v>
      </c>
      <c r="I332">
        <f>_xll.BDP("!!03NR5F Mtge","MTG_ORIG_WAL")</f>
        <v>9</v>
      </c>
    </row>
    <row r="333" spans="1:9" x14ac:dyDescent="0.25">
      <c r="A333" t="str">
        <f>_xll.BDP("!!03NS62 Mtge","ID_CUSIP")</f>
        <v>3137HMLP3</v>
      </c>
      <c r="B333" t="str">
        <f>_xll.BDP("!!03NS62 Mtge","SECURITY_NAME")</f>
        <v>FHR 5563 TB</v>
      </c>
      <c r="C333" t="str">
        <f>_xll.BDP("!!03NS62 Mtge","GENERIC_TICKER_VINTAGE")</f>
        <v>FNCL 6 2025</v>
      </c>
      <c r="D333" t="str">
        <f>_xll.BDP("!!03NS62 Mtge","CRNCY")</f>
        <v>USD</v>
      </c>
      <c r="E333">
        <v>75000000</v>
      </c>
      <c r="F333">
        <f>_xll.BDP("!!03NS62 Mtge","CPN")</f>
        <v>8.25</v>
      </c>
      <c r="G333">
        <f>_xll.BDP("!!03NS62 Mtge","MTG_FACTOR")</f>
        <v>0.80760430000000005</v>
      </c>
      <c r="H333">
        <f>_xll.BDP("!!03NS62 Mtge","MTG_WAL")</f>
        <v>3.1322999999999999</v>
      </c>
      <c r="I333">
        <f>_xll.BDP("!!03NS62 Mtge","MTG_ORIG_WAL")</f>
        <v>6.2</v>
      </c>
    </row>
    <row r="334" spans="1:9" x14ac:dyDescent="0.25">
      <c r="A334" t="str">
        <f>_xll.BDP("FNBV1628 Mtge","ID_CUSIP")</f>
        <v>3140MEY26</v>
      </c>
      <c r="B334" t="str">
        <f>_xll.BDP("FNBV1628 Mtge","SECURITY_NAME")</f>
        <v>FN BV1628</v>
      </c>
      <c r="C334" t="str">
        <f>_xll.BDP("FNBV1628 Mtge","GENERIC_TICKER_VINTAGE")</f>
        <v>FNCL 6 2025</v>
      </c>
      <c r="D334" t="str">
        <f>_xll.BDP("FNBV1628 Mtge","CRNCY")</f>
        <v>USD</v>
      </c>
      <c r="E334">
        <v>14833355</v>
      </c>
      <c r="F334">
        <f>_xll.BDP("FNBV1628 Mtge","CPN")</f>
        <v>6</v>
      </c>
      <c r="G334">
        <f>_xll.BDP("FNBV1628 Mtge","MTG_FACTOR")</f>
        <v>0.70342000000000005</v>
      </c>
      <c r="H334">
        <f>_xll.BDP("FNBV1628 Mtge","MTG_WAL")</f>
        <v>3.2120000000000002</v>
      </c>
      <c r="I334" t="str">
        <f>_xll.BDP("FNBV1628 Mtge","MTG_ORIG_WAL")</f>
        <v>#N/A N/A</v>
      </c>
    </row>
    <row r="335" spans="1:9" x14ac:dyDescent="0.25">
      <c r="A335" t="str">
        <f>_xll.BDP("FNCB0613 Mtge","ID_CUSIP")</f>
        <v>3140QKVF2</v>
      </c>
      <c r="B335" t="str">
        <f>_xll.BDP("FNCB0613 Mtge","SECURITY_NAME")</f>
        <v>FN CB0613</v>
      </c>
      <c r="C335" t="str">
        <f>_xll.BDP("FNCB0613 Mtge","GENERIC_TICKER_VINTAGE")</f>
        <v>FNCL 3 2021</v>
      </c>
      <c r="D335" t="str">
        <f>_xll.BDP("FNCB0613 Mtge","CRNCY")</f>
        <v>USD</v>
      </c>
      <c r="E335">
        <v>150627419</v>
      </c>
      <c r="F335">
        <f>_xll.BDP("FNCB0613 Mtge","CPN")</f>
        <v>3</v>
      </c>
      <c r="G335">
        <f>_xll.BDP("FNCB0613 Mtge","MTG_FACTOR")</f>
        <v>0.67193016999999999</v>
      </c>
      <c r="H335">
        <f>_xll.BDP("FNCB0613 Mtge","MTG_WAL")</f>
        <v>8.2051999999999996</v>
      </c>
      <c r="I335" t="str">
        <f>_xll.BDP("FNCB0613 Mtge","MTG_ORIG_WAL")</f>
        <v>#N/A N/A</v>
      </c>
    </row>
    <row r="336" spans="1:9" x14ac:dyDescent="0.25">
      <c r="A336" t="str">
        <f>_xll.BDP("FNCB2800 Mtge","ID_CUSIP")</f>
        <v>3140QNDE9</v>
      </c>
      <c r="B336" t="str">
        <f>_xll.BDP("FNCB2800 Mtge","SECURITY_NAME")</f>
        <v>FN CB2800</v>
      </c>
      <c r="C336" t="str">
        <f>_xll.BDP("FNCB2800 Mtge","GENERIC_TICKER_VINTAGE")</f>
        <v>FNCL 3 2021</v>
      </c>
      <c r="D336" t="str">
        <f>_xll.BDP("FNCB2800 Mtge","CRNCY")</f>
        <v>USD</v>
      </c>
      <c r="E336">
        <v>250542516</v>
      </c>
      <c r="F336">
        <f>_xll.BDP("FNCB2800 Mtge","CPN")</f>
        <v>3</v>
      </c>
      <c r="G336">
        <f>_xll.BDP("FNCB2800 Mtge","MTG_FACTOR")</f>
        <v>0.78948114999999996</v>
      </c>
      <c r="H336">
        <f>_xll.BDP("FNCB2800 Mtge","MTG_WAL")</f>
        <v>8.3285</v>
      </c>
      <c r="I336" t="str">
        <f>_xll.BDP("FNCB2800 Mtge","MTG_ORIG_WAL")</f>
        <v>#N/A N/A</v>
      </c>
    </row>
    <row r="337" spans="1:9" x14ac:dyDescent="0.25">
      <c r="A337" t="str">
        <f>_xll.BDP("FNCC0125 Mtge","ID_CUSIP")</f>
        <v>3140Y6D72</v>
      </c>
      <c r="B337" t="str">
        <f>_xll.BDP("FNCC0125 Mtge","SECURITY_NAME")</f>
        <v>FN CC0125</v>
      </c>
      <c r="C337" t="str">
        <f>_xll.BDP("FNCC0125 Mtge","GENERIC_TICKER_VINTAGE")</f>
        <v>FNCL 6 2025</v>
      </c>
      <c r="D337" t="str">
        <f>_xll.BDP("FNCC0125 Mtge","CRNCY")</f>
        <v>USD</v>
      </c>
      <c r="E337">
        <v>70061732</v>
      </c>
      <c r="F337">
        <f>_xll.BDP("FNCC0125 Mtge","CPN")</f>
        <v>6</v>
      </c>
      <c r="G337">
        <f>_xll.BDP("FNCC0125 Mtge","MTG_FACTOR")</f>
        <v>0.82258249999999999</v>
      </c>
      <c r="H337">
        <f>_xll.BDP("FNCC0125 Mtge","MTG_WAL")</f>
        <v>3.1616</v>
      </c>
      <c r="I337" t="str">
        <f>_xll.BDP("FNCC0125 Mtge","MTG_ORIG_WAL")</f>
        <v>#N/A N/A</v>
      </c>
    </row>
    <row r="338" spans="1:9" x14ac:dyDescent="0.25">
      <c r="A338" t="str">
        <f>_xll.BDP("FNDD7347 Mtge","ID_CUSIP")</f>
        <v>3140B8EV9</v>
      </c>
      <c r="B338" t="str">
        <f>_xll.BDP("FNDD7347 Mtge","SECURITY_NAME")</f>
        <v>FN DD7347</v>
      </c>
      <c r="C338" t="str">
        <f>_xll.BDP("FNDD7347 Mtge","GENERIC_TICKER_VINTAGE")</f>
        <v>FNCL 6 2025</v>
      </c>
      <c r="D338" t="str">
        <f>_xll.BDP("FNDD7347 Mtge","CRNCY")</f>
        <v>USD</v>
      </c>
      <c r="E338">
        <v>9516655</v>
      </c>
      <c r="F338">
        <f>_xll.BDP("FNDD7347 Mtge","CPN")</f>
        <v>6</v>
      </c>
      <c r="G338">
        <f>_xll.BDP("FNDD7347 Mtge","MTG_FACTOR")</f>
        <v>0.69148862</v>
      </c>
      <c r="H338">
        <f>_xll.BDP("FNDD7347 Mtge","MTG_WAL")</f>
        <v>3.2465999999999999</v>
      </c>
      <c r="I338" t="str">
        <f>_xll.BDP("FNDD7347 Mtge","MTG_ORIG_WAL")</f>
        <v>#N/A N/A</v>
      </c>
    </row>
    <row r="339" spans="1:9" x14ac:dyDescent="0.25">
      <c r="A339" t="str">
        <f>_xll.BDP("FNDD9584 Mtge","ID_CUSIP")</f>
        <v>3140BAUJ3</v>
      </c>
      <c r="B339" t="str">
        <f>_xll.BDP("FNDD9584 Mtge","SECURITY_NAME")</f>
        <v>FN DD9584</v>
      </c>
      <c r="C339" t="str">
        <f>_xll.BDP("FNDD9584 Mtge","GENERIC_TICKER_VINTAGE")</f>
        <v>FNCL 6 2025</v>
      </c>
      <c r="D339" t="str">
        <f>_xll.BDP("FNDD9584 Mtge","CRNCY")</f>
        <v>USD</v>
      </c>
      <c r="E339">
        <v>665420</v>
      </c>
      <c r="F339">
        <f>_xll.BDP("FNDD9584 Mtge","CPN")</f>
        <v>6</v>
      </c>
      <c r="G339">
        <f>_xll.BDP("FNDD9584 Mtge","MTG_FACTOR")</f>
        <v>0.98503079000000004</v>
      </c>
      <c r="H339">
        <f>_xll.BDP("FNDD9584 Mtge","MTG_WAL")</f>
        <v>3.2393000000000001</v>
      </c>
      <c r="I339" t="str">
        <f>_xll.BDP("FNDD9584 Mtge","MTG_ORIG_WAL")</f>
        <v>#N/A N/A</v>
      </c>
    </row>
    <row r="340" spans="1:9" x14ac:dyDescent="0.25">
      <c r="A340" t="str">
        <f>_xll.BDP("FNDE0751 Mtge","ID_CUSIP")</f>
        <v>3140BCZR6</v>
      </c>
      <c r="B340" t="str">
        <f>_xll.BDP("FNDE0751 Mtge","SECURITY_NAME")</f>
        <v>FN DE0751</v>
      </c>
      <c r="C340" t="str">
        <f>_xll.BDP("FNDE0751 Mtge","GENERIC_TICKER_VINTAGE")</f>
        <v>FNCL 6 2025</v>
      </c>
      <c r="D340" t="str">
        <f>_xll.BDP("FNDE0751 Mtge","CRNCY")</f>
        <v>USD</v>
      </c>
      <c r="E340">
        <v>25031032</v>
      </c>
      <c r="F340">
        <f>_xll.BDP("FNDE0751 Mtge","CPN")</f>
        <v>6</v>
      </c>
      <c r="G340">
        <f>_xll.BDP("FNDE0751 Mtge","MTG_FACTOR")</f>
        <v>0.74214053000000002</v>
      </c>
      <c r="H340">
        <f>_xll.BDP("FNDE0751 Mtge","MTG_WAL")</f>
        <v>3.3418000000000001</v>
      </c>
      <c r="I340" t="str">
        <f>_xll.BDP("FNDE0751 Mtge","MTG_ORIG_WAL")</f>
        <v>#N/A N/A</v>
      </c>
    </row>
    <row r="341" spans="1:9" x14ac:dyDescent="0.25">
      <c r="A341" t="str">
        <f>_xll.BDP("FNDE1630 Mtge","ID_CUSIP")</f>
        <v>3140BDY46</v>
      </c>
      <c r="B341" t="str">
        <f>_xll.BDP("FNDE1630 Mtge","SECURITY_NAME")</f>
        <v>FN DE1630</v>
      </c>
      <c r="C341" t="str">
        <f>_xll.BDP("FNDE1630 Mtge","GENERIC_TICKER_VINTAGE")</f>
        <v>FNCL 6 2025</v>
      </c>
      <c r="D341" t="str">
        <f>_xll.BDP("FNDE1630 Mtge","CRNCY")</f>
        <v>USD</v>
      </c>
      <c r="E341">
        <v>2789238</v>
      </c>
      <c r="F341">
        <f>_xll.BDP("FNDE1630 Mtge","CPN")</f>
        <v>6</v>
      </c>
      <c r="G341">
        <f>_xll.BDP("FNDE1630 Mtge","MTG_FACTOR")</f>
        <v>0.90599562</v>
      </c>
      <c r="H341">
        <f>_xll.BDP("FNDE1630 Mtge","MTG_WAL")</f>
        <v>3.2726000000000002</v>
      </c>
      <c r="I341" t="str">
        <f>_xll.BDP("FNDE1630 Mtge","MTG_ORIG_WAL")</f>
        <v>#N/A N/A</v>
      </c>
    </row>
    <row r="342" spans="1:9" x14ac:dyDescent="0.25">
      <c r="A342" t="str">
        <f>_xll.BDP("FNDE2537 Mtge","ID_CUSIP")</f>
        <v>3140BEZB7</v>
      </c>
      <c r="B342" t="str">
        <f>_xll.BDP("FNDE2537 Mtge","SECURITY_NAME")</f>
        <v>FN DE2537</v>
      </c>
      <c r="C342" t="str">
        <f>_xll.BDP("FNDE2537 Mtge","GENERIC_TICKER_VINTAGE")</f>
        <v>FNCL 6 2025</v>
      </c>
      <c r="D342" t="str">
        <f>_xll.BDP("FNDE2537 Mtge","CRNCY")</f>
        <v>USD</v>
      </c>
      <c r="E342">
        <v>5054822</v>
      </c>
      <c r="F342">
        <f>_xll.BDP("FNDE2537 Mtge","CPN")</f>
        <v>6</v>
      </c>
      <c r="G342">
        <f>_xll.BDP("FNDE2537 Mtge","MTG_FACTOR")</f>
        <v>0.91381942999999999</v>
      </c>
      <c r="H342">
        <f>_xll.BDP("FNDE2537 Mtge","MTG_WAL")</f>
        <v>3.3454000000000002</v>
      </c>
      <c r="I342" t="str">
        <f>_xll.BDP("FNDE2537 Mtge","MTG_ORIG_WAL")</f>
        <v>#N/A N/A</v>
      </c>
    </row>
    <row r="343" spans="1:9" x14ac:dyDescent="0.25">
      <c r="A343" t="str">
        <f>_xll.BDP("FNDE2660 Mtge","ID_CUSIP")</f>
        <v>3140BE5W4</v>
      </c>
      <c r="B343" t="str">
        <f>_xll.BDP("FNDE2660 Mtge","SECURITY_NAME")</f>
        <v>FN DE2660</v>
      </c>
      <c r="C343" t="str">
        <f>_xll.BDP("FNDE2660 Mtge","GENERIC_TICKER_VINTAGE")</f>
        <v>FNCL 6 2025</v>
      </c>
      <c r="D343" t="str">
        <f>_xll.BDP("FNDE2660 Mtge","CRNCY")</f>
        <v>USD</v>
      </c>
      <c r="E343">
        <v>2836765</v>
      </c>
      <c r="F343">
        <f>_xll.BDP("FNDE2660 Mtge","CPN")</f>
        <v>6</v>
      </c>
      <c r="G343">
        <f>_xll.BDP("FNDE2660 Mtge","MTG_FACTOR")</f>
        <v>0.99040468000000004</v>
      </c>
      <c r="H343">
        <f>_xll.BDP("FNDE2660 Mtge","MTG_WAL")</f>
        <v>3.3429000000000002</v>
      </c>
      <c r="I343" t="str">
        <f>_xll.BDP("FNDE2660 Mtge","MTG_ORIG_WAL")</f>
        <v>#N/A N/A</v>
      </c>
    </row>
    <row r="344" spans="1:9" x14ac:dyDescent="0.25">
      <c r="A344" t="str">
        <f>_xll.BDP("FNDE2772 Mtge","ID_CUSIP")</f>
        <v>3140BFCJ2</v>
      </c>
      <c r="B344" t="str">
        <f>_xll.BDP("FNDE2772 Mtge","SECURITY_NAME")</f>
        <v>FN DE2772</v>
      </c>
      <c r="C344" t="str">
        <f>_xll.BDP("FNDE2772 Mtge","GENERIC_TICKER_VINTAGE")</f>
        <v>FNCL 6 2025</v>
      </c>
      <c r="D344" t="str">
        <f>_xll.BDP("FNDE2772 Mtge","CRNCY")</f>
        <v>USD</v>
      </c>
      <c r="E344">
        <v>1452167</v>
      </c>
      <c r="F344">
        <f>_xll.BDP("FNDE2772 Mtge","CPN")</f>
        <v>6</v>
      </c>
      <c r="G344">
        <f>_xll.BDP("FNDE2772 Mtge","MTG_FACTOR")</f>
        <v>0.92979716000000001</v>
      </c>
      <c r="H344">
        <f>_xll.BDP("FNDE2772 Mtge","MTG_WAL")</f>
        <v>3.2938999999999998</v>
      </c>
      <c r="I344" t="str">
        <f>_xll.BDP("FNDE2772 Mtge","MTG_ORIG_WAL")</f>
        <v>#N/A N/A</v>
      </c>
    </row>
    <row r="345" spans="1:9" x14ac:dyDescent="0.25">
      <c r="A345" t="str">
        <f>_xll.BDP("FNDE6467 Mtge","ID_CUSIP")</f>
        <v>3140BKFH2</v>
      </c>
      <c r="B345" t="str">
        <f>_xll.BDP("FNDE6467 Mtge","SECURITY_NAME")</f>
        <v>FN DE6467</v>
      </c>
      <c r="C345" t="str">
        <f>_xll.BDP("FNDE6467 Mtge","GENERIC_TICKER_VINTAGE")</f>
        <v>FNCL 6 2025</v>
      </c>
      <c r="D345" t="str">
        <f>_xll.BDP("FNDE6467 Mtge","CRNCY")</f>
        <v>USD</v>
      </c>
      <c r="E345">
        <v>2011190</v>
      </c>
      <c r="F345">
        <f>_xll.BDP("FNDE6467 Mtge","CPN")</f>
        <v>6</v>
      </c>
      <c r="G345">
        <f>_xll.BDP("FNDE6467 Mtge","MTG_FACTOR")</f>
        <v>0.99193211999999997</v>
      </c>
      <c r="H345">
        <f>_xll.BDP("FNDE6467 Mtge","MTG_WAL")</f>
        <v>3.4512</v>
      </c>
      <c r="I345" t="str">
        <f>_xll.BDP("FNDE6467 Mtge","MTG_ORIG_WAL")</f>
        <v>#N/A N/A</v>
      </c>
    </row>
    <row r="346" spans="1:9" x14ac:dyDescent="0.25">
      <c r="A346" t="str">
        <f>_xll.BDP("FNFA1096 Mtge","ID_CUSIP")</f>
        <v>3140W1GE7</v>
      </c>
      <c r="B346" t="str">
        <f>_xll.BDP("FNFA1096 Mtge","SECURITY_NAME")</f>
        <v>FN FA1096</v>
      </c>
      <c r="C346" t="str">
        <f>_xll.BDP("FNFA1096 Mtge","GENERIC_TICKER_VINTAGE")</f>
        <v>FNCL 3 2021</v>
      </c>
      <c r="D346" t="str">
        <f>_xll.BDP("FNFA1096 Mtge","CRNCY")</f>
        <v>USD</v>
      </c>
      <c r="E346">
        <v>85262550</v>
      </c>
      <c r="F346">
        <f>_xll.BDP("FNFA1096 Mtge","CPN")</f>
        <v>3</v>
      </c>
      <c r="G346">
        <f>_xll.BDP("FNFA1096 Mtge","MTG_FACTOR")</f>
        <v>0.89960390000000001</v>
      </c>
      <c r="H346">
        <f>_xll.BDP("FNFA1096 Mtge","MTG_WAL")</f>
        <v>8.3484999999999996</v>
      </c>
      <c r="I346" t="str">
        <f>_xll.BDP("FNFA1096 Mtge","MTG_ORIG_WAL")</f>
        <v>#N/A N/A</v>
      </c>
    </row>
    <row r="347" spans="1:9" x14ac:dyDescent="0.25">
      <c r="A347" t="str">
        <f>_xll.BDP("FNFA1446 Mtge","ID_CUSIP")</f>
        <v>3140W1TC7</v>
      </c>
      <c r="B347" t="str">
        <f>_xll.BDP("FNFA1446 Mtge","SECURITY_NAME")</f>
        <v>FN FA1446</v>
      </c>
      <c r="C347" t="str">
        <f>_xll.BDP("FNFA1446 Mtge","GENERIC_TICKER_VINTAGE")</f>
        <v>FNCL 6 2025</v>
      </c>
      <c r="D347" t="str">
        <f>_xll.BDP("FNFA1446 Mtge","CRNCY")</f>
        <v>USD</v>
      </c>
      <c r="E347">
        <v>45875002</v>
      </c>
      <c r="F347">
        <f>_xll.BDP("FNFA1446 Mtge","CPN")</f>
        <v>6</v>
      </c>
      <c r="G347">
        <f>_xll.BDP("FNFA1446 Mtge","MTG_FACTOR")</f>
        <v>0.91668132999999996</v>
      </c>
      <c r="H347">
        <f>_xll.BDP("FNFA1446 Mtge","MTG_WAL")</f>
        <v>3.1652999999999998</v>
      </c>
      <c r="I347" t="str">
        <f>_xll.BDP("FNFA1446 Mtge","MTG_ORIG_WAL")</f>
        <v>#N/A N/A</v>
      </c>
    </row>
    <row r="348" spans="1:9" x14ac:dyDescent="0.25">
      <c r="A348" t="str">
        <f>_xll.BDP("FNFA1822 Mtge","ID_CUSIP")</f>
        <v>3140W2AY7</v>
      </c>
      <c r="B348" t="str">
        <f>_xll.BDP("FNFA1822 Mtge","SECURITY_NAME")</f>
        <v>FN FA1822</v>
      </c>
      <c r="C348" t="str">
        <f>_xll.BDP("FNFA1822 Mtge","GENERIC_TICKER_VINTAGE")</f>
        <v>FNCL 6 2025</v>
      </c>
      <c r="D348" t="str">
        <f>_xll.BDP("FNFA1822 Mtge","CRNCY")</f>
        <v>USD</v>
      </c>
      <c r="E348">
        <v>65312530</v>
      </c>
      <c r="F348">
        <f>_xll.BDP("FNFA1822 Mtge","CPN")</f>
        <v>6</v>
      </c>
      <c r="G348">
        <f>_xll.BDP("FNFA1822 Mtge","MTG_FACTOR")</f>
        <v>0.81219600000000003</v>
      </c>
      <c r="H348">
        <f>_xll.BDP("FNFA1822 Mtge","MTG_WAL")</f>
        <v>3.1871</v>
      </c>
      <c r="I348" t="str">
        <f>_xll.BDP("FNFA1822 Mtge","MTG_ORIG_WAL")</f>
        <v>#N/A N/A</v>
      </c>
    </row>
    <row r="349" spans="1:9" x14ac:dyDescent="0.25">
      <c r="A349" t="str">
        <f>_xll.BDP("FRQD0957 Mtge","ID_CUSIP")</f>
        <v>3133AXB27</v>
      </c>
      <c r="B349" t="str">
        <f>_xll.BDP("FRQD0957 Mtge","SECURITY_NAME")</f>
        <v>FR QD0957</v>
      </c>
      <c r="C349" t="str">
        <f>_xll.BDP("FRQD0957 Mtge","GENERIC_TICKER_VINTAGE")</f>
        <v>FNCL 3 2021</v>
      </c>
      <c r="D349" t="str">
        <f>_xll.BDP("FRQD0957 Mtge","CRNCY")</f>
        <v>USD</v>
      </c>
      <c r="E349">
        <v>28153614</v>
      </c>
      <c r="F349">
        <f>_xll.BDP("FRQD0957 Mtge","CPN")</f>
        <v>3</v>
      </c>
      <c r="G349">
        <f>_xll.BDP("FRQD0957 Mtge","MTG_FACTOR")</f>
        <v>0.72035682999999995</v>
      </c>
      <c r="H349">
        <f>_xll.BDP("FRQD0957 Mtge","MTG_WAL")</f>
        <v>8.3703000000000003</v>
      </c>
      <c r="I349" t="str">
        <f>_xll.BDP("FRQD0957 Mtge","MTG_ORIG_WAL")</f>
        <v>#N/A N/A</v>
      </c>
    </row>
    <row r="350" spans="1:9" x14ac:dyDescent="0.25">
      <c r="A350" t="str">
        <f>_xll.BDP("FRQX8620 Mtge","ID_CUSIP")</f>
        <v>31426FSJ7</v>
      </c>
      <c r="B350" t="str">
        <f>_xll.BDP("FRQX8620 Mtge","SECURITY_NAME")</f>
        <v>FR QX8620</v>
      </c>
      <c r="C350" t="str">
        <f>_xll.BDP("FRQX8620 Mtge","GENERIC_TICKER_VINTAGE")</f>
        <v>FNCL 6 2025</v>
      </c>
      <c r="D350" t="str">
        <f>_xll.BDP("FRQX8620 Mtge","CRNCY")</f>
        <v>USD</v>
      </c>
      <c r="E350">
        <v>25020470</v>
      </c>
      <c r="F350">
        <f>_xll.BDP("FRQX8620 Mtge","CPN")</f>
        <v>6</v>
      </c>
      <c r="G350">
        <f>_xll.BDP("FRQX8620 Mtge","MTG_FACTOR")</f>
        <v>0.76030644999999997</v>
      </c>
      <c r="H350">
        <f>_xll.BDP("FRQX8620 Mtge","MTG_WAL")</f>
        <v>3.1604999999999999</v>
      </c>
      <c r="I350" t="str">
        <f>_xll.BDP("FRQX8620 Mtge","MTG_ORIG_WAL")</f>
        <v>#N/A N/A</v>
      </c>
    </row>
    <row r="351" spans="1:9" x14ac:dyDescent="0.25">
      <c r="A351" t="str">
        <f>_xll.BDP("FRQY4342 Mtge","ID_CUSIP")</f>
        <v>31426NZG8</v>
      </c>
      <c r="B351" t="str">
        <f>_xll.BDP("FRQY4342 Mtge","SECURITY_NAME")</f>
        <v>FR QY4342</v>
      </c>
      <c r="C351" t="str">
        <f>_xll.BDP("FRQY4342 Mtge","GENERIC_TICKER_VINTAGE")</f>
        <v>FNCL 6 2025</v>
      </c>
      <c r="D351" t="str">
        <f>_xll.BDP("FRQY4342 Mtge","CRNCY")</f>
        <v>USD</v>
      </c>
      <c r="E351">
        <v>40592001</v>
      </c>
      <c r="F351">
        <f>_xll.BDP("FRQY4342 Mtge","CPN")</f>
        <v>6</v>
      </c>
      <c r="G351">
        <f>_xll.BDP("FRQY4342 Mtge","MTG_FACTOR")</f>
        <v>0.90142834000000005</v>
      </c>
      <c r="H351">
        <f>_xll.BDP("FRQY4342 Mtge","MTG_WAL")</f>
        <v>3.2932000000000001</v>
      </c>
      <c r="I351" t="str">
        <f>_xll.BDP("FRQY4342 Mtge","MTG_ORIG_WAL")</f>
        <v>#N/A N/A</v>
      </c>
    </row>
    <row r="352" spans="1:9" x14ac:dyDescent="0.25">
      <c r="A352" t="str">
        <f>_xll.BDP("FRQY6106 Mtge","ID_CUSIP")</f>
        <v>31426QYC1</v>
      </c>
      <c r="B352" t="str">
        <f>_xll.BDP("FRQY6106 Mtge","SECURITY_NAME")</f>
        <v>FR QY6106</v>
      </c>
      <c r="C352" t="str">
        <f>_xll.BDP("FRQY6106 Mtge","GENERIC_TICKER_VINTAGE")</f>
        <v>FNCL 6 2025</v>
      </c>
      <c r="D352" t="str">
        <f>_xll.BDP("FRQY6106 Mtge","CRNCY")</f>
        <v>USD</v>
      </c>
      <c r="E352">
        <v>13446505</v>
      </c>
      <c r="F352">
        <f>_xll.BDP("FRQY6106 Mtge","CPN")</f>
        <v>6</v>
      </c>
      <c r="G352">
        <f>_xll.BDP("FRQY6106 Mtge","MTG_FACTOR")</f>
        <v>0.81378289000000004</v>
      </c>
      <c r="H352">
        <f>_xll.BDP("FRQY6106 Mtge","MTG_WAL")</f>
        <v>3.3452000000000002</v>
      </c>
      <c r="I352" t="str">
        <f>_xll.BDP("FRQY6106 Mtge","MTG_ORIG_WAL")</f>
        <v>#N/A N/A</v>
      </c>
    </row>
    <row r="353" spans="1:9" x14ac:dyDescent="0.25">
      <c r="A353" t="str">
        <f>_xll.BDP("FRQY6376 Mtge","ID_CUSIP")</f>
        <v>31426RCN9</v>
      </c>
      <c r="B353" t="str">
        <f>_xll.BDP("FRQY6376 Mtge","SECURITY_NAME")</f>
        <v>FR QY6376</v>
      </c>
      <c r="C353" t="str">
        <f>_xll.BDP("FRQY6376 Mtge","GENERIC_TICKER_VINTAGE")</f>
        <v>FNCL 6 2025</v>
      </c>
      <c r="D353" t="str">
        <f>_xll.BDP("FRQY6376 Mtge","CRNCY")</f>
        <v>USD</v>
      </c>
      <c r="E353">
        <v>17509717</v>
      </c>
      <c r="F353">
        <f>_xll.BDP("FRQY6376 Mtge","CPN")</f>
        <v>6</v>
      </c>
      <c r="G353">
        <f>_xll.BDP("FRQY6376 Mtge","MTG_FACTOR")</f>
        <v>0.71249899999999999</v>
      </c>
      <c r="H353">
        <f>_xll.BDP("FRQY6376 Mtge","MTG_WAL")</f>
        <v>3.3441000000000001</v>
      </c>
      <c r="I353" t="str">
        <f>_xll.BDP("FRQY6376 Mtge","MTG_ORIG_WAL")</f>
        <v>#N/A N/A</v>
      </c>
    </row>
    <row r="354" spans="1:9" x14ac:dyDescent="0.25">
      <c r="A354" t="str">
        <f>_xll.BDP("FRQY6946 Mtge","ID_CUSIP")</f>
        <v>31426RWG2</v>
      </c>
      <c r="B354" t="str">
        <f>_xll.BDP("FRQY6946 Mtge","SECURITY_NAME")</f>
        <v>FR QY6946</v>
      </c>
      <c r="C354" t="str">
        <f>_xll.BDP("FRQY6946 Mtge","GENERIC_TICKER_VINTAGE")</f>
        <v>FNCL 6 2025</v>
      </c>
      <c r="D354" t="str">
        <f>_xll.BDP("FRQY6946 Mtge","CRNCY")</f>
        <v>USD</v>
      </c>
      <c r="E354">
        <v>12754746</v>
      </c>
      <c r="F354">
        <f>_xll.BDP("FRQY6946 Mtge","CPN")</f>
        <v>6</v>
      </c>
      <c r="G354">
        <f>_xll.BDP("FRQY6946 Mtge","MTG_FACTOR")</f>
        <v>0.85579302999999995</v>
      </c>
      <c r="H354">
        <f>_xll.BDP("FRQY6946 Mtge","MTG_WAL")</f>
        <v>3.3410000000000002</v>
      </c>
      <c r="I354" t="str">
        <f>_xll.BDP("FRQY6946 Mtge","MTG_ORIG_WAL")</f>
        <v>#N/A N/A</v>
      </c>
    </row>
    <row r="355" spans="1:9" x14ac:dyDescent="0.25">
      <c r="A355" t="str">
        <f>_xll.BDP("FRRJ3699 Mtge","ID_CUSIP")</f>
        <v>3142GUDD2</v>
      </c>
      <c r="B355" t="str">
        <f>_xll.BDP("FRRJ3699 Mtge","SECURITY_NAME")</f>
        <v>FR RJ3699</v>
      </c>
      <c r="C355" t="str">
        <f>_xll.BDP("FRRJ3699 Mtge","GENERIC_TICKER_VINTAGE")</f>
        <v>FNCL 6 2025</v>
      </c>
      <c r="D355" t="str">
        <f>_xll.BDP("FRRJ3699 Mtge","CRNCY")</f>
        <v>USD</v>
      </c>
      <c r="E355">
        <v>95129521</v>
      </c>
      <c r="F355">
        <f>_xll.BDP("FRRJ3699 Mtge","CPN")</f>
        <v>6</v>
      </c>
      <c r="G355">
        <f>_xll.BDP("FRRJ3699 Mtge","MTG_FACTOR")</f>
        <v>0.91464374999999998</v>
      </c>
      <c r="H355">
        <f>_xll.BDP("FRRJ3699 Mtge","MTG_WAL")</f>
        <v>3.1566000000000001</v>
      </c>
      <c r="I355" t="str">
        <f>_xll.BDP("FRRJ3699 Mtge","MTG_ORIG_WAL")</f>
        <v>#N/A N/A</v>
      </c>
    </row>
    <row r="356" spans="1:9" x14ac:dyDescent="0.25">
      <c r="A356" t="str">
        <f>_xll.BDP("FRRJ4387 Mtge","ID_CUSIP")</f>
        <v>3142GU2V4</v>
      </c>
      <c r="B356" t="str">
        <f>_xll.BDP("FRRJ4387 Mtge","SECURITY_NAME")</f>
        <v>FR RJ4387</v>
      </c>
      <c r="C356" t="str">
        <f>_xll.BDP("FRRJ4387 Mtge","GENERIC_TICKER_VINTAGE")</f>
        <v>FNCL 6 2025</v>
      </c>
      <c r="D356" t="str">
        <f>_xll.BDP("FRRJ4387 Mtge","CRNCY")</f>
        <v>USD</v>
      </c>
      <c r="E356">
        <v>296554659</v>
      </c>
      <c r="F356">
        <f>_xll.BDP("FRRJ4387 Mtge","CPN")</f>
        <v>6</v>
      </c>
      <c r="G356">
        <f>_xll.BDP("FRRJ4387 Mtge","MTG_FACTOR")</f>
        <v>0.87497175999999999</v>
      </c>
      <c r="H356">
        <f>_xll.BDP("FRRJ4387 Mtge","MTG_WAL")</f>
        <v>3.3418999999999999</v>
      </c>
      <c r="I356" t="str">
        <f>_xll.BDP("FRRJ4387 Mtge","MTG_ORIG_WAL")</f>
        <v>#N/A N/A</v>
      </c>
    </row>
    <row r="357" spans="1:9" x14ac:dyDescent="0.25">
      <c r="A357" t="str">
        <f>_xll.BDP("FRSD8179 Mtge","ID_CUSIP")</f>
        <v>3132DWCQ4</v>
      </c>
      <c r="B357" t="str">
        <f>_xll.BDP("FRSD8179 Mtge","SECURITY_NAME")</f>
        <v>FR SD8179</v>
      </c>
      <c r="C357" t="str">
        <f>_xll.BDP("FRSD8179 Mtge","GENERIC_TICKER_VINTAGE")</f>
        <v>FNCL 3 2021</v>
      </c>
      <c r="D357" t="str">
        <f>_xll.BDP("FRSD8179 Mtge","CRNCY")</f>
        <v>USD</v>
      </c>
      <c r="E357">
        <v>748678422</v>
      </c>
      <c r="F357">
        <f>_xll.BDP("FRSD8179 Mtge","CPN")</f>
        <v>3</v>
      </c>
      <c r="G357">
        <f>_xll.BDP("FRSD8179 Mtge","MTG_FACTOR")</f>
        <v>0.64252600999999998</v>
      </c>
      <c r="H357">
        <f>_xll.BDP("FRSD8179 Mtge","MTG_WAL")</f>
        <v>8.3427000000000007</v>
      </c>
      <c r="I357" t="str">
        <f>_xll.BDP("FRSD8179 Mtge","MTG_ORIG_WAL")</f>
        <v>#N/A N/A</v>
      </c>
    </row>
    <row r="358" spans="1:9" x14ac:dyDescent="0.25">
      <c r="A358" t="str">
        <f>_xll.BDP("FRSL0628 Mtge","ID_CUSIP")</f>
        <v>31427MVW8</v>
      </c>
      <c r="B358" t="str">
        <f>_xll.BDP("FRSL0628 Mtge","SECURITY_NAME")</f>
        <v>FR SL0628</v>
      </c>
      <c r="C358" t="str">
        <f>_xll.BDP("FRSL0628 Mtge","GENERIC_TICKER_VINTAGE")</f>
        <v>FNCL 6 2025</v>
      </c>
      <c r="D358" t="str">
        <f>_xll.BDP("FRSL0628 Mtge","CRNCY")</f>
        <v>USD</v>
      </c>
      <c r="E358">
        <v>122518733</v>
      </c>
      <c r="F358">
        <f>_xll.BDP("FRSL0628 Mtge","CPN")</f>
        <v>6</v>
      </c>
      <c r="G358">
        <f>_xll.BDP("FRSL0628 Mtge","MTG_FACTOR")</f>
        <v>0.77171517000000001</v>
      </c>
      <c r="H358">
        <f>_xll.BDP("FRSL0628 Mtge","MTG_WAL")</f>
        <v>3.1869999999999998</v>
      </c>
      <c r="I358" t="str">
        <f>_xll.BDP("FRSL0628 Mtge","MTG_ORIG_WAL")</f>
        <v>#N/A N/A</v>
      </c>
    </row>
    <row r="359" spans="1:9" x14ac:dyDescent="0.25">
      <c r="A359" t="str">
        <f>_xll.BDP("FRSL0849 Mtge","ID_CUSIP")</f>
        <v>31427M5K3</v>
      </c>
      <c r="B359" t="str">
        <f>_xll.BDP("FRSL0849 Mtge","SECURITY_NAME")</f>
        <v>FR SL0849</v>
      </c>
      <c r="C359" t="str">
        <f>_xll.BDP("FRSL0849 Mtge","GENERIC_TICKER_VINTAGE")</f>
        <v>FNCL 6 2025</v>
      </c>
      <c r="D359" t="str">
        <f>_xll.BDP("FRSL0849 Mtge","CRNCY")</f>
        <v>USD</v>
      </c>
      <c r="E359">
        <v>72817676</v>
      </c>
      <c r="F359">
        <f>_xll.BDP("FRSL0849 Mtge","CPN")</f>
        <v>6</v>
      </c>
      <c r="G359">
        <f>_xll.BDP("FRSL0849 Mtge","MTG_FACTOR")</f>
        <v>0.74185464999999995</v>
      </c>
      <c r="H359">
        <f>_xll.BDP("FRSL0849 Mtge","MTG_WAL")</f>
        <v>3.2439</v>
      </c>
      <c r="I359" t="str">
        <f>_xll.BDP("FRSL0849 Mtge","MTG_ORIG_WAL")</f>
        <v>#N/A N/A</v>
      </c>
    </row>
    <row r="360" spans="1:9" x14ac:dyDescent="0.25">
      <c r="A360" t="str">
        <f>_xll.BDP("FRSL1138 Mtge","ID_CUSIP")</f>
        <v>31427NHQ5</v>
      </c>
      <c r="B360" t="str">
        <f>_xll.BDP("FRSL1138 Mtge","SECURITY_NAME")</f>
        <v>FR SL1138</v>
      </c>
      <c r="C360" t="str">
        <f>_xll.BDP("FRSL1138 Mtge","GENERIC_TICKER_VINTAGE")</f>
        <v>FNCL 6 2025</v>
      </c>
      <c r="D360" t="str">
        <f>_xll.BDP("FRSL1138 Mtge","CRNCY")</f>
        <v>USD</v>
      </c>
      <c r="E360">
        <v>102005368</v>
      </c>
      <c r="F360">
        <f>_xll.BDP("FRSL1138 Mtge","CPN")</f>
        <v>6</v>
      </c>
      <c r="G360">
        <f>_xll.BDP("FRSL1138 Mtge","MTG_FACTOR")</f>
        <v>0.75489729999999999</v>
      </c>
      <c r="H360">
        <f>_xll.BDP("FRSL1138 Mtge","MTG_WAL")</f>
        <v>3.1600999999999999</v>
      </c>
      <c r="I360" t="str">
        <f>_xll.BDP("FRSL1138 Mtge","MTG_ORIG_WAL")</f>
        <v>#N/A N/A</v>
      </c>
    </row>
    <row r="361" spans="1:9" x14ac:dyDescent="0.25">
      <c r="A361" t="str">
        <f>_xll.BDP("FRSL1639 Mtge","ID_CUSIP")</f>
        <v>31427NZD4</v>
      </c>
      <c r="B361" t="str">
        <f>_xll.BDP("FRSL1639 Mtge","SECURITY_NAME")</f>
        <v>FR SL1639</v>
      </c>
      <c r="C361" t="str">
        <f>_xll.BDP("FRSL1639 Mtge","GENERIC_TICKER_VINTAGE")</f>
        <v>FNCL 3 2021</v>
      </c>
      <c r="D361" t="str">
        <f>_xll.BDP("FRSL1639 Mtge","CRNCY")</f>
        <v>USD</v>
      </c>
      <c r="E361">
        <v>24334834</v>
      </c>
      <c r="F361">
        <f>_xll.BDP("FRSL1639 Mtge","CPN")</f>
        <v>3</v>
      </c>
      <c r="G361">
        <f>_xll.BDP("FRSL1639 Mtge","MTG_FACTOR")</f>
        <v>0.93425957999999998</v>
      </c>
      <c r="H361">
        <f>_xll.BDP("FRSL1639 Mtge","MTG_WAL")</f>
        <v>8.1969999999999992</v>
      </c>
      <c r="I361" t="str">
        <f>_xll.BDP("FRSL1639 Mtge","MTG_ORIG_WAL")</f>
        <v>#N/A N/A</v>
      </c>
    </row>
    <row r="362" spans="1:9" x14ac:dyDescent="0.25">
      <c r="A362" t="str">
        <f>_xll.BDP("!!033X5S Mtge","ID_CUSIP")</f>
        <v>3136BKDG4</v>
      </c>
      <c r="B362" t="str">
        <f>_xll.BDP("!!033X5S Mtge","SECURITY_NAME")</f>
        <v>FNR 2021-84 LZ</v>
      </c>
      <c r="C362" t="str">
        <f>_xll.BDP("!!033X5S Mtge","GENERIC_TICKER_VINTAGE")</f>
        <v>FNCL 3 2021</v>
      </c>
      <c r="D362" t="str">
        <f>_xll.BDP("!!033X5S Mtge","CRNCY")</f>
        <v>USD</v>
      </c>
      <c r="E362">
        <v>7553693</v>
      </c>
      <c r="F362">
        <f>_xll.BDP("!!033X5S Mtge","CPN")</f>
        <v>2</v>
      </c>
      <c r="G362">
        <f>_xll.BDP("!!033X5S Mtge","MTG_FACTOR")</f>
        <v>0.64463965999999995</v>
      </c>
      <c r="H362">
        <f>_xll.BDP("!!033X5S Mtge","MTG_WAL")</f>
        <v>19.6172</v>
      </c>
      <c r="I362">
        <f>_xll.BDP("!!033X5S Mtge","MTG_ORIG_WAL")</f>
        <v>10.3</v>
      </c>
    </row>
    <row r="363" spans="1:9" x14ac:dyDescent="0.25">
      <c r="A363" t="str">
        <f>_xll.BDP("!!034P7G Mtge","ID_CUSIP")</f>
        <v>3136BLYN4</v>
      </c>
      <c r="B363" t="str">
        <f>_xll.BDP("!!034P7G Mtge","SECURITY_NAME")</f>
        <v>FNR 2022-4 YT</v>
      </c>
      <c r="C363" t="str">
        <f>_xll.BDP("!!034P7G Mtge","GENERIC_TICKER_VINTAGE")</f>
        <v>FNCL 3 2021</v>
      </c>
      <c r="D363" t="str">
        <f>_xll.BDP("!!034P7G Mtge","CRNCY")</f>
        <v>USD</v>
      </c>
      <c r="E363">
        <v>155193000</v>
      </c>
      <c r="F363">
        <f>_xll.BDP("!!034P7G Mtge","CPN")</f>
        <v>2</v>
      </c>
      <c r="G363">
        <f>_xll.BDP("!!034P7G Mtge","MTG_FACTOR")</f>
        <v>0.58626646999999998</v>
      </c>
      <c r="H363">
        <f>_xll.BDP("!!034P7G Mtge","MTG_WAL")</f>
        <v>4.1406000000000001</v>
      </c>
      <c r="I363">
        <f>_xll.BDP("!!034P7G Mtge","MTG_ORIG_WAL")</f>
        <v>3.4</v>
      </c>
    </row>
    <row r="364" spans="1:9" x14ac:dyDescent="0.25">
      <c r="A364" t="str">
        <f>_xll.BDP("!!03LZBB Mtge","ID_CUSIP")</f>
        <v>3137HLEC2</v>
      </c>
      <c r="B364" t="str">
        <f>_xll.BDP("!!03LZBB Mtge","SECURITY_NAME")</f>
        <v>FHR 5534 F</v>
      </c>
      <c r="C364" t="str">
        <f>_xll.BDP("!!03LZBB Mtge","GENERIC_TICKER_VINTAGE")</f>
        <v>FNCL 6 2025</v>
      </c>
      <c r="D364" t="str">
        <f>_xll.BDP("!!03LZBB Mtge","CRNCY")</f>
        <v>USD</v>
      </c>
      <c r="E364">
        <v>100000000</v>
      </c>
      <c r="F364">
        <f>_xll.BDP("!!03LZBB Mtge","CPN")</f>
        <v>5.2172099999999997</v>
      </c>
      <c r="G364">
        <f>_xll.BDP("!!03LZBB Mtge","MTG_FACTOR")</f>
        <v>0.75194156999999995</v>
      </c>
      <c r="H364">
        <f>_xll.BDP("!!03LZBB Mtge","MTG_WAL")</f>
        <v>3.0621999999999998</v>
      </c>
      <c r="I364">
        <f>_xll.BDP("!!03LZBB Mtge","MTG_ORIG_WAL")</f>
        <v>6.3</v>
      </c>
    </row>
    <row r="365" spans="1:9" x14ac:dyDescent="0.25">
      <c r="A365" t="str">
        <f>_xll.BDP("!!03M5LN Mtge","ID_CUSIP")</f>
        <v>3137HLH88</v>
      </c>
      <c r="B365" t="str">
        <f>_xll.BDP("!!03M5LN Mtge","SECURITY_NAME")</f>
        <v>FHR 5542 LY</v>
      </c>
      <c r="C365" t="str">
        <f>_xll.BDP("!!03M5LN Mtge","GENERIC_TICKER_VINTAGE")</f>
        <v>FNCL 6 2025</v>
      </c>
      <c r="D365" t="str">
        <f>_xll.BDP("!!03M5LN Mtge","CRNCY")</f>
        <v>USD</v>
      </c>
      <c r="E365">
        <v>24086905</v>
      </c>
      <c r="F365">
        <f>_xll.BDP("!!03M5LN Mtge","CPN")</f>
        <v>5</v>
      </c>
      <c r="G365">
        <f>_xll.BDP("!!03M5LN Mtge","MTG_FACTOR")</f>
        <v>1</v>
      </c>
      <c r="H365">
        <f>_xll.BDP("!!03M5LN Mtge","MTG_WAL")</f>
        <v>5.9465000000000003</v>
      </c>
      <c r="I365">
        <f>_xll.BDP("!!03M5LN Mtge","MTG_ORIG_WAL")</f>
        <v>12.9</v>
      </c>
    </row>
    <row r="366" spans="1:9" x14ac:dyDescent="0.25">
      <c r="A366" t="str">
        <f>_xll.BDP("!!03M71K Mtge","ID_CUSIP")</f>
        <v>3137HLN24</v>
      </c>
      <c r="B366" t="str">
        <f>_xll.BDP("!!03M71K Mtge","SECURITY_NAME")</f>
        <v>FHR 5546 V</v>
      </c>
      <c r="C366" t="str">
        <f>_xll.BDP("!!03M71K Mtge","GENERIC_TICKER_VINTAGE")</f>
        <v>FNCL 6 2025</v>
      </c>
      <c r="D366" t="str">
        <f>_xll.BDP("!!03M71K Mtge","CRNCY")</f>
        <v>USD</v>
      </c>
      <c r="E366">
        <v>6359494</v>
      </c>
      <c r="F366">
        <f>_xll.BDP("!!03M71K Mtge","CPN")</f>
        <v>5</v>
      </c>
      <c r="G366">
        <f>_xll.BDP("!!03M71K Mtge","MTG_FACTOR")</f>
        <v>0.94153841000000005</v>
      </c>
      <c r="H366">
        <f>_xll.BDP("!!03M71K Mtge","MTG_WAL")</f>
        <v>3.4184999999999999</v>
      </c>
      <c r="I366">
        <f>_xll.BDP("!!03M71K Mtge","MTG_ORIG_WAL")</f>
        <v>5.6</v>
      </c>
    </row>
    <row r="367" spans="1:9" x14ac:dyDescent="0.25">
      <c r="A367" t="str">
        <f>_xll.BDP("!!03MJC6 Mtge","ID_CUSIP")</f>
        <v>3137HLVG4</v>
      </c>
      <c r="B367" t="str">
        <f>_xll.BDP("!!03MJC6 Mtge","SECURITY_NAME")</f>
        <v>FHR 5547 FH</v>
      </c>
      <c r="C367" t="str">
        <f>_xll.BDP("!!03MJC6 Mtge","GENERIC_TICKER_VINTAGE")</f>
        <v>FNCL 6 2025</v>
      </c>
      <c r="D367" t="str">
        <f>_xll.BDP("!!03MJC6 Mtge","CRNCY")</f>
        <v>USD</v>
      </c>
      <c r="E367">
        <v>213230550</v>
      </c>
      <c r="F367">
        <f>_xll.BDP("!!03MJC6 Mtge","CPN")</f>
        <v>5.0672100000000002</v>
      </c>
      <c r="G367">
        <f>_xll.BDP("!!03MJC6 Mtge","MTG_FACTOR")</f>
        <v>0.88405736000000001</v>
      </c>
      <c r="H367">
        <f>_xll.BDP("!!03MJC6 Mtge","MTG_WAL")</f>
        <v>3.1337999999999999</v>
      </c>
      <c r="I367">
        <f>_xll.BDP("!!03MJC6 Mtge","MTG_ORIG_WAL")</f>
        <v>7.6</v>
      </c>
    </row>
    <row r="368" spans="1:9" x14ac:dyDescent="0.25">
      <c r="A368" t="str">
        <f>_xll.BDP("!!03MJC7 Mtge","ID_CUSIP")</f>
        <v>3137HLW32</v>
      </c>
      <c r="B368" t="str">
        <f>_xll.BDP("!!03MJC7 Mtge","SECURITY_NAME")</f>
        <v>FHR 5547 SH</v>
      </c>
      <c r="C368" t="str">
        <f>_xll.BDP("!!03MJC7 Mtge","GENERIC_TICKER_VINTAGE")</f>
        <v>FNCL 6 2025</v>
      </c>
      <c r="D368" t="str">
        <f>_xll.BDP("!!03MJC7 Mtge","CRNCY")</f>
        <v>USD</v>
      </c>
      <c r="E368">
        <v>213230550</v>
      </c>
      <c r="F368">
        <f>_xll.BDP("!!03MJC7 Mtge","CPN")</f>
        <v>1.43279</v>
      </c>
      <c r="G368">
        <f>_xll.BDP("!!03MJC7 Mtge","MTG_FACTOR")</f>
        <v>0.88405736000000001</v>
      </c>
      <c r="H368">
        <f>_xll.BDP("!!03MJC7 Mtge","MTG_WAL")</f>
        <v>3.1337999999999999</v>
      </c>
      <c r="I368">
        <f>_xll.BDP("!!03MJC7 Mtge","MTG_ORIG_WAL")</f>
        <v>7.6</v>
      </c>
    </row>
    <row r="369" spans="1:9" x14ac:dyDescent="0.25">
      <c r="A369" t="str">
        <f>_xll.BDP("!!03MLK5 Mtge","ID_CUSIP")</f>
        <v>3136BWJB3</v>
      </c>
      <c r="B369" t="str">
        <f>_xll.BDP("!!03MLK5 Mtge","SECURITY_NAME")</f>
        <v>FNR 2025-47 GM</v>
      </c>
      <c r="C369" t="str">
        <f>_xll.BDP("!!03MLK5 Mtge","GENERIC_TICKER_VINTAGE")</f>
        <v>FNCL 6 2025</v>
      </c>
      <c r="D369" t="str">
        <f>_xll.BDP("!!03MLK5 Mtge","CRNCY")</f>
        <v>USD</v>
      </c>
      <c r="E369">
        <v>13127000</v>
      </c>
      <c r="F369">
        <f>_xll.BDP("!!03MLK5 Mtge","CPN")</f>
        <v>4.5</v>
      </c>
      <c r="G369">
        <f>_xll.BDP("!!03MLK5 Mtge","MTG_FACTOR")</f>
        <v>1</v>
      </c>
      <c r="H369">
        <f>_xll.BDP("!!03MLK5 Mtge","MTG_WAL")</f>
        <v>2.9862000000000002</v>
      </c>
      <c r="I369">
        <f>_xll.BDP("!!03MLK5 Mtge","MTG_ORIG_WAL")</f>
        <v>6.3808199999999999</v>
      </c>
    </row>
    <row r="370" spans="1:9" x14ac:dyDescent="0.25">
      <c r="A370" t="str">
        <f>_xll.BDP("!!03MRZP Mtge","ID_CUSIP")</f>
        <v>3137HLZC9</v>
      </c>
      <c r="B370" t="str">
        <f>_xll.BDP("!!03MRZP Mtge","SECURITY_NAME")</f>
        <v>FHR 5560 FA</v>
      </c>
      <c r="C370" t="str">
        <f>_xll.BDP("!!03MRZP Mtge","GENERIC_TICKER_VINTAGE")</f>
        <v>FNCL 6 2025</v>
      </c>
      <c r="D370" t="str">
        <f>_xll.BDP("!!03MRZP Mtge","CRNCY")</f>
        <v>USD</v>
      </c>
      <c r="E370">
        <v>378920965</v>
      </c>
      <c r="F370">
        <f>_xll.BDP("!!03MRZP Mtge","CPN")</f>
        <v>5.5972099999999996</v>
      </c>
      <c r="G370">
        <f>_xll.BDP("!!03MRZP Mtge","MTG_FACTOR")</f>
        <v>0.79721315999999998</v>
      </c>
      <c r="H370">
        <f>_xll.BDP("!!03MRZP Mtge","MTG_WAL")</f>
        <v>3.1916000000000002</v>
      </c>
      <c r="I370">
        <f>_xll.BDP("!!03MRZP Mtge","MTG_ORIG_WAL")</f>
        <v>6.9</v>
      </c>
    </row>
    <row r="371" spans="1:9" x14ac:dyDescent="0.25">
      <c r="A371" t="str">
        <f>_xll.BDP("!!03NC43 Mtge","ID_CUSIP")</f>
        <v>3137HMCX6</v>
      </c>
      <c r="B371" t="str">
        <f>_xll.BDP("!!03NC43 Mtge","SECURITY_NAME")</f>
        <v>FHR 5564 DT</v>
      </c>
      <c r="C371" t="str">
        <f>_xll.BDP("!!03NC43 Mtge","GENERIC_TICKER_VINTAGE")</f>
        <v>FNCL 6 2025</v>
      </c>
      <c r="D371" t="str">
        <f>_xll.BDP("!!03NC43 Mtge","CRNCY")</f>
        <v>USD</v>
      </c>
      <c r="E371">
        <v>105641000</v>
      </c>
      <c r="F371">
        <f>_xll.BDP("!!03NC43 Mtge","CPN")</f>
        <v>5</v>
      </c>
      <c r="G371">
        <f>_xll.BDP("!!03NC43 Mtge","MTG_FACTOR")</f>
        <v>0.94635550000000002</v>
      </c>
      <c r="H371">
        <f>_xll.BDP("!!03NC43 Mtge","MTG_WAL")</f>
        <v>3.3609</v>
      </c>
      <c r="I371">
        <f>_xll.BDP("!!03NC43 Mtge","MTG_ORIG_WAL")</f>
        <v>6.5</v>
      </c>
    </row>
    <row r="372" spans="1:9" x14ac:dyDescent="0.25">
      <c r="A372" t="str">
        <f>_xll.BDP("!!03NFYV Mtge","ID_CUSIP")</f>
        <v>3137HMGU8</v>
      </c>
      <c r="B372" t="str">
        <f>_xll.BDP("!!03NFYV Mtge","SECURITY_NAME")</f>
        <v>FHR 5565 PM</v>
      </c>
      <c r="C372" t="str">
        <f>_xll.BDP("!!03NFYV Mtge","GENERIC_TICKER_VINTAGE")</f>
        <v>FNCL 6 2025</v>
      </c>
      <c r="D372" t="str">
        <f>_xll.BDP("!!03NFYV Mtge","CRNCY")</f>
        <v>USD</v>
      </c>
      <c r="E372">
        <v>10000000</v>
      </c>
      <c r="F372">
        <f>_xll.BDP("!!03NFYV Mtge","CPN")</f>
        <v>5.5</v>
      </c>
      <c r="G372">
        <f>_xll.BDP("!!03NFYV Mtge","MTG_FACTOR")</f>
        <v>0.91767821000000005</v>
      </c>
      <c r="H372">
        <f>_xll.BDP("!!03NFYV Mtge","MTG_WAL")</f>
        <v>3.3205</v>
      </c>
      <c r="I372">
        <f>_xll.BDP("!!03NFYV Mtge","MTG_ORIG_WAL")</f>
        <v>7</v>
      </c>
    </row>
    <row r="373" spans="1:9" x14ac:dyDescent="0.25">
      <c r="A373" t="str">
        <f>_xll.BDP("!!03NNFZ Mtge","ID_CUSIP")</f>
        <v>3137HMDY3</v>
      </c>
      <c r="B373" t="str">
        <f>_xll.BDP("!!03NNFZ Mtge","SECURITY_NAME")</f>
        <v>FHR 5564 PQ</v>
      </c>
      <c r="C373" t="str">
        <f>_xll.BDP("!!03NNFZ Mtge","GENERIC_TICKER_VINTAGE")</f>
        <v>FNCL 6 2025</v>
      </c>
      <c r="D373" t="str">
        <f>_xll.BDP("!!03NNFZ Mtge","CRNCY")</f>
        <v>USD</v>
      </c>
      <c r="E373">
        <v>84078828</v>
      </c>
      <c r="F373">
        <f>_xll.BDP("!!03NNFZ Mtge","CPN")</f>
        <v>5</v>
      </c>
      <c r="G373">
        <f>_xll.BDP("!!03NNFZ Mtge","MTG_FACTOR")</f>
        <v>1</v>
      </c>
      <c r="H373">
        <f>_xll.BDP("!!03NNFZ Mtge","MTG_WAL")</f>
        <v>6.7431999999999999</v>
      </c>
      <c r="I373">
        <f>_xll.BDP("!!03NNFZ Mtge","MTG_ORIG_WAL")</f>
        <v>11.6</v>
      </c>
    </row>
    <row r="374" spans="1:9" x14ac:dyDescent="0.25">
      <c r="A374" t="str">
        <f>_xll.BDP("!!03NR3Z Mtge","ID_CUSIP")</f>
        <v>3137HMJR2</v>
      </c>
      <c r="B374" t="str">
        <f>_xll.BDP("!!03NR3Z Mtge","SECURITY_NAME")</f>
        <v>FHR 5566 SA</v>
      </c>
      <c r="C374" t="str">
        <f>_xll.BDP("!!03NR3Z Mtge","GENERIC_TICKER_VINTAGE")</f>
        <v>FNCL 6 2025</v>
      </c>
      <c r="D374" t="str">
        <f>_xll.BDP("!!03NR3Z Mtge","CRNCY")</f>
        <v>USD</v>
      </c>
      <c r="E374">
        <v>38042598</v>
      </c>
      <c r="F374">
        <f>_xll.BDP("!!03NR3Z Mtge","CPN")</f>
        <v>3.5327899999999999</v>
      </c>
      <c r="G374">
        <f>_xll.BDP("!!03NR3Z Mtge","MTG_FACTOR")</f>
        <v>0.80760430000000005</v>
      </c>
      <c r="H374">
        <f>_xll.BDP("!!03NR3Z Mtge","MTG_WAL")</f>
        <v>3.0379999999999998</v>
      </c>
      <c r="I374">
        <f>_xll.BDP("!!03NR3Z Mtge","MTG_ORIG_WAL")</f>
        <v>5.5</v>
      </c>
    </row>
    <row r="375" spans="1:9" x14ac:dyDescent="0.25">
      <c r="A375" t="str">
        <f>_xll.BDP("!!03NR44 Mtge","ID_CUSIP")</f>
        <v>3137HMHH6</v>
      </c>
      <c r="B375" t="str">
        <f>_xll.BDP("!!03NR44 Mtge","SECURITY_NAME")</f>
        <v>FHR 5566 CM</v>
      </c>
      <c r="C375" t="str">
        <f>_xll.BDP("!!03NR44 Mtge","GENERIC_TICKER_VINTAGE")</f>
        <v>FNCL 6 2025</v>
      </c>
      <c r="D375" t="str">
        <f>_xll.BDP("!!03NR44 Mtge","CRNCY")</f>
        <v>USD</v>
      </c>
      <c r="E375">
        <v>40000000</v>
      </c>
      <c r="F375">
        <f>_xll.BDP("!!03NR44 Mtge","CPN")</f>
        <v>5.2172099999999997</v>
      </c>
      <c r="G375">
        <f>_xll.BDP("!!03NR44 Mtge","MTG_FACTOR")</f>
        <v>0.80760430000000005</v>
      </c>
      <c r="H375">
        <f>_xll.BDP("!!03NR44 Mtge","MTG_WAL")</f>
        <v>3.1322999999999999</v>
      </c>
      <c r="I375">
        <f>_xll.BDP("!!03NR44 Mtge","MTG_ORIG_WAL")</f>
        <v>6.5</v>
      </c>
    </row>
    <row r="376" spans="1:9" x14ac:dyDescent="0.25">
      <c r="A376" t="str">
        <f>_xll.BDP("!!03NRM2 Mtge","ID_CUSIP")</f>
        <v>3137HMFE5</v>
      </c>
      <c r="B376" t="str">
        <f>_xll.BDP("!!03NRM2 Mtge","SECURITY_NAME")</f>
        <v>FHR 5567 TB</v>
      </c>
      <c r="C376" t="str">
        <f>_xll.BDP("!!03NRM2 Mtge","GENERIC_TICKER_VINTAGE")</f>
        <v>FNCL 6 2025</v>
      </c>
      <c r="D376" t="str">
        <f>_xll.BDP("!!03NRM2 Mtge","CRNCY")</f>
        <v>USD</v>
      </c>
      <c r="E376">
        <v>25000000</v>
      </c>
      <c r="F376">
        <f>_xll.BDP("!!03NRM2 Mtge","CPN")</f>
        <v>8.25</v>
      </c>
      <c r="G376">
        <f>_xll.BDP("!!03NRM2 Mtge","MTG_FACTOR")</f>
        <v>0.80760430000000005</v>
      </c>
      <c r="H376">
        <f>_xll.BDP("!!03NRM2 Mtge","MTG_WAL")</f>
        <v>3.1322999999999999</v>
      </c>
      <c r="I376">
        <f>_xll.BDP("!!03NRM2 Mtge","MTG_ORIG_WAL")</f>
        <v>6.1</v>
      </c>
    </row>
    <row r="377" spans="1:9" x14ac:dyDescent="0.25">
      <c r="A377" t="str">
        <f>_xll.BDP("!!03NXSB Mtge","ID_CUSIP")</f>
        <v>3137HMY53</v>
      </c>
      <c r="B377" t="str">
        <f>_xll.BDP("!!03NXSB Mtge","SECURITY_NAME")</f>
        <v>FHR 5580 SA</v>
      </c>
      <c r="C377" t="str">
        <f>_xll.BDP("!!03NXSB Mtge","GENERIC_TICKER_VINTAGE")</f>
        <v>FNCL 6 2025</v>
      </c>
      <c r="D377" t="str">
        <f>_xll.BDP("!!03NXSB Mtge","CRNCY")</f>
        <v>USD</v>
      </c>
      <c r="E377">
        <v>219249862</v>
      </c>
      <c r="F377">
        <f>_xll.BDP("!!03NXSB Mtge","CPN")</f>
        <v>1.38279</v>
      </c>
      <c r="G377">
        <f>_xll.BDP("!!03NXSB Mtge","MTG_FACTOR")</f>
        <v>0.92824282000000002</v>
      </c>
      <c r="H377">
        <f>_xll.BDP("!!03NXSB Mtge","MTG_WAL")</f>
        <v>3.3936999999999999</v>
      </c>
      <c r="I377">
        <f>_xll.BDP("!!03NXSB Mtge","MTG_ORIG_WAL")</f>
        <v>5.6</v>
      </c>
    </row>
    <row r="378" spans="1:9" x14ac:dyDescent="0.25">
      <c r="A378" t="str">
        <f>_xll.BDP("FNCB1562 Mtge","ID_CUSIP")</f>
        <v>3140QLWY8</v>
      </c>
      <c r="B378" t="str">
        <f>_xll.BDP("FNCB1562 Mtge","SECURITY_NAME")</f>
        <v>FN CB1562</v>
      </c>
      <c r="C378" t="str">
        <f>_xll.BDP("FNCB1562 Mtge","GENERIC_TICKER_VINTAGE")</f>
        <v>FNCL 3 2021</v>
      </c>
      <c r="D378" t="str">
        <f>_xll.BDP("FNCB1562 Mtge","CRNCY")</f>
        <v>USD</v>
      </c>
      <c r="E378">
        <v>100327668</v>
      </c>
      <c r="F378">
        <f>_xll.BDP("FNCB1562 Mtge","CPN")</f>
        <v>3</v>
      </c>
      <c r="G378">
        <f>_xll.BDP("FNCB1562 Mtge","MTG_FACTOR")</f>
        <v>0.63089033999999999</v>
      </c>
      <c r="H378">
        <f>_xll.BDP("FNCB1562 Mtge","MTG_WAL")</f>
        <v>8.3751999999999995</v>
      </c>
      <c r="I378" t="str">
        <f>_xll.BDP("FNCB1562 Mtge","MTG_ORIG_WAL")</f>
        <v>#N/A N/A</v>
      </c>
    </row>
    <row r="379" spans="1:9" x14ac:dyDescent="0.25">
      <c r="A379" t="str">
        <f>_xll.BDP("FNCB2095 Mtge","ID_CUSIP")</f>
        <v>3140QMKH6</v>
      </c>
      <c r="B379" t="str">
        <f>_xll.BDP("FNCB2095 Mtge","SECURITY_NAME")</f>
        <v>FN CB2095</v>
      </c>
      <c r="C379" t="str">
        <f>_xll.BDP("FNCB2095 Mtge","GENERIC_TICKER_VINTAGE")</f>
        <v>FNCL 3 2021</v>
      </c>
      <c r="D379" t="str">
        <f>_xll.BDP("FNCB2095 Mtge","CRNCY")</f>
        <v>USD</v>
      </c>
      <c r="E379">
        <v>199778025</v>
      </c>
      <c r="F379">
        <f>_xll.BDP("FNCB2095 Mtge","CPN")</f>
        <v>3</v>
      </c>
      <c r="G379">
        <f>_xll.BDP("FNCB2095 Mtge","MTG_FACTOR")</f>
        <v>0.74293253000000004</v>
      </c>
      <c r="H379">
        <f>_xll.BDP("FNCB2095 Mtge","MTG_WAL")</f>
        <v>8.3338999999999999</v>
      </c>
      <c r="I379" t="str">
        <f>_xll.BDP("FNCB2095 Mtge","MTG_ORIG_WAL")</f>
        <v>#N/A N/A</v>
      </c>
    </row>
    <row r="380" spans="1:9" x14ac:dyDescent="0.25">
      <c r="A380" t="str">
        <f>_xll.BDP("FNCB2670 Mtge","ID_CUSIP")</f>
        <v>3140QM6G4</v>
      </c>
      <c r="B380" t="str">
        <f>_xll.BDP("FNCB2670 Mtge","SECURITY_NAME")</f>
        <v>FN CB2670</v>
      </c>
      <c r="C380" t="str">
        <f>_xll.BDP("FNCB2670 Mtge","GENERIC_TICKER_VINTAGE")</f>
        <v>FNCL 3 2021</v>
      </c>
      <c r="D380" t="str">
        <f>_xll.BDP("FNCB2670 Mtge","CRNCY")</f>
        <v>USD</v>
      </c>
      <c r="E380">
        <v>192243580</v>
      </c>
      <c r="F380">
        <f>_xll.BDP("FNCB2670 Mtge","CPN")</f>
        <v>3</v>
      </c>
      <c r="G380">
        <f>_xll.BDP("FNCB2670 Mtge","MTG_FACTOR")</f>
        <v>0.79240133000000001</v>
      </c>
      <c r="H380">
        <f>_xll.BDP("FNCB2670 Mtge","MTG_WAL")</f>
        <v>8.3102999999999998</v>
      </c>
      <c r="I380" t="str">
        <f>_xll.BDP("FNCB2670 Mtge","MTG_ORIG_WAL")</f>
        <v>#N/A N/A</v>
      </c>
    </row>
    <row r="381" spans="1:9" x14ac:dyDescent="0.25">
      <c r="A381" t="str">
        <f>_xll.BDP("FNCC0259 Mtge","ID_CUSIP")</f>
        <v>3140Y6JD3</v>
      </c>
      <c r="B381" t="str">
        <f>_xll.BDP("FNCC0259 Mtge","SECURITY_NAME")</f>
        <v>FN CC0259</v>
      </c>
      <c r="C381" t="str">
        <f>_xll.BDP("FNCC0259 Mtge","GENERIC_TICKER_VINTAGE")</f>
        <v>FNCL 6 2025</v>
      </c>
      <c r="D381" t="str">
        <f>_xll.BDP("FNCC0259 Mtge","CRNCY")</f>
        <v>USD</v>
      </c>
      <c r="E381">
        <v>156721443</v>
      </c>
      <c r="F381">
        <f>_xll.BDP("FNCC0259 Mtge","CPN")</f>
        <v>6</v>
      </c>
      <c r="G381">
        <f>_xll.BDP("FNCC0259 Mtge","MTG_FACTOR")</f>
        <v>0.90097954999999996</v>
      </c>
      <c r="H381">
        <f>_xll.BDP("FNCC0259 Mtge","MTG_WAL")</f>
        <v>3.1996000000000002</v>
      </c>
      <c r="I381" t="str">
        <f>_xll.BDP("FNCC0259 Mtge","MTG_ORIG_WAL")</f>
        <v>#N/A N/A</v>
      </c>
    </row>
    <row r="382" spans="1:9" x14ac:dyDescent="0.25">
      <c r="A382" t="str">
        <f>_xll.BDP("FNCC0260 Mtge","ID_CUSIP")</f>
        <v>3140Y6JE1</v>
      </c>
      <c r="B382" t="str">
        <f>_xll.BDP("FNCC0260 Mtge","SECURITY_NAME")</f>
        <v>FN CC0260</v>
      </c>
      <c r="C382" t="str">
        <f>_xll.BDP("FNCC0260 Mtge","GENERIC_TICKER_VINTAGE")</f>
        <v>FNCL 6 2025</v>
      </c>
      <c r="D382" t="str">
        <f>_xll.BDP("FNCC0260 Mtge","CRNCY")</f>
        <v>USD</v>
      </c>
      <c r="E382">
        <v>174928379</v>
      </c>
      <c r="F382">
        <f>_xll.BDP("FNCC0260 Mtge","CPN")</f>
        <v>6</v>
      </c>
      <c r="G382">
        <f>_xll.BDP("FNCC0260 Mtge","MTG_FACTOR")</f>
        <v>0.90878826999999995</v>
      </c>
      <c r="H382">
        <f>_xll.BDP("FNCC0260 Mtge","MTG_WAL")</f>
        <v>3.1998000000000002</v>
      </c>
      <c r="I382" t="str">
        <f>_xll.BDP("FNCC0260 Mtge","MTG_ORIG_WAL")</f>
        <v>#N/A N/A</v>
      </c>
    </row>
    <row r="383" spans="1:9" x14ac:dyDescent="0.25">
      <c r="A383" t="str">
        <f>_xll.BDP("FNCC0625 Mtge","ID_CUSIP")</f>
        <v>3140Y6VT4</v>
      </c>
      <c r="B383" t="str">
        <f>_xll.BDP("FNCC0625 Mtge","SECURITY_NAME")</f>
        <v>FN CC0625</v>
      </c>
      <c r="C383" t="str">
        <f>_xll.BDP("FNCC0625 Mtge","GENERIC_TICKER_VINTAGE")</f>
        <v>FNCL 6 2025</v>
      </c>
      <c r="D383" t="str">
        <f>_xll.BDP("FNCC0625 Mtge","CRNCY")</f>
        <v>USD</v>
      </c>
      <c r="E383">
        <v>3306044</v>
      </c>
      <c r="F383">
        <f>_xll.BDP("FNCC0625 Mtge","CPN")</f>
        <v>6</v>
      </c>
      <c r="G383">
        <f>_xll.BDP("FNCC0625 Mtge","MTG_FACTOR")</f>
        <v>0.99036738000000002</v>
      </c>
      <c r="H383">
        <f>_xll.BDP("FNCC0625 Mtge","MTG_WAL")</f>
        <v>3.2917999999999998</v>
      </c>
      <c r="I383" t="str">
        <f>_xll.BDP("FNCC0625 Mtge","MTG_ORIG_WAL")</f>
        <v>#N/A N/A</v>
      </c>
    </row>
    <row r="384" spans="1:9" x14ac:dyDescent="0.25">
      <c r="A384" t="str">
        <f>_xll.BDP("FNDC0755 Mtge","ID_CUSIP")</f>
        <v>3140AMZV6</v>
      </c>
      <c r="B384" t="str">
        <f>_xll.BDP("FNDC0755 Mtge","SECURITY_NAME")</f>
        <v>FN DC0755</v>
      </c>
      <c r="C384" t="str">
        <f>_xll.BDP("FNDC0755 Mtge","GENERIC_TICKER_VINTAGE")</f>
        <v>FNCL 6 2025</v>
      </c>
      <c r="D384" t="str">
        <f>_xll.BDP("FNDC0755 Mtge","CRNCY")</f>
        <v>USD</v>
      </c>
      <c r="E384">
        <v>1117723</v>
      </c>
      <c r="F384">
        <f>_xll.BDP("FNDC0755 Mtge","CPN")</f>
        <v>6</v>
      </c>
      <c r="G384">
        <f>_xll.BDP("FNDC0755 Mtge","MTG_FACTOR")</f>
        <v>0.93106655000000005</v>
      </c>
      <c r="H384">
        <f>_xll.BDP("FNDC0755 Mtge","MTG_WAL")</f>
        <v>3.1274000000000002</v>
      </c>
      <c r="I384" t="str">
        <f>_xll.BDP("FNDC0755 Mtge","MTG_ORIG_WAL")</f>
        <v>#N/A N/A</v>
      </c>
    </row>
    <row r="385" spans="1:9" x14ac:dyDescent="0.25">
      <c r="A385" t="str">
        <f>_xll.BDP("FNDC9081 Mtge","ID_CUSIP")</f>
        <v>3140AXCT2</v>
      </c>
      <c r="B385" t="str">
        <f>_xll.BDP("FNDC9081 Mtge","SECURITY_NAME")</f>
        <v>FN DC9081</v>
      </c>
      <c r="C385" t="str">
        <f>_xll.BDP("FNDC9081 Mtge","GENERIC_TICKER_VINTAGE")</f>
        <v>FNCL 6 2025</v>
      </c>
      <c r="D385" t="str">
        <f>_xll.BDP("FNDC9081 Mtge","CRNCY")</f>
        <v>USD</v>
      </c>
      <c r="E385">
        <v>4803139</v>
      </c>
      <c r="F385">
        <f>_xll.BDP("FNDC9081 Mtge","CPN")</f>
        <v>6</v>
      </c>
      <c r="G385">
        <f>_xll.BDP("FNDC9081 Mtge","MTG_FACTOR")</f>
        <v>0.96818475999999998</v>
      </c>
      <c r="H385">
        <f>_xll.BDP("FNDC9081 Mtge","MTG_WAL")</f>
        <v>3.3386</v>
      </c>
      <c r="I385" t="str">
        <f>_xll.BDP("FNDC9081 Mtge","MTG_ORIG_WAL")</f>
        <v>#N/A N/A</v>
      </c>
    </row>
    <row r="386" spans="1:9" x14ac:dyDescent="0.25">
      <c r="A386" t="str">
        <f>_xll.BDP("FNDC9104 Mtge","ID_CUSIP")</f>
        <v>3140AXDJ3</v>
      </c>
      <c r="B386" t="str">
        <f>_xll.BDP("FNDC9104 Mtge","SECURITY_NAME")</f>
        <v>FN DC9104</v>
      </c>
      <c r="C386" t="str">
        <f>_xll.BDP("FNDC9104 Mtge","GENERIC_TICKER_VINTAGE")</f>
        <v>FNCL 6 2025</v>
      </c>
      <c r="D386" t="str">
        <f>_xll.BDP("FNDC9104 Mtge","CRNCY")</f>
        <v>USD</v>
      </c>
      <c r="E386">
        <v>5277907</v>
      </c>
      <c r="F386">
        <f>_xll.BDP("FNDC9104 Mtge","CPN")</f>
        <v>6</v>
      </c>
      <c r="G386">
        <f>_xll.BDP("FNDC9104 Mtge","MTG_FACTOR")</f>
        <v>0.91098690000000004</v>
      </c>
      <c r="H386">
        <f>_xll.BDP("FNDC9104 Mtge","MTG_WAL")</f>
        <v>3.3372000000000002</v>
      </c>
      <c r="I386" t="str">
        <f>_xll.BDP("FNDC9104 Mtge","MTG_ORIG_WAL")</f>
        <v>#N/A N/A</v>
      </c>
    </row>
    <row r="387" spans="1:9" x14ac:dyDescent="0.25">
      <c r="A387" t="str">
        <f>_xll.BDP("FNDD3069 Mtge","ID_CUSIP")</f>
        <v>3140B3MT6</v>
      </c>
      <c r="B387" t="str">
        <f>_xll.BDP("FNDD3069 Mtge","SECURITY_NAME")</f>
        <v>FN DD3069</v>
      </c>
      <c r="C387" t="str">
        <f>_xll.BDP("FNDD3069 Mtge","GENERIC_TICKER_VINTAGE")</f>
        <v>FNCL 6 2025</v>
      </c>
      <c r="D387" t="str">
        <f>_xll.BDP("FNDD3069 Mtge","CRNCY")</f>
        <v>USD</v>
      </c>
      <c r="E387">
        <v>1233920</v>
      </c>
      <c r="F387">
        <f>_xll.BDP("FNDD3069 Mtge","CPN")</f>
        <v>6</v>
      </c>
      <c r="G387">
        <f>_xll.BDP("FNDD3069 Mtge","MTG_FACTOR")</f>
        <v>0.98721426000000001</v>
      </c>
      <c r="H387">
        <f>_xll.BDP("FNDD3069 Mtge","MTG_WAL")</f>
        <v>3.1945000000000001</v>
      </c>
      <c r="I387" t="str">
        <f>_xll.BDP("FNDD3069 Mtge","MTG_ORIG_WAL")</f>
        <v>#N/A N/A</v>
      </c>
    </row>
    <row r="388" spans="1:9" x14ac:dyDescent="0.25">
      <c r="A388" t="str">
        <f>_xll.BDP("FNDD4298 Mtge","ID_CUSIP")</f>
        <v>3140B4X47</v>
      </c>
      <c r="B388" t="str">
        <f>_xll.BDP("FNDD4298 Mtge","SECURITY_NAME")</f>
        <v>FN DD4298</v>
      </c>
      <c r="C388" t="str">
        <f>_xll.BDP("FNDD4298 Mtge","GENERIC_TICKER_VINTAGE")</f>
        <v>FNCL 6 2025</v>
      </c>
      <c r="D388" t="str">
        <f>_xll.BDP("FNDD4298 Mtge","CRNCY")</f>
        <v>USD</v>
      </c>
      <c r="E388">
        <v>15477348</v>
      </c>
      <c r="F388">
        <f>_xll.BDP("FNDD4298 Mtge","CPN")</f>
        <v>6</v>
      </c>
      <c r="G388">
        <f>_xll.BDP("FNDD4298 Mtge","MTG_FACTOR")</f>
        <v>0.79458470999999997</v>
      </c>
      <c r="H388">
        <f>_xll.BDP("FNDD4298 Mtge","MTG_WAL")</f>
        <v>3.2002000000000002</v>
      </c>
      <c r="I388" t="str">
        <f>_xll.BDP("FNDD4298 Mtge","MTG_ORIG_WAL")</f>
        <v>#N/A N/A</v>
      </c>
    </row>
    <row r="389" spans="1:9" x14ac:dyDescent="0.25">
      <c r="A389" t="str">
        <f>_xll.BDP("FNDD6112 Mtge","ID_CUSIP")</f>
        <v>3140B6YJ8</v>
      </c>
      <c r="B389" t="str">
        <f>_xll.BDP("FNDD6112 Mtge","SECURITY_NAME")</f>
        <v>FN DD6112</v>
      </c>
      <c r="C389" t="str">
        <f>_xll.BDP("FNDD6112 Mtge","GENERIC_TICKER_VINTAGE")</f>
        <v>FNCL 6 2025</v>
      </c>
      <c r="D389" t="str">
        <f>_xll.BDP("FNDD6112 Mtge","CRNCY")</f>
        <v>USD</v>
      </c>
      <c r="E389">
        <v>1759857</v>
      </c>
      <c r="F389">
        <f>_xll.BDP("FNDD6112 Mtge","CPN")</f>
        <v>6</v>
      </c>
      <c r="G389">
        <f>_xll.BDP("FNDD6112 Mtge","MTG_FACTOR")</f>
        <v>0.94885503000000004</v>
      </c>
      <c r="H389">
        <f>_xll.BDP("FNDD6112 Mtge","MTG_WAL")</f>
        <v>3.2875999999999999</v>
      </c>
      <c r="I389" t="str">
        <f>_xll.BDP("FNDD6112 Mtge","MTG_ORIG_WAL")</f>
        <v>#N/A N/A</v>
      </c>
    </row>
    <row r="390" spans="1:9" x14ac:dyDescent="0.25">
      <c r="A390" t="str">
        <f>_xll.BDP("FNDD7700 Mtge","ID_CUSIP")</f>
        <v>3140B8RW3</v>
      </c>
      <c r="B390" t="str">
        <f>_xll.BDP("FNDD7700 Mtge","SECURITY_NAME")</f>
        <v>FN DD7700</v>
      </c>
      <c r="C390" t="str">
        <f>_xll.BDP("FNDD7700 Mtge","GENERIC_TICKER_VINTAGE")</f>
        <v>FNCL 6 2025</v>
      </c>
      <c r="D390" t="str">
        <f>_xll.BDP("FNDD7700 Mtge","CRNCY")</f>
        <v>USD</v>
      </c>
      <c r="E390">
        <v>1408240</v>
      </c>
      <c r="F390">
        <f>_xll.BDP("FNDD7700 Mtge","CPN")</f>
        <v>6</v>
      </c>
      <c r="G390">
        <f>_xll.BDP("FNDD7700 Mtge","MTG_FACTOR")</f>
        <v>0.99026793000000002</v>
      </c>
      <c r="H390">
        <f>_xll.BDP("FNDD7700 Mtge","MTG_WAL")</f>
        <v>3.3441000000000001</v>
      </c>
      <c r="I390" t="str">
        <f>_xll.BDP("FNDD7700 Mtge","MTG_ORIG_WAL")</f>
        <v>#N/A N/A</v>
      </c>
    </row>
    <row r="391" spans="1:9" x14ac:dyDescent="0.25">
      <c r="A391" t="str">
        <f>_xll.BDP("FNDD8502 Mtge","ID_CUSIP")</f>
        <v>3140B9NU9</v>
      </c>
      <c r="B391" t="str">
        <f>_xll.BDP("FNDD8502 Mtge","SECURITY_NAME")</f>
        <v>FN DD8502</v>
      </c>
      <c r="C391" t="str">
        <f>_xll.BDP("FNDD8502 Mtge","GENERIC_TICKER_VINTAGE")</f>
        <v>FNCL 6 2025</v>
      </c>
      <c r="D391" t="str">
        <f>_xll.BDP("FNDD8502 Mtge","CRNCY")</f>
        <v>USD</v>
      </c>
      <c r="E391">
        <v>19561531</v>
      </c>
      <c r="F391">
        <f>_xll.BDP("FNDD8502 Mtge","CPN")</f>
        <v>6</v>
      </c>
      <c r="G391">
        <f>_xll.BDP("FNDD8502 Mtge","MTG_FACTOR")</f>
        <v>0.91314086999999999</v>
      </c>
      <c r="H391">
        <f>_xll.BDP("FNDD8502 Mtge","MTG_WAL")</f>
        <v>3.2968000000000002</v>
      </c>
      <c r="I391" t="str">
        <f>_xll.BDP("FNDD8502 Mtge","MTG_ORIG_WAL")</f>
        <v>#N/A N/A</v>
      </c>
    </row>
    <row r="392" spans="1:9" x14ac:dyDescent="0.25">
      <c r="A392" t="str">
        <f>_xll.BDP("FNDD8883 Mtge","ID_CUSIP")</f>
        <v>3140B92R9</v>
      </c>
      <c r="B392" t="str">
        <f>_xll.BDP("FNDD8883 Mtge","SECURITY_NAME")</f>
        <v>FN DD8883</v>
      </c>
      <c r="C392" t="str">
        <f>_xll.BDP("FNDD8883 Mtge","GENERIC_TICKER_VINTAGE")</f>
        <v>FNCL 6 2025</v>
      </c>
      <c r="D392" t="str">
        <f>_xll.BDP("FNDD8883 Mtge","CRNCY")</f>
        <v>USD</v>
      </c>
      <c r="E392">
        <v>3123830</v>
      </c>
      <c r="F392">
        <f>_xll.BDP("FNDD8883 Mtge","CPN")</f>
        <v>6</v>
      </c>
      <c r="G392">
        <f>_xll.BDP("FNDD8883 Mtge","MTG_FACTOR")</f>
        <v>0.99399143000000001</v>
      </c>
      <c r="H392">
        <f>_xll.BDP("FNDD8883 Mtge","MTG_WAL")</f>
        <v>3.4009999999999998</v>
      </c>
      <c r="I392" t="str">
        <f>_xll.BDP("FNDD8883 Mtge","MTG_ORIG_WAL")</f>
        <v>#N/A N/A</v>
      </c>
    </row>
    <row r="393" spans="1:9" x14ac:dyDescent="0.25">
      <c r="A393" t="str">
        <f>_xll.BDP("FNDD9353 Mtge","ID_CUSIP")</f>
        <v>3140BAMB9</v>
      </c>
      <c r="B393" t="str">
        <f>_xll.BDP("FNDD9353 Mtge","SECURITY_NAME")</f>
        <v>FN DD9353</v>
      </c>
      <c r="C393" t="str">
        <f>_xll.BDP("FNDD9353 Mtge","GENERIC_TICKER_VINTAGE")</f>
        <v>FNCL 6 2025</v>
      </c>
      <c r="D393" t="str">
        <f>_xll.BDP("FNDD9353 Mtge","CRNCY")</f>
        <v>USD</v>
      </c>
      <c r="E393">
        <v>5805918</v>
      </c>
      <c r="F393">
        <f>_xll.BDP("FNDD9353 Mtge","CPN")</f>
        <v>6</v>
      </c>
      <c r="G393">
        <f>_xll.BDP("FNDD9353 Mtge","MTG_FACTOR")</f>
        <v>0.99048844999999996</v>
      </c>
      <c r="H393">
        <f>_xll.BDP("FNDD9353 Mtge","MTG_WAL")</f>
        <v>3.2907999999999999</v>
      </c>
      <c r="I393" t="str">
        <f>_xll.BDP("FNDD9353 Mtge","MTG_ORIG_WAL")</f>
        <v>#N/A N/A</v>
      </c>
    </row>
    <row r="394" spans="1:9" x14ac:dyDescent="0.25">
      <c r="A394" t="str">
        <f>_xll.BDP("FNDE0739 Mtge","ID_CUSIP")</f>
        <v>3140BCZD7</v>
      </c>
      <c r="B394" t="str">
        <f>_xll.BDP("FNDE0739 Mtge","SECURITY_NAME")</f>
        <v>FN DE0739</v>
      </c>
      <c r="C394" t="str">
        <f>_xll.BDP("FNDE0739 Mtge","GENERIC_TICKER_VINTAGE")</f>
        <v>FNCL 6 2025</v>
      </c>
      <c r="D394" t="str">
        <f>_xll.BDP("FNDE0739 Mtge","CRNCY")</f>
        <v>USD</v>
      </c>
      <c r="E394">
        <v>36784588</v>
      </c>
      <c r="F394">
        <f>_xll.BDP("FNDE0739 Mtge","CPN")</f>
        <v>6</v>
      </c>
      <c r="G394">
        <f>_xll.BDP("FNDE0739 Mtge","MTG_FACTOR")</f>
        <v>0.97819685000000001</v>
      </c>
      <c r="H394">
        <f>_xll.BDP("FNDE0739 Mtge","MTG_WAL")</f>
        <v>3.3351999999999999</v>
      </c>
      <c r="I394" t="str">
        <f>_xll.BDP("FNDE0739 Mtge","MTG_ORIG_WAL")</f>
        <v>#N/A N/A</v>
      </c>
    </row>
    <row r="395" spans="1:9" x14ac:dyDescent="0.25">
      <c r="A395" t="str">
        <f>_xll.BDP("FNDE0977 Mtge","ID_CUSIP")</f>
        <v>3140BDCP3</v>
      </c>
      <c r="B395" t="str">
        <f>_xll.BDP("FNDE0977 Mtge","SECURITY_NAME")</f>
        <v>FN DE0977</v>
      </c>
      <c r="C395" t="str">
        <f>_xll.BDP("FNDE0977 Mtge","GENERIC_TICKER_VINTAGE")</f>
        <v>FNCL 6 2025</v>
      </c>
      <c r="D395" t="str">
        <f>_xll.BDP("FNDE0977 Mtge","CRNCY")</f>
        <v>USD</v>
      </c>
      <c r="E395">
        <v>3645275</v>
      </c>
      <c r="F395">
        <f>_xll.BDP("FNDE0977 Mtge","CPN")</f>
        <v>6</v>
      </c>
      <c r="G395">
        <f>_xll.BDP("FNDE0977 Mtge","MTG_FACTOR")</f>
        <v>0.91306569000000004</v>
      </c>
      <c r="H395">
        <f>_xll.BDP("FNDE0977 Mtge","MTG_WAL")</f>
        <v>3.3374999999999999</v>
      </c>
      <c r="I395" t="str">
        <f>_xll.BDP("FNDE0977 Mtge","MTG_ORIG_WAL")</f>
        <v>#N/A N/A</v>
      </c>
    </row>
    <row r="396" spans="1:9" x14ac:dyDescent="0.25">
      <c r="A396" t="str">
        <f>_xll.BDP("FNDE1006 Mtge","ID_CUSIP")</f>
        <v>3140BDDL1</v>
      </c>
      <c r="B396" t="str">
        <f>_xll.BDP("FNDE1006 Mtge","SECURITY_NAME")</f>
        <v>FN DE1006</v>
      </c>
      <c r="C396" t="str">
        <f>_xll.BDP("FNDE1006 Mtge","GENERIC_TICKER_VINTAGE")</f>
        <v>FNCL 6 2025</v>
      </c>
      <c r="D396" t="str">
        <f>_xll.BDP("FNDE1006 Mtge","CRNCY")</f>
        <v>USD</v>
      </c>
      <c r="E396">
        <v>18399128</v>
      </c>
      <c r="F396">
        <f>_xll.BDP("FNDE1006 Mtge","CPN")</f>
        <v>6</v>
      </c>
      <c r="G396">
        <f>_xll.BDP("FNDE1006 Mtge","MTG_FACTOR")</f>
        <v>0.97384709000000003</v>
      </c>
      <c r="H396">
        <f>_xll.BDP("FNDE1006 Mtge","MTG_WAL")</f>
        <v>3.3418999999999999</v>
      </c>
      <c r="I396" t="str">
        <f>_xll.BDP("FNDE1006 Mtge","MTG_ORIG_WAL")</f>
        <v>#N/A N/A</v>
      </c>
    </row>
    <row r="397" spans="1:9" x14ac:dyDescent="0.25">
      <c r="A397" t="str">
        <f>_xll.BDP("FNDE1140 Mtge","ID_CUSIP")</f>
        <v>3140BDHS2</v>
      </c>
      <c r="B397" t="str">
        <f>_xll.BDP("FNDE1140 Mtge","SECURITY_NAME")</f>
        <v>FN DE1140</v>
      </c>
      <c r="C397" t="str">
        <f>_xll.BDP("FNDE1140 Mtge","GENERIC_TICKER_VINTAGE")</f>
        <v>FNCL 6 2025</v>
      </c>
      <c r="D397" t="str">
        <f>_xll.BDP("FNDE1140 Mtge","CRNCY")</f>
        <v>USD</v>
      </c>
      <c r="E397">
        <v>9827669</v>
      </c>
      <c r="F397">
        <f>_xll.BDP("FNDE1140 Mtge","CPN")</f>
        <v>6</v>
      </c>
      <c r="G397">
        <f>_xll.BDP("FNDE1140 Mtge","MTG_FACTOR")</f>
        <v>0.98889004000000003</v>
      </c>
      <c r="H397">
        <f>_xll.BDP("FNDE1140 Mtge","MTG_WAL")</f>
        <v>3.3403999999999998</v>
      </c>
      <c r="I397" t="str">
        <f>_xll.BDP("FNDE1140 Mtge","MTG_ORIG_WAL")</f>
        <v>#N/A N/A</v>
      </c>
    </row>
    <row r="398" spans="1:9" x14ac:dyDescent="0.25">
      <c r="A398" t="str">
        <f>_xll.BDP("FNDE1218 Mtge","ID_CUSIP")</f>
        <v>3140BDK82</v>
      </c>
      <c r="B398" t="str">
        <f>_xll.BDP("FNDE1218 Mtge","SECURITY_NAME")</f>
        <v>FN DE1218</v>
      </c>
      <c r="C398" t="str">
        <f>_xll.BDP("FNDE1218 Mtge","GENERIC_TICKER_VINTAGE")</f>
        <v>FNCL 6 2025</v>
      </c>
      <c r="D398" t="str">
        <f>_xll.BDP("FNDE1218 Mtge","CRNCY")</f>
        <v>USD</v>
      </c>
      <c r="E398">
        <v>3364750</v>
      </c>
      <c r="F398">
        <f>_xll.BDP("FNDE1218 Mtge","CPN")</f>
        <v>6</v>
      </c>
      <c r="G398">
        <f>_xll.BDP("FNDE1218 Mtge","MTG_FACTOR")</f>
        <v>0.9781204</v>
      </c>
      <c r="H398">
        <f>_xll.BDP("FNDE1218 Mtge","MTG_WAL")</f>
        <v>3.3370000000000002</v>
      </c>
      <c r="I398" t="str">
        <f>_xll.BDP("FNDE1218 Mtge","MTG_ORIG_WAL")</f>
        <v>#N/A N/A</v>
      </c>
    </row>
    <row r="399" spans="1:9" x14ac:dyDescent="0.25">
      <c r="A399" t="str">
        <f>_xll.BDP("FNDE1527 Mtge","ID_CUSIP")</f>
        <v>3140BDVV9</v>
      </c>
      <c r="B399" t="str">
        <f>_xll.BDP("FNDE1527 Mtge","SECURITY_NAME")</f>
        <v>FN DE1527</v>
      </c>
      <c r="C399" t="str">
        <f>_xll.BDP("FNDE1527 Mtge","GENERIC_TICKER_VINTAGE")</f>
        <v>FNCL 6 2025</v>
      </c>
      <c r="D399" t="str">
        <f>_xll.BDP("FNDE1527 Mtge","CRNCY")</f>
        <v>USD</v>
      </c>
      <c r="E399">
        <v>13905725</v>
      </c>
      <c r="F399">
        <f>_xll.BDP("FNDE1527 Mtge","CPN")</f>
        <v>6</v>
      </c>
      <c r="G399">
        <f>_xll.BDP("FNDE1527 Mtge","MTG_FACTOR")</f>
        <v>0.87608973999999995</v>
      </c>
      <c r="H399">
        <f>_xll.BDP("FNDE1527 Mtge","MTG_WAL")</f>
        <v>3.2850000000000001</v>
      </c>
      <c r="I399" t="str">
        <f>_xll.BDP("FNDE1527 Mtge","MTG_ORIG_WAL")</f>
        <v>#N/A N/A</v>
      </c>
    </row>
    <row r="400" spans="1:9" x14ac:dyDescent="0.25">
      <c r="A400" t="str">
        <f>_xll.BDP("FNDE1628 Mtge","ID_CUSIP")</f>
        <v>3140BDY20</v>
      </c>
      <c r="B400" t="str">
        <f>_xll.BDP("FNDE1628 Mtge","SECURITY_NAME")</f>
        <v>FN DE1628</v>
      </c>
      <c r="C400" t="str">
        <f>_xll.BDP("FNDE1628 Mtge","GENERIC_TICKER_VINTAGE")</f>
        <v>FNCL 6 2025</v>
      </c>
      <c r="D400" t="str">
        <f>_xll.BDP("FNDE1628 Mtge","CRNCY")</f>
        <v>USD</v>
      </c>
      <c r="E400">
        <v>21775648</v>
      </c>
      <c r="F400">
        <f>_xll.BDP("FNDE1628 Mtge","CPN")</f>
        <v>6</v>
      </c>
      <c r="G400">
        <f>_xll.BDP("FNDE1628 Mtge","MTG_FACTOR")</f>
        <v>0.66198579999999996</v>
      </c>
      <c r="H400">
        <f>_xll.BDP("FNDE1628 Mtge","MTG_WAL")</f>
        <v>3.2867999999999999</v>
      </c>
      <c r="I400" t="str">
        <f>_xll.BDP("FNDE1628 Mtge","MTG_ORIG_WAL")</f>
        <v>#N/A N/A</v>
      </c>
    </row>
    <row r="401" spans="1:9" x14ac:dyDescent="0.25">
      <c r="A401" t="str">
        <f>_xll.BDP("FNDE2088 Mtge","ID_CUSIP")</f>
        <v>3140BEKA5</v>
      </c>
      <c r="B401" t="str">
        <f>_xll.BDP("FNDE2088 Mtge","SECURITY_NAME")</f>
        <v>FN DE2088</v>
      </c>
      <c r="C401" t="str">
        <f>_xll.BDP("FNDE2088 Mtge","GENERIC_TICKER_VINTAGE")</f>
        <v>FNCL 6 2025</v>
      </c>
      <c r="D401" t="str">
        <f>_xll.BDP("FNDE2088 Mtge","CRNCY")</f>
        <v>USD</v>
      </c>
      <c r="E401">
        <v>9531765</v>
      </c>
      <c r="F401">
        <f>_xll.BDP("FNDE2088 Mtge","CPN")</f>
        <v>6</v>
      </c>
      <c r="G401">
        <f>_xll.BDP("FNDE2088 Mtge","MTG_FACTOR")</f>
        <v>0.94345142999999998</v>
      </c>
      <c r="H401">
        <f>_xll.BDP("FNDE2088 Mtge","MTG_WAL")</f>
        <v>3.3454000000000002</v>
      </c>
      <c r="I401" t="str">
        <f>_xll.BDP("FNDE2088 Mtge","MTG_ORIG_WAL")</f>
        <v>#N/A N/A</v>
      </c>
    </row>
    <row r="402" spans="1:9" x14ac:dyDescent="0.25">
      <c r="A402" t="str">
        <f>_xll.BDP("FNDE2098 Mtge","ID_CUSIP")</f>
        <v>3140BEKL1</v>
      </c>
      <c r="B402" t="str">
        <f>_xll.BDP("FNDE2098 Mtge","SECURITY_NAME")</f>
        <v>FN DE2098</v>
      </c>
      <c r="C402" t="str">
        <f>_xll.BDP("FNDE2098 Mtge","GENERIC_TICKER_VINTAGE")</f>
        <v>FNCL 6 2025</v>
      </c>
      <c r="D402" t="str">
        <f>_xll.BDP("FNDE2098 Mtge","CRNCY")</f>
        <v>USD</v>
      </c>
      <c r="E402">
        <v>9962500</v>
      </c>
      <c r="F402">
        <f>_xll.BDP("FNDE2098 Mtge","CPN")</f>
        <v>6</v>
      </c>
      <c r="G402">
        <f>_xll.BDP("FNDE2098 Mtge","MTG_FACTOR")</f>
        <v>0.80039512999999995</v>
      </c>
      <c r="H402">
        <f>_xll.BDP("FNDE2098 Mtge","MTG_WAL")</f>
        <v>3.347</v>
      </c>
      <c r="I402" t="str">
        <f>_xll.BDP("FNDE2098 Mtge","MTG_ORIG_WAL")</f>
        <v>#N/A N/A</v>
      </c>
    </row>
    <row r="403" spans="1:9" x14ac:dyDescent="0.25">
      <c r="A403" t="str">
        <f>_xll.BDP("FNDE2119 Mtge","ID_CUSIP")</f>
        <v>3140BEK98</v>
      </c>
      <c r="B403" t="str">
        <f>_xll.BDP("FNDE2119 Mtge","SECURITY_NAME")</f>
        <v>FN DE2119</v>
      </c>
      <c r="C403" t="str">
        <f>_xll.BDP("FNDE2119 Mtge","GENERIC_TICKER_VINTAGE")</f>
        <v>FNCL 6 2025</v>
      </c>
      <c r="D403" t="str">
        <f>_xll.BDP("FNDE2119 Mtge","CRNCY")</f>
        <v>USD</v>
      </c>
      <c r="E403">
        <v>4539694</v>
      </c>
      <c r="F403">
        <f>_xll.BDP("FNDE2119 Mtge","CPN")</f>
        <v>6</v>
      </c>
      <c r="G403">
        <f>_xll.BDP("FNDE2119 Mtge","MTG_FACTOR")</f>
        <v>0.93251720999999999</v>
      </c>
      <c r="H403">
        <f>_xll.BDP("FNDE2119 Mtge","MTG_WAL")</f>
        <v>3.3877000000000002</v>
      </c>
      <c r="I403" t="str">
        <f>_xll.BDP("FNDE2119 Mtge","MTG_ORIG_WAL")</f>
        <v>#N/A N/A</v>
      </c>
    </row>
    <row r="404" spans="1:9" x14ac:dyDescent="0.25">
      <c r="A404" t="str">
        <f>_xll.BDP("FNDE2546 Mtge","ID_CUSIP")</f>
        <v>3140BEZL5</v>
      </c>
      <c r="B404" t="str">
        <f>_xll.BDP("FNDE2546 Mtge","SECURITY_NAME")</f>
        <v>FN DE2546</v>
      </c>
      <c r="C404" t="str">
        <f>_xll.BDP("FNDE2546 Mtge","GENERIC_TICKER_VINTAGE")</f>
        <v>FNCL 6 2025</v>
      </c>
      <c r="D404" t="str">
        <f>_xll.BDP("FNDE2546 Mtge","CRNCY")</f>
        <v>USD</v>
      </c>
      <c r="E404">
        <v>1148150</v>
      </c>
      <c r="F404">
        <f>_xll.BDP("FNDE2546 Mtge","CPN")</f>
        <v>6</v>
      </c>
      <c r="G404">
        <f>_xll.BDP("FNDE2546 Mtge","MTG_FACTOR")</f>
        <v>0.99288706999999998</v>
      </c>
      <c r="H404">
        <f>_xll.BDP("FNDE2546 Mtge","MTG_WAL")</f>
        <v>3.3978000000000002</v>
      </c>
      <c r="I404" t="str">
        <f>_xll.BDP("FNDE2546 Mtge","MTG_ORIG_WAL")</f>
        <v>#N/A N/A</v>
      </c>
    </row>
    <row r="405" spans="1:9" x14ac:dyDescent="0.25">
      <c r="A405" t="str">
        <f>_xll.BDP("FNDE2552 Mtge","ID_CUSIP")</f>
        <v>3140BEZS0</v>
      </c>
      <c r="B405" t="str">
        <f>_xll.BDP("FNDE2552 Mtge","SECURITY_NAME")</f>
        <v>FN DE2552</v>
      </c>
      <c r="C405" t="str">
        <f>_xll.BDP("FNDE2552 Mtge","GENERIC_TICKER_VINTAGE")</f>
        <v>FNCL 6 2025</v>
      </c>
      <c r="D405" t="str">
        <f>_xll.BDP("FNDE2552 Mtge","CRNCY")</f>
        <v>USD</v>
      </c>
      <c r="E405">
        <v>1610425</v>
      </c>
      <c r="F405">
        <f>_xll.BDP("FNDE2552 Mtge","CPN")</f>
        <v>6</v>
      </c>
      <c r="G405">
        <f>_xll.BDP("FNDE2552 Mtge","MTG_FACTOR")</f>
        <v>0.98423106000000005</v>
      </c>
      <c r="H405">
        <f>_xll.BDP("FNDE2552 Mtge","MTG_WAL")</f>
        <v>3.3384</v>
      </c>
      <c r="I405" t="str">
        <f>_xll.BDP("FNDE2552 Mtge","MTG_ORIG_WAL")</f>
        <v>#N/A N/A</v>
      </c>
    </row>
    <row r="406" spans="1:9" x14ac:dyDescent="0.25">
      <c r="A406" t="str">
        <f>_xll.BDP("FNDE2994 Mtge","ID_CUSIP")</f>
        <v>3140BFKG9</v>
      </c>
      <c r="B406" t="str">
        <f>_xll.BDP("FNDE2994 Mtge","SECURITY_NAME")</f>
        <v>FN DE2994</v>
      </c>
      <c r="C406" t="str">
        <f>_xll.BDP("FNDE2994 Mtge","GENERIC_TICKER_VINTAGE")</f>
        <v>FNCL 6 2025</v>
      </c>
      <c r="D406" t="str">
        <f>_xll.BDP("FNDE2994 Mtge","CRNCY")</f>
        <v>USD</v>
      </c>
      <c r="E406">
        <v>3864647</v>
      </c>
      <c r="F406">
        <f>_xll.BDP("FNDE2994 Mtge","CPN")</f>
        <v>6</v>
      </c>
      <c r="G406">
        <f>_xll.BDP("FNDE2994 Mtge","MTG_FACTOR")</f>
        <v>0.96594749999999996</v>
      </c>
      <c r="H406">
        <f>_xll.BDP("FNDE2994 Mtge","MTG_WAL")</f>
        <v>3.3458999999999999</v>
      </c>
      <c r="I406" t="str">
        <f>_xll.BDP("FNDE2994 Mtge","MTG_ORIG_WAL")</f>
        <v>#N/A N/A</v>
      </c>
    </row>
    <row r="407" spans="1:9" x14ac:dyDescent="0.25">
      <c r="A407" t="str">
        <f>_xll.BDP("FNDE3016 Mtge","ID_CUSIP")</f>
        <v>3140BFK61</v>
      </c>
      <c r="B407" t="str">
        <f>_xll.BDP("FNDE3016 Mtge","SECURITY_NAME")</f>
        <v>FN DE3016</v>
      </c>
      <c r="C407" t="str">
        <f>_xll.BDP("FNDE3016 Mtge","GENERIC_TICKER_VINTAGE")</f>
        <v>FNCL 6 2025</v>
      </c>
      <c r="D407" t="str">
        <f>_xll.BDP("FNDE3016 Mtge","CRNCY")</f>
        <v>USD</v>
      </c>
      <c r="E407">
        <v>2183805</v>
      </c>
      <c r="F407">
        <f>_xll.BDP("FNDE3016 Mtge","CPN")</f>
        <v>6</v>
      </c>
      <c r="G407">
        <f>_xll.BDP("FNDE3016 Mtge","MTG_FACTOR")</f>
        <v>0.99024864999999995</v>
      </c>
      <c r="H407">
        <f>_xll.BDP("FNDE3016 Mtge","MTG_WAL")</f>
        <v>3.3418999999999999</v>
      </c>
      <c r="I407" t="str">
        <f>_xll.BDP("FNDE3016 Mtge","MTG_ORIG_WAL")</f>
        <v>#N/A N/A</v>
      </c>
    </row>
    <row r="408" spans="1:9" x14ac:dyDescent="0.25">
      <c r="A408" t="str">
        <f>_xll.BDP("FNDE6463 Mtge","ID_CUSIP")</f>
        <v>3140BKFD1</v>
      </c>
      <c r="B408" t="str">
        <f>_xll.BDP("FNDE6463 Mtge","SECURITY_NAME")</f>
        <v>FN DE6463</v>
      </c>
      <c r="C408" t="str">
        <f>_xll.BDP("FNDE6463 Mtge","GENERIC_TICKER_VINTAGE")</f>
        <v>FNCL 6 2025</v>
      </c>
      <c r="D408" t="str">
        <f>_xll.BDP("FNDE6463 Mtge","CRNCY")</f>
        <v>USD</v>
      </c>
      <c r="E408">
        <v>2680650</v>
      </c>
      <c r="F408">
        <f>_xll.BDP("FNDE6463 Mtge","CPN")</f>
        <v>6</v>
      </c>
      <c r="G408">
        <f>_xll.BDP("FNDE6463 Mtge","MTG_FACTOR")</f>
        <v>0.99404523</v>
      </c>
      <c r="H408">
        <f>_xll.BDP("FNDE6463 Mtge","MTG_WAL")</f>
        <v>3.4525000000000001</v>
      </c>
      <c r="I408" t="str">
        <f>_xll.BDP("FNDE6463 Mtge","MTG_ORIG_WAL")</f>
        <v>#N/A N/A</v>
      </c>
    </row>
    <row r="409" spans="1:9" x14ac:dyDescent="0.25">
      <c r="A409" t="str">
        <f>_xll.BDP("FNDE7206 Mtge","ID_CUSIP")</f>
        <v>3140BLAG7</v>
      </c>
      <c r="B409" t="str">
        <f>_xll.BDP("FNDE7206 Mtge","SECURITY_NAME")</f>
        <v>FN DE7206</v>
      </c>
      <c r="C409" t="str">
        <f>_xll.BDP("FNDE7206 Mtge","GENERIC_TICKER_VINTAGE")</f>
        <v>FNCL 6 2025</v>
      </c>
      <c r="D409" t="str">
        <f>_xll.BDP("FNDE7206 Mtge","CRNCY")</f>
        <v>USD</v>
      </c>
      <c r="E409">
        <v>29743169</v>
      </c>
      <c r="F409">
        <f>_xll.BDP("FNDE7206 Mtge","CPN")</f>
        <v>6</v>
      </c>
      <c r="G409">
        <f>_xll.BDP("FNDE7206 Mtge","MTG_FACTOR")</f>
        <v>0.83507376</v>
      </c>
      <c r="H409">
        <f>_xll.BDP("FNDE7206 Mtge","MTG_WAL")</f>
        <v>3.3957000000000002</v>
      </c>
      <c r="I409" t="str">
        <f>_xll.BDP("FNDE7206 Mtge","MTG_ORIG_WAL")</f>
        <v>#N/A N/A</v>
      </c>
    </row>
    <row r="410" spans="1:9" x14ac:dyDescent="0.25">
      <c r="A410" t="str">
        <f>_xll.BDP("FNDE7292 Mtge","ID_CUSIP")</f>
        <v>3140BLC67</v>
      </c>
      <c r="B410" t="str">
        <f>_xll.BDP("FNDE7292 Mtge","SECURITY_NAME")</f>
        <v>FN DE7292</v>
      </c>
      <c r="C410" t="str">
        <f>_xll.BDP("FNDE7292 Mtge","GENERIC_TICKER_VINTAGE")</f>
        <v>FNCL 6 2025</v>
      </c>
      <c r="D410" t="str">
        <f>_xll.BDP("FNDE7292 Mtge","CRNCY")</f>
        <v>USD</v>
      </c>
      <c r="E410">
        <v>4130434</v>
      </c>
      <c r="F410">
        <f>_xll.BDP("FNDE7292 Mtge","CPN")</f>
        <v>6</v>
      </c>
      <c r="G410">
        <f>_xll.BDP("FNDE7292 Mtge","MTG_FACTOR")</f>
        <v>0.88405182999999998</v>
      </c>
      <c r="H410">
        <f>_xll.BDP("FNDE7292 Mtge","MTG_WAL")</f>
        <v>3.4521000000000002</v>
      </c>
      <c r="I410" t="str">
        <f>_xll.BDP("FNDE7292 Mtge","MTG_ORIG_WAL")</f>
        <v>#N/A N/A</v>
      </c>
    </row>
    <row r="411" spans="1:9" x14ac:dyDescent="0.25">
      <c r="A411" t="str">
        <f>_xll.BDP("FNFA1404 Mtge","ID_CUSIP")</f>
        <v>3140W1R21</v>
      </c>
      <c r="B411" t="str">
        <f>_xll.BDP("FNFA1404 Mtge","SECURITY_NAME")</f>
        <v>FN FA1404</v>
      </c>
      <c r="C411" t="str">
        <f>_xll.BDP("FNFA1404 Mtge","GENERIC_TICKER_VINTAGE")</f>
        <v>FNCL 3 2021</v>
      </c>
      <c r="D411" t="str">
        <f>_xll.BDP("FNFA1404 Mtge","CRNCY")</f>
        <v>USD</v>
      </c>
      <c r="E411">
        <v>120938511</v>
      </c>
      <c r="F411">
        <f>_xll.BDP("FNFA1404 Mtge","CPN")</f>
        <v>3</v>
      </c>
      <c r="G411">
        <f>_xll.BDP("FNFA1404 Mtge","MTG_FACTOR")</f>
        <v>0.93291186000000004</v>
      </c>
      <c r="H411">
        <f>_xll.BDP("FNFA1404 Mtge","MTG_WAL")</f>
        <v>8.2998999999999992</v>
      </c>
      <c r="I411" t="str">
        <f>_xll.BDP("FNFA1404 Mtge","MTG_ORIG_WAL")</f>
        <v>#N/A N/A</v>
      </c>
    </row>
    <row r="412" spans="1:9" x14ac:dyDescent="0.25">
      <c r="A412" t="str">
        <f>_xll.BDP("FNFA1746 Mtge","ID_CUSIP")</f>
        <v>3140W15G4</v>
      </c>
      <c r="B412" t="str">
        <f>_xll.BDP("FNFA1746 Mtge","SECURITY_NAME")</f>
        <v>FN FA1746</v>
      </c>
      <c r="C412" t="str">
        <f>_xll.BDP("FNFA1746 Mtge","GENERIC_TICKER_VINTAGE")</f>
        <v>FNCL 3 2021</v>
      </c>
      <c r="D412" t="str">
        <f>_xll.BDP("FNFA1746 Mtge","CRNCY")</f>
        <v>USD</v>
      </c>
      <c r="E412">
        <v>12984324</v>
      </c>
      <c r="F412">
        <f>_xll.BDP("FNFA1746 Mtge","CPN")</f>
        <v>3</v>
      </c>
      <c r="G412">
        <f>_xll.BDP("FNFA1746 Mtge","MTG_FACTOR")</f>
        <v>0.93225270000000005</v>
      </c>
      <c r="H412">
        <f>_xll.BDP("FNFA1746 Mtge","MTG_WAL")</f>
        <v>8.3081999999999994</v>
      </c>
      <c r="I412" t="str">
        <f>_xll.BDP("FNFA1746 Mtge","MTG_ORIG_WAL")</f>
        <v>#N/A N/A</v>
      </c>
    </row>
    <row r="413" spans="1:9" x14ac:dyDescent="0.25">
      <c r="A413" t="str">
        <f>_xll.BDP("FNFA1810 Mtge","ID_CUSIP")</f>
        <v>3140W2AL5</v>
      </c>
      <c r="B413" t="str">
        <f>_xll.BDP("FNFA1810 Mtge","SECURITY_NAME")</f>
        <v>FN FA1810</v>
      </c>
      <c r="C413" t="str">
        <f>_xll.BDP("FNFA1810 Mtge","GENERIC_TICKER_VINTAGE")</f>
        <v>FNCL 6 2025</v>
      </c>
      <c r="D413" t="str">
        <f>_xll.BDP("FNFA1810 Mtge","CRNCY")</f>
        <v>USD</v>
      </c>
      <c r="E413">
        <v>63328353</v>
      </c>
      <c r="F413">
        <f>_xll.BDP("FNFA1810 Mtge","CPN")</f>
        <v>6</v>
      </c>
      <c r="G413">
        <f>_xll.BDP("FNFA1810 Mtge","MTG_FACTOR")</f>
        <v>0.84928212000000003</v>
      </c>
      <c r="H413">
        <f>_xll.BDP("FNFA1810 Mtge","MTG_WAL")</f>
        <v>3.1951000000000001</v>
      </c>
      <c r="I413" t="str">
        <f>_xll.BDP("FNFA1810 Mtge","MTG_ORIG_WAL")</f>
        <v>#N/A N/A</v>
      </c>
    </row>
    <row r="414" spans="1:9" x14ac:dyDescent="0.25">
      <c r="A414" t="str">
        <f>_xll.BDP("FNFA2427 Mtge","ID_CUSIP")</f>
        <v>3140W2VV0</v>
      </c>
      <c r="B414" t="str">
        <f>_xll.BDP("FNFA2427 Mtge","SECURITY_NAME")</f>
        <v>FN FA2427</v>
      </c>
      <c r="C414" t="str">
        <f>_xll.BDP("FNFA2427 Mtge","GENERIC_TICKER_VINTAGE")</f>
        <v>FNCL 6 2025</v>
      </c>
      <c r="D414" t="str">
        <f>_xll.BDP("FNFA2427 Mtge","CRNCY")</f>
        <v>USD</v>
      </c>
      <c r="E414">
        <v>79465097</v>
      </c>
      <c r="F414">
        <f>_xll.BDP("FNFA2427 Mtge","CPN")</f>
        <v>6</v>
      </c>
      <c r="G414">
        <f>_xll.BDP("FNFA2427 Mtge","MTG_FACTOR")</f>
        <v>0.82049875999999999</v>
      </c>
      <c r="H414">
        <f>_xll.BDP("FNFA2427 Mtge","MTG_WAL")</f>
        <v>3.2563</v>
      </c>
      <c r="I414" t="str">
        <f>_xll.BDP("FNFA2427 Mtge","MTG_ORIG_WAL")</f>
        <v>#N/A N/A</v>
      </c>
    </row>
    <row r="415" spans="1:9" x14ac:dyDescent="0.25">
      <c r="A415" t="str">
        <f>_xll.BDP("FNFS1507 Mtge","ID_CUSIP")</f>
        <v>3140XGU98</v>
      </c>
      <c r="B415" t="str">
        <f>_xll.BDP("FNFS1507 Mtge","SECURITY_NAME")</f>
        <v>FN FS1507</v>
      </c>
      <c r="C415" t="str">
        <f>_xll.BDP("FNFS1507 Mtge","GENERIC_TICKER_VINTAGE")</f>
        <v>FNCL 3 2021</v>
      </c>
      <c r="D415" t="str">
        <f>_xll.BDP("FNFS1507 Mtge","CRNCY")</f>
        <v>USD</v>
      </c>
      <c r="E415">
        <v>418133235</v>
      </c>
      <c r="F415">
        <f>_xll.BDP("FNFS1507 Mtge","CPN")</f>
        <v>3</v>
      </c>
      <c r="G415">
        <f>_xll.BDP("FNFS1507 Mtge","MTG_FACTOR")</f>
        <v>0.77651325000000004</v>
      </c>
      <c r="H415">
        <f>_xll.BDP("FNFS1507 Mtge","MTG_WAL")</f>
        <v>8.2523999999999997</v>
      </c>
      <c r="I415" t="str">
        <f>_xll.BDP("FNFS1507 Mtge","MTG_ORIG_WAL")</f>
        <v>#N/A N/A</v>
      </c>
    </row>
    <row r="416" spans="1:9" x14ac:dyDescent="0.25">
      <c r="A416" t="str">
        <f>_xll.BDP("FRQD7060 Mtge","ID_CUSIP")</f>
        <v>3133B4ZZ1</v>
      </c>
      <c r="B416" t="str">
        <f>_xll.BDP("FRQD7060 Mtge","SECURITY_NAME")</f>
        <v>FR QD7060</v>
      </c>
      <c r="C416" t="str">
        <f>_xll.BDP("FRQD7060 Mtge","GENERIC_TICKER_VINTAGE")</f>
        <v>FNCL 3 2021</v>
      </c>
      <c r="D416" t="str">
        <f>_xll.BDP("FRQD7060 Mtge","CRNCY")</f>
        <v>USD</v>
      </c>
      <c r="E416">
        <v>69592665</v>
      </c>
      <c r="F416">
        <f>_xll.BDP("FRQD7060 Mtge","CPN")</f>
        <v>3</v>
      </c>
      <c r="G416">
        <f>_xll.BDP("FRQD7060 Mtge","MTG_FACTOR")</f>
        <v>0.73398680000000005</v>
      </c>
      <c r="H416">
        <f>_xll.BDP("FRQD7060 Mtge","MTG_WAL")</f>
        <v>8.3453999999999997</v>
      </c>
      <c r="I416" t="str">
        <f>_xll.BDP("FRQD7060 Mtge","MTG_ORIG_WAL")</f>
        <v>#N/A N/A</v>
      </c>
    </row>
    <row r="417" spans="1:9" x14ac:dyDescent="0.25">
      <c r="A417" t="str">
        <f>_xll.BDP("FRQX6718 Mtge","ID_CUSIP")</f>
        <v>31426CPC2</v>
      </c>
      <c r="B417" t="str">
        <f>_xll.BDP("FRQX6718 Mtge","SECURITY_NAME")</f>
        <v>FR QX6718</v>
      </c>
      <c r="C417" t="str">
        <f>_xll.BDP("FRQX6718 Mtge","GENERIC_TICKER_VINTAGE")</f>
        <v>FNCL 6 2025</v>
      </c>
      <c r="D417" t="str">
        <f>_xll.BDP("FRQX6718 Mtge","CRNCY")</f>
        <v>USD</v>
      </c>
      <c r="E417">
        <v>2809053</v>
      </c>
      <c r="F417">
        <f>_xll.BDP("FRQX6718 Mtge","CPN")</f>
        <v>6</v>
      </c>
      <c r="G417">
        <f>_xll.BDP("FRQX6718 Mtge","MTG_FACTOR")</f>
        <v>0.92022099999999996</v>
      </c>
      <c r="H417">
        <f>_xll.BDP("FRQX6718 Mtge","MTG_WAL")</f>
        <v>3.1467999999999998</v>
      </c>
      <c r="I417" t="str">
        <f>_xll.BDP("FRQX6718 Mtge","MTG_ORIG_WAL")</f>
        <v>#N/A N/A</v>
      </c>
    </row>
    <row r="418" spans="1:9" x14ac:dyDescent="0.25">
      <c r="A418" t="str">
        <f>_xll.BDP("FRQX9426 Mtge","ID_CUSIP")</f>
        <v>31426GPL3</v>
      </c>
      <c r="B418" t="str">
        <f>_xll.BDP("FRQX9426 Mtge","SECURITY_NAME")</f>
        <v>FR QX9426</v>
      </c>
      <c r="C418" t="str">
        <f>_xll.BDP("FRQX9426 Mtge","GENERIC_TICKER_VINTAGE")</f>
        <v>FNCL 6 2025</v>
      </c>
      <c r="D418" t="str">
        <f>_xll.BDP("FRQX9426 Mtge","CRNCY")</f>
        <v>USD</v>
      </c>
      <c r="E418">
        <v>30169205</v>
      </c>
      <c r="F418">
        <f>_xll.BDP("FRQX9426 Mtge","CPN")</f>
        <v>6</v>
      </c>
      <c r="G418">
        <f>_xll.BDP("FRQX9426 Mtge","MTG_FACTOR")</f>
        <v>0.81830144000000005</v>
      </c>
      <c r="H418">
        <f>_xll.BDP("FRQX9426 Mtge","MTG_WAL")</f>
        <v>3.2000999999999999</v>
      </c>
      <c r="I418" t="str">
        <f>_xll.BDP("FRQX9426 Mtge","MTG_ORIG_WAL")</f>
        <v>#N/A N/A</v>
      </c>
    </row>
    <row r="419" spans="1:9" x14ac:dyDescent="0.25">
      <c r="A419" t="str">
        <f>_xll.BDP("FRQY0868 Mtge","ID_CUSIP")</f>
        <v>31426J6E4</v>
      </c>
      <c r="B419" t="str">
        <f>_xll.BDP("FRQY0868 Mtge","SECURITY_NAME")</f>
        <v>FR QY0868</v>
      </c>
      <c r="C419" t="str">
        <f>_xll.BDP("FRQY0868 Mtge","GENERIC_TICKER_VINTAGE")</f>
        <v>FNCL 6 2025</v>
      </c>
      <c r="D419" t="str">
        <f>_xll.BDP("FRQY0868 Mtge","CRNCY")</f>
        <v>USD</v>
      </c>
      <c r="E419">
        <v>25973049</v>
      </c>
      <c r="F419">
        <f>_xll.BDP("FRQY0868 Mtge","CPN")</f>
        <v>6</v>
      </c>
      <c r="G419">
        <f>_xll.BDP("FRQY0868 Mtge","MTG_FACTOR")</f>
        <v>0.82595408999999997</v>
      </c>
      <c r="H419">
        <f>_xll.BDP("FRQY0868 Mtge","MTG_WAL")</f>
        <v>3.2492999999999999</v>
      </c>
      <c r="I419" t="str">
        <f>_xll.BDP("FRQY0868 Mtge","MTG_ORIG_WAL")</f>
        <v>#N/A N/A</v>
      </c>
    </row>
    <row r="420" spans="1:9" x14ac:dyDescent="0.25">
      <c r="A420" t="str">
        <f>_xll.BDP("FRQY1065 Mtge","ID_CUSIP")</f>
        <v>31426KFF8</v>
      </c>
      <c r="B420" t="str">
        <f>_xll.BDP("FRQY1065 Mtge","SECURITY_NAME")</f>
        <v>FR QY1065</v>
      </c>
      <c r="C420" t="str">
        <f>_xll.BDP("FRQY1065 Mtge","GENERIC_TICKER_VINTAGE")</f>
        <v>FNCL 6 2025</v>
      </c>
      <c r="D420" t="str">
        <f>_xll.BDP("FRQY1065 Mtge","CRNCY")</f>
        <v>USD</v>
      </c>
      <c r="E420">
        <v>1034050</v>
      </c>
      <c r="F420">
        <f>_xll.BDP("FRQY1065 Mtge","CPN")</f>
        <v>6</v>
      </c>
      <c r="G420">
        <f>_xll.BDP("FRQY1065 Mtge","MTG_FACTOR")</f>
        <v>0.55211151999999997</v>
      </c>
      <c r="H420">
        <f>_xll.BDP("FRQY1065 Mtge","MTG_WAL")</f>
        <v>3.2202000000000002</v>
      </c>
      <c r="I420" t="str">
        <f>_xll.BDP("FRQY1065 Mtge","MTG_ORIG_WAL")</f>
        <v>#N/A N/A</v>
      </c>
    </row>
    <row r="421" spans="1:9" x14ac:dyDescent="0.25">
      <c r="A421" t="str">
        <f>_xll.BDP("FRQY6116 Mtge","ID_CUSIP")</f>
        <v>31426QYN7</v>
      </c>
      <c r="B421" t="str">
        <f>_xll.BDP("FRQY6116 Mtge","SECURITY_NAME")</f>
        <v>FR QY6116</v>
      </c>
      <c r="C421" t="str">
        <f>_xll.BDP("FRQY6116 Mtge","GENERIC_TICKER_VINTAGE")</f>
        <v>FNCL 6 2025</v>
      </c>
      <c r="D421" t="str">
        <f>_xll.BDP("FRQY6116 Mtge","CRNCY")</f>
        <v>USD</v>
      </c>
      <c r="E421">
        <v>1495767</v>
      </c>
      <c r="F421">
        <f>_xll.BDP("FRQY6116 Mtge","CPN")</f>
        <v>6</v>
      </c>
      <c r="G421">
        <f>_xll.BDP("FRQY6116 Mtge","MTG_FACTOR")</f>
        <v>0.86692910999999995</v>
      </c>
      <c r="H421">
        <f>_xll.BDP("FRQY6116 Mtge","MTG_WAL")</f>
        <v>3.3445</v>
      </c>
      <c r="I421" t="str">
        <f>_xll.BDP("FRQY6116 Mtge","MTG_ORIG_WAL")</f>
        <v>#N/A N/A</v>
      </c>
    </row>
    <row r="422" spans="1:9" x14ac:dyDescent="0.25">
      <c r="A422" t="str">
        <f>_xll.BDP("FRQY6320 Mtge","ID_CUSIP")</f>
        <v>31426RAW1</v>
      </c>
      <c r="B422" t="str">
        <f>_xll.BDP("FRQY6320 Mtge","SECURITY_NAME")</f>
        <v>FR QY6320</v>
      </c>
      <c r="C422" t="str">
        <f>_xll.BDP("FRQY6320 Mtge","GENERIC_TICKER_VINTAGE")</f>
        <v>FNCL 6 2025</v>
      </c>
      <c r="D422" t="str">
        <f>_xll.BDP("FRQY6320 Mtge","CRNCY")</f>
        <v>USD</v>
      </c>
      <c r="E422">
        <v>4603556</v>
      </c>
      <c r="F422">
        <f>_xll.BDP("FRQY6320 Mtge","CPN")</f>
        <v>6</v>
      </c>
      <c r="G422">
        <f>_xll.BDP("FRQY6320 Mtge","MTG_FACTOR")</f>
        <v>0.80726651999999999</v>
      </c>
      <c r="H422">
        <f>_xll.BDP("FRQY6320 Mtge","MTG_WAL")</f>
        <v>3.339</v>
      </c>
      <c r="I422" t="str">
        <f>_xll.BDP("FRQY6320 Mtge","MTG_ORIG_WAL")</f>
        <v>#N/A N/A</v>
      </c>
    </row>
    <row r="423" spans="1:9" x14ac:dyDescent="0.25">
      <c r="A423" t="str">
        <f>_xll.BDP("FRQY6597 Mtge","ID_CUSIP")</f>
        <v>31426RKK6</v>
      </c>
      <c r="B423" t="str">
        <f>_xll.BDP("FRQY6597 Mtge","SECURITY_NAME")</f>
        <v>FR QY6597</v>
      </c>
      <c r="C423" t="str">
        <f>_xll.BDP("FRQY6597 Mtge","GENERIC_TICKER_VINTAGE")</f>
        <v>FNCL 6 2025</v>
      </c>
      <c r="D423" t="str">
        <f>_xll.BDP("FRQY6597 Mtge","CRNCY")</f>
        <v>USD</v>
      </c>
      <c r="E423">
        <v>5133364</v>
      </c>
      <c r="F423">
        <f>_xll.BDP("FRQY6597 Mtge","CPN")</f>
        <v>6</v>
      </c>
      <c r="G423">
        <f>_xll.BDP("FRQY6597 Mtge","MTG_FACTOR")</f>
        <v>0.92108445000000005</v>
      </c>
      <c r="H423">
        <f>_xll.BDP("FRQY6597 Mtge","MTG_WAL")</f>
        <v>3.306</v>
      </c>
      <c r="I423" t="str">
        <f>_xll.BDP("FRQY6597 Mtge","MTG_ORIG_WAL")</f>
        <v>#N/A N/A</v>
      </c>
    </row>
    <row r="424" spans="1:9" x14ac:dyDescent="0.25">
      <c r="A424" t="str">
        <f>_xll.BDP("FRQY6935 Mtge","ID_CUSIP")</f>
        <v>31426RV57</v>
      </c>
      <c r="B424" t="str">
        <f>_xll.BDP("FRQY6935 Mtge","SECURITY_NAME")</f>
        <v>FR QY6935</v>
      </c>
      <c r="C424" t="str">
        <f>_xll.BDP("FRQY6935 Mtge","GENERIC_TICKER_VINTAGE")</f>
        <v>FNCL 6 2025</v>
      </c>
      <c r="D424" t="str">
        <f>_xll.BDP("FRQY6935 Mtge","CRNCY")</f>
        <v>USD</v>
      </c>
      <c r="E424">
        <v>30182535</v>
      </c>
      <c r="F424">
        <f>_xll.BDP("FRQY6935 Mtge","CPN")</f>
        <v>6</v>
      </c>
      <c r="G424">
        <f>_xll.BDP("FRQY6935 Mtge","MTG_FACTOR")</f>
        <v>0.90027732000000005</v>
      </c>
      <c r="H424">
        <f>_xll.BDP("FRQY6935 Mtge","MTG_WAL")</f>
        <v>3.3395000000000001</v>
      </c>
      <c r="I424" t="str">
        <f>_xll.BDP("FRQY6935 Mtge","MTG_ORIG_WAL")</f>
        <v>#N/A N/A</v>
      </c>
    </row>
    <row r="425" spans="1:9" x14ac:dyDescent="0.25">
      <c r="A425" t="str">
        <f>_xll.BDP("FRQY6952 Mtge","ID_CUSIP")</f>
        <v>31426RWN7</v>
      </c>
      <c r="B425" t="str">
        <f>_xll.BDP("FRQY6952 Mtge","SECURITY_NAME")</f>
        <v>FR QY6952</v>
      </c>
      <c r="C425" t="str">
        <f>_xll.BDP("FRQY6952 Mtge","GENERIC_TICKER_VINTAGE")</f>
        <v>FNCL 6 2025</v>
      </c>
      <c r="D425" t="str">
        <f>_xll.BDP("FRQY6952 Mtge","CRNCY")</f>
        <v>USD</v>
      </c>
      <c r="E425">
        <v>18906546</v>
      </c>
      <c r="F425">
        <f>_xll.BDP("FRQY6952 Mtge","CPN")</f>
        <v>6</v>
      </c>
      <c r="G425">
        <f>_xll.BDP("FRQY6952 Mtge","MTG_FACTOR")</f>
        <v>0.8712297</v>
      </c>
      <c r="H425">
        <f>_xll.BDP("FRQY6952 Mtge","MTG_WAL")</f>
        <v>3.3395999999999999</v>
      </c>
      <c r="I425" t="str">
        <f>_xll.BDP("FRQY6952 Mtge","MTG_ORIG_WAL")</f>
        <v>#N/A N/A</v>
      </c>
    </row>
    <row r="426" spans="1:9" x14ac:dyDescent="0.25">
      <c r="A426" t="str">
        <f>_xll.BDP("FRQY7062 Mtge","ID_CUSIP")</f>
        <v>31426RZ46</v>
      </c>
      <c r="B426" t="str">
        <f>_xll.BDP("FRQY7062 Mtge","SECURITY_NAME")</f>
        <v>FR QY7062</v>
      </c>
      <c r="C426" t="str">
        <f>_xll.BDP("FRQY7062 Mtge","GENERIC_TICKER_VINTAGE")</f>
        <v>FNCL 6 2025</v>
      </c>
      <c r="D426" t="str">
        <f>_xll.BDP("FRQY7062 Mtge","CRNCY")</f>
        <v>USD</v>
      </c>
      <c r="E426">
        <v>1630851</v>
      </c>
      <c r="F426">
        <f>_xll.BDP("FRQY7062 Mtge","CPN")</f>
        <v>6</v>
      </c>
      <c r="G426">
        <f>_xll.BDP("FRQY7062 Mtge","MTG_FACTOR")</f>
        <v>0.99241944000000004</v>
      </c>
      <c r="H426">
        <f>_xll.BDP("FRQY7062 Mtge","MTG_WAL")</f>
        <v>3.3473000000000002</v>
      </c>
      <c r="I426" t="str">
        <f>_xll.BDP("FRQY7062 Mtge","MTG_ORIG_WAL")</f>
        <v>#N/A N/A</v>
      </c>
    </row>
    <row r="427" spans="1:9" x14ac:dyDescent="0.25">
      <c r="A427" t="str">
        <f>_xll.BDP("FRQY7070 Mtge","ID_CUSIP")</f>
        <v>31426R2C4</v>
      </c>
      <c r="B427" t="str">
        <f>_xll.BDP("FRQY7070 Mtge","SECURITY_NAME")</f>
        <v>FR QY7070</v>
      </c>
      <c r="C427" t="str">
        <f>_xll.BDP("FRQY7070 Mtge","GENERIC_TICKER_VINTAGE")</f>
        <v>FNCL 6 2025</v>
      </c>
      <c r="D427" t="str">
        <f>_xll.BDP("FRQY7070 Mtge","CRNCY")</f>
        <v>USD</v>
      </c>
      <c r="E427">
        <v>1400970</v>
      </c>
      <c r="F427">
        <f>_xll.BDP("FRQY7070 Mtge","CPN")</f>
        <v>6</v>
      </c>
      <c r="G427">
        <f>_xll.BDP("FRQY7070 Mtge","MTG_FACTOR")</f>
        <v>0.79835065000000005</v>
      </c>
      <c r="H427">
        <f>_xll.BDP("FRQY7070 Mtge","MTG_WAL")</f>
        <v>3.3441000000000001</v>
      </c>
      <c r="I427" t="str">
        <f>_xll.BDP("FRQY7070 Mtge","MTG_ORIG_WAL")</f>
        <v>#N/A N/A</v>
      </c>
    </row>
    <row r="428" spans="1:9" x14ac:dyDescent="0.25">
      <c r="A428" t="str">
        <f>_xll.BDP("FRQY7134 Mtge","ID_CUSIP")</f>
        <v>31426R4U2</v>
      </c>
      <c r="B428" t="str">
        <f>_xll.BDP("FRQY7134 Mtge","SECURITY_NAME")</f>
        <v>FR QY7134</v>
      </c>
      <c r="C428" t="str">
        <f>_xll.BDP("FRQY7134 Mtge","GENERIC_TICKER_VINTAGE")</f>
        <v>FNCL 6 2025</v>
      </c>
      <c r="D428" t="str">
        <f>_xll.BDP("FRQY7134 Mtge","CRNCY")</f>
        <v>USD</v>
      </c>
      <c r="E428">
        <v>1131320</v>
      </c>
      <c r="F428">
        <f>_xll.BDP("FRQY7134 Mtge","CPN")</f>
        <v>6</v>
      </c>
      <c r="G428">
        <f>_xll.BDP("FRQY7134 Mtge","MTG_FACTOR")</f>
        <v>0.99276058</v>
      </c>
      <c r="H428">
        <f>_xll.BDP("FRQY7134 Mtge","MTG_WAL")</f>
        <v>3.3473999999999999</v>
      </c>
      <c r="I428" t="str">
        <f>_xll.BDP("FRQY7134 Mtge","MTG_ORIG_WAL")</f>
        <v>#N/A N/A</v>
      </c>
    </row>
    <row r="429" spans="1:9" x14ac:dyDescent="0.25">
      <c r="A429" t="str">
        <f>_xll.BDP("FRRA5971 Mtge","ID_CUSIP")</f>
        <v>3133KMT47</v>
      </c>
      <c r="B429" t="str">
        <f>_xll.BDP("FRRA5971 Mtge","SECURITY_NAME")</f>
        <v>FR RA5971</v>
      </c>
      <c r="C429" t="str">
        <f>_xll.BDP("FRRA5971 Mtge","GENERIC_TICKER_VINTAGE")</f>
        <v>FNCL 3 2021</v>
      </c>
      <c r="D429" t="str">
        <f>_xll.BDP("FRRA5971 Mtge","CRNCY")</f>
        <v>USD</v>
      </c>
      <c r="E429">
        <v>250000017</v>
      </c>
      <c r="F429">
        <f>_xll.BDP("FRRA5971 Mtge","CPN")</f>
        <v>3</v>
      </c>
      <c r="G429">
        <f>_xll.BDP("FRRA5971 Mtge","MTG_FACTOR")</f>
        <v>0.67781292999999998</v>
      </c>
      <c r="H429">
        <f>_xll.BDP("FRRA5971 Mtge","MTG_WAL")</f>
        <v>8.2271000000000001</v>
      </c>
      <c r="I429" t="str">
        <f>_xll.BDP("FRRA5971 Mtge","MTG_ORIG_WAL")</f>
        <v>#N/A N/A</v>
      </c>
    </row>
    <row r="430" spans="1:9" x14ac:dyDescent="0.25">
      <c r="A430" t="str">
        <f>_xll.BDP("FRRA6221 Mtge","ID_CUSIP")</f>
        <v>3133KM4E2</v>
      </c>
      <c r="B430" t="str">
        <f>_xll.BDP("FRRA6221 Mtge","SECURITY_NAME")</f>
        <v>FR RA6221</v>
      </c>
      <c r="C430" t="str">
        <f>_xll.BDP("FRRA6221 Mtge","GENERIC_TICKER_VINTAGE")</f>
        <v>FNCL 3 2021</v>
      </c>
      <c r="D430" t="str">
        <f>_xll.BDP("FRRA6221 Mtge","CRNCY")</f>
        <v>USD</v>
      </c>
      <c r="E430">
        <v>122857557</v>
      </c>
      <c r="F430">
        <f>_xll.BDP("FRRA6221 Mtge","CPN")</f>
        <v>3</v>
      </c>
      <c r="G430">
        <f>_xll.BDP("FRRA6221 Mtge","MTG_FACTOR")</f>
        <v>0.73055930999999996</v>
      </c>
      <c r="H430">
        <f>_xll.BDP("FRRA6221 Mtge","MTG_WAL")</f>
        <v>8.3216999999999999</v>
      </c>
      <c r="I430" t="str">
        <f>_xll.BDP("FRRA6221 Mtge","MTG_ORIG_WAL")</f>
        <v>#N/A N/A</v>
      </c>
    </row>
    <row r="431" spans="1:9" x14ac:dyDescent="0.25">
      <c r="A431" t="str">
        <f>_xll.BDP("FRRJ4310 Mtge","ID_CUSIP")</f>
        <v>3142GUYG2</v>
      </c>
      <c r="B431" t="str">
        <f>_xll.BDP("FRRJ4310 Mtge","SECURITY_NAME")</f>
        <v>FR RJ4310</v>
      </c>
      <c r="C431" t="str">
        <f>_xll.BDP("FRRJ4310 Mtge","GENERIC_TICKER_VINTAGE")</f>
        <v>FNCL 6 2025</v>
      </c>
      <c r="D431" t="str">
        <f>_xll.BDP("FRRJ4310 Mtge","CRNCY")</f>
        <v>USD</v>
      </c>
      <c r="E431">
        <v>783646</v>
      </c>
      <c r="F431">
        <f>_xll.BDP("FRRJ4310 Mtge","CPN")</f>
        <v>6</v>
      </c>
      <c r="G431">
        <f>_xll.BDP("FRRJ4310 Mtge","MTG_FACTOR")</f>
        <v>0.98390418999999996</v>
      </c>
      <c r="H431">
        <f>_xll.BDP("FRRJ4310 Mtge","MTG_WAL")</f>
        <v>3.2869000000000002</v>
      </c>
      <c r="I431" t="str">
        <f>_xll.BDP("FRRJ4310 Mtge","MTG_ORIG_WAL")</f>
        <v>#N/A N/A</v>
      </c>
    </row>
    <row r="432" spans="1:9" x14ac:dyDescent="0.25">
      <c r="A432" t="str">
        <f>_xll.BDP("FRRJ4380 Mtge","ID_CUSIP")</f>
        <v>3142GU2N2</v>
      </c>
      <c r="B432" t="str">
        <f>_xll.BDP("FRRJ4380 Mtge","SECURITY_NAME")</f>
        <v>FR RJ4380</v>
      </c>
      <c r="C432" t="str">
        <f>_xll.BDP("FRRJ4380 Mtge","GENERIC_TICKER_VINTAGE")</f>
        <v>FNCL 6 2025</v>
      </c>
      <c r="D432" t="str">
        <f>_xll.BDP("FRRJ4380 Mtge","CRNCY")</f>
        <v>USD</v>
      </c>
      <c r="E432">
        <v>103105590</v>
      </c>
      <c r="F432">
        <f>_xll.BDP("FRRJ4380 Mtge","CPN")</f>
        <v>6</v>
      </c>
      <c r="G432">
        <f>_xll.BDP("FRRJ4380 Mtge","MTG_FACTOR")</f>
        <v>0.93674056000000006</v>
      </c>
      <c r="H432">
        <f>_xll.BDP("FRRJ4380 Mtge","MTG_WAL")</f>
        <v>3.2907999999999999</v>
      </c>
      <c r="I432" t="str">
        <f>_xll.BDP("FRRJ4380 Mtge","MTG_ORIG_WAL")</f>
        <v>#N/A N/A</v>
      </c>
    </row>
    <row r="433" spans="1:9" x14ac:dyDescent="0.25">
      <c r="A433" t="str">
        <f>_xll.BDP("FRRJ4391 Mtge","ID_CUSIP")</f>
        <v>3142GU2Z5</v>
      </c>
      <c r="B433" t="str">
        <f>_xll.BDP("FRRJ4391 Mtge","SECURITY_NAME")</f>
        <v>FR RJ4391</v>
      </c>
      <c r="C433" t="str">
        <f>_xll.BDP("FRRJ4391 Mtge","GENERIC_TICKER_VINTAGE")</f>
        <v>FNCL 6 2025</v>
      </c>
      <c r="D433" t="str">
        <f>_xll.BDP("FRRJ4391 Mtge","CRNCY")</f>
        <v>USD</v>
      </c>
      <c r="E433">
        <v>67355929</v>
      </c>
      <c r="F433">
        <f>_xll.BDP("FRRJ4391 Mtge","CPN")</f>
        <v>6</v>
      </c>
      <c r="G433">
        <f>_xll.BDP("FRRJ4391 Mtge","MTG_FACTOR")</f>
        <v>0.97223201000000004</v>
      </c>
      <c r="H433">
        <f>_xll.BDP("FRRJ4391 Mtge","MTG_WAL")</f>
        <v>3.3359999999999999</v>
      </c>
      <c r="I433" t="str">
        <f>_xll.BDP("FRRJ4391 Mtge","MTG_ORIG_WAL")</f>
        <v>#N/A N/A</v>
      </c>
    </row>
    <row r="434" spans="1:9" x14ac:dyDescent="0.25">
      <c r="A434" t="str">
        <f>_xll.BDP("FRRJ4425 Mtge","ID_CUSIP")</f>
        <v>3142GU4K6</v>
      </c>
      <c r="B434" t="str">
        <f>_xll.BDP("FRRJ4425 Mtge","SECURITY_NAME")</f>
        <v>FR RJ4425</v>
      </c>
      <c r="C434" t="str">
        <f>_xll.BDP("FRRJ4425 Mtge","GENERIC_TICKER_VINTAGE")</f>
        <v>FNCL 6 2025</v>
      </c>
      <c r="D434" t="str">
        <f>_xll.BDP("FRRJ4425 Mtge","CRNCY")</f>
        <v>USD</v>
      </c>
      <c r="E434">
        <v>1222407</v>
      </c>
      <c r="F434">
        <f>_xll.BDP("FRRJ4425 Mtge","CPN")</f>
        <v>6</v>
      </c>
      <c r="G434">
        <f>_xll.BDP("FRRJ4425 Mtge","MTG_FACTOR")</f>
        <v>0.87705564999999996</v>
      </c>
      <c r="H434">
        <f>_xll.BDP("FRRJ4425 Mtge","MTG_WAL")</f>
        <v>3.3403</v>
      </c>
      <c r="I434" t="str">
        <f>_xll.BDP("FRRJ4425 Mtge","MTG_ORIG_WAL")</f>
        <v>#N/A N/A</v>
      </c>
    </row>
    <row r="435" spans="1:9" x14ac:dyDescent="0.25">
      <c r="A435" t="str">
        <f>_xll.BDP("FRSD3019 Mtge","ID_CUSIP")</f>
        <v>3132DQK88</v>
      </c>
      <c r="B435" t="str">
        <f>_xll.BDP("FRSD3019 Mtge","SECURITY_NAME")</f>
        <v>FR SD3019</v>
      </c>
      <c r="C435" t="str">
        <f>_xll.BDP("FRSD3019 Mtge","GENERIC_TICKER_VINTAGE")</f>
        <v>FNCL 3 2021</v>
      </c>
      <c r="D435" t="str">
        <f>_xll.BDP("FRSD3019 Mtge","CRNCY")</f>
        <v>USD</v>
      </c>
      <c r="E435">
        <v>445307396</v>
      </c>
      <c r="F435">
        <f>_xll.BDP("FRSD3019 Mtge","CPN")</f>
        <v>3</v>
      </c>
      <c r="G435">
        <f>_xll.BDP("FRSD3019 Mtge","MTG_FACTOR")</f>
        <v>0.84577024000000001</v>
      </c>
      <c r="H435">
        <f>_xll.BDP("FRSD3019 Mtge","MTG_WAL")</f>
        <v>8.3096999999999994</v>
      </c>
      <c r="I435" t="str">
        <f>_xll.BDP("FRSD3019 Mtge","MTG_ORIG_WAL")</f>
        <v>#N/A N/A</v>
      </c>
    </row>
    <row r="436" spans="1:9" x14ac:dyDescent="0.25">
      <c r="A436" t="str">
        <f>_xll.BDP("FRSD4673 Mtge","ID_CUSIP")</f>
        <v>3132DSFN7</v>
      </c>
      <c r="B436" t="str">
        <f>_xll.BDP("FRSD4673 Mtge","SECURITY_NAME")</f>
        <v>FR SD4673</v>
      </c>
      <c r="C436" t="str">
        <f>_xll.BDP("FRSD4673 Mtge","GENERIC_TICKER_VINTAGE")</f>
        <v>FNCL 3 2021</v>
      </c>
      <c r="D436" t="str">
        <f>_xll.BDP("FRSD4673 Mtge","CRNCY")</f>
        <v>USD</v>
      </c>
      <c r="E436">
        <v>7831507</v>
      </c>
      <c r="F436">
        <f>_xll.BDP("FRSD4673 Mtge","CPN")</f>
        <v>3</v>
      </c>
      <c r="G436">
        <f>_xll.BDP("FRSD4673 Mtge","MTG_FACTOR")</f>
        <v>0.91822709000000002</v>
      </c>
      <c r="H436">
        <f>_xll.BDP("FRSD4673 Mtge","MTG_WAL")</f>
        <v>8.3160000000000007</v>
      </c>
      <c r="I436" t="str">
        <f>_xll.BDP("FRSD4673 Mtge","MTG_ORIG_WAL")</f>
        <v>#N/A N/A</v>
      </c>
    </row>
    <row r="437" spans="1:9" x14ac:dyDescent="0.25">
      <c r="A437" t="str">
        <f>_xll.BDP("FRSD8157 Mtge","ID_CUSIP")</f>
        <v>3132DWB28</v>
      </c>
      <c r="B437" t="str">
        <f>_xll.BDP("FRSD8157 Mtge","SECURITY_NAME")</f>
        <v>FR SD8157</v>
      </c>
      <c r="C437" t="str">
        <f>_xll.BDP("FRSD8157 Mtge","GENERIC_TICKER_VINTAGE")</f>
        <v>FNCL 3 2021</v>
      </c>
      <c r="D437" t="str">
        <f>_xll.BDP("FRSD8157 Mtge","CRNCY")</f>
        <v>USD</v>
      </c>
      <c r="E437">
        <v>820208069</v>
      </c>
      <c r="F437">
        <f>_xll.BDP("FRSD8157 Mtge","CPN")</f>
        <v>3</v>
      </c>
      <c r="G437">
        <f>_xll.BDP("FRSD8157 Mtge","MTG_FACTOR")</f>
        <v>0.56591672999999998</v>
      </c>
      <c r="H437">
        <f>_xll.BDP("FRSD8157 Mtge","MTG_WAL")</f>
        <v>8.2957999999999998</v>
      </c>
      <c r="I437" t="str">
        <f>_xll.BDP("FRSD8157 Mtge","MTG_ORIG_WAL")</f>
        <v>#N/A N/A</v>
      </c>
    </row>
    <row r="438" spans="1:9" x14ac:dyDescent="0.25">
      <c r="A438" t="str">
        <f>_xll.BDP("FRSL1025 Mtge","ID_CUSIP")</f>
        <v>31427ND71</v>
      </c>
      <c r="B438" t="str">
        <f>_xll.BDP("FRSL1025 Mtge","SECURITY_NAME")</f>
        <v>FR SL1025</v>
      </c>
      <c r="C438" t="str">
        <f>_xll.BDP("FRSL1025 Mtge","GENERIC_TICKER_VINTAGE")</f>
        <v>FNCL 6 2025</v>
      </c>
      <c r="D438" t="str">
        <f>_xll.BDP("FRSL1025 Mtge","CRNCY")</f>
        <v>USD</v>
      </c>
      <c r="E438">
        <v>77372662</v>
      </c>
      <c r="F438">
        <f>_xll.BDP("FRSL1025 Mtge","CPN")</f>
        <v>6</v>
      </c>
      <c r="G438">
        <f>_xll.BDP("FRSL1025 Mtge","MTG_FACTOR")</f>
        <v>0.88497559999999997</v>
      </c>
      <c r="H438">
        <f>_xll.BDP("FRSL1025 Mtge","MTG_WAL")</f>
        <v>3.1749000000000001</v>
      </c>
      <c r="I438" t="str">
        <f>_xll.BDP("FRSL1025 Mtge","MTG_ORIG_WAL")</f>
        <v>#N/A N/A</v>
      </c>
    </row>
    <row r="439" spans="1:9" x14ac:dyDescent="0.25">
      <c r="A439" t="str">
        <f>_xll.BDP("FRSL1512 Mtge","ID_CUSIP")</f>
        <v>31427NVE6</v>
      </c>
      <c r="B439" t="str">
        <f>_xll.BDP("FRSL1512 Mtge","SECURITY_NAME")</f>
        <v>FR SL1512</v>
      </c>
      <c r="C439" t="str">
        <f>_xll.BDP("FRSL1512 Mtge","GENERIC_TICKER_VINTAGE")</f>
        <v>FNCL 6 2025</v>
      </c>
      <c r="D439" t="str">
        <f>_xll.BDP("FRSL1512 Mtge","CRNCY")</f>
        <v>USD</v>
      </c>
      <c r="E439">
        <v>133580345</v>
      </c>
      <c r="F439">
        <f>_xll.BDP("FRSL1512 Mtge","CPN")</f>
        <v>6</v>
      </c>
      <c r="G439">
        <f>_xll.BDP("FRSL1512 Mtge","MTG_FACTOR")</f>
        <v>0.83770014999999998</v>
      </c>
      <c r="H439">
        <f>_xll.BDP("FRSL1512 Mtge","MTG_WAL")</f>
        <v>3.2635000000000001</v>
      </c>
      <c r="I439" t="str">
        <f>_xll.BDP("FRSL1512 Mtge","MTG_ORIG_WAL")</f>
        <v>#N/A N/A</v>
      </c>
    </row>
    <row r="440" spans="1:9" x14ac:dyDescent="0.25">
      <c r="A440" t="str">
        <f>_xll.BDP("FRSL1572 Mtge","ID_CUSIP")</f>
        <v>31427NXA2</v>
      </c>
      <c r="B440" t="str">
        <f>_xll.BDP("FRSL1572 Mtge","SECURITY_NAME")</f>
        <v>FR SL1572</v>
      </c>
      <c r="C440" t="str">
        <f>_xll.BDP("FRSL1572 Mtge","GENERIC_TICKER_VINTAGE")</f>
        <v>FNCL 6 2025</v>
      </c>
      <c r="D440" t="str">
        <f>_xll.BDP("FRSL1572 Mtge","CRNCY")</f>
        <v>USD</v>
      </c>
      <c r="E440">
        <v>23501834</v>
      </c>
      <c r="F440">
        <f>_xll.BDP("FRSL1572 Mtge","CPN")</f>
        <v>6</v>
      </c>
      <c r="G440">
        <f>_xll.BDP("FRSL1572 Mtge","MTG_FACTOR")</f>
        <v>0.93148118999999996</v>
      </c>
      <c r="H440">
        <f>_xll.BDP("FRSL1572 Mtge","MTG_WAL")</f>
        <v>3.2608999999999999</v>
      </c>
      <c r="I440" t="str">
        <f>_xll.BDP("FRSL1572 Mtge","MTG_ORIG_WAL")</f>
        <v>#N/A N/A</v>
      </c>
    </row>
    <row r="441" spans="1:9" x14ac:dyDescent="0.25">
      <c r="A441" t="str">
        <f>_xll.BDP("!!034MSV Mtge","ID_CUSIP")</f>
        <v>3136BLYW4</v>
      </c>
      <c r="B441" t="str">
        <f>_xll.BDP("!!034MSV Mtge","SECURITY_NAME")</f>
        <v>FNR 2022-4 YG</v>
      </c>
      <c r="C441" t="str">
        <f>_xll.BDP("!!034MSV Mtge","GENERIC_TICKER_VINTAGE")</f>
        <v>FNCL 3 2021</v>
      </c>
      <c r="D441" t="str">
        <f>_xll.BDP("!!034MSV Mtge","CRNCY")</f>
        <v>USD</v>
      </c>
      <c r="E441">
        <v>1000000</v>
      </c>
      <c r="F441">
        <f>_xll.BDP("!!034MSV Mtge","CPN")</f>
        <v>2.5</v>
      </c>
      <c r="G441">
        <f>_xll.BDP("!!034MSV Mtge","MTG_FACTOR")</f>
        <v>0.71217987000000005</v>
      </c>
      <c r="H441">
        <f>_xll.BDP("!!034MSV Mtge","MTG_WAL")</f>
        <v>4.1406000000000001</v>
      </c>
      <c r="I441">
        <f>_xll.BDP("!!034MSV Mtge","MTG_ORIG_WAL")</f>
        <v>4</v>
      </c>
    </row>
    <row r="442" spans="1:9" x14ac:dyDescent="0.25">
      <c r="A442" t="str">
        <f>_xll.BDP("!!034NXK Mtge","ID_CUSIP")</f>
        <v>3136BLQT0</v>
      </c>
      <c r="B442" t="str">
        <f>_xll.BDP("!!034NXK Mtge","SECURITY_NAME")</f>
        <v>FNR 2022-6 JA</v>
      </c>
      <c r="C442" t="str">
        <f>_xll.BDP("!!034NXK Mtge","GENERIC_TICKER_VINTAGE")</f>
        <v>FNCL 3 2021</v>
      </c>
      <c r="D442" t="str">
        <f>_xll.BDP("!!034NXK Mtge","CRNCY")</f>
        <v>USD</v>
      </c>
      <c r="E442">
        <v>57006000</v>
      </c>
      <c r="F442">
        <f>_xll.BDP("!!034NXK Mtge","CPN")</f>
        <v>1</v>
      </c>
      <c r="G442">
        <f>_xll.BDP("!!034NXK Mtge","MTG_FACTOR")</f>
        <v>0.66994229999999999</v>
      </c>
      <c r="H442">
        <f>_xll.BDP("!!034NXK Mtge","MTG_WAL")</f>
        <v>4.0415999999999999</v>
      </c>
      <c r="I442">
        <f>_xll.BDP("!!034NXK Mtge","MTG_ORIG_WAL")</f>
        <v>3.8</v>
      </c>
    </row>
    <row r="443" spans="1:9" x14ac:dyDescent="0.25">
      <c r="A443" t="str">
        <f>_xll.BDP("!!036TJ5 Mtge","ID_CUSIP")</f>
        <v>3136BNPU4</v>
      </c>
      <c r="B443" t="str">
        <f>_xll.BDP("!!036TJ5 Mtge","SECURITY_NAME")</f>
        <v>FNR 2022-40 Q</v>
      </c>
      <c r="C443" t="str">
        <f>_xll.BDP("!!036TJ5 Mtge","GENERIC_TICKER_VINTAGE")</f>
        <v>FNCL 3 2021</v>
      </c>
      <c r="D443" t="str">
        <f>_xll.BDP("!!036TJ5 Mtge","CRNCY")</f>
        <v>USD</v>
      </c>
      <c r="E443">
        <v>35960000</v>
      </c>
      <c r="F443">
        <f>_xll.BDP("!!036TJ5 Mtge","CPN")</f>
        <v>2</v>
      </c>
      <c r="G443">
        <f>_xll.BDP("!!036TJ5 Mtge","MTG_FACTOR")</f>
        <v>0.63815699999999997</v>
      </c>
      <c r="H443">
        <f>_xll.BDP("!!036TJ5 Mtge","MTG_WAL")</f>
        <v>2.3252000000000002</v>
      </c>
      <c r="I443">
        <f>_xll.BDP("!!036TJ5 Mtge","MTG_ORIG_WAL")</f>
        <v>3.43255</v>
      </c>
    </row>
    <row r="444" spans="1:9" x14ac:dyDescent="0.25">
      <c r="A444" t="str">
        <f>_xll.BDP("!!03LT6N Mtge","ID_CUSIP")</f>
        <v>3137HLAF9</v>
      </c>
      <c r="B444" t="str">
        <f>_xll.BDP("!!03LT6N Mtge","SECURITY_NAME")</f>
        <v>FHR 5542 FA</v>
      </c>
      <c r="C444" t="str">
        <f>_xll.BDP("!!03LT6N Mtge","GENERIC_TICKER_VINTAGE")</f>
        <v>FNCL 6 2025</v>
      </c>
      <c r="D444" t="str">
        <f>_xll.BDP("!!03LT6N Mtge","CRNCY")</f>
        <v>USD</v>
      </c>
      <c r="E444">
        <v>207465600</v>
      </c>
      <c r="F444">
        <f>_xll.BDP("!!03LT6N Mtge","CPN")</f>
        <v>4.5672100000000002</v>
      </c>
      <c r="G444">
        <f>_xll.BDP("!!03LT6N Mtge","MTG_FACTOR")</f>
        <v>0.71002679999999996</v>
      </c>
      <c r="H444">
        <f>_xll.BDP("!!03LT6N Mtge","MTG_WAL")</f>
        <v>2.9784999999999999</v>
      </c>
      <c r="I444">
        <f>_xll.BDP("!!03LT6N Mtge","MTG_ORIG_WAL")</f>
        <v>6.6</v>
      </c>
    </row>
    <row r="445" spans="1:9" x14ac:dyDescent="0.25">
      <c r="A445" t="str">
        <f>_xll.BDP("!!03LWKR Mtge","ID_CUSIP")</f>
        <v>3137HLDC3</v>
      </c>
      <c r="B445" t="str">
        <f>_xll.BDP("!!03LWKR Mtge","SECURITY_NAME")</f>
        <v>FHR 5534 AC</v>
      </c>
      <c r="C445" t="str">
        <f>_xll.BDP("!!03LWKR Mtge","GENERIC_TICKER_VINTAGE")</f>
        <v>FNCL 6 2025</v>
      </c>
      <c r="D445" t="str">
        <f>_xll.BDP("!!03LWKR Mtge","CRNCY")</f>
        <v>USD</v>
      </c>
      <c r="E445">
        <v>15386000</v>
      </c>
      <c r="F445">
        <f>_xll.BDP("!!03LWKR Mtge","CPN")</f>
        <v>5</v>
      </c>
      <c r="G445">
        <f>_xll.BDP("!!03LWKR Mtge","MTG_FACTOR")</f>
        <v>0.49043903</v>
      </c>
      <c r="H445">
        <f>_xll.BDP("!!03LWKR Mtge","MTG_WAL")</f>
        <v>0.54710000000000003</v>
      </c>
      <c r="I445">
        <f>_xll.BDP("!!03LWKR Mtge","MTG_ORIG_WAL")</f>
        <v>1.9</v>
      </c>
    </row>
    <row r="446" spans="1:9" x14ac:dyDescent="0.25">
      <c r="A446" t="str">
        <f>_xll.BDP("!!03M01B Mtge","ID_CUSIP")</f>
        <v>3136BVJ33</v>
      </c>
      <c r="B446" t="str">
        <f>_xll.BDP("!!03M01B Mtge","SECURITY_NAME")</f>
        <v>FNR 2025-35 AB</v>
      </c>
      <c r="C446" t="str">
        <f>_xll.BDP("!!03M01B Mtge","GENERIC_TICKER_VINTAGE")</f>
        <v>FNCL 6 2025</v>
      </c>
      <c r="D446" t="str">
        <f>_xll.BDP("!!03M01B Mtge","CRNCY")</f>
        <v>USD</v>
      </c>
      <c r="E446">
        <v>19083000</v>
      </c>
      <c r="F446">
        <f>_xll.BDP("!!03M01B Mtge","CPN")</f>
        <v>5</v>
      </c>
      <c r="G446">
        <f>_xll.BDP("!!03M01B Mtge","MTG_FACTOR")</f>
        <v>0.87165672999999999</v>
      </c>
      <c r="H446">
        <f>_xll.BDP("!!03M01B Mtge","MTG_WAL")</f>
        <v>1.6780999999999999</v>
      </c>
      <c r="I446">
        <f>_xll.BDP("!!03M01B Mtge","MTG_ORIG_WAL")</f>
        <v>3.8717600000000001</v>
      </c>
    </row>
    <row r="447" spans="1:9" x14ac:dyDescent="0.25">
      <c r="A447" t="str">
        <f>_xll.BDP("!!03M5LK Mtge","ID_CUSIP")</f>
        <v>3137HLH54</v>
      </c>
      <c r="B447" t="str">
        <f>_xll.BDP("!!03M5LK Mtge","SECURITY_NAME")</f>
        <v>FHR 5542 LA</v>
      </c>
      <c r="C447" t="str">
        <f>_xll.BDP("!!03M5LK Mtge","GENERIC_TICKER_VINTAGE")</f>
        <v>FNCL 6 2025</v>
      </c>
      <c r="D447" t="str">
        <f>_xll.BDP("!!03M5LK Mtge","CRNCY")</f>
        <v>USD</v>
      </c>
      <c r="E447">
        <v>56756336</v>
      </c>
      <c r="F447">
        <f>_xll.BDP("!!03M5LK Mtge","CPN")</f>
        <v>5</v>
      </c>
      <c r="G447">
        <f>_xll.BDP("!!03M5LK Mtge","MTG_FACTOR")</f>
        <v>0.77987569000000001</v>
      </c>
      <c r="H447">
        <f>_xll.BDP("!!03M5LK Mtge","MTG_WAL")</f>
        <v>1.5817000000000001</v>
      </c>
      <c r="I447">
        <f>_xll.BDP("!!03M5LK Mtge","MTG_ORIG_WAL")</f>
        <v>3.7</v>
      </c>
    </row>
    <row r="448" spans="1:9" x14ac:dyDescent="0.25">
      <c r="A448" t="str">
        <f>_xll.BDP("!!03MMW6 Mtge","ID_CUSIP")</f>
        <v>3137HLNL2</v>
      </c>
      <c r="B448" t="str">
        <f>_xll.BDP("!!03MMW6 Mtge","SECURITY_NAME")</f>
        <v>FHR 5544 DA</v>
      </c>
      <c r="C448" t="str">
        <f>_xll.BDP("!!03MMW6 Mtge","GENERIC_TICKER_VINTAGE")</f>
        <v>FNCL 6 2025</v>
      </c>
      <c r="D448" t="str">
        <f>_xll.BDP("!!03MMW6 Mtge","CRNCY")</f>
        <v>USD</v>
      </c>
      <c r="E448">
        <v>75384209</v>
      </c>
      <c r="F448">
        <f>_xll.BDP("!!03MMW6 Mtge","CPN")</f>
        <v>5</v>
      </c>
      <c r="G448">
        <f>_xll.BDP("!!03MMW6 Mtge","MTG_FACTOR")</f>
        <v>0.88614446000000002</v>
      </c>
      <c r="H448">
        <f>_xll.BDP("!!03MMW6 Mtge","MTG_WAL")</f>
        <v>1.7182999999999999</v>
      </c>
      <c r="I448">
        <f>_xll.BDP("!!03MMW6 Mtge","MTG_ORIG_WAL")</f>
        <v>3.6</v>
      </c>
    </row>
    <row r="449" spans="1:9" x14ac:dyDescent="0.25">
      <c r="A449" t="str">
        <f>_xll.BDP("!!03MYPM Mtge","ID_CUSIP")</f>
        <v>3137HM2V1</v>
      </c>
      <c r="B449" t="str">
        <f>_xll.BDP("!!03MYPM Mtge","SECURITY_NAME")</f>
        <v>FHR 5555 SD</v>
      </c>
      <c r="C449" t="str">
        <f>_xll.BDP("!!03MYPM Mtge","GENERIC_TICKER_VINTAGE")</f>
        <v>FNCL 6 2025</v>
      </c>
      <c r="D449" t="str">
        <f>_xll.BDP("!!03MYPM Mtge","CRNCY")</f>
        <v>USD</v>
      </c>
      <c r="E449">
        <v>125000000</v>
      </c>
      <c r="F449">
        <f>_xll.BDP("!!03MYPM Mtge","CPN")</f>
        <v>1.38279</v>
      </c>
      <c r="G449">
        <f>_xll.BDP("!!03MYPM Mtge","MTG_FACTOR")</f>
        <v>0.92777695999999998</v>
      </c>
      <c r="H449">
        <f>_xll.BDP("!!03MYPM Mtge","MTG_WAL")</f>
        <v>3.2130000000000001</v>
      </c>
      <c r="I449">
        <f>_xll.BDP("!!03MYPM Mtge","MTG_ORIG_WAL")</f>
        <v>6.7</v>
      </c>
    </row>
    <row r="450" spans="1:9" x14ac:dyDescent="0.25">
      <c r="A450" t="str">
        <f>_xll.BDP("!!03NR46 Mtge","ID_CUSIP")</f>
        <v>3137HMHZ6</v>
      </c>
      <c r="B450" t="str">
        <f>_xll.BDP("!!03NR46 Mtge","SECURITY_NAME")</f>
        <v>FHR 5566 FC</v>
      </c>
      <c r="C450" t="str">
        <f>_xll.BDP("!!03NR46 Mtge","GENERIC_TICKER_VINTAGE")</f>
        <v>FNCL 6 2025</v>
      </c>
      <c r="D450" t="str">
        <f>_xll.BDP("!!03NR46 Mtge","CRNCY")</f>
        <v>USD</v>
      </c>
      <c r="E450">
        <v>160000000</v>
      </c>
      <c r="F450">
        <f>_xll.BDP("!!03NR46 Mtge","CPN")</f>
        <v>4.6872100000000003</v>
      </c>
      <c r="G450">
        <f>_xll.BDP("!!03NR46 Mtge","MTG_FACTOR")</f>
        <v>0.80760430000000005</v>
      </c>
      <c r="H450">
        <f>_xll.BDP("!!03NR46 Mtge","MTG_WAL")</f>
        <v>3.1322999999999999</v>
      </c>
      <c r="I450">
        <f>_xll.BDP("!!03NR46 Mtge","MTG_ORIG_WAL")</f>
        <v>6.5</v>
      </c>
    </row>
    <row r="451" spans="1:9" x14ac:dyDescent="0.25">
      <c r="A451" t="str">
        <f>_xll.BDP("!!03NR5D Mtge","ID_CUSIP")</f>
        <v>3137HMJW1</v>
      </c>
      <c r="B451" t="str">
        <f>_xll.BDP("!!03NR5D Mtge","SECURITY_NAME")</f>
        <v>FHR 5566 TA</v>
      </c>
      <c r="C451" t="str">
        <f>_xll.BDP("!!03NR5D Mtge","GENERIC_TICKER_VINTAGE")</f>
        <v>FNCL 6 2025</v>
      </c>
      <c r="D451" t="str">
        <f>_xll.BDP("!!03NR5D Mtge","CRNCY")</f>
        <v>USD</v>
      </c>
      <c r="E451">
        <v>68379980</v>
      </c>
      <c r="F451">
        <f>_xll.BDP("!!03NR5D Mtge","CPN")</f>
        <v>0.05</v>
      </c>
      <c r="G451">
        <f>_xll.BDP("!!03NR5D Mtge","MTG_FACTOR")</f>
        <v>0.87504280999999995</v>
      </c>
      <c r="H451">
        <f>_xll.BDP("!!03NR5D Mtge","MTG_WAL")</f>
        <v>3.2332999999999998</v>
      </c>
      <c r="I451">
        <f>_xll.BDP("!!03NR5D Mtge","MTG_ORIG_WAL")</f>
        <v>6.5</v>
      </c>
    </row>
    <row r="452" spans="1:9" x14ac:dyDescent="0.25">
      <c r="A452" t="str">
        <f>_xll.BDP("!!03NRM0 Mtge","ID_CUSIP")</f>
        <v>3137HMFC9</v>
      </c>
      <c r="B452" t="str">
        <f>_xll.BDP("!!03NRM0 Mtge","SECURITY_NAME")</f>
        <v>FHR 5567 SM</v>
      </c>
      <c r="C452" t="str">
        <f>_xll.BDP("!!03NRM0 Mtge","GENERIC_TICKER_VINTAGE")</f>
        <v>FNCL 6 2025</v>
      </c>
      <c r="D452" t="str">
        <f>_xll.BDP("!!03NRM0 Mtge","CRNCY")</f>
        <v>USD</v>
      </c>
      <c r="E452">
        <v>15000000</v>
      </c>
      <c r="F452">
        <f>_xll.BDP("!!03NRM0 Mtge","CPN")</f>
        <v>7.6672099999999999</v>
      </c>
      <c r="G452">
        <f>_xll.BDP("!!03NRM0 Mtge","MTG_FACTOR")</f>
        <v>0.80760430999999999</v>
      </c>
      <c r="H452">
        <f>_xll.BDP("!!03NRM0 Mtge","MTG_WAL")</f>
        <v>3.1322999999999999</v>
      </c>
      <c r="I452">
        <f>_xll.BDP("!!03NRM0 Mtge","MTG_ORIG_WAL")</f>
        <v>6.1</v>
      </c>
    </row>
    <row r="453" spans="1:9" x14ac:dyDescent="0.25">
      <c r="A453" t="str">
        <f>_xll.BDP("!!03NS7S Mtge","ID_CUSIP")</f>
        <v>3137HMNX4</v>
      </c>
      <c r="B453" t="str">
        <f>_xll.BDP("!!03NS7S Mtge","SECURITY_NAME")</f>
        <v>FHR 5563 TV</v>
      </c>
      <c r="C453" t="str">
        <f>_xll.BDP("!!03NS7S Mtge","GENERIC_TICKER_VINTAGE")</f>
        <v>FNCL 6 2025</v>
      </c>
      <c r="D453" t="str">
        <f>_xll.BDP("!!03NS7S Mtge","CRNCY")</f>
        <v>USD</v>
      </c>
      <c r="E453">
        <v>50000000</v>
      </c>
      <c r="F453">
        <f>_xll.BDP("!!03NS7S Mtge","CPN")</f>
        <v>8.16</v>
      </c>
      <c r="G453">
        <f>_xll.BDP("!!03NS7S Mtge","MTG_FACTOR")</f>
        <v>0.82181945999999995</v>
      </c>
      <c r="H453">
        <f>_xll.BDP("!!03NS7S Mtge","MTG_WAL")</f>
        <v>3.2414000000000001</v>
      </c>
      <c r="I453">
        <f>_xll.BDP("!!03NS7S Mtge","MTG_ORIG_WAL")</f>
        <v>6.4</v>
      </c>
    </row>
    <row r="454" spans="1:9" x14ac:dyDescent="0.25">
      <c r="A454" t="str">
        <f>_xll.BDP("FNBR2026 Mtge","ID_CUSIP")</f>
        <v>3140L0HC4</v>
      </c>
      <c r="B454" t="str">
        <f>_xll.BDP("FNBR2026 Mtge","SECURITY_NAME")</f>
        <v>FN BR2026</v>
      </c>
      <c r="C454" t="str">
        <f>_xll.BDP("FNBR2026 Mtge","GENERIC_TICKER_VINTAGE")</f>
        <v>FNCL 3 2021</v>
      </c>
      <c r="D454" t="str">
        <f>_xll.BDP("FNBR2026 Mtge","CRNCY")</f>
        <v>USD</v>
      </c>
      <c r="E454">
        <v>4831503</v>
      </c>
      <c r="F454">
        <f>_xll.BDP("FNBR2026 Mtge","CPN")</f>
        <v>3</v>
      </c>
      <c r="G454">
        <f>_xll.BDP("FNBR2026 Mtge","MTG_FACTOR")</f>
        <v>0.56582827000000002</v>
      </c>
      <c r="H454">
        <f>_xll.BDP("FNBR2026 Mtge","MTG_WAL")</f>
        <v>8.3161000000000005</v>
      </c>
      <c r="I454" t="str">
        <f>_xll.BDP("FNBR2026 Mtge","MTG_ORIG_WAL")</f>
        <v>#N/A N/A</v>
      </c>
    </row>
    <row r="455" spans="1:9" x14ac:dyDescent="0.25">
      <c r="A455" t="str">
        <f>_xll.BDP("FNBV1639 Mtge","ID_CUSIP")</f>
        <v>3140MEZD1</v>
      </c>
      <c r="B455" t="str">
        <f>_xll.BDP("FNBV1639 Mtge","SECURITY_NAME")</f>
        <v>FN BV1639</v>
      </c>
      <c r="C455" t="str">
        <f>_xll.BDP("FNBV1639 Mtge","GENERIC_TICKER_VINTAGE")</f>
        <v>FNCL 6 2025</v>
      </c>
      <c r="D455" t="str">
        <f>_xll.BDP("FNBV1639 Mtge","CRNCY")</f>
        <v>USD</v>
      </c>
      <c r="E455">
        <v>14543759</v>
      </c>
      <c r="F455">
        <f>_xll.BDP("FNBV1639 Mtge","CPN")</f>
        <v>6</v>
      </c>
      <c r="G455">
        <f>_xll.BDP("FNBV1639 Mtge","MTG_FACTOR")</f>
        <v>0.91561345999999999</v>
      </c>
      <c r="H455">
        <f>_xll.BDP("FNBV1639 Mtge","MTG_WAL")</f>
        <v>3.2328999999999999</v>
      </c>
      <c r="I455" t="str">
        <f>_xll.BDP("FNBV1639 Mtge","MTG_ORIG_WAL")</f>
        <v>#N/A N/A</v>
      </c>
    </row>
    <row r="456" spans="1:9" x14ac:dyDescent="0.25">
      <c r="A456" t="str">
        <f>_xll.BDP("FNCA9307 Mtge","ID_CUSIP")</f>
        <v>3140QHKV6</v>
      </c>
      <c r="B456" t="str">
        <f>_xll.BDP("FNCA9307 Mtge","SECURITY_NAME")</f>
        <v>FN CA9307</v>
      </c>
      <c r="C456" t="str">
        <f>_xll.BDP("FNCA9307 Mtge","GENERIC_TICKER_VINTAGE")</f>
        <v>FNCL 3 2021</v>
      </c>
      <c r="D456" t="str">
        <f>_xll.BDP("FNCA9307 Mtge","CRNCY")</f>
        <v>USD</v>
      </c>
      <c r="E456">
        <v>134454781</v>
      </c>
      <c r="F456">
        <f>_xll.BDP("FNCA9307 Mtge","CPN")</f>
        <v>3</v>
      </c>
      <c r="G456">
        <f>_xll.BDP("FNCA9307 Mtge","MTG_FACTOR")</f>
        <v>0.65092667000000004</v>
      </c>
      <c r="H456">
        <f>_xll.BDP("FNCA9307 Mtge","MTG_WAL")</f>
        <v>8.2967999999999993</v>
      </c>
      <c r="I456" t="str">
        <f>_xll.BDP("FNCA9307 Mtge","MTG_ORIG_WAL")</f>
        <v>#N/A N/A</v>
      </c>
    </row>
    <row r="457" spans="1:9" x14ac:dyDescent="0.25">
      <c r="A457" t="str">
        <f>_xll.BDP("FNCB1680 Mtge","ID_CUSIP")</f>
        <v>3140QL2N5</v>
      </c>
      <c r="B457" t="str">
        <f>_xll.BDP("FNCB1680 Mtge","SECURITY_NAME")</f>
        <v>FN CB1680</v>
      </c>
      <c r="C457" t="str">
        <f>_xll.BDP("FNCB1680 Mtge","GENERIC_TICKER_VINTAGE")</f>
        <v>FNCL 3 2021</v>
      </c>
      <c r="D457" t="str">
        <f>_xll.BDP("FNCB1680 Mtge","CRNCY")</f>
        <v>USD</v>
      </c>
      <c r="E457">
        <v>88461991</v>
      </c>
      <c r="F457">
        <f>_xll.BDP("FNCB1680 Mtge","CPN")</f>
        <v>3</v>
      </c>
      <c r="G457">
        <f>_xll.BDP("FNCB1680 Mtge","MTG_FACTOR")</f>
        <v>0.66522762000000002</v>
      </c>
      <c r="H457">
        <f>_xll.BDP("FNCB1680 Mtge","MTG_WAL")</f>
        <v>8.3564000000000007</v>
      </c>
      <c r="I457" t="str">
        <f>_xll.BDP("FNCB1680 Mtge","MTG_ORIG_WAL")</f>
        <v>#N/A N/A</v>
      </c>
    </row>
    <row r="458" spans="1:9" x14ac:dyDescent="0.25">
      <c r="A458" t="str">
        <f>_xll.BDP("FNCC0128 Mtge","ID_CUSIP")</f>
        <v>3140Y6EA4</v>
      </c>
      <c r="B458" t="str">
        <f>_xll.BDP("FNCC0128 Mtge","SECURITY_NAME")</f>
        <v>FN CC0128</v>
      </c>
      <c r="C458" t="str">
        <f>_xll.BDP("FNCC0128 Mtge","GENERIC_TICKER_VINTAGE")</f>
        <v>FNCL 6 2025</v>
      </c>
      <c r="D458" t="str">
        <f>_xll.BDP("FNCC0128 Mtge","CRNCY")</f>
        <v>USD</v>
      </c>
      <c r="E458">
        <v>47034474</v>
      </c>
      <c r="F458">
        <f>_xll.BDP("FNCC0128 Mtge","CPN")</f>
        <v>6</v>
      </c>
      <c r="G458">
        <f>_xll.BDP("FNCC0128 Mtge","MTG_FACTOR")</f>
        <v>0.76501269999999999</v>
      </c>
      <c r="H458">
        <f>_xll.BDP("FNCC0128 Mtge","MTG_WAL")</f>
        <v>3.1476999999999999</v>
      </c>
      <c r="I458" t="str">
        <f>_xll.BDP("FNCC0128 Mtge","MTG_ORIG_WAL")</f>
        <v>#N/A N/A</v>
      </c>
    </row>
    <row r="459" spans="1:9" x14ac:dyDescent="0.25">
      <c r="A459" t="str">
        <f>_xll.BDP("FNCC0422 Mtge","ID_CUSIP")</f>
        <v>3140Y6PG9</v>
      </c>
      <c r="B459" t="str">
        <f>_xll.BDP("FNCC0422 Mtge","SECURITY_NAME")</f>
        <v>FN CC0422</v>
      </c>
      <c r="C459" t="str">
        <f>_xll.BDP("FNCC0422 Mtge","GENERIC_TICKER_VINTAGE")</f>
        <v>FNCL 6 2025</v>
      </c>
      <c r="D459" t="str">
        <f>_xll.BDP("FNCC0422 Mtge","CRNCY")</f>
        <v>USD</v>
      </c>
      <c r="E459">
        <v>64133618</v>
      </c>
      <c r="F459">
        <f>_xll.BDP("FNCC0422 Mtge","CPN")</f>
        <v>6</v>
      </c>
      <c r="G459">
        <f>_xll.BDP("FNCC0422 Mtge","MTG_FACTOR")</f>
        <v>0.82675863000000005</v>
      </c>
      <c r="H459">
        <f>_xll.BDP("FNCC0422 Mtge","MTG_WAL")</f>
        <v>3.2465000000000002</v>
      </c>
      <c r="I459" t="str">
        <f>_xll.BDP("FNCC0422 Mtge","MTG_ORIG_WAL")</f>
        <v>#N/A N/A</v>
      </c>
    </row>
    <row r="460" spans="1:9" x14ac:dyDescent="0.25">
      <c r="A460" t="str">
        <f>_xll.BDP("FNCC0576 Mtge","ID_CUSIP")</f>
        <v>3140Y6UA6</v>
      </c>
      <c r="B460" t="str">
        <f>_xll.BDP("FNCC0576 Mtge","SECURITY_NAME")</f>
        <v>FN CC0576</v>
      </c>
      <c r="C460" t="str">
        <f>_xll.BDP("FNCC0576 Mtge","GENERIC_TICKER_VINTAGE")</f>
        <v>FNCL 6 2025</v>
      </c>
      <c r="D460" t="str">
        <f>_xll.BDP("FNCC0576 Mtge","CRNCY")</f>
        <v>USD</v>
      </c>
      <c r="E460">
        <v>49334444</v>
      </c>
      <c r="F460">
        <f>_xll.BDP("FNCC0576 Mtge","CPN")</f>
        <v>6</v>
      </c>
      <c r="G460">
        <f>_xll.BDP("FNCC0576 Mtge","MTG_FACTOR")</f>
        <v>0.93774718000000001</v>
      </c>
      <c r="H460">
        <f>_xll.BDP("FNCC0576 Mtge","MTG_WAL")</f>
        <v>3.2856000000000001</v>
      </c>
      <c r="I460" t="str">
        <f>_xll.BDP("FNCC0576 Mtge","MTG_ORIG_WAL")</f>
        <v>#N/A N/A</v>
      </c>
    </row>
    <row r="461" spans="1:9" x14ac:dyDescent="0.25">
      <c r="A461" t="str">
        <f>_xll.BDP("FNCC0587 Mtge","ID_CUSIP")</f>
        <v>3140Y6UM0</v>
      </c>
      <c r="B461" t="str">
        <f>_xll.BDP("FNCC0587 Mtge","SECURITY_NAME")</f>
        <v>FN CC0587</v>
      </c>
      <c r="C461" t="str">
        <f>_xll.BDP("FNCC0587 Mtge","GENERIC_TICKER_VINTAGE")</f>
        <v>FNCL 6 2025</v>
      </c>
      <c r="D461" t="str">
        <f>_xll.BDP("FNCC0587 Mtge","CRNCY")</f>
        <v>USD</v>
      </c>
      <c r="E461">
        <v>202002599</v>
      </c>
      <c r="F461">
        <f>_xll.BDP("FNCC0587 Mtge","CPN")</f>
        <v>6</v>
      </c>
      <c r="G461">
        <f>_xll.BDP("FNCC0587 Mtge","MTG_FACTOR")</f>
        <v>0.96224228000000001</v>
      </c>
      <c r="H461">
        <f>_xll.BDP("FNCC0587 Mtge","MTG_WAL")</f>
        <v>3.2867999999999999</v>
      </c>
      <c r="I461" t="str">
        <f>_xll.BDP("FNCC0587 Mtge","MTG_ORIG_WAL")</f>
        <v>#N/A N/A</v>
      </c>
    </row>
    <row r="462" spans="1:9" x14ac:dyDescent="0.25">
      <c r="A462" t="str">
        <f>_xll.BDP("FNCC0722 Mtge","ID_CUSIP")</f>
        <v>3140Y6YU8</v>
      </c>
      <c r="B462" t="str">
        <f>_xll.BDP("FNCC0722 Mtge","SECURITY_NAME")</f>
        <v>FN CC0722</v>
      </c>
      <c r="C462" t="str">
        <f>_xll.BDP("FNCC0722 Mtge","GENERIC_TICKER_VINTAGE")</f>
        <v>FNCL 6 2025</v>
      </c>
      <c r="D462" t="str">
        <f>_xll.BDP("FNCC0722 Mtge","CRNCY")</f>
        <v>USD</v>
      </c>
      <c r="E462">
        <v>185481652</v>
      </c>
      <c r="F462">
        <f>_xll.BDP("FNCC0722 Mtge","CPN")</f>
        <v>6</v>
      </c>
      <c r="G462">
        <f>_xll.BDP("FNCC0722 Mtge","MTG_FACTOR")</f>
        <v>0.93966300000000003</v>
      </c>
      <c r="H462">
        <f>_xll.BDP("FNCC0722 Mtge","MTG_WAL")</f>
        <v>3.3405</v>
      </c>
      <c r="I462" t="str">
        <f>_xll.BDP("FNCC0722 Mtge","MTG_ORIG_WAL")</f>
        <v>#N/A N/A</v>
      </c>
    </row>
    <row r="463" spans="1:9" x14ac:dyDescent="0.25">
      <c r="A463" t="str">
        <f>_xll.BDP("FNDD2812 Mtge","ID_CUSIP")</f>
        <v>3140B3DS8</v>
      </c>
      <c r="B463" t="str">
        <f>_xll.BDP("FNDD2812 Mtge","SECURITY_NAME")</f>
        <v>FN DD2812</v>
      </c>
      <c r="C463" t="str">
        <f>_xll.BDP("FNDD2812 Mtge","GENERIC_TICKER_VINTAGE")</f>
        <v>FNCL 6 2025</v>
      </c>
      <c r="D463" t="str">
        <f>_xll.BDP("FNDD2812 Mtge","CRNCY")</f>
        <v>USD</v>
      </c>
      <c r="E463">
        <v>40226613</v>
      </c>
      <c r="F463">
        <f>_xll.BDP("FNDD2812 Mtge","CPN")</f>
        <v>6</v>
      </c>
      <c r="G463">
        <f>_xll.BDP("FNDD2812 Mtge","MTG_FACTOR")</f>
        <v>0.99093785999999995</v>
      </c>
      <c r="H463">
        <f>_xll.BDP("FNDD2812 Mtge","MTG_WAL")</f>
        <v>3.2887</v>
      </c>
      <c r="I463" t="str">
        <f>_xll.BDP("FNDD2812 Mtge","MTG_ORIG_WAL")</f>
        <v>#N/A N/A</v>
      </c>
    </row>
    <row r="464" spans="1:9" x14ac:dyDescent="0.25">
      <c r="A464" t="str">
        <f>_xll.BDP("FNDD4293 Mtge","ID_CUSIP")</f>
        <v>3140B4XX3</v>
      </c>
      <c r="B464" t="str">
        <f>_xll.BDP("FNDD4293 Mtge","SECURITY_NAME")</f>
        <v>FN DD4293</v>
      </c>
      <c r="C464" t="str">
        <f>_xll.BDP("FNDD4293 Mtge","GENERIC_TICKER_VINTAGE")</f>
        <v>FNCL 6 2025</v>
      </c>
      <c r="D464" t="str">
        <f>_xll.BDP("FNDD4293 Mtge","CRNCY")</f>
        <v>USD</v>
      </c>
      <c r="E464">
        <v>16174105</v>
      </c>
      <c r="F464">
        <f>_xll.BDP("FNDD4293 Mtge","CPN")</f>
        <v>6</v>
      </c>
      <c r="G464">
        <f>_xll.BDP("FNDD4293 Mtge","MTG_FACTOR")</f>
        <v>0.81253942000000001</v>
      </c>
      <c r="H464">
        <f>_xll.BDP("FNDD4293 Mtge","MTG_WAL")</f>
        <v>3.202</v>
      </c>
      <c r="I464" t="str">
        <f>_xll.BDP("FNDD4293 Mtge","MTG_ORIG_WAL")</f>
        <v>#N/A N/A</v>
      </c>
    </row>
    <row r="465" spans="1:9" x14ac:dyDescent="0.25">
      <c r="A465" t="str">
        <f>_xll.BDP("FNDD4308 Mtge","ID_CUSIP")</f>
        <v>3140B4YE4</v>
      </c>
      <c r="B465" t="str">
        <f>_xll.BDP("FNDD4308 Mtge","SECURITY_NAME")</f>
        <v>FN DD4308</v>
      </c>
      <c r="C465" t="str">
        <f>_xll.BDP("FNDD4308 Mtge","GENERIC_TICKER_VINTAGE")</f>
        <v>FNCL 6 2025</v>
      </c>
      <c r="D465" t="str">
        <f>_xll.BDP("FNDD4308 Mtge","CRNCY")</f>
        <v>USD</v>
      </c>
      <c r="E465">
        <v>3355913</v>
      </c>
      <c r="F465">
        <f>_xll.BDP("FNDD4308 Mtge","CPN")</f>
        <v>6</v>
      </c>
      <c r="G465">
        <f>_xll.BDP("FNDD4308 Mtge","MTG_FACTOR")</f>
        <v>0.96880440999999995</v>
      </c>
      <c r="H465">
        <f>_xll.BDP("FNDD4308 Mtge","MTG_WAL")</f>
        <v>3.1480999999999999</v>
      </c>
      <c r="I465" t="str">
        <f>_xll.BDP("FNDD4308 Mtge","MTG_ORIG_WAL")</f>
        <v>#N/A N/A</v>
      </c>
    </row>
    <row r="466" spans="1:9" x14ac:dyDescent="0.25">
      <c r="A466" t="str">
        <f>_xll.BDP("FNDD5512 Mtge","ID_CUSIP")</f>
        <v>3140B6DS1</v>
      </c>
      <c r="B466" t="str">
        <f>_xll.BDP("FNDD5512 Mtge","SECURITY_NAME")</f>
        <v>FN DD5512</v>
      </c>
      <c r="C466" t="str">
        <f>_xll.BDP("FNDD5512 Mtge","GENERIC_TICKER_VINTAGE")</f>
        <v>FNCL 6 2025</v>
      </c>
      <c r="D466" t="str">
        <f>_xll.BDP("FNDD5512 Mtge","CRNCY")</f>
        <v>USD</v>
      </c>
      <c r="E466">
        <v>15428520</v>
      </c>
      <c r="F466">
        <f>_xll.BDP("FNDD5512 Mtge","CPN")</f>
        <v>6</v>
      </c>
      <c r="G466">
        <f>_xll.BDP("FNDD5512 Mtge","MTG_FACTOR")</f>
        <v>0.93543613000000003</v>
      </c>
      <c r="H466">
        <f>_xll.BDP("FNDD5512 Mtge","MTG_WAL")</f>
        <v>3.2820999999999998</v>
      </c>
      <c r="I466" t="str">
        <f>_xll.BDP("FNDD5512 Mtge","MTG_ORIG_WAL")</f>
        <v>#N/A N/A</v>
      </c>
    </row>
    <row r="467" spans="1:9" x14ac:dyDescent="0.25">
      <c r="A467" t="str">
        <f>_xll.BDP("FNDD6107 Mtge","ID_CUSIP")</f>
        <v>3140B6YD1</v>
      </c>
      <c r="B467" t="str">
        <f>_xll.BDP("FNDD6107 Mtge","SECURITY_NAME")</f>
        <v>FN DD6107</v>
      </c>
      <c r="C467" t="str">
        <f>_xll.BDP("FNDD6107 Mtge","GENERIC_TICKER_VINTAGE")</f>
        <v>FNCL 6 2025</v>
      </c>
      <c r="D467" t="str">
        <f>_xll.BDP("FNDD6107 Mtge","CRNCY")</f>
        <v>USD</v>
      </c>
      <c r="E467">
        <v>1037903</v>
      </c>
      <c r="F467">
        <f>_xll.BDP("FNDD6107 Mtge","CPN")</f>
        <v>6</v>
      </c>
      <c r="G467">
        <f>_xll.BDP("FNDD6107 Mtge","MTG_FACTOR")</f>
        <v>0.99190257999999998</v>
      </c>
      <c r="H467">
        <f>_xll.BDP("FNDD6107 Mtge","MTG_WAL")</f>
        <v>3.2911999999999999</v>
      </c>
      <c r="I467" t="str">
        <f>_xll.BDP("FNDD6107 Mtge","MTG_ORIG_WAL")</f>
        <v>#N/A N/A</v>
      </c>
    </row>
    <row r="468" spans="1:9" x14ac:dyDescent="0.25">
      <c r="A468" t="str">
        <f>_xll.BDP("FNDD8005 Mtge","ID_CUSIP")</f>
        <v>3140B83P4</v>
      </c>
      <c r="B468" t="str">
        <f>_xll.BDP("FNDD8005 Mtge","SECURITY_NAME")</f>
        <v>FN DD8005</v>
      </c>
      <c r="C468" t="str">
        <f>_xll.BDP("FNDD8005 Mtge","GENERIC_TICKER_VINTAGE")</f>
        <v>FNCL 6 2025</v>
      </c>
      <c r="D468" t="str">
        <f>_xll.BDP("FNDD8005 Mtge","CRNCY")</f>
        <v>USD</v>
      </c>
      <c r="E468">
        <v>4204604</v>
      </c>
      <c r="F468">
        <f>_xll.BDP("FNDD8005 Mtge","CPN")</f>
        <v>6</v>
      </c>
      <c r="G468">
        <f>_xll.BDP("FNDD8005 Mtge","MTG_FACTOR")</f>
        <v>0.98702564999999998</v>
      </c>
      <c r="H468">
        <f>_xll.BDP("FNDD8005 Mtge","MTG_WAL")</f>
        <v>3.2444000000000002</v>
      </c>
      <c r="I468" t="str">
        <f>_xll.BDP("FNDD8005 Mtge","MTG_ORIG_WAL")</f>
        <v>#N/A N/A</v>
      </c>
    </row>
    <row r="469" spans="1:9" x14ac:dyDescent="0.25">
      <c r="A469" t="str">
        <f>_xll.BDP("FNDE0618 Mtge","ID_CUSIP")</f>
        <v>3140BCVL3</v>
      </c>
      <c r="B469" t="str">
        <f>_xll.BDP("FNDE0618 Mtge","SECURITY_NAME")</f>
        <v>FN DE0618</v>
      </c>
      <c r="C469" t="str">
        <f>_xll.BDP("FNDE0618 Mtge","GENERIC_TICKER_VINTAGE")</f>
        <v>FNCL 6 2025</v>
      </c>
      <c r="D469" t="str">
        <f>_xll.BDP("FNDE0618 Mtge","CRNCY")</f>
        <v>USD</v>
      </c>
      <c r="E469">
        <v>37384087</v>
      </c>
      <c r="F469">
        <f>_xll.BDP("FNDE0618 Mtge","CPN")</f>
        <v>6</v>
      </c>
      <c r="G469">
        <f>_xll.BDP("FNDE0618 Mtge","MTG_FACTOR")</f>
        <v>0.90111993000000001</v>
      </c>
      <c r="H469">
        <f>_xll.BDP("FNDE0618 Mtge","MTG_WAL")</f>
        <v>3.2923</v>
      </c>
      <c r="I469" t="str">
        <f>_xll.BDP("FNDE0618 Mtge","MTG_ORIG_WAL")</f>
        <v>#N/A N/A</v>
      </c>
    </row>
    <row r="470" spans="1:9" x14ac:dyDescent="0.25">
      <c r="A470" t="str">
        <f>_xll.BDP("FNDE0752 Mtge","ID_CUSIP")</f>
        <v>3140BCZS4</v>
      </c>
      <c r="B470" t="str">
        <f>_xll.BDP("FNDE0752 Mtge","SECURITY_NAME")</f>
        <v>FN DE0752</v>
      </c>
      <c r="C470" t="str">
        <f>_xll.BDP("FNDE0752 Mtge","GENERIC_TICKER_VINTAGE")</f>
        <v>FNCL 6 2025</v>
      </c>
      <c r="D470" t="str">
        <f>_xll.BDP("FNDE0752 Mtge","CRNCY")</f>
        <v>USD</v>
      </c>
      <c r="E470">
        <v>5202428</v>
      </c>
      <c r="F470">
        <f>_xll.BDP("FNDE0752 Mtge","CPN")</f>
        <v>6</v>
      </c>
      <c r="G470">
        <f>_xll.BDP("FNDE0752 Mtge","MTG_FACTOR")</f>
        <v>0.99213916000000002</v>
      </c>
      <c r="H470">
        <f>_xll.BDP("FNDE0752 Mtge","MTG_WAL")</f>
        <v>3.2955000000000001</v>
      </c>
      <c r="I470" t="str">
        <f>_xll.BDP("FNDE0752 Mtge","MTG_ORIG_WAL")</f>
        <v>#N/A N/A</v>
      </c>
    </row>
    <row r="471" spans="1:9" x14ac:dyDescent="0.25">
      <c r="A471" t="str">
        <f>_xll.BDP("FNDE1263 Mtge","ID_CUSIP")</f>
        <v>3140BDMM9</v>
      </c>
      <c r="B471" t="str">
        <f>_xll.BDP("FNDE1263 Mtge","SECURITY_NAME")</f>
        <v>FN DE1263</v>
      </c>
      <c r="C471" t="str">
        <f>_xll.BDP("FNDE1263 Mtge","GENERIC_TICKER_VINTAGE")</f>
        <v>FNCL 6 2025</v>
      </c>
      <c r="D471" t="str">
        <f>_xll.BDP("FNDE1263 Mtge","CRNCY")</f>
        <v>USD</v>
      </c>
      <c r="E471">
        <v>1240100</v>
      </c>
      <c r="F471">
        <f>_xll.BDP("FNDE1263 Mtge","CPN")</f>
        <v>6</v>
      </c>
      <c r="G471">
        <f>_xll.BDP("FNDE1263 Mtge","MTG_FACTOR")</f>
        <v>0.99235194000000004</v>
      </c>
      <c r="H471">
        <f>_xll.BDP("FNDE1263 Mtge","MTG_WAL")</f>
        <v>3.3462000000000001</v>
      </c>
      <c r="I471" t="str">
        <f>_xll.BDP("FNDE1263 Mtge","MTG_ORIG_WAL")</f>
        <v>#N/A N/A</v>
      </c>
    </row>
    <row r="472" spans="1:9" x14ac:dyDescent="0.25">
      <c r="A472" t="str">
        <f>_xll.BDP("FNDE1293 Mtge","ID_CUSIP")</f>
        <v>3140BDNK2</v>
      </c>
      <c r="B472" t="str">
        <f>_xll.BDP("FNDE1293 Mtge","SECURITY_NAME")</f>
        <v>FN DE1293</v>
      </c>
      <c r="C472" t="str">
        <f>_xll.BDP("FNDE1293 Mtge","GENERIC_TICKER_VINTAGE")</f>
        <v>FNCL 6 2025</v>
      </c>
      <c r="D472" t="str">
        <f>_xll.BDP("FNDE1293 Mtge","CRNCY")</f>
        <v>USD</v>
      </c>
      <c r="E472">
        <v>1706007</v>
      </c>
      <c r="F472">
        <f>_xll.BDP("FNDE1293 Mtge","CPN")</f>
        <v>6</v>
      </c>
      <c r="G472">
        <f>_xll.BDP("FNDE1293 Mtge","MTG_FACTOR")</f>
        <v>0.99227602999999998</v>
      </c>
      <c r="H472">
        <f>_xll.BDP("FNDE1293 Mtge","MTG_WAL")</f>
        <v>3.3452999999999999</v>
      </c>
      <c r="I472" t="str">
        <f>_xll.BDP("FNDE1293 Mtge","MTG_ORIG_WAL")</f>
        <v>#N/A N/A</v>
      </c>
    </row>
    <row r="473" spans="1:9" x14ac:dyDescent="0.25">
      <c r="A473" t="str">
        <f>_xll.BDP("FNDE1917 Mtge","ID_CUSIP")</f>
        <v>3140BEDX3</v>
      </c>
      <c r="B473" t="str">
        <f>_xll.BDP("FNDE1917 Mtge","SECURITY_NAME")</f>
        <v>FN DE1917</v>
      </c>
      <c r="C473" t="str">
        <f>_xll.BDP("FNDE1917 Mtge","GENERIC_TICKER_VINTAGE")</f>
        <v>FNCL 6 2025</v>
      </c>
      <c r="D473" t="str">
        <f>_xll.BDP("FNDE1917 Mtge","CRNCY")</f>
        <v>USD</v>
      </c>
      <c r="E473">
        <v>5406911</v>
      </c>
      <c r="F473">
        <f>_xll.BDP("FNDE1917 Mtge","CPN")</f>
        <v>6</v>
      </c>
      <c r="G473">
        <f>_xll.BDP("FNDE1917 Mtge","MTG_FACTOR")</f>
        <v>0.98842151</v>
      </c>
      <c r="H473">
        <f>_xll.BDP("FNDE1917 Mtge","MTG_WAL")</f>
        <v>3.2856999999999998</v>
      </c>
      <c r="I473" t="str">
        <f>_xll.BDP("FNDE1917 Mtge","MTG_ORIG_WAL")</f>
        <v>#N/A N/A</v>
      </c>
    </row>
    <row r="474" spans="1:9" x14ac:dyDescent="0.25">
      <c r="A474" t="str">
        <f>_xll.BDP("FNDE2489 Mtge","ID_CUSIP")</f>
        <v>3140BEXT0</v>
      </c>
      <c r="B474" t="str">
        <f>_xll.BDP("FNDE2489 Mtge","SECURITY_NAME")</f>
        <v>FN DE2489</v>
      </c>
      <c r="C474" t="str">
        <f>_xll.BDP("FNDE2489 Mtge","GENERIC_TICKER_VINTAGE")</f>
        <v>FNCL 6 2025</v>
      </c>
      <c r="D474" t="str">
        <f>_xll.BDP("FNDE2489 Mtge","CRNCY")</f>
        <v>USD</v>
      </c>
      <c r="E474">
        <v>1728220</v>
      </c>
      <c r="F474">
        <f>_xll.BDP("FNDE2489 Mtge","CPN")</f>
        <v>6</v>
      </c>
      <c r="G474">
        <f>_xll.BDP("FNDE2489 Mtge","MTG_FACTOR")</f>
        <v>0.99203107999999995</v>
      </c>
      <c r="H474">
        <f>_xll.BDP("FNDE2489 Mtge","MTG_WAL")</f>
        <v>3.3460999999999999</v>
      </c>
      <c r="I474" t="str">
        <f>_xll.BDP("FNDE2489 Mtge","MTG_ORIG_WAL")</f>
        <v>#N/A N/A</v>
      </c>
    </row>
    <row r="475" spans="1:9" x14ac:dyDescent="0.25">
      <c r="A475" t="str">
        <f>_xll.BDP("FNDE2659 Mtge","ID_CUSIP")</f>
        <v>3140BE5V6</v>
      </c>
      <c r="B475" t="str">
        <f>_xll.BDP("FNDE2659 Mtge","SECURITY_NAME")</f>
        <v>FN DE2659</v>
      </c>
      <c r="C475" t="str">
        <f>_xll.BDP("FNDE2659 Mtge","GENERIC_TICKER_VINTAGE")</f>
        <v>FNCL 6 2025</v>
      </c>
      <c r="D475" t="str">
        <f>_xll.BDP("FNDE2659 Mtge","CRNCY")</f>
        <v>USD</v>
      </c>
      <c r="E475">
        <v>1562600</v>
      </c>
      <c r="F475">
        <f>_xll.BDP("FNDE2659 Mtge","CPN")</f>
        <v>6</v>
      </c>
      <c r="G475">
        <f>_xll.BDP("FNDE2659 Mtge","MTG_FACTOR")</f>
        <v>0.99127304000000005</v>
      </c>
      <c r="H475">
        <f>_xll.BDP("FNDE2659 Mtge","MTG_WAL")</f>
        <v>3.3445</v>
      </c>
      <c r="I475" t="str">
        <f>_xll.BDP("FNDE2659 Mtge","MTG_ORIG_WAL")</f>
        <v>#N/A N/A</v>
      </c>
    </row>
    <row r="476" spans="1:9" x14ac:dyDescent="0.25">
      <c r="A476" t="str">
        <f>_xll.BDP("FNDE3007 Mtge","ID_CUSIP")</f>
        <v>3140BFKV6</v>
      </c>
      <c r="B476" t="str">
        <f>_xll.BDP("FNDE3007 Mtge","SECURITY_NAME")</f>
        <v>FN DE3007</v>
      </c>
      <c r="C476" t="str">
        <f>_xll.BDP("FNDE3007 Mtge","GENERIC_TICKER_VINTAGE")</f>
        <v>FNCL 6 2025</v>
      </c>
      <c r="D476" t="str">
        <f>_xll.BDP("FNDE3007 Mtge","CRNCY")</f>
        <v>USD</v>
      </c>
      <c r="E476">
        <v>2462002</v>
      </c>
      <c r="F476">
        <f>_xll.BDP("FNDE3007 Mtge","CPN")</f>
        <v>6</v>
      </c>
      <c r="G476">
        <f>_xll.BDP("FNDE3007 Mtge","MTG_FACTOR")</f>
        <v>0.86036767000000003</v>
      </c>
      <c r="H476">
        <f>_xll.BDP("FNDE3007 Mtge","MTG_WAL")</f>
        <v>3.2793999999999999</v>
      </c>
      <c r="I476" t="str">
        <f>_xll.BDP("FNDE3007 Mtge","MTG_ORIG_WAL")</f>
        <v>#N/A N/A</v>
      </c>
    </row>
    <row r="477" spans="1:9" x14ac:dyDescent="0.25">
      <c r="A477" t="str">
        <f>_xll.BDP("FNDE3114 Mtge","ID_CUSIP")</f>
        <v>3140BFN84</v>
      </c>
      <c r="B477" t="str">
        <f>_xll.BDP("FNDE3114 Mtge","SECURITY_NAME")</f>
        <v>FN DE3114</v>
      </c>
      <c r="C477" t="str">
        <f>_xll.BDP("FNDE3114 Mtge","GENERIC_TICKER_VINTAGE")</f>
        <v>FNCL 6 2025</v>
      </c>
      <c r="D477" t="str">
        <f>_xll.BDP("FNDE3114 Mtge","CRNCY")</f>
        <v>USD</v>
      </c>
      <c r="E477">
        <v>1181942</v>
      </c>
      <c r="F477">
        <f>_xll.BDP("FNDE3114 Mtge","CPN")</f>
        <v>6</v>
      </c>
      <c r="G477">
        <f>_xll.BDP("FNDE3114 Mtge","MTG_FACTOR")</f>
        <v>0.86279183000000004</v>
      </c>
      <c r="H477">
        <f>_xll.BDP("FNDE3114 Mtge","MTG_WAL")</f>
        <v>3.3948999999999998</v>
      </c>
      <c r="I477" t="str">
        <f>_xll.BDP("FNDE3114 Mtge","MTG_ORIG_WAL")</f>
        <v>#N/A N/A</v>
      </c>
    </row>
    <row r="478" spans="1:9" x14ac:dyDescent="0.25">
      <c r="A478" t="str">
        <f>_xll.BDP("FNDE4518 Mtge","ID_CUSIP")</f>
        <v>3140BHAU5</v>
      </c>
      <c r="B478" t="str">
        <f>_xll.BDP("FNDE4518 Mtge","SECURITY_NAME")</f>
        <v>FN DE4518</v>
      </c>
      <c r="C478" t="str">
        <f>_xll.BDP("FNDE4518 Mtge","GENERIC_TICKER_VINTAGE")</f>
        <v>FNCL 6 2025</v>
      </c>
      <c r="D478" t="str">
        <f>_xll.BDP("FNDE4518 Mtge","CRNCY")</f>
        <v>USD</v>
      </c>
      <c r="E478">
        <v>3359228</v>
      </c>
      <c r="F478">
        <f>_xll.BDP("FNDE4518 Mtge","CPN")</f>
        <v>6</v>
      </c>
      <c r="G478">
        <f>_xll.BDP("FNDE4518 Mtge","MTG_FACTOR")</f>
        <v>0.99181786999999999</v>
      </c>
      <c r="H478">
        <f>_xll.BDP("FNDE4518 Mtge","MTG_WAL")</f>
        <v>3.3917000000000002</v>
      </c>
      <c r="I478" t="str">
        <f>_xll.BDP("FNDE4518 Mtge","MTG_ORIG_WAL")</f>
        <v>#N/A N/A</v>
      </c>
    </row>
    <row r="479" spans="1:9" x14ac:dyDescent="0.25">
      <c r="A479" t="str">
        <f>_xll.BDP("FNDE6445 Mtge","ID_CUSIP")</f>
        <v>3140BKET7</v>
      </c>
      <c r="B479" t="str">
        <f>_xll.BDP("FNDE6445 Mtge","SECURITY_NAME")</f>
        <v>FN DE6445</v>
      </c>
      <c r="C479" t="str">
        <f>_xll.BDP("FNDE6445 Mtge","GENERIC_TICKER_VINTAGE")</f>
        <v>FNCL 6 2025</v>
      </c>
      <c r="D479" t="str">
        <f>_xll.BDP("FNDE6445 Mtge","CRNCY")</f>
        <v>USD</v>
      </c>
      <c r="E479">
        <v>1257950</v>
      </c>
      <c r="F479">
        <f>_xll.BDP("FNDE6445 Mtge","CPN")</f>
        <v>6</v>
      </c>
      <c r="G479">
        <f>_xll.BDP("FNDE6445 Mtge","MTG_FACTOR")</f>
        <v>0.99385354000000004</v>
      </c>
      <c r="H479">
        <f>_xll.BDP("FNDE6445 Mtge","MTG_WAL")</f>
        <v>3.4512999999999998</v>
      </c>
      <c r="I479" t="str">
        <f>_xll.BDP("FNDE6445 Mtge","MTG_ORIG_WAL")</f>
        <v>#N/A N/A</v>
      </c>
    </row>
    <row r="480" spans="1:9" x14ac:dyDescent="0.25">
      <c r="A480" t="str">
        <f>_xll.BDP("FNFA1045 Mtge","ID_CUSIP")</f>
        <v>3140W1ET6</v>
      </c>
      <c r="B480" t="str">
        <f>_xll.BDP("FNFA1045 Mtge","SECURITY_NAME")</f>
        <v>FN FA1045</v>
      </c>
      <c r="C480" t="str">
        <f>_xll.BDP("FNFA1045 Mtge","GENERIC_TICKER_VINTAGE")</f>
        <v>FNCL 3 2021</v>
      </c>
      <c r="D480" t="str">
        <f>_xll.BDP("FNFA1045 Mtge","CRNCY")</f>
        <v>USD</v>
      </c>
      <c r="E480">
        <v>6037509</v>
      </c>
      <c r="F480">
        <f>_xll.BDP("FNFA1045 Mtge","CPN")</f>
        <v>3</v>
      </c>
      <c r="G480">
        <f>_xll.BDP("FNFA1045 Mtge","MTG_FACTOR")</f>
        <v>0.92400773000000003</v>
      </c>
      <c r="H480">
        <f>_xll.BDP("FNFA1045 Mtge","MTG_WAL")</f>
        <v>8.3460000000000001</v>
      </c>
      <c r="I480" t="str">
        <f>_xll.BDP("FNFA1045 Mtge","MTG_ORIG_WAL")</f>
        <v>#N/A N/A</v>
      </c>
    </row>
    <row r="481" spans="1:9" x14ac:dyDescent="0.25">
      <c r="A481" t="str">
        <f>_xll.BDP("FNFA1555 Mtge","ID_CUSIP")</f>
        <v>3140W1WR0</v>
      </c>
      <c r="B481" t="str">
        <f>_xll.BDP("FNFA1555 Mtge","SECURITY_NAME")</f>
        <v>FN FA1555</v>
      </c>
      <c r="C481" t="str">
        <f>_xll.BDP("FNFA1555 Mtge","GENERIC_TICKER_VINTAGE")</f>
        <v>FNCL 6 2025</v>
      </c>
      <c r="D481" t="str">
        <f>_xll.BDP("FNFA1555 Mtge","CRNCY")</f>
        <v>USD</v>
      </c>
      <c r="E481">
        <v>51155430</v>
      </c>
      <c r="F481">
        <f>_xll.BDP("FNFA1555 Mtge","CPN")</f>
        <v>6</v>
      </c>
      <c r="G481">
        <f>_xll.BDP("FNFA1555 Mtge","MTG_FACTOR")</f>
        <v>0.93842912999999994</v>
      </c>
      <c r="H481">
        <f>_xll.BDP("FNFA1555 Mtge","MTG_WAL")</f>
        <v>3.1774</v>
      </c>
      <c r="I481" t="str">
        <f>_xll.BDP("FNFA1555 Mtge","MTG_ORIG_WAL")</f>
        <v>#N/A N/A</v>
      </c>
    </row>
    <row r="482" spans="1:9" x14ac:dyDescent="0.25">
      <c r="A482" t="str">
        <f>_xll.BDP("FNFA1673 Mtge","ID_CUSIP")</f>
        <v>3140W12F9</v>
      </c>
      <c r="B482" t="str">
        <f>_xll.BDP("FNFA1673 Mtge","SECURITY_NAME")</f>
        <v>FN FA1673</v>
      </c>
      <c r="C482" t="str">
        <f>_xll.BDP("FNFA1673 Mtge","GENERIC_TICKER_VINTAGE")</f>
        <v>FNCL 6 2025</v>
      </c>
      <c r="D482" t="str">
        <f>_xll.BDP("FNFA1673 Mtge","CRNCY")</f>
        <v>USD</v>
      </c>
      <c r="E482">
        <v>44636963</v>
      </c>
      <c r="F482">
        <f>_xll.BDP("FNFA1673 Mtge","CPN")</f>
        <v>6</v>
      </c>
      <c r="G482">
        <f>_xll.BDP("FNFA1673 Mtge","MTG_FACTOR")</f>
        <v>0.95263962999999996</v>
      </c>
      <c r="H482">
        <f>_xll.BDP("FNFA1673 Mtge","MTG_WAL")</f>
        <v>3.2993000000000001</v>
      </c>
      <c r="I482" t="str">
        <f>_xll.BDP("FNFA1673 Mtge","MTG_ORIG_WAL")</f>
        <v>#N/A N/A</v>
      </c>
    </row>
    <row r="483" spans="1:9" x14ac:dyDescent="0.25">
      <c r="A483" t="str">
        <f>_xll.BDP("FNFM9056 Mtge","ID_CUSIP")</f>
        <v>3140XDB21</v>
      </c>
      <c r="B483" t="str">
        <f>_xll.BDP("FNFM9056 Mtge","SECURITY_NAME")</f>
        <v>FN FM9056</v>
      </c>
      <c r="C483" t="str">
        <f>_xll.BDP("FNFM9056 Mtge","GENERIC_TICKER_VINTAGE")</f>
        <v>FNCL 3 2021</v>
      </c>
      <c r="D483" t="str">
        <f>_xll.BDP("FNFM9056 Mtge","CRNCY")</f>
        <v>USD</v>
      </c>
      <c r="E483">
        <v>82835218</v>
      </c>
      <c r="F483">
        <f>_xll.BDP("FNFM9056 Mtge","CPN")</f>
        <v>3</v>
      </c>
      <c r="G483">
        <f>_xll.BDP("FNFM9056 Mtge","MTG_FACTOR")</f>
        <v>0.63993657000000004</v>
      </c>
      <c r="H483">
        <f>_xll.BDP("FNFM9056 Mtge","MTG_WAL")</f>
        <v>8.2619000000000007</v>
      </c>
      <c r="I483" t="str">
        <f>_xll.BDP("FNFM9056 Mtge","MTG_ORIG_WAL")</f>
        <v>#N/A N/A</v>
      </c>
    </row>
    <row r="484" spans="1:9" x14ac:dyDescent="0.25">
      <c r="A484" t="str">
        <f>_xll.BDP("FNFS7061 Mtge","ID_CUSIP")</f>
        <v>3140XNZ31</v>
      </c>
      <c r="B484" t="str">
        <f>_xll.BDP("FNFS7061 Mtge","SECURITY_NAME")</f>
        <v>FN FS7061</v>
      </c>
      <c r="C484" t="str">
        <f>_xll.BDP("FNFS7061 Mtge","GENERIC_TICKER_VINTAGE")</f>
        <v>FNCL 3 2021</v>
      </c>
      <c r="D484" t="str">
        <f>_xll.BDP("FNFS7061 Mtge","CRNCY")</f>
        <v>USD</v>
      </c>
      <c r="E484">
        <v>135930955</v>
      </c>
      <c r="F484">
        <f>_xll.BDP("FNFS7061 Mtge","CPN")</f>
        <v>3</v>
      </c>
      <c r="G484">
        <f>_xll.BDP("FNFS7061 Mtge","MTG_FACTOR")</f>
        <v>0.86455870999999995</v>
      </c>
      <c r="H484">
        <f>_xll.BDP("FNFS7061 Mtge","MTG_WAL")</f>
        <v>8.3491</v>
      </c>
      <c r="I484" t="str">
        <f>_xll.BDP("FNFS7061 Mtge","MTG_ORIG_WAL")</f>
        <v>#N/A N/A</v>
      </c>
    </row>
    <row r="485" spans="1:9" x14ac:dyDescent="0.25">
      <c r="A485" t="str">
        <f>_xll.BDP("FNFS7062 Mtge","ID_CUSIP")</f>
        <v>3140XNZ49</v>
      </c>
      <c r="B485" t="str">
        <f>_xll.BDP("FNFS7062 Mtge","SECURITY_NAME")</f>
        <v>FN FS7062</v>
      </c>
      <c r="C485" t="str">
        <f>_xll.BDP("FNFS7062 Mtge","GENERIC_TICKER_VINTAGE")</f>
        <v>FNCL 3 2021</v>
      </c>
      <c r="D485" t="str">
        <f>_xll.BDP("FNFS7062 Mtge","CRNCY")</f>
        <v>USD</v>
      </c>
      <c r="E485">
        <v>143511763</v>
      </c>
      <c r="F485">
        <f>_xll.BDP("FNFS7062 Mtge","CPN")</f>
        <v>3</v>
      </c>
      <c r="G485">
        <f>_xll.BDP("FNFS7062 Mtge","MTG_FACTOR")</f>
        <v>0.86899073999999998</v>
      </c>
      <c r="H485">
        <f>_xll.BDP("FNFS7062 Mtge","MTG_WAL")</f>
        <v>8.3292999999999999</v>
      </c>
      <c r="I485" t="str">
        <f>_xll.BDP("FNFS7062 Mtge","MTG_ORIG_WAL")</f>
        <v>#N/A N/A</v>
      </c>
    </row>
    <row r="486" spans="1:9" x14ac:dyDescent="0.25">
      <c r="A486" t="str">
        <f>_xll.BDP("FRQC9808 Mtge","ID_CUSIP")</f>
        <v>3133AU3R7</v>
      </c>
      <c r="B486" t="str">
        <f>_xll.BDP("FRQC9808 Mtge","SECURITY_NAME")</f>
        <v>FR QC9808</v>
      </c>
      <c r="C486" t="str">
        <f>_xll.BDP("FRQC9808 Mtge","GENERIC_TICKER_VINTAGE")</f>
        <v>FNCL 3 2021</v>
      </c>
      <c r="D486" t="str">
        <f>_xll.BDP("FRQC9808 Mtge","CRNCY")</f>
        <v>USD</v>
      </c>
      <c r="E486">
        <v>15003338</v>
      </c>
      <c r="F486">
        <f>_xll.BDP("FRQC9808 Mtge","CPN")</f>
        <v>3</v>
      </c>
      <c r="G486">
        <f>_xll.BDP("FRQC9808 Mtge","MTG_FACTOR")</f>
        <v>0.70159013000000003</v>
      </c>
      <c r="H486">
        <f>_xll.BDP("FRQC9808 Mtge","MTG_WAL")</f>
        <v>8.2996999999999996</v>
      </c>
      <c r="I486" t="str">
        <f>_xll.BDP("FRQC9808 Mtge","MTG_ORIG_WAL")</f>
        <v>#N/A N/A</v>
      </c>
    </row>
    <row r="487" spans="1:9" x14ac:dyDescent="0.25">
      <c r="A487" t="str">
        <f>_xll.BDP("FRQD0369 Mtge","ID_CUSIP")</f>
        <v>3133AWMS0</v>
      </c>
      <c r="B487" t="str">
        <f>_xll.BDP("FRQD0369 Mtge","SECURITY_NAME")</f>
        <v>FR QD0369</v>
      </c>
      <c r="C487" t="str">
        <f>_xll.BDP("FRQD0369 Mtge","GENERIC_TICKER_VINTAGE")</f>
        <v>FNCL 3 2021</v>
      </c>
      <c r="D487" t="str">
        <f>_xll.BDP("FRQD0369 Mtge","CRNCY")</f>
        <v>USD</v>
      </c>
      <c r="E487">
        <v>21708055</v>
      </c>
      <c r="F487">
        <f>_xll.BDP("FRQD0369 Mtge","CPN")</f>
        <v>3</v>
      </c>
      <c r="G487">
        <f>_xll.BDP("FRQD0369 Mtge","MTG_FACTOR")</f>
        <v>0.68763984</v>
      </c>
      <c r="H487">
        <f>_xll.BDP("FRQD0369 Mtge","MTG_WAL")</f>
        <v>8.3437999999999999</v>
      </c>
      <c r="I487" t="str">
        <f>_xll.BDP("FRQD0369 Mtge","MTG_ORIG_WAL")</f>
        <v>#N/A N/A</v>
      </c>
    </row>
    <row r="488" spans="1:9" x14ac:dyDescent="0.25">
      <c r="A488" t="str">
        <f>_xll.BDP("FRQD6327 Mtge","ID_CUSIP")</f>
        <v>3133B4A47</v>
      </c>
      <c r="B488" t="str">
        <f>_xll.BDP("FRQD6327 Mtge","SECURITY_NAME")</f>
        <v>FR QD6327</v>
      </c>
      <c r="C488" t="str">
        <f>_xll.BDP("FRQD6327 Mtge","GENERIC_TICKER_VINTAGE")</f>
        <v>FNCL 3 2021</v>
      </c>
      <c r="D488" t="str">
        <f>_xll.BDP("FRQD6327 Mtge","CRNCY")</f>
        <v>USD</v>
      </c>
      <c r="E488">
        <v>23711405</v>
      </c>
      <c r="F488">
        <f>_xll.BDP("FRQD6327 Mtge","CPN")</f>
        <v>3</v>
      </c>
      <c r="G488">
        <f>_xll.BDP("FRQD6327 Mtge","MTG_FACTOR")</f>
        <v>0.85077035000000001</v>
      </c>
      <c r="H488">
        <f>_xll.BDP("FRQD6327 Mtge","MTG_WAL")</f>
        <v>8.3036999999999992</v>
      </c>
      <c r="I488" t="str">
        <f>_xll.BDP("FRQD6327 Mtge","MTG_ORIG_WAL")</f>
        <v>#N/A N/A</v>
      </c>
    </row>
    <row r="489" spans="1:9" x14ac:dyDescent="0.25">
      <c r="A489" t="str">
        <f>_xll.BDP("FRQX8257 Mtge","ID_CUSIP")</f>
        <v>31426FE78</v>
      </c>
      <c r="B489" t="str">
        <f>_xll.BDP("FRQX8257 Mtge","SECURITY_NAME")</f>
        <v>FR QX8257</v>
      </c>
      <c r="C489" t="str">
        <f>_xll.BDP("FRQX8257 Mtge","GENERIC_TICKER_VINTAGE")</f>
        <v>FNCL 6 2025</v>
      </c>
      <c r="D489" t="str">
        <f>_xll.BDP("FRQX8257 Mtge","CRNCY")</f>
        <v>USD</v>
      </c>
      <c r="E489">
        <v>13641808</v>
      </c>
      <c r="F489">
        <f>_xll.BDP("FRQX8257 Mtge","CPN")</f>
        <v>6</v>
      </c>
      <c r="G489">
        <f>_xll.BDP("FRQX8257 Mtge","MTG_FACTOR")</f>
        <v>0.75292172999999996</v>
      </c>
      <c r="H489">
        <f>_xll.BDP("FRQX8257 Mtge","MTG_WAL")</f>
        <v>3.1589999999999998</v>
      </c>
      <c r="I489" t="str">
        <f>_xll.BDP("FRQX8257 Mtge","MTG_ORIG_WAL")</f>
        <v>#N/A N/A</v>
      </c>
    </row>
    <row r="490" spans="1:9" x14ac:dyDescent="0.25">
      <c r="A490" t="str">
        <f>_xll.BDP("FRQY1233 Mtge","ID_CUSIP")</f>
        <v>31426KLP9</v>
      </c>
      <c r="B490" t="str">
        <f>_xll.BDP("FRQY1233 Mtge","SECURITY_NAME")</f>
        <v>FR QY1233</v>
      </c>
      <c r="C490" t="str">
        <f>_xll.BDP("FRQY1233 Mtge","GENERIC_TICKER_VINTAGE")</f>
        <v>FNCL 6 2025</v>
      </c>
      <c r="D490" t="str">
        <f>_xll.BDP("FRQY1233 Mtge","CRNCY")</f>
        <v>USD</v>
      </c>
      <c r="E490">
        <v>12423401</v>
      </c>
      <c r="F490">
        <f>_xll.BDP("FRQY1233 Mtge","CPN")</f>
        <v>6</v>
      </c>
      <c r="G490">
        <f>_xll.BDP("FRQY1233 Mtge","MTG_FACTOR")</f>
        <v>0.75304928999999998</v>
      </c>
      <c r="H490">
        <f>_xll.BDP("FRQY1233 Mtge","MTG_WAL")</f>
        <v>3.2431999999999999</v>
      </c>
      <c r="I490" t="str">
        <f>_xll.BDP("FRQY1233 Mtge","MTG_ORIG_WAL")</f>
        <v>#N/A N/A</v>
      </c>
    </row>
    <row r="491" spans="1:9" x14ac:dyDescent="0.25">
      <c r="A491" t="str">
        <f>_xll.BDP("FRQY2247 Mtge","ID_CUSIP")</f>
        <v>31426LP99</v>
      </c>
      <c r="B491" t="str">
        <f>_xll.BDP("FRQY2247 Mtge","SECURITY_NAME")</f>
        <v>FR QY2247</v>
      </c>
      <c r="C491" t="str">
        <f>_xll.BDP("FRQY2247 Mtge","GENERIC_TICKER_VINTAGE")</f>
        <v>FNCL 6 2025</v>
      </c>
      <c r="D491" t="str">
        <f>_xll.BDP("FRQY2247 Mtge","CRNCY")</f>
        <v>USD</v>
      </c>
      <c r="E491">
        <v>3707360</v>
      </c>
      <c r="F491">
        <f>_xll.BDP("FRQY2247 Mtge","CPN")</f>
        <v>6</v>
      </c>
      <c r="G491">
        <f>_xll.BDP("FRQY2247 Mtge","MTG_FACTOR")</f>
        <v>0.97762749999999998</v>
      </c>
      <c r="H491">
        <f>_xll.BDP("FRQY2247 Mtge","MTG_WAL")</f>
        <v>3.2376999999999998</v>
      </c>
      <c r="I491" t="str">
        <f>_xll.BDP("FRQY2247 Mtge","MTG_ORIG_WAL")</f>
        <v>#N/A N/A</v>
      </c>
    </row>
    <row r="492" spans="1:9" x14ac:dyDescent="0.25">
      <c r="A492" t="str">
        <f>_xll.BDP("FRQY2523 Mtge","ID_CUSIP")</f>
        <v>31426LYV0</v>
      </c>
      <c r="B492" t="str">
        <f>_xll.BDP("FRQY2523 Mtge","SECURITY_NAME")</f>
        <v>FR QY2523</v>
      </c>
      <c r="C492" t="str">
        <f>_xll.BDP("FRQY2523 Mtge","GENERIC_TICKER_VINTAGE")</f>
        <v>FNCL 6 2025</v>
      </c>
      <c r="D492" t="str">
        <f>_xll.BDP("FRQY2523 Mtge","CRNCY")</f>
        <v>USD</v>
      </c>
      <c r="E492">
        <v>5930477</v>
      </c>
      <c r="F492">
        <f>_xll.BDP("FRQY2523 Mtge","CPN")</f>
        <v>6</v>
      </c>
      <c r="G492">
        <f>_xll.BDP("FRQY2523 Mtge","MTG_FACTOR")</f>
        <v>0.98966582000000003</v>
      </c>
      <c r="H492">
        <f>_xll.BDP("FRQY2523 Mtge","MTG_WAL")</f>
        <v>3.2031999999999998</v>
      </c>
      <c r="I492" t="str">
        <f>_xll.BDP("FRQY2523 Mtge","MTG_ORIG_WAL")</f>
        <v>#N/A N/A</v>
      </c>
    </row>
    <row r="493" spans="1:9" x14ac:dyDescent="0.25">
      <c r="A493" t="str">
        <f>_xll.BDP("FRQY4437 Mtge","ID_CUSIP")</f>
        <v>31426N4X5</v>
      </c>
      <c r="B493" t="str">
        <f>_xll.BDP("FRQY4437 Mtge","SECURITY_NAME")</f>
        <v>FR QY4437</v>
      </c>
      <c r="C493" t="str">
        <f>_xll.BDP("FRQY4437 Mtge","GENERIC_TICKER_VINTAGE")</f>
        <v>FNCL 6 2025</v>
      </c>
      <c r="D493" t="str">
        <f>_xll.BDP("FRQY4437 Mtge","CRNCY")</f>
        <v>USD</v>
      </c>
      <c r="E493">
        <v>16676799</v>
      </c>
      <c r="F493">
        <f>_xll.BDP("FRQY4437 Mtge","CPN")</f>
        <v>6</v>
      </c>
      <c r="G493">
        <f>_xll.BDP("FRQY4437 Mtge","MTG_FACTOR")</f>
        <v>0.93132678999999996</v>
      </c>
      <c r="H493">
        <f>_xll.BDP("FRQY4437 Mtge","MTG_WAL")</f>
        <v>3.2942999999999998</v>
      </c>
      <c r="I493" t="str">
        <f>_xll.BDP("FRQY4437 Mtge","MTG_ORIG_WAL")</f>
        <v>#N/A N/A</v>
      </c>
    </row>
    <row r="494" spans="1:9" x14ac:dyDescent="0.25">
      <c r="A494" t="str">
        <f>_xll.BDP("FRQY4555 Mtge","ID_CUSIP")</f>
        <v>31426PBZ7</v>
      </c>
      <c r="B494" t="str">
        <f>_xll.BDP("FRQY4555 Mtge","SECURITY_NAME")</f>
        <v>FR QY4555</v>
      </c>
      <c r="C494" t="str">
        <f>_xll.BDP("FRQY4555 Mtge","GENERIC_TICKER_VINTAGE")</f>
        <v>FNCL 6 2025</v>
      </c>
      <c r="D494" t="str">
        <f>_xll.BDP("FRQY4555 Mtge","CRNCY")</f>
        <v>USD</v>
      </c>
      <c r="E494">
        <v>1810077</v>
      </c>
      <c r="F494">
        <f>_xll.BDP("FRQY4555 Mtge","CPN")</f>
        <v>6</v>
      </c>
      <c r="G494">
        <f>_xll.BDP("FRQY4555 Mtge","MTG_FACTOR")</f>
        <v>0.99145302999999996</v>
      </c>
      <c r="H494">
        <f>_xll.BDP("FRQY4555 Mtge","MTG_WAL")</f>
        <v>3.2957999999999998</v>
      </c>
      <c r="I494" t="str">
        <f>_xll.BDP("FRQY4555 Mtge","MTG_ORIG_WAL")</f>
        <v>#N/A N/A</v>
      </c>
    </row>
    <row r="495" spans="1:9" x14ac:dyDescent="0.25">
      <c r="A495" t="str">
        <f>_xll.BDP("FRQY5947 Mtge","ID_CUSIP")</f>
        <v>31426QTD5</v>
      </c>
      <c r="B495" t="str">
        <f>_xll.BDP("FRQY5947 Mtge","SECURITY_NAME")</f>
        <v>FR QY5947</v>
      </c>
      <c r="C495" t="str">
        <f>_xll.BDP("FRQY5947 Mtge","GENERIC_TICKER_VINTAGE")</f>
        <v>FNCL 6 2025</v>
      </c>
      <c r="D495" t="str">
        <f>_xll.BDP("FRQY5947 Mtge","CRNCY")</f>
        <v>USD</v>
      </c>
      <c r="E495">
        <v>1378000</v>
      </c>
      <c r="F495">
        <f>_xll.BDP("FRQY5947 Mtge","CPN")</f>
        <v>6</v>
      </c>
      <c r="G495">
        <f>_xll.BDP("FRQY5947 Mtge","MTG_FACTOR")</f>
        <v>0.91979641000000001</v>
      </c>
      <c r="H495">
        <f>_xll.BDP("FRQY5947 Mtge","MTG_WAL")</f>
        <v>3.3462000000000001</v>
      </c>
      <c r="I495" t="str">
        <f>_xll.BDP("FRQY5947 Mtge","MTG_ORIG_WAL")</f>
        <v>#N/A N/A</v>
      </c>
    </row>
    <row r="496" spans="1:9" x14ac:dyDescent="0.25">
      <c r="A496" t="str">
        <f>_xll.BDP("FRQY6521 Mtge","ID_CUSIP")</f>
        <v>31426RG70</v>
      </c>
      <c r="B496" t="str">
        <f>_xll.BDP("FRQY6521 Mtge","SECURITY_NAME")</f>
        <v>FR QY6521</v>
      </c>
      <c r="C496" t="str">
        <f>_xll.BDP("FRQY6521 Mtge","GENERIC_TICKER_VINTAGE")</f>
        <v>FNCL 6 2025</v>
      </c>
      <c r="D496" t="str">
        <f>_xll.BDP("FRQY6521 Mtge","CRNCY")</f>
        <v>USD</v>
      </c>
      <c r="E496">
        <v>4969350</v>
      </c>
      <c r="F496">
        <f>_xll.BDP("FRQY6521 Mtge","CPN")</f>
        <v>6</v>
      </c>
      <c r="G496">
        <f>_xll.BDP("FRQY6521 Mtge","MTG_FACTOR")</f>
        <v>0.77136461000000001</v>
      </c>
      <c r="H496">
        <f>_xll.BDP("FRQY6521 Mtge","MTG_WAL")</f>
        <v>3.3429000000000002</v>
      </c>
      <c r="I496" t="str">
        <f>_xll.BDP("FRQY6521 Mtge","MTG_ORIG_WAL")</f>
        <v>#N/A N/A</v>
      </c>
    </row>
    <row r="497" spans="1:9" x14ac:dyDescent="0.25">
      <c r="A497" t="str">
        <f>_xll.BDP("FRQY7037 Mtge","ID_CUSIP")</f>
        <v>31426RZB0</v>
      </c>
      <c r="B497" t="str">
        <f>_xll.BDP("FRQY7037 Mtge","SECURITY_NAME")</f>
        <v>FR QY7037</v>
      </c>
      <c r="C497" t="str">
        <f>_xll.BDP("FRQY7037 Mtge","GENERIC_TICKER_VINTAGE")</f>
        <v>FNCL 6 2025</v>
      </c>
      <c r="D497" t="str">
        <f>_xll.BDP("FRQY7037 Mtge","CRNCY")</f>
        <v>USD</v>
      </c>
      <c r="E497">
        <v>2351990</v>
      </c>
      <c r="F497">
        <f>_xll.BDP("FRQY7037 Mtge","CPN")</f>
        <v>6</v>
      </c>
      <c r="G497">
        <f>_xll.BDP("FRQY7037 Mtge","MTG_FACTOR")</f>
        <v>0.79013528</v>
      </c>
      <c r="H497">
        <f>_xll.BDP("FRQY7037 Mtge","MTG_WAL")</f>
        <v>3.3369</v>
      </c>
      <c r="I497" t="str">
        <f>_xll.BDP("FRQY7037 Mtge","MTG_ORIG_WAL")</f>
        <v>#N/A N/A</v>
      </c>
    </row>
    <row r="498" spans="1:9" x14ac:dyDescent="0.25">
      <c r="A498" t="str">
        <f>_xll.BDP("FRRA0191 Mtge","ID_CUSIP")</f>
        <v>3133KFF88</v>
      </c>
      <c r="B498" t="str">
        <f>_xll.BDP("FRRA0191 Mtge","SECURITY_NAME")</f>
        <v>FR RA0191</v>
      </c>
      <c r="C498" t="str">
        <f>_xll.BDP("FRRA0191 Mtge","GENERIC_TICKER_VINTAGE")</f>
        <v>FNCL 3 2021</v>
      </c>
      <c r="D498" t="str">
        <f>_xll.BDP("FRRA0191 Mtge","CRNCY")</f>
        <v>USD</v>
      </c>
      <c r="E498">
        <v>2022635036</v>
      </c>
      <c r="F498">
        <f>_xll.BDP("FRRA0191 Mtge","CPN")</f>
        <v>3</v>
      </c>
      <c r="G498">
        <f>_xll.BDP("FRRA0191 Mtge","MTG_FACTOR")</f>
        <v>0.71787255999999999</v>
      </c>
      <c r="H498">
        <f>_xll.BDP("FRRA0191 Mtge","MTG_WAL")</f>
        <v>8.3957999999999995</v>
      </c>
      <c r="I498" t="str">
        <f>_xll.BDP("FRRA0191 Mtge","MTG_ORIG_WAL")</f>
        <v>#N/A N/A</v>
      </c>
    </row>
    <row r="499" spans="1:9" x14ac:dyDescent="0.25">
      <c r="A499" t="str">
        <f>_xll.BDP("FRRJ4029 Mtge","ID_CUSIP")</f>
        <v>3142GUPP2</v>
      </c>
      <c r="B499" t="str">
        <f>_xll.BDP("FRRJ4029 Mtge","SECURITY_NAME")</f>
        <v>FR RJ4029</v>
      </c>
      <c r="C499" t="str">
        <f>_xll.BDP("FRRJ4029 Mtge","GENERIC_TICKER_VINTAGE")</f>
        <v>FNCL 6 2025</v>
      </c>
      <c r="D499" t="str">
        <f>_xll.BDP("FRRJ4029 Mtge","CRNCY")</f>
        <v>USD</v>
      </c>
      <c r="E499">
        <v>105490803</v>
      </c>
      <c r="F499">
        <f>_xll.BDP("FRRJ4029 Mtge","CPN")</f>
        <v>6</v>
      </c>
      <c r="G499">
        <f>_xll.BDP("FRRJ4029 Mtge","MTG_FACTOR")</f>
        <v>0.90984885999999998</v>
      </c>
      <c r="H499">
        <f>_xll.BDP("FRRJ4029 Mtge","MTG_WAL")</f>
        <v>3.242</v>
      </c>
      <c r="I499" t="str">
        <f>_xll.BDP("FRRJ4029 Mtge","MTG_ORIG_WAL")</f>
        <v>#N/A N/A</v>
      </c>
    </row>
    <row r="500" spans="1:9" x14ac:dyDescent="0.25">
      <c r="A500" t="str">
        <f>_xll.BDP("FRRJ4130 Mtge","ID_CUSIP")</f>
        <v>3142GUSU8</v>
      </c>
      <c r="B500" t="str">
        <f>_xll.BDP("FRRJ4130 Mtge","SECURITY_NAME")</f>
        <v>FR RJ4130</v>
      </c>
      <c r="C500" t="str">
        <f>_xll.BDP("FRRJ4130 Mtge","GENERIC_TICKER_VINTAGE")</f>
        <v>FNCL 6 2025</v>
      </c>
      <c r="D500" t="str">
        <f>_xll.BDP("FRRJ4130 Mtge","CRNCY")</f>
        <v>USD</v>
      </c>
      <c r="E500">
        <v>250000008</v>
      </c>
      <c r="F500">
        <f>_xll.BDP("FRRJ4130 Mtge","CPN")</f>
        <v>6</v>
      </c>
      <c r="G500">
        <f>_xll.BDP("FRRJ4130 Mtge","MTG_FACTOR")</f>
        <v>0.88241780000000003</v>
      </c>
      <c r="H500">
        <f>_xll.BDP("FRRJ4130 Mtge","MTG_WAL")</f>
        <v>3.2440000000000002</v>
      </c>
      <c r="I500" t="str">
        <f>_xll.BDP("FRRJ4130 Mtge","MTG_ORIG_WAL")</f>
        <v>#N/A N/A</v>
      </c>
    </row>
    <row r="501" spans="1:9" x14ac:dyDescent="0.25">
      <c r="A501" t="str">
        <f>_xll.BDP("FRRJ4165 Mtge","ID_CUSIP")</f>
        <v>3142GUTX1</v>
      </c>
      <c r="B501" t="str">
        <f>_xll.BDP("FRRJ4165 Mtge","SECURITY_NAME")</f>
        <v>FR RJ4165</v>
      </c>
      <c r="C501" t="str">
        <f>_xll.BDP("FRRJ4165 Mtge","GENERIC_TICKER_VINTAGE")</f>
        <v>FNCL 6 2025</v>
      </c>
      <c r="D501" t="str">
        <f>_xll.BDP("FRRJ4165 Mtge","CRNCY")</f>
        <v>USD</v>
      </c>
      <c r="E501">
        <v>71731757</v>
      </c>
      <c r="F501">
        <f>_xll.BDP("FRRJ4165 Mtge","CPN")</f>
        <v>6</v>
      </c>
      <c r="G501">
        <f>_xll.BDP("FRRJ4165 Mtge","MTG_FACTOR")</f>
        <v>0.84722459000000006</v>
      </c>
      <c r="H501">
        <f>_xll.BDP("FRRJ4165 Mtge","MTG_WAL")</f>
        <v>3.2461000000000002</v>
      </c>
      <c r="I501" t="str">
        <f>_xll.BDP("FRRJ4165 Mtge","MTG_ORIG_WAL")</f>
        <v>#N/A N/A</v>
      </c>
    </row>
    <row r="502" spans="1:9" x14ac:dyDescent="0.25">
      <c r="A502" t="str">
        <f>_xll.BDP("FRSD0782 Mtge","ID_CUSIP")</f>
        <v>3132DM2P9</v>
      </c>
      <c r="B502" t="str">
        <f>_xll.BDP("FRSD0782 Mtge","SECURITY_NAME")</f>
        <v>FR SD0782</v>
      </c>
      <c r="C502" t="str">
        <f>_xll.BDP("FRSD0782 Mtge","GENERIC_TICKER_VINTAGE")</f>
        <v>FNCL 3 2021</v>
      </c>
      <c r="D502" t="str">
        <f>_xll.BDP("FRSD0782 Mtge","CRNCY")</f>
        <v>USD</v>
      </c>
      <c r="E502">
        <v>24988415</v>
      </c>
      <c r="F502">
        <f>_xll.BDP("FRSD0782 Mtge","CPN")</f>
        <v>3</v>
      </c>
      <c r="G502">
        <f>_xll.BDP("FRSD0782 Mtge","MTG_FACTOR")</f>
        <v>0.76287950999999998</v>
      </c>
      <c r="H502">
        <f>_xll.BDP("FRSD0782 Mtge","MTG_WAL")</f>
        <v>8.3367000000000004</v>
      </c>
      <c r="I502" t="str">
        <f>_xll.BDP("FRSD0782 Mtge","MTG_ORIG_WAL")</f>
        <v>#N/A N/A</v>
      </c>
    </row>
    <row r="503" spans="1:9" x14ac:dyDescent="0.25">
      <c r="A503" t="str">
        <f>_xll.BDP("FRSL0619 Mtge","ID_CUSIP")</f>
        <v>31427MVM0</v>
      </c>
      <c r="B503" t="str">
        <f>_xll.BDP("FRSL0619 Mtge","SECURITY_NAME")</f>
        <v>FR SL0619</v>
      </c>
      <c r="C503" t="str">
        <f>_xll.BDP("FRSL0619 Mtge","GENERIC_TICKER_VINTAGE")</f>
        <v>FNCL 6 2025</v>
      </c>
      <c r="D503" t="str">
        <f>_xll.BDP("FRSL0619 Mtge","CRNCY")</f>
        <v>USD</v>
      </c>
      <c r="E503">
        <v>125342222</v>
      </c>
      <c r="F503">
        <f>_xll.BDP("FRSL0619 Mtge","CPN")</f>
        <v>6</v>
      </c>
      <c r="G503">
        <f>_xll.BDP("FRSL0619 Mtge","MTG_FACTOR")</f>
        <v>0.93781415000000001</v>
      </c>
      <c r="H503">
        <f>_xll.BDP("FRSL0619 Mtge","MTG_WAL")</f>
        <v>3.1558000000000002</v>
      </c>
      <c r="I503" t="str">
        <f>_xll.BDP("FRSL0619 Mtge","MTG_ORIG_WAL")</f>
        <v>#N/A N/A</v>
      </c>
    </row>
    <row r="504" spans="1:9" x14ac:dyDescent="0.25">
      <c r="A504" t="str">
        <f>_xll.BDP("FRSL1036 Mtge","ID_CUSIP")</f>
        <v>31427NEJ4</v>
      </c>
      <c r="B504" t="str">
        <f>_xll.BDP("FRSL1036 Mtge","SECURITY_NAME")</f>
        <v>FR SL1036</v>
      </c>
      <c r="C504" t="str">
        <f>_xll.BDP("FRSL1036 Mtge","GENERIC_TICKER_VINTAGE")</f>
        <v>FNCL 3 2021</v>
      </c>
      <c r="D504" t="str">
        <f>_xll.BDP("FRSL1036 Mtge","CRNCY")</f>
        <v>USD</v>
      </c>
      <c r="E504">
        <v>15493695</v>
      </c>
      <c r="F504">
        <f>_xll.BDP("FRSL1036 Mtge","CPN")</f>
        <v>3</v>
      </c>
      <c r="G504">
        <f>_xll.BDP("FRSL1036 Mtge","MTG_FACTOR")</f>
        <v>0.93910172000000003</v>
      </c>
      <c r="H504">
        <f>_xll.BDP("FRSL1036 Mtge","MTG_WAL")</f>
        <v>8.3705999999999996</v>
      </c>
      <c r="I504" t="str">
        <f>_xll.BDP("FRSL1036 Mtge","MTG_ORIG_WAL")</f>
        <v>#N/A N/A</v>
      </c>
    </row>
    <row r="505" spans="1:9" x14ac:dyDescent="0.25">
      <c r="A505" t="str">
        <f>_xll.BDP("!!032FG0 Mtge","ID_CUSIP")</f>
        <v>3137H2U77</v>
      </c>
      <c r="B505" t="str">
        <f>_xll.BDP("!!032FG0 Mtge","SECURITY_NAME")</f>
        <v>FHR 5149 ZB</v>
      </c>
      <c r="C505" t="str">
        <f>_xll.BDP("!!032FG0 Mtge","GENERIC_TICKER_VINTAGE")</f>
        <v>FNCL 3 2021</v>
      </c>
      <c r="D505" t="str">
        <f>_xll.BDP("!!032FG0 Mtge","CRNCY")</f>
        <v>USD</v>
      </c>
      <c r="E505">
        <v>15555656</v>
      </c>
      <c r="F505">
        <f>_xll.BDP("!!032FG0 Mtge","CPN")</f>
        <v>3</v>
      </c>
      <c r="G505">
        <f>_xll.BDP("!!032FG0 Mtge","MTG_FACTOR")</f>
        <v>0.48304713999999999</v>
      </c>
      <c r="H505">
        <f>_xll.BDP("!!032FG0 Mtge","MTG_WAL")</f>
        <v>17.513300000000001</v>
      </c>
      <c r="I505">
        <f>_xll.BDP("!!032FG0 Mtge","MTG_ORIG_WAL")</f>
        <v>12.2</v>
      </c>
    </row>
    <row r="506" spans="1:9" x14ac:dyDescent="0.25">
      <c r="A506" t="str">
        <f>_xll.BDP("!!032KW5 Mtge","ID_CUSIP")</f>
        <v>3136BJQP3</v>
      </c>
      <c r="B506" t="str">
        <f>_xll.BDP("!!032KW5 Mtge","SECURITY_NAME")</f>
        <v>FNR 2021-66 HA</v>
      </c>
      <c r="C506" t="str">
        <f>_xll.BDP("!!032KW5 Mtge","GENERIC_TICKER_VINTAGE")</f>
        <v>FNCL 3 2021</v>
      </c>
      <c r="D506" t="str">
        <f>_xll.BDP("!!032KW5 Mtge","CRNCY")</f>
        <v>USD</v>
      </c>
      <c r="E506">
        <v>10149000</v>
      </c>
      <c r="F506">
        <f>_xll.BDP("!!032KW5 Mtge","CPN")</f>
        <v>1.5</v>
      </c>
      <c r="G506">
        <f>_xll.BDP("!!032KW5 Mtge","MTG_FACTOR")</f>
        <v>0.93732678999999997</v>
      </c>
      <c r="H506">
        <f>_xll.BDP("!!032KW5 Mtge","MTG_WAL")</f>
        <v>13.8751</v>
      </c>
      <c r="I506">
        <f>_xll.BDP("!!032KW5 Mtge","MTG_ORIG_WAL")</f>
        <v>2.9</v>
      </c>
    </row>
    <row r="507" spans="1:9" x14ac:dyDescent="0.25">
      <c r="A507" t="str">
        <f>_xll.BDP("!!0348W9 Mtge","ID_CUSIP")</f>
        <v>3137H53R6</v>
      </c>
      <c r="B507" t="str">
        <f>_xll.BDP("!!0348W9 Mtge","SECURITY_NAME")</f>
        <v>FHR 5178 HF</v>
      </c>
      <c r="C507" t="str">
        <f>_xll.BDP("!!0348W9 Mtge","GENERIC_TICKER_VINTAGE")</f>
        <v>FNCL 3 2021</v>
      </c>
      <c r="D507" t="str">
        <f>_xll.BDP("!!0348W9 Mtge","CRNCY")</f>
        <v>USD</v>
      </c>
      <c r="E507">
        <v>1511062</v>
      </c>
      <c r="F507">
        <f>_xll.BDP("!!0348W9 Mtge","CPN")</f>
        <v>4</v>
      </c>
      <c r="G507">
        <f>_xll.BDP("!!0348W9 Mtge","MTG_FACTOR")</f>
        <v>0.98522394000000002</v>
      </c>
      <c r="H507">
        <f>_xll.BDP("!!0348W9 Mtge","MTG_WAL")</f>
        <v>17.992899999999999</v>
      </c>
      <c r="I507">
        <f>_xll.BDP("!!0348W9 Mtge","MTG_ORIG_WAL")</f>
        <v>2.9</v>
      </c>
    </row>
    <row r="508" spans="1:9" x14ac:dyDescent="0.25">
      <c r="A508" t="str">
        <f>_xll.BDP("!!034FT7 Mtge","ID_CUSIP")</f>
        <v>3136BK6M9</v>
      </c>
      <c r="B508" t="str">
        <f>_xll.BDP("!!034FT7 Mtge","SECURITY_NAME")</f>
        <v>FNR 2021-93 Z</v>
      </c>
      <c r="C508" t="str">
        <f>_xll.BDP("!!034FT7 Mtge","GENERIC_TICKER_VINTAGE")</f>
        <v>FNCL 3 2021</v>
      </c>
      <c r="D508" t="str">
        <f>_xll.BDP("!!034FT7 Mtge","CRNCY")</f>
        <v>USD</v>
      </c>
      <c r="E508">
        <v>127018754</v>
      </c>
      <c r="F508">
        <f>_xll.BDP("!!034FT7 Mtge","CPN")</f>
        <v>3</v>
      </c>
      <c r="G508">
        <f>_xll.BDP("!!034FT7 Mtge","MTG_FACTOR")</f>
        <v>0.58991179000000005</v>
      </c>
      <c r="H508">
        <f>_xll.BDP("!!034FT7 Mtge","MTG_WAL")</f>
        <v>17.102399999999999</v>
      </c>
      <c r="I508">
        <f>_xll.BDP("!!034FT7 Mtge","MTG_ORIG_WAL")</f>
        <v>10.199999999999999</v>
      </c>
    </row>
    <row r="509" spans="1:9" x14ac:dyDescent="0.25">
      <c r="A509" t="str">
        <f>_xll.BDP("!!034TGC Mtge","ID_CUSIP")</f>
        <v>3136BLG46</v>
      </c>
      <c r="B509" t="str">
        <f>_xll.BDP("!!034TGC Mtge","SECURITY_NAME")</f>
        <v>FNR 2022-4 JU</v>
      </c>
      <c r="C509" t="str">
        <f>_xll.BDP("!!034TGC Mtge","GENERIC_TICKER_VINTAGE")</f>
        <v>FNCL 3 2021</v>
      </c>
      <c r="D509" t="str">
        <f>_xll.BDP("!!034TGC Mtge","CRNCY")</f>
        <v>USD</v>
      </c>
      <c r="E509">
        <v>6537000</v>
      </c>
      <c r="F509">
        <f>_xll.BDP("!!034TGC Mtge","CPN")</f>
        <v>3</v>
      </c>
      <c r="G509">
        <f>_xll.BDP("!!034TGC Mtge","MTG_FACTOR")</f>
        <v>0.94340877999999995</v>
      </c>
      <c r="H509">
        <f>_xll.BDP("!!034TGC Mtge","MTG_WAL")</f>
        <v>12.075699999999999</v>
      </c>
      <c r="I509">
        <f>_xll.BDP("!!034TGC Mtge","MTG_ORIG_WAL")</f>
        <v>11.4</v>
      </c>
    </row>
    <row r="510" spans="1:9" x14ac:dyDescent="0.25">
      <c r="A510" t="str">
        <f>_xll.BDP("!!034X8W Mtge","ID_CUSIP")</f>
        <v>3137H5UM7</v>
      </c>
      <c r="B510" t="str">
        <f>_xll.BDP("!!034X8W Mtge","SECURITY_NAME")</f>
        <v>FHR 5198 MC</v>
      </c>
      <c r="C510" t="str">
        <f>_xll.BDP("!!034X8W Mtge","GENERIC_TICKER_VINTAGE")</f>
        <v>FNCL 3 2021</v>
      </c>
      <c r="D510" t="str">
        <f>_xll.BDP("!!034X8W Mtge","CRNCY")</f>
        <v>USD</v>
      </c>
      <c r="E510">
        <v>51754500</v>
      </c>
      <c r="F510">
        <f>_xll.BDP("!!034X8W Mtge","CPN")</f>
        <v>2.5</v>
      </c>
      <c r="G510">
        <f>_xll.BDP("!!034X8W Mtge","MTG_FACTOR")</f>
        <v>0.65463629999999995</v>
      </c>
      <c r="H510">
        <f>_xll.BDP("!!034X8W Mtge","MTG_WAL")</f>
        <v>4.1150000000000002</v>
      </c>
      <c r="I510">
        <f>_xll.BDP("!!034X8W Mtge","MTG_ORIG_WAL")</f>
        <v>5.8</v>
      </c>
    </row>
    <row r="511" spans="1:9" x14ac:dyDescent="0.25">
      <c r="A511" t="str">
        <f>_xll.BDP("!!03LTDH Mtge","ID_CUSIP")</f>
        <v>3137HLFB3</v>
      </c>
      <c r="B511" t="str">
        <f>_xll.BDP("!!03LTDH Mtge","SECURITY_NAME")</f>
        <v>FHR 5534 MA</v>
      </c>
      <c r="C511" t="str">
        <f>_xll.BDP("!!03LTDH Mtge","GENERIC_TICKER_VINTAGE")</f>
        <v>FNCL 6 2025</v>
      </c>
      <c r="D511" t="str">
        <f>_xll.BDP("!!03LTDH Mtge","CRNCY")</f>
        <v>USD</v>
      </c>
      <c r="E511">
        <v>16666667</v>
      </c>
      <c r="F511">
        <f>_xll.BDP("!!03LTDH Mtge","CPN")</f>
        <v>7.2172099999999997</v>
      </c>
      <c r="G511">
        <f>_xll.BDP("!!03LTDH Mtge","MTG_FACTOR")</f>
        <v>0.71002679999999996</v>
      </c>
      <c r="H511">
        <f>_xll.BDP("!!03LTDH Mtge","MTG_WAL")</f>
        <v>3.0367000000000002</v>
      </c>
      <c r="I511">
        <f>_xll.BDP("!!03LTDH Mtge","MTG_ORIG_WAL")</f>
        <v>6.8</v>
      </c>
    </row>
    <row r="512" spans="1:9" x14ac:dyDescent="0.25">
      <c r="A512" t="str">
        <f>_xll.BDP("!!03M5LJ Mtge","ID_CUSIP")</f>
        <v>3137HLH47</v>
      </c>
      <c r="B512" t="str">
        <f>_xll.BDP("!!03M5LJ Mtge","SECURITY_NAME")</f>
        <v>FHR 5542 FL</v>
      </c>
      <c r="C512" t="str">
        <f>_xll.BDP("!!03M5LJ Mtge","GENERIC_TICKER_VINTAGE")</f>
        <v>FNCL 6 2025</v>
      </c>
      <c r="D512" t="str">
        <f>_xll.BDP("!!03M5LJ Mtge","CRNCY")</f>
        <v>USD</v>
      </c>
      <c r="E512">
        <v>80843241</v>
      </c>
      <c r="F512">
        <f>_xll.BDP("!!03M5LJ Mtge","CPN")</f>
        <v>4.9172099999999999</v>
      </c>
      <c r="G512">
        <f>_xll.BDP("!!03M5LJ Mtge","MTG_FACTOR")</f>
        <v>0.84546080999999995</v>
      </c>
      <c r="H512">
        <f>_xll.BDP("!!03M5LJ Mtge","MTG_WAL")</f>
        <v>3.0457999999999998</v>
      </c>
      <c r="I512">
        <f>_xll.BDP("!!03M5LJ Mtge","MTG_ORIG_WAL")</f>
        <v>6.5</v>
      </c>
    </row>
    <row r="513" spans="1:9" x14ac:dyDescent="0.25">
      <c r="A513" t="str">
        <f>_xll.BDP("!!03MF2T Mtge","ID_CUSIP")</f>
        <v>3137HLSX1</v>
      </c>
      <c r="B513" t="str">
        <f>_xll.BDP("!!03MF2T Mtge","SECURITY_NAME")</f>
        <v>FHR 5549 FE</v>
      </c>
      <c r="C513" t="str">
        <f>_xll.BDP("!!03MF2T Mtge","GENERIC_TICKER_VINTAGE")</f>
        <v>FNCL 6 2025</v>
      </c>
      <c r="D513" t="str">
        <f>_xll.BDP("!!03MF2T Mtge","CRNCY")</f>
        <v>USD</v>
      </c>
      <c r="E513">
        <v>50000000</v>
      </c>
      <c r="F513">
        <f>_xll.BDP("!!03MF2T Mtge","CPN")</f>
        <v>4.86721</v>
      </c>
      <c r="G513">
        <f>_xll.BDP("!!03MF2T Mtge","MTG_FACTOR")</f>
        <v>0.75737337000000005</v>
      </c>
      <c r="H513">
        <f>_xll.BDP("!!03MF2T Mtge","MTG_WAL")</f>
        <v>3.1212</v>
      </c>
      <c r="I513">
        <f>_xll.BDP("!!03MF2T Mtge","MTG_ORIG_WAL")</f>
        <v>7.1</v>
      </c>
    </row>
    <row r="514" spans="1:9" x14ac:dyDescent="0.25">
      <c r="A514" t="str">
        <f>_xll.BDP("!!03MF7M Mtge","ID_CUSIP")</f>
        <v>3136BWKB1</v>
      </c>
      <c r="B514" t="str">
        <f>_xll.BDP("!!03MF7M Mtge","SECURITY_NAME")</f>
        <v>FNR 2025-47 F</v>
      </c>
      <c r="C514" t="str">
        <f>_xll.BDP("!!03MF7M Mtge","GENERIC_TICKER_VINTAGE")</f>
        <v>FNCL 6 2025</v>
      </c>
      <c r="D514" t="str">
        <f>_xll.BDP("!!03MF7M Mtge","CRNCY")</f>
        <v>USD</v>
      </c>
      <c r="E514">
        <v>300000000</v>
      </c>
      <c r="F514">
        <f>_xll.BDP("!!03MF7M Mtge","CPN")</f>
        <v>4.8372099999999998</v>
      </c>
      <c r="G514">
        <f>_xll.BDP("!!03MF7M Mtge","MTG_FACTOR")</f>
        <v>0.91860644999999996</v>
      </c>
      <c r="H514">
        <f>_xll.BDP("!!03MF7M Mtge","MTG_WAL")</f>
        <v>3.1802000000000001</v>
      </c>
      <c r="I514">
        <f>_xll.BDP("!!03MF7M Mtge","MTG_ORIG_WAL")</f>
        <v>6.4399499999999996</v>
      </c>
    </row>
    <row r="515" spans="1:9" x14ac:dyDescent="0.25">
      <c r="A515" t="str">
        <f>_xll.BDP("!!03MLJQ Mtge","ID_CUSIP")</f>
        <v>3136BWNH5</v>
      </c>
      <c r="B515" t="str">
        <f>_xll.BDP("!!03MLJQ Mtge","SECURITY_NAME")</f>
        <v>FNR 2025-47 FJ</v>
      </c>
      <c r="C515" t="str">
        <f>_xll.BDP("!!03MLJQ Mtge","GENERIC_TICKER_VINTAGE")</f>
        <v>FNCL 6 2025</v>
      </c>
      <c r="D515" t="str">
        <f>_xll.BDP("!!03MLJQ Mtge","CRNCY")</f>
        <v>USD</v>
      </c>
      <c r="E515">
        <v>113581095</v>
      </c>
      <c r="F515">
        <f>_xll.BDP("!!03MLJQ Mtge","CPN")</f>
        <v>4.6972100000000001</v>
      </c>
      <c r="G515">
        <f>_xll.BDP("!!03MLJQ Mtge","MTG_FACTOR")</f>
        <v>0.88757691000000005</v>
      </c>
      <c r="H515">
        <f>_xll.BDP("!!03MLJQ Mtge","MTG_WAL")</f>
        <v>3.2044999999999999</v>
      </c>
      <c r="I515">
        <f>_xll.BDP("!!03MLJQ Mtge","MTG_ORIG_WAL")</f>
        <v>6.53857</v>
      </c>
    </row>
    <row r="516" spans="1:9" x14ac:dyDescent="0.25">
      <c r="A516" t="str">
        <f>_xll.BDP("!!03MLJT Mtge","ID_CUSIP")</f>
        <v>3136BWHX7</v>
      </c>
      <c r="B516" t="str">
        <f>_xll.BDP("!!03MLJT Mtge","SECURITY_NAME")</f>
        <v>FNR 2025-47 FN</v>
      </c>
      <c r="C516" t="str">
        <f>_xll.BDP("!!03MLJT Mtge","GENERIC_TICKER_VINTAGE")</f>
        <v>FNCL 6 2025</v>
      </c>
      <c r="D516" t="str">
        <f>_xll.BDP("!!03MLJT Mtge","CRNCY")</f>
        <v>USD</v>
      </c>
      <c r="E516">
        <v>8500000</v>
      </c>
      <c r="F516">
        <f>_xll.BDP("!!03MLJT Mtge","CPN")</f>
        <v>4.7672100000000004</v>
      </c>
      <c r="G516">
        <f>_xll.BDP("!!03MLJT Mtge","MTG_FACTOR")</f>
        <v>0.90068972999999997</v>
      </c>
      <c r="H516">
        <f>_xll.BDP("!!03MLJT Mtge","MTG_WAL")</f>
        <v>3.1888000000000001</v>
      </c>
      <c r="I516">
        <f>_xll.BDP("!!03MLJT Mtge","MTG_ORIG_WAL")</f>
        <v>6.4696800000000003</v>
      </c>
    </row>
    <row r="517" spans="1:9" x14ac:dyDescent="0.25">
      <c r="A517" t="str">
        <f>_xll.BDP("!!03MLKH Mtge","ID_CUSIP")</f>
        <v>3136BWNG7</v>
      </c>
      <c r="B517" t="str">
        <f>_xll.BDP("!!03MLKH Mtge","SECURITY_NAME")</f>
        <v>FNR 2025-47 J</v>
      </c>
      <c r="C517" t="str">
        <f>_xll.BDP("!!03MLKH Mtge","GENERIC_TICKER_VINTAGE")</f>
        <v>FNCL 6 2025</v>
      </c>
      <c r="D517" t="str">
        <f>_xll.BDP("!!03MLKH Mtge","CRNCY")</f>
        <v>USD</v>
      </c>
      <c r="E517">
        <v>30338857</v>
      </c>
      <c r="F517">
        <f>_xll.BDP("!!03MLKH Mtge","CPN")</f>
        <v>0.01</v>
      </c>
      <c r="G517">
        <f>_xll.BDP("!!03MLKH Mtge","MTG_FACTOR")</f>
        <v>0.88757691000000005</v>
      </c>
      <c r="H517">
        <f>_xll.BDP("!!03MLKH Mtge","MTG_WAL")</f>
        <v>3.2688000000000001</v>
      </c>
      <c r="I517">
        <f>_xll.BDP("!!03MLKH Mtge","MTG_ORIG_WAL")</f>
        <v>6.53857</v>
      </c>
    </row>
    <row r="518" spans="1:9" x14ac:dyDescent="0.25">
      <c r="A518" t="str">
        <f>_xll.BDP("!!03MLKJ Mtge","ID_CUSIP")</f>
        <v>3136BWNJ1</v>
      </c>
      <c r="B518" t="str">
        <f>_xll.BDP("!!03MLKJ Mtge","SECURITY_NAME")</f>
        <v>FNR 2025-47 JF</v>
      </c>
      <c r="C518" t="str">
        <f>_xll.BDP("!!03MLKJ Mtge","GENERIC_TICKER_VINTAGE")</f>
        <v>FNCL 6 2025</v>
      </c>
      <c r="D518" t="str">
        <f>_xll.BDP("!!03MLKJ Mtge","CRNCY")</f>
        <v>USD</v>
      </c>
      <c r="E518">
        <v>7572073</v>
      </c>
      <c r="F518">
        <f>_xll.BDP("!!03MLKJ Mtge","CPN")</f>
        <v>6.61721</v>
      </c>
      <c r="G518">
        <f>_xll.BDP("!!03MLKJ Mtge","MTG_FACTOR")</f>
        <v>0.88757691000000005</v>
      </c>
      <c r="H518">
        <f>_xll.BDP("!!03MLKJ Mtge","MTG_WAL")</f>
        <v>3.2044999999999999</v>
      </c>
      <c r="I518">
        <f>_xll.BDP("!!03MLKJ Mtge","MTG_ORIG_WAL")</f>
        <v>6.53857</v>
      </c>
    </row>
    <row r="519" spans="1:9" x14ac:dyDescent="0.25">
      <c r="A519" t="str">
        <f>_xll.BDP("!!03MLKM Mtge","ID_CUSIP")</f>
        <v>3136BWKP0</v>
      </c>
      <c r="B519" t="str">
        <f>_xll.BDP("!!03MLKM Mtge","SECURITY_NAME")</f>
        <v>FNR 2025-47 MZ</v>
      </c>
      <c r="C519" t="str">
        <f>_xll.BDP("!!03MLKM Mtge","GENERIC_TICKER_VINTAGE")</f>
        <v>FNCL 6 2025</v>
      </c>
      <c r="D519" t="str">
        <f>_xll.BDP("!!03MLKM Mtge","CRNCY")</f>
        <v>USD</v>
      </c>
      <c r="E519">
        <v>4247061</v>
      </c>
      <c r="F519">
        <f>_xll.BDP("!!03MLKM Mtge","CPN")</f>
        <v>5.75</v>
      </c>
      <c r="G519">
        <f>_xll.BDP("!!03MLKM Mtge","MTG_FACTOR")</f>
        <v>1.0489631800000001</v>
      </c>
      <c r="H519">
        <f>_xll.BDP("!!03MLKM Mtge","MTG_WAL")</f>
        <v>9.8436000000000003</v>
      </c>
      <c r="I519">
        <f>_xll.BDP("!!03MLKM Mtge","MTG_ORIG_WAL")</f>
        <v>17.726479999999999</v>
      </c>
    </row>
    <row r="520" spans="1:9" x14ac:dyDescent="0.25">
      <c r="A520" t="str">
        <f>_xll.BDP("!!03MMMM Mtge","ID_CUSIP")</f>
        <v>3137HLQ62</v>
      </c>
      <c r="B520" t="str">
        <f>_xll.BDP("!!03MMMM Mtge","SECURITY_NAME")</f>
        <v>FHR 5545 DI</v>
      </c>
      <c r="C520" t="str">
        <f>_xll.BDP("!!03MMMM Mtge","GENERIC_TICKER_VINTAGE")</f>
        <v>FNCL 6 2025</v>
      </c>
      <c r="D520" t="str">
        <f>_xll.BDP("!!03MMMM Mtge","CRNCY")</f>
        <v>USD</v>
      </c>
      <c r="E520">
        <v>28333666</v>
      </c>
      <c r="F520">
        <f>_xll.BDP("!!03MMMM Mtge","CPN")</f>
        <v>6</v>
      </c>
      <c r="G520">
        <f>_xll.BDP("!!03MMMM Mtge","MTG_FACTOR")</f>
        <v>0.69056574000000004</v>
      </c>
      <c r="H520">
        <f>_xll.BDP("!!03MMMM Mtge","MTG_WAL")</f>
        <v>1.7331000000000001</v>
      </c>
      <c r="I520">
        <f>_xll.BDP("!!03MMMM Mtge","MTG_ORIG_WAL")</f>
        <v>3.8</v>
      </c>
    </row>
    <row r="521" spans="1:9" x14ac:dyDescent="0.25">
      <c r="A521" t="str">
        <f>_xll.BDP("!!03MN05 Mtge","ID_CUSIP")</f>
        <v>3137HLK43</v>
      </c>
      <c r="B521" t="str">
        <f>_xll.BDP("!!03MN05 Mtge","SECURITY_NAME")</f>
        <v>FHR 5548 SA</v>
      </c>
      <c r="C521" t="str">
        <f>_xll.BDP("!!03MN05 Mtge","GENERIC_TICKER_VINTAGE")</f>
        <v>FNCL 6 2025</v>
      </c>
      <c r="D521" t="str">
        <f>_xll.BDP("!!03MN05 Mtge","CRNCY")</f>
        <v>USD</v>
      </c>
      <c r="E521">
        <v>100000000</v>
      </c>
      <c r="F521">
        <f>_xll.BDP("!!03MN05 Mtge","CPN")</f>
        <v>1.38279</v>
      </c>
      <c r="G521">
        <f>_xll.BDP("!!03MN05 Mtge","MTG_FACTOR")</f>
        <v>0.85866036000000001</v>
      </c>
      <c r="H521">
        <f>_xll.BDP("!!03MN05 Mtge","MTG_WAL")</f>
        <v>3.1528999999999998</v>
      </c>
      <c r="I521">
        <f>_xll.BDP("!!03MN05 Mtge","MTG_ORIG_WAL")</f>
        <v>6.5</v>
      </c>
    </row>
    <row r="522" spans="1:9" x14ac:dyDescent="0.25">
      <c r="A522" t="str">
        <f>_xll.BDP("!!03MTQF Mtge","ID_CUSIP")</f>
        <v>3137HM6E5</v>
      </c>
      <c r="B522" t="str">
        <f>_xll.BDP("!!03MTQF Mtge","SECURITY_NAME")</f>
        <v>FHR 5561 GX</v>
      </c>
      <c r="C522" t="str">
        <f>_xll.BDP("!!03MTQF Mtge","GENERIC_TICKER_VINTAGE")</f>
        <v>FNCL 6 2025</v>
      </c>
      <c r="D522" t="str">
        <f>_xll.BDP("!!03MTQF Mtge","CRNCY")</f>
        <v>USD</v>
      </c>
      <c r="E522">
        <v>100000000</v>
      </c>
      <c r="F522">
        <f>_xll.BDP("!!03MTQF Mtge","CPN")</f>
        <v>6</v>
      </c>
      <c r="G522">
        <f>_xll.BDP("!!03MTQF Mtge","MTG_FACTOR")</f>
        <v>0.79721315999999998</v>
      </c>
      <c r="H522">
        <f>_xll.BDP("!!03MTQF Mtge","MTG_WAL")</f>
        <v>3.2677999999999998</v>
      </c>
      <c r="I522">
        <f>_xll.BDP("!!03MTQF Mtge","MTG_ORIG_WAL")</f>
        <v>7.1</v>
      </c>
    </row>
    <row r="523" spans="1:9" x14ac:dyDescent="0.25">
      <c r="A523" t="str">
        <f>_xll.BDP("!!03MTQJ Mtge","ID_CUSIP")</f>
        <v>3137HM5W6</v>
      </c>
      <c r="B523" t="str">
        <f>_xll.BDP("!!03MTQJ Mtge","SECURITY_NAME")</f>
        <v>FHR 5561 GC</v>
      </c>
      <c r="C523" t="str">
        <f>_xll.BDP("!!03MTQJ Mtge","GENERIC_TICKER_VINTAGE")</f>
        <v>FNCL 6 2025</v>
      </c>
      <c r="D523" t="str">
        <f>_xll.BDP("!!03MTQJ Mtge","CRNCY")</f>
        <v>USD</v>
      </c>
      <c r="E523">
        <v>100000000</v>
      </c>
      <c r="F523">
        <f>_xll.BDP("!!03MTQJ Mtge","CPN")</f>
        <v>5</v>
      </c>
      <c r="G523">
        <f>_xll.BDP("!!03MTQJ Mtge","MTG_FACTOR")</f>
        <v>0.79721315999999998</v>
      </c>
      <c r="H523">
        <f>_xll.BDP("!!03MTQJ Mtge","MTG_WAL")</f>
        <v>3.1694</v>
      </c>
      <c r="I523">
        <f>_xll.BDP("!!03MTQJ Mtge","MTG_ORIG_WAL")</f>
        <v>5.8</v>
      </c>
    </row>
    <row r="524" spans="1:9" x14ac:dyDescent="0.25">
      <c r="A524" t="str">
        <f>_xll.BDP("!!03MYPN Mtge","ID_CUSIP")</f>
        <v>3137HLZU9</v>
      </c>
      <c r="B524" t="str">
        <f>_xll.BDP("!!03MYPN Mtge","SECURITY_NAME")</f>
        <v>FHR 5555 DT</v>
      </c>
      <c r="C524" t="str">
        <f>_xll.BDP("!!03MYPN Mtge","GENERIC_TICKER_VINTAGE")</f>
        <v>FNCL 6 2025</v>
      </c>
      <c r="D524" t="str">
        <f>_xll.BDP("!!03MYPN Mtge","CRNCY")</f>
        <v>USD</v>
      </c>
      <c r="E524">
        <v>62500000</v>
      </c>
      <c r="F524">
        <f>_xll.BDP("!!03MYPN Mtge","CPN")</f>
        <v>5</v>
      </c>
      <c r="G524">
        <f>_xll.BDP("!!03MYPN Mtge","MTG_FACTOR")</f>
        <v>0.92777695999999998</v>
      </c>
      <c r="H524">
        <f>_xll.BDP("!!03MYPN Mtge","MTG_WAL")</f>
        <v>3.2801</v>
      </c>
      <c r="I524">
        <f>_xll.BDP("!!03MYPN Mtge","MTG_ORIG_WAL")</f>
        <v>6.7</v>
      </c>
    </row>
    <row r="525" spans="1:9" x14ac:dyDescent="0.25">
      <c r="A525" t="str">
        <f>_xll.BDP("!!03N618 Mtge","ID_CUSIP")</f>
        <v>3137HMK58</v>
      </c>
      <c r="B525" t="str">
        <f>_xll.BDP("!!03N618 Mtge","SECURITY_NAME")</f>
        <v>FHR 5563 CF</v>
      </c>
      <c r="C525" t="str">
        <f>_xll.BDP("!!03N618 Mtge","GENERIC_TICKER_VINTAGE")</f>
        <v>FNCL 6 2025</v>
      </c>
      <c r="D525" t="str">
        <f>_xll.BDP("!!03N618 Mtge","CRNCY")</f>
        <v>USD</v>
      </c>
      <c r="E525">
        <v>75000000</v>
      </c>
      <c r="F525">
        <f>_xll.BDP("!!03N618 Mtge","CPN")</f>
        <v>4.6672099999999999</v>
      </c>
      <c r="G525">
        <f>_xll.BDP("!!03N618 Mtge","MTG_FACTOR")</f>
        <v>0.80760430000000005</v>
      </c>
      <c r="H525">
        <f>_xll.BDP("!!03N618 Mtge","MTG_WAL")</f>
        <v>3.1322999999999999</v>
      </c>
      <c r="I525">
        <f>_xll.BDP("!!03N618 Mtge","MTG_ORIG_WAL")</f>
        <v>5.9</v>
      </c>
    </row>
    <row r="526" spans="1:9" x14ac:dyDescent="0.25">
      <c r="A526" t="str">
        <f>_xll.BDP("!!03NR42 Mtge","ID_CUSIP")</f>
        <v>3137HMHY9</v>
      </c>
      <c r="B526" t="str">
        <f>_xll.BDP("!!03NR42 Mtge","SECURITY_NAME")</f>
        <v>FHR 5566 FB</v>
      </c>
      <c r="C526" t="str">
        <f>_xll.BDP("!!03NR42 Mtge","GENERIC_TICKER_VINTAGE")</f>
        <v>FNCL 6 2025</v>
      </c>
      <c r="D526" t="str">
        <f>_xll.BDP("!!03NR42 Mtge","CRNCY")</f>
        <v>USD</v>
      </c>
      <c r="E526">
        <v>32100000</v>
      </c>
      <c r="F526">
        <f>_xll.BDP("!!03NR42 Mtge","CPN")</f>
        <v>4.61721</v>
      </c>
      <c r="G526">
        <f>_xll.BDP("!!03NR42 Mtge","MTG_FACTOR")</f>
        <v>0.80760430000000005</v>
      </c>
      <c r="H526">
        <f>_xll.BDP("!!03NR42 Mtge","MTG_WAL")</f>
        <v>3.1322999999999999</v>
      </c>
      <c r="I526">
        <f>_xll.BDP("!!03NR42 Mtge","MTG_ORIG_WAL")</f>
        <v>6.5</v>
      </c>
    </row>
    <row r="527" spans="1:9" x14ac:dyDescent="0.25">
      <c r="A527" t="str">
        <f>_xll.BDP("!!03NR45 Mtge","ID_CUSIP")</f>
        <v>3137HMHJ2</v>
      </c>
      <c r="B527" t="str">
        <f>_xll.BDP("!!03NR45 Mtge","SECURITY_NAME")</f>
        <v>FHR 5566 CS</v>
      </c>
      <c r="C527" t="str">
        <f>_xll.BDP("!!03NR45 Mtge","GENERIC_TICKER_VINTAGE")</f>
        <v>FNCL 6 2025</v>
      </c>
      <c r="D527" t="str">
        <f>_xll.BDP("!!03NR45 Mtge","CRNCY")</f>
        <v>USD</v>
      </c>
      <c r="E527">
        <v>200000000</v>
      </c>
      <c r="F527">
        <f>_xll.BDP("!!03NR45 Mtge","CPN")</f>
        <v>1.18279</v>
      </c>
      <c r="G527">
        <f>_xll.BDP("!!03NR45 Mtge","MTG_FACTOR")</f>
        <v>0.80760430000000005</v>
      </c>
      <c r="H527">
        <f>_xll.BDP("!!03NR45 Mtge","MTG_WAL")</f>
        <v>3.1322999999999999</v>
      </c>
      <c r="I527">
        <f>_xll.BDP("!!03NR45 Mtge","MTG_ORIG_WAL")</f>
        <v>6.5</v>
      </c>
    </row>
    <row r="528" spans="1:9" x14ac:dyDescent="0.25">
      <c r="A528" t="str">
        <f>_xll.BDP("!!03NR47 Mtge","ID_CUSIP")</f>
        <v>3137HMJ43</v>
      </c>
      <c r="B528" t="str">
        <f>_xll.BDP("!!03NR47 Mtge","SECURITY_NAME")</f>
        <v>FHR 5566 ST</v>
      </c>
      <c r="C528" t="str">
        <f>_xll.BDP("!!03NR47 Mtge","GENERIC_TICKER_VINTAGE")</f>
        <v>FNCL 6 2025</v>
      </c>
      <c r="D528" t="str">
        <f>_xll.BDP("!!03NR47 Mtge","CRNCY")</f>
        <v>USD</v>
      </c>
      <c r="E528">
        <v>40000000</v>
      </c>
      <c r="F528">
        <f>_xll.BDP("!!03NR47 Mtge","CPN")</f>
        <v>6.4</v>
      </c>
      <c r="G528">
        <f>_xll.BDP("!!03NR47 Mtge","MTG_FACTOR")</f>
        <v>0.80760430000000005</v>
      </c>
      <c r="H528">
        <f>_xll.BDP("!!03NR47 Mtge","MTG_WAL")</f>
        <v>3.1322999999999999</v>
      </c>
      <c r="I528">
        <f>_xll.BDP("!!03NR47 Mtge","MTG_ORIG_WAL")</f>
        <v>6.5</v>
      </c>
    </row>
    <row r="529" spans="1:9" x14ac:dyDescent="0.25">
      <c r="A529" t="str">
        <f>_xll.BDP("!!03NS5X Mtge","ID_CUSIP")</f>
        <v>3137HMKZ2</v>
      </c>
      <c r="B529" t="str">
        <f>_xll.BDP("!!03NS5X Mtge","SECURITY_NAME")</f>
        <v>FHR 5563 MB</v>
      </c>
      <c r="C529" t="str">
        <f>_xll.BDP("!!03NS5X Mtge","GENERIC_TICKER_VINTAGE")</f>
        <v>FNCL 6 2025</v>
      </c>
      <c r="D529" t="str">
        <f>_xll.BDP("!!03NS5X Mtge","CRNCY")</f>
        <v>USD</v>
      </c>
      <c r="E529">
        <v>5000000</v>
      </c>
      <c r="F529">
        <f>_xll.BDP("!!03NS5X Mtge","CPN")</f>
        <v>6.36721</v>
      </c>
      <c r="G529">
        <f>_xll.BDP("!!03NS5X Mtge","MTG_FACTOR")</f>
        <v>0.80760430000000005</v>
      </c>
      <c r="H529">
        <f>_xll.BDP("!!03NS5X Mtge","MTG_WAL")</f>
        <v>3.1322999999999999</v>
      </c>
      <c r="I529">
        <f>_xll.BDP("!!03NS5X Mtge","MTG_ORIG_WAL")</f>
        <v>6.2</v>
      </c>
    </row>
    <row r="530" spans="1:9" x14ac:dyDescent="0.25">
      <c r="A530" t="str">
        <f>_xll.BDP("!!03NS68 Mtge","ID_CUSIP")</f>
        <v>3137HMKG4</v>
      </c>
      <c r="B530" t="str">
        <f>_xll.BDP("!!03NS68 Mtge","SECURITY_NAME")</f>
        <v>FHR 5563 FL</v>
      </c>
      <c r="C530" t="str">
        <f>_xll.BDP("!!03NS68 Mtge","GENERIC_TICKER_VINTAGE")</f>
        <v>FNCL 6 2025</v>
      </c>
      <c r="D530" t="str">
        <f>_xll.BDP("!!03NS68 Mtge","CRNCY")</f>
        <v>USD</v>
      </c>
      <c r="E530">
        <v>8500000</v>
      </c>
      <c r="F530">
        <f>_xll.BDP("!!03NS68 Mtge","CPN")</f>
        <v>5.4172099999999999</v>
      </c>
      <c r="G530">
        <f>_xll.BDP("!!03NS68 Mtge","MTG_FACTOR")</f>
        <v>0.80760430000000005</v>
      </c>
      <c r="H530">
        <f>_xll.BDP("!!03NS68 Mtge","MTG_WAL")</f>
        <v>3.1322999999999999</v>
      </c>
      <c r="I530">
        <f>_xll.BDP("!!03NS68 Mtge","MTG_ORIG_WAL")</f>
        <v>5.9</v>
      </c>
    </row>
    <row r="531" spans="1:9" x14ac:dyDescent="0.25">
      <c r="A531" t="str">
        <f>_xll.BDP("FNBV1630 Mtge","ID_CUSIP")</f>
        <v>3140MEY42</v>
      </c>
      <c r="B531" t="str">
        <f>_xll.BDP("FNBV1630 Mtge","SECURITY_NAME")</f>
        <v>FN BV1630</v>
      </c>
      <c r="C531" t="str">
        <f>_xll.BDP("FNBV1630 Mtge","GENERIC_TICKER_VINTAGE")</f>
        <v>FNCL 6 2025</v>
      </c>
      <c r="D531" t="str">
        <f>_xll.BDP("FNBV1630 Mtge","CRNCY")</f>
        <v>USD</v>
      </c>
      <c r="E531">
        <v>20372829</v>
      </c>
      <c r="F531">
        <f>_xll.BDP("FNBV1630 Mtge","CPN")</f>
        <v>6</v>
      </c>
      <c r="G531">
        <f>_xll.BDP("FNBV1630 Mtge","MTG_FACTOR")</f>
        <v>0.83070785999999996</v>
      </c>
      <c r="H531">
        <f>_xll.BDP("FNBV1630 Mtge","MTG_WAL")</f>
        <v>3.2440000000000002</v>
      </c>
      <c r="I531" t="str">
        <f>_xll.BDP("FNBV1630 Mtge","MTG_ORIG_WAL")</f>
        <v>#N/A N/A</v>
      </c>
    </row>
    <row r="532" spans="1:9" x14ac:dyDescent="0.25">
      <c r="A532" t="str">
        <f>_xll.BDP("FNCB0202 Mtge","ID_CUSIP")</f>
        <v>3140QKGL6</v>
      </c>
      <c r="B532" t="str">
        <f>_xll.BDP("FNCB0202 Mtge","SECURITY_NAME")</f>
        <v>FN CB0202</v>
      </c>
      <c r="C532" t="str">
        <f>_xll.BDP("FNCB0202 Mtge","GENERIC_TICKER_VINTAGE")</f>
        <v>FNCL 3 2021</v>
      </c>
      <c r="D532" t="str">
        <f>_xll.BDP("FNCB0202 Mtge","CRNCY")</f>
        <v>USD</v>
      </c>
      <c r="E532">
        <v>42608697</v>
      </c>
      <c r="F532">
        <f>_xll.BDP("FNCB0202 Mtge","CPN")</f>
        <v>3</v>
      </c>
      <c r="G532">
        <f>_xll.BDP("FNCB0202 Mtge","MTG_FACTOR")</f>
        <v>0.48897373999999999</v>
      </c>
      <c r="H532">
        <f>_xll.BDP("FNCB0202 Mtge","MTG_WAL")</f>
        <v>8.2319999999999993</v>
      </c>
      <c r="I532" t="str">
        <f>_xll.BDP("FNCB0202 Mtge","MTG_ORIG_WAL")</f>
        <v>#N/A N/A</v>
      </c>
    </row>
    <row r="533" spans="1:9" x14ac:dyDescent="0.25">
      <c r="A533" t="str">
        <f>_xll.BDP("FNCB1559 Mtge","ID_CUSIP")</f>
        <v>3140QLWV4</v>
      </c>
      <c r="B533" t="str">
        <f>_xll.BDP("FNCB1559 Mtge","SECURITY_NAME")</f>
        <v>FN CB1559</v>
      </c>
      <c r="C533" t="str">
        <f>_xll.BDP("FNCB1559 Mtge","GENERIC_TICKER_VINTAGE")</f>
        <v>FNCL 3 2021</v>
      </c>
      <c r="D533" t="str">
        <f>_xll.BDP("FNCB1559 Mtge","CRNCY")</f>
        <v>USD</v>
      </c>
      <c r="E533">
        <v>75124596</v>
      </c>
      <c r="F533">
        <f>_xll.BDP("FNCB1559 Mtge","CPN")</f>
        <v>3</v>
      </c>
      <c r="G533">
        <f>_xll.BDP("FNCB1559 Mtge","MTG_FACTOR")</f>
        <v>0.68679378999999996</v>
      </c>
      <c r="H533">
        <f>_xll.BDP("FNCB1559 Mtge","MTG_WAL")</f>
        <v>8.2893000000000008</v>
      </c>
      <c r="I533" t="str">
        <f>_xll.BDP("FNCB1559 Mtge","MTG_ORIG_WAL")</f>
        <v>#N/A N/A</v>
      </c>
    </row>
    <row r="534" spans="1:9" x14ac:dyDescent="0.25">
      <c r="A534" t="str">
        <f>_xll.BDP("FNCB2896 Mtge","ID_CUSIP")</f>
        <v>3140QNGE6</v>
      </c>
      <c r="B534" t="str">
        <f>_xll.BDP("FNCB2896 Mtge","SECURITY_NAME")</f>
        <v>FN CB2896</v>
      </c>
      <c r="C534" t="str">
        <f>_xll.BDP("FNCB2896 Mtge","GENERIC_TICKER_VINTAGE")</f>
        <v>FNCL 3 2021</v>
      </c>
      <c r="D534" t="str">
        <f>_xll.BDP("FNCB2896 Mtge","CRNCY")</f>
        <v>USD</v>
      </c>
      <c r="E534">
        <v>153096812</v>
      </c>
      <c r="F534">
        <f>_xll.BDP("FNCB2896 Mtge","CPN")</f>
        <v>3</v>
      </c>
      <c r="G534">
        <f>_xll.BDP("FNCB2896 Mtge","MTG_FACTOR")</f>
        <v>0.81784266000000005</v>
      </c>
      <c r="H534">
        <f>_xll.BDP("FNCB2896 Mtge","MTG_WAL")</f>
        <v>8.3218999999999994</v>
      </c>
      <c r="I534" t="str">
        <f>_xll.BDP("FNCB2896 Mtge","MTG_ORIG_WAL")</f>
        <v>#N/A N/A</v>
      </c>
    </row>
    <row r="535" spans="1:9" x14ac:dyDescent="0.25">
      <c r="A535" t="str">
        <f>_xll.BDP("FNCC0588 Mtge","ID_CUSIP")</f>
        <v>3140Y6UN8</v>
      </c>
      <c r="B535" t="str">
        <f>_xll.BDP("FNCC0588 Mtge","SECURITY_NAME")</f>
        <v>FN CC0588</v>
      </c>
      <c r="C535" t="str">
        <f>_xll.BDP("FNCC0588 Mtge","GENERIC_TICKER_VINTAGE")</f>
        <v>FNCL 6 2025</v>
      </c>
      <c r="D535" t="str">
        <f>_xll.BDP("FNCC0588 Mtge","CRNCY")</f>
        <v>USD</v>
      </c>
      <c r="E535">
        <v>13501626</v>
      </c>
      <c r="F535">
        <f>_xll.BDP("FNCC0588 Mtge","CPN")</f>
        <v>6</v>
      </c>
      <c r="G535">
        <f>_xll.BDP("FNCC0588 Mtge","MTG_FACTOR")</f>
        <v>0.97457066000000003</v>
      </c>
      <c r="H535">
        <f>_xll.BDP("FNCC0588 Mtge","MTG_WAL")</f>
        <v>3.1968000000000001</v>
      </c>
      <c r="I535" t="str">
        <f>_xll.BDP("FNCC0588 Mtge","MTG_ORIG_WAL")</f>
        <v>#N/A N/A</v>
      </c>
    </row>
    <row r="536" spans="1:9" x14ac:dyDescent="0.25">
      <c r="A536" t="str">
        <f>_xll.BDP("FNDD2810 Mtge","ID_CUSIP")</f>
        <v>3140B3DQ2</v>
      </c>
      <c r="B536" t="str">
        <f>_xll.BDP("FNDD2810 Mtge","SECURITY_NAME")</f>
        <v>FN DD2810</v>
      </c>
      <c r="C536" t="str">
        <f>_xll.BDP("FNDD2810 Mtge","GENERIC_TICKER_VINTAGE")</f>
        <v>FNCL 6 2025</v>
      </c>
      <c r="D536" t="str">
        <f>_xll.BDP("FNDD2810 Mtge","CRNCY")</f>
        <v>USD</v>
      </c>
      <c r="E536">
        <v>6892546</v>
      </c>
      <c r="F536">
        <f>_xll.BDP("FNDD2810 Mtge","CPN")</f>
        <v>6</v>
      </c>
      <c r="G536">
        <f>_xll.BDP("FNDD2810 Mtge","MTG_FACTOR")</f>
        <v>0.98961524999999995</v>
      </c>
      <c r="H536">
        <f>_xll.BDP("FNDD2810 Mtge","MTG_WAL")</f>
        <v>3.2898000000000001</v>
      </c>
      <c r="I536" t="str">
        <f>_xll.BDP("FNDD2810 Mtge","MTG_ORIG_WAL")</f>
        <v>#N/A N/A</v>
      </c>
    </row>
    <row r="537" spans="1:9" x14ac:dyDescent="0.25">
      <c r="A537" t="str">
        <f>_xll.BDP("FNDD5731 Mtge","ID_CUSIP")</f>
        <v>3140B6LM5</v>
      </c>
      <c r="B537" t="str">
        <f>_xll.BDP("FNDD5731 Mtge","SECURITY_NAME")</f>
        <v>FN DD5731</v>
      </c>
      <c r="C537" t="str">
        <f>_xll.BDP("FNDD5731 Mtge","GENERIC_TICKER_VINTAGE")</f>
        <v>FNCL 6 2025</v>
      </c>
      <c r="D537" t="str">
        <f>_xll.BDP("FNDD5731 Mtge","CRNCY")</f>
        <v>USD</v>
      </c>
      <c r="E537">
        <v>4274851</v>
      </c>
      <c r="F537">
        <f>_xll.BDP("FNDD5731 Mtge","CPN")</f>
        <v>6</v>
      </c>
      <c r="G537">
        <f>_xll.BDP("FNDD5731 Mtge","MTG_FACTOR")</f>
        <v>0.90927469000000005</v>
      </c>
      <c r="H537">
        <f>_xll.BDP("FNDD5731 Mtge","MTG_WAL")</f>
        <v>3.3468</v>
      </c>
      <c r="I537" t="str">
        <f>_xll.BDP("FNDD5731 Mtge","MTG_ORIG_WAL")</f>
        <v>#N/A N/A</v>
      </c>
    </row>
    <row r="538" spans="1:9" x14ac:dyDescent="0.25">
      <c r="A538" t="str">
        <f>_xll.BDP("FNDD6083 Mtge","ID_CUSIP")</f>
        <v>3140B6XM2</v>
      </c>
      <c r="B538" t="str">
        <f>_xll.BDP("FNDD6083 Mtge","SECURITY_NAME")</f>
        <v>FN DD6083</v>
      </c>
      <c r="C538" t="str">
        <f>_xll.BDP("FNDD6083 Mtge","GENERIC_TICKER_VINTAGE")</f>
        <v>FNCL 6 2025</v>
      </c>
      <c r="D538" t="str">
        <f>_xll.BDP("FNDD6083 Mtge","CRNCY")</f>
        <v>USD</v>
      </c>
      <c r="E538">
        <v>2061612</v>
      </c>
      <c r="F538">
        <f>_xll.BDP("FNDD6083 Mtge","CPN")</f>
        <v>6</v>
      </c>
      <c r="G538">
        <f>_xll.BDP("FNDD6083 Mtge","MTG_FACTOR")</f>
        <v>0.79228198000000005</v>
      </c>
      <c r="H538">
        <f>_xll.BDP("FNDD6083 Mtge","MTG_WAL")</f>
        <v>3.2465999999999999</v>
      </c>
      <c r="I538" t="str">
        <f>_xll.BDP("FNDD6083 Mtge","MTG_ORIG_WAL")</f>
        <v>#N/A N/A</v>
      </c>
    </row>
    <row r="539" spans="1:9" x14ac:dyDescent="0.25">
      <c r="A539" t="str">
        <f>_xll.BDP("FNDD7343 Mtge","ID_CUSIP")</f>
        <v>3140B8ER8</v>
      </c>
      <c r="B539" t="str">
        <f>_xll.BDP("FNDD7343 Mtge","SECURITY_NAME")</f>
        <v>FN DD7343</v>
      </c>
      <c r="C539" t="str">
        <f>_xll.BDP("FNDD7343 Mtge","GENERIC_TICKER_VINTAGE")</f>
        <v>FNCL 6 2025</v>
      </c>
      <c r="D539" t="str">
        <f>_xll.BDP("FNDD7343 Mtge","CRNCY")</f>
        <v>USD</v>
      </c>
      <c r="E539">
        <v>9193654</v>
      </c>
      <c r="F539">
        <f>_xll.BDP("FNDD7343 Mtge","CPN")</f>
        <v>6</v>
      </c>
      <c r="G539">
        <f>_xll.BDP("FNDD7343 Mtge","MTG_FACTOR")</f>
        <v>0.73299481</v>
      </c>
      <c r="H539">
        <f>_xll.BDP("FNDD7343 Mtge","MTG_WAL")</f>
        <v>3.2484000000000002</v>
      </c>
      <c r="I539" t="str">
        <f>_xll.BDP("FNDD7343 Mtge","MTG_ORIG_WAL")</f>
        <v>#N/A N/A</v>
      </c>
    </row>
    <row r="540" spans="1:9" x14ac:dyDescent="0.25">
      <c r="A540" t="str">
        <f>_xll.BDP("FNDD8064 Mtge","ID_CUSIP")</f>
        <v>3140B86A4</v>
      </c>
      <c r="B540" t="str">
        <f>_xll.BDP("FNDD8064 Mtge","SECURITY_NAME")</f>
        <v>FN DD8064</v>
      </c>
      <c r="C540" t="str">
        <f>_xll.BDP("FNDD8064 Mtge","GENERIC_TICKER_VINTAGE")</f>
        <v>FNCL 6 2025</v>
      </c>
      <c r="D540" t="str">
        <f>_xll.BDP("FNDD8064 Mtge","CRNCY")</f>
        <v>USD</v>
      </c>
      <c r="E540">
        <v>4481051</v>
      </c>
      <c r="F540">
        <f>_xll.BDP("FNDD8064 Mtge","CPN")</f>
        <v>6</v>
      </c>
      <c r="G540">
        <f>_xll.BDP("FNDD8064 Mtge","MTG_FACTOR")</f>
        <v>0.86466071</v>
      </c>
      <c r="H540">
        <f>_xll.BDP("FNDD8064 Mtge","MTG_WAL")</f>
        <v>3.2963</v>
      </c>
      <c r="I540" t="str">
        <f>_xll.BDP("FNDD8064 Mtge","MTG_ORIG_WAL")</f>
        <v>#N/A N/A</v>
      </c>
    </row>
    <row r="541" spans="1:9" x14ac:dyDescent="0.25">
      <c r="A541" t="str">
        <f>_xll.BDP("FNDD8414 Mtge","ID_CUSIP")</f>
        <v>3140B9K40</v>
      </c>
      <c r="B541" t="str">
        <f>_xll.BDP("FNDD8414 Mtge","SECURITY_NAME")</f>
        <v>FN DD8414</v>
      </c>
      <c r="C541" t="str">
        <f>_xll.BDP("FNDD8414 Mtge","GENERIC_TICKER_VINTAGE")</f>
        <v>FNCL 6 2025</v>
      </c>
      <c r="D541" t="str">
        <f>_xll.BDP("FNDD8414 Mtge","CRNCY")</f>
        <v>USD</v>
      </c>
      <c r="E541">
        <v>9560561</v>
      </c>
      <c r="F541">
        <f>_xll.BDP("FNDD8414 Mtge","CPN")</f>
        <v>6</v>
      </c>
      <c r="G541">
        <f>_xll.BDP("FNDD8414 Mtge","MTG_FACTOR")</f>
        <v>0.67479674999999995</v>
      </c>
      <c r="H541">
        <f>_xll.BDP("FNDD8414 Mtge","MTG_WAL")</f>
        <v>3.3448000000000002</v>
      </c>
      <c r="I541" t="str">
        <f>_xll.BDP("FNDD8414 Mtge","MTG_ORIG_WAL")</f>
        <v>#N/A N/A</v>
      </c>
    </row>
    <row r="542" spans="1:9" x14ac:dyDescent="0.25">
      <c r="A542" t="str">
        <f>_xll.BDP("FNDD9150 Mtge","ID_CUSIP")</f>
        <v>3140BAEY8</v>
      </c>
      <c r="B542" t="str">
        <f>_xll.BDP("FNDD9150 Mtge","SECURITY_NAME")</f>
        <v>FN DD9150</v>
      </c>
      <c r="C542" t="str">
        <f>_xll.BDP("FNDD9150 Mtge","GENERIC_TICKER_VINTAGE")</f>
        <v>FNCL 6 2025</v>
      </c>
      <c r="D542" t="str">
        <f>_xll.BDP("FNDD9150 Mtge","CRNCY")</f>
        <v>USD</v>
      </c>
      <c r="E542">
        <v>8724762</v>
      </c>
      <c r="F542">
        <f>_xll.BDP("FNDD9150 Mtge","CPN")</f>
        <v>6</v>
      </c>
      <c r="G542">
        <f>_xll.BDP("FNDD9150 Mtge","MTG_FACTOR")</f>
        <v>0.76604088999999997</v>
      </c>
      <c r="H542">
        <f>_xll.BDP("FNDD9150 Mtge","MTG_WAL")</f>
        <v>3.2947000000000002</v>
      </c>
      <c r="I542" t="str">
        <f>_xll.BDP("FNDD9150 Mtge","MTG_ORIG_WAL")</f>
        <v>#N/A N/A</v>
      </c>
    </row>
    <row r="543" spans="1:9" x14ac:dyDescent="0.25">
      <c r="A543" t="str">
        <f>_xll.BDP("FNDD9295 Mtge","ID_CUSIP")</f>
        <v>3140BAKH8</v>
      </c>
      <c r="B543" t="str">
        <f>_xll.BDP("FNDD9295 Mtge","SECURITY_NAME")</f>
        <v>FN DD9295</v>
      </c>
      <c r="C543" t="str">
        <f>_xll.BDP("FNDD9295 Mtge","GENERIC_TICKER_VINTAGE")</f>
        <v>FNCL 6 2025</v>
      </c>
      <c r="D543" t="str">
        <f>_xll.BDP("FNDD9295 Mtge","CRNCY")</f>
        <v>USD</v>
      </c>
      <c r="E543">
        <v>1634471</v>
      </c>
      <c r="F543">
        <f>_xll.BDP("FNDD9295 Mtge","CPN")</f>
        <v>6</v>
      </c>
      <c r="G543">
        <f>_xll.BDP("FNDD9295 Mtge","MTG_FACTOR")</f>
        <v>0.69592337999999998</v>
      </c>
      <c r="H543">
        <f>_xll.BDP("FNDD9295 Mtge","MTG_WAL")</f>
        <v>3.2494999999999998</v>
      </c>
      <c r="I543" t="str">
        <f>_xll.BDP("FNDD9295 Mtge","MTG_ORIG_WAL")</f>
        <v>#N/A N/A</v>
      </c>
    </row>
    <row r="544" spans="1:9" x14ac:dyDescent="0.25">
      <c r="A544" t="str">
        <f>_xll.BDP("FNDD9641 Mtge","ID_CUSIP")</f>
        <v>3140BAWB8</v>
      </c>
      <c r="B544" t="str">
        <f>_xll.BDP("FNDD9641 Mtge","SECURITY_NAME")</f>
        <v>FN DD9641</v>
      </c>
      <c r="C544" t="str">
        <f>_xll.BDP("FNDD9641 Mtge","GENERIC_TICKER_VINTAGE")</f>
        <v>FNCL 6 2025</v>
      </c>
      <c r="D544" t="str">
        <f>_xll.BDP("FNDD9641 Mtge","CRNCY")</f>
        <v>USD</v>
      </c>
      <c r="E544">
        <v>3351822</v>
      </c>
      <c r="F544">
        <f>_xll.BDP("FNDD9641 Mtge","CPN")</f>
        <v>6</v>
      </c>
      <c r="G544">
        <f>_xll.BDP("FNDD9641 Mtge","MTG_FACTOR")</f>
        <v>0.83555053999999995</v>
      </c>
      <c r="H544">
        <f>_xll.BDP("FNDD9641 Mtge","MTG_WAL")</f>
        <v>3.3426</v>
      </c>
      <c r="I544" t="str">
        <f>_xll.BDP("FNDD9641 Mtge","MTG_ORIG_WAL")</f>
        <v>#N/A N/A</v>
      </c>
    </row>
    <row r="545" spans="1:9" x14ac:dyDescent="0.25">
      <c r="A545" t="str">
        <f>_xll.BDP("FNDD9903 Mtge","ID_CUSIP")</f>
        <v>3140BBAD6</v>
      </c>
      <c r="B545" t="str">
        <f>_xll.BDP("FNDD9903 Mtge","SECURITY_NAME")</f>
        <v>FN DD9903</v>
      </c>
      <c r="C545" t="str">
        <f>_xll.BDP("FNDD9903 Mtge","GENERIC_TICKER_VINTAGE")</f>
        <v>FNCL 6 2025</v>
      </c>
      <c r="D545" t="str">
        <f>_xll.BDP("FNDD9903 Mtge","CRNCY")</f>
        <v>USD</v>
      </c>
      <c r="E545">
        <v>1643150</v>
      </c>
      <c r="F545">
        <f>_xll.BDP("FNDD9903 Mtge","CPN")</f>
        <v>6</v>
      </c>
      <c r="G545">
        <f>_xll.BDP("FNDD9903 Mtge","MTG_FACTOR")</f>
        <v>0.78118443999999998</v>
      </c>
      <c r="H545">
        <f>_xll.BDP("FNDD9903 Mtge","MTG_WAL")</f>
        <v>3.2978999999999998</v>
      </c>
      <c r="I545" t="str">
        <f>_xll.BDP("FNDD9903 Mtge","MTG_ORIG_WAL")</f>
        <v>#N/A N/A</v>
      </c>
    </row>
    <row r="546" spans="1:9" x14ac:dyDescent="0.25">
      <c r="A546" t="str">
        <f>_xll.BDP("FNDE0100 Mtge","ID_CUSIP")</f>
        <v>3140BCDE9</v>
      </c>
      <c r="B546" t="str">
        <f>_xll.BDP("FNDE0100 Mtge","SECURITY_NAME")</f>
        <v>FN DE0100</v>
      </c>
      <c r="C546" t="str">
        <f>_xll.BDP("FNDE0100 Mtge","GENERIC_TICKER_VINTAGE")</f>
        <v>FNCL 6 2025</v>
      </c>
      <c r="D546" t="str">
        <f>_xll.BDP("FNDE0100 Mtge","CRNCY")</f>
        <v>USD</v>
      </c>
      <c r="E546">
        <v>8704528</v>
      </c>
      <c r="F546">
        <f>_xll.BDP("FNDE0100 Mtge","CPN")</f>
        <v>6</v>
      </c>
      <c r="G546">
        <f>_xll.BDP("FNDE0100 Mtge","MTG_FACTOR")</f>
        <v>0.95623449999999999</v>
      </c>
      <c r="H546">
        <f>_xll.BDP("FNDE0100 Mtge","MTG_WAL")</f>
        <v>3.2881999999999998</v>
      </c>
      <c r="I546" t="str">
        <f>_xll.BDP("FNDE0100 Mtge","MTG_ORIG_WAL")</f>
        <v>#N/A N/A</v>
      </c>
    </row>
    <row r="547" spans="1:9" x14ac:dyDescent="0.25">
      <c r="A547" t="str">
        <f>_xll.BDP("FNDE0629 Mtge","ID_CUSIP")</f>
        <v>3140BCVX7</v>
      </c>
      <c r="B547" t="str">
        <f>_xll.BDP("FNDE0629 Mtge","SECURITY_NAME")</f>
        <v>FN DE0629</v>
      </c>
      <c r="C547" t="str">
        <f>_xll.BDP("FNDE0629 Mtge","GENERIC_TICKER_VINTAGE")</f>
        <v>FNCL 6 2025</v>
      </c>
      <c r="D547" t="str">
        <f>_xll.BDP("FNDE0629 Mtge","CRNCY")</f>
        <v>USD</v>
      </c>
      <c r="E547">
        <v>1514284</v>
      </c>
      <c r="F547">
        <f>_xll.BDP("FNDE0629 Mtge","CPN")</f>
        <v>6</v>
      </c>
      <c r="G547">
        <f>_xll.BDP("FNDE0629 Mtge","MTG_FACTOR")</f>
        <v>0.84678580999999997</v>
      </c>
      <c r="H547">
        <f>_xll.BDP("FNDE0629 Mtge","MTG_WAL")</f>
        <v>3.2964000000000002</v>
      </c>
      <c r="I547" t="str">
        <f>_xll.BDP("FNDE0629 Mtge","MTG_ORIG_WAL")</f>
        <v>#N/A N/A</v>
      </c>
    </row>
    <row r="548" spans="1:9" x14ac:dyDescent="0.25">
      <c r="A548" t="str">
        <f>_xll.BDP("FNDE0714 Mtge","ID_CUSIP")</f>
        <v>3140BCYL0</v>
      </c>
      <c r="B548" t="str">
        <f>_xll.BDP("FNDE0714 Mtge","SECURITY_NAME")</f>
        <v>FN DE0714</v>
      </c>
      <c r="C548" t="str">
        <f>_xll.BDP("FNDE0714 Mtge","GENERIC_TICKER_VINTAGE")</f>
        <v>FNCL 6 2025</v>
      </c>
      <c r="D548" t="str">
        <f>_xll.BDP("FNDE0714 Mtge","CRNCY")</f>
        <v>USD</v>
      </c>
      <c r="E548">
        <v>1335258</v>
      </c>
      <c r="F548">
        <f>_xll.BDP("FNDE0714 Mtge","CPN")</f>
        <v>6</v>
      </c>
      <c r="G548">
        <f>_xll.BDP("FNDE0714 Mtge","MTG_FACTOR")</f>
        <v>0.85066242999999997</v>
      </c>
      <c r="H548">
        <f>_xll.BDP("FNDE0714 Mtge","MTG_WAL")</f>
        <v>3.2845</v>
      </c>
      <c r="I548" t="str">
        <f>_xll.BDP("FNDE0714 Mtge","MTG_ORIG_WAL")</f>
        <v>#N/A N/A</v>
      </c>
    </row>
    <row r="549" spans="1:9" x14ac:dyDescent="0.25">
      <c r="A549" t="str">
        <f>_xll.BDP("FNDE0842 Mtge","ID_CUSIP")</f>
        <v>3140BC5C2</v>
      </c>
      <c r="B549" t="str">
        <f>_xll.BDP("FNDE0842 Mtge","SECURITY_NAME")</f>
        <v>FN DE0842</v>
      </c>
      <c r="C549" t="str">
        <f>_xll.BDP("FNDE0842 Mtge","GENERIC_TICKER_VINTAGE")</f>
        <v>FNCL 6 2025</v>
      </c>
      <c r="D549" t="str">
        <f>_xll.BDP("FNDE0842 Mtge","CRNCY")</f>
        <v>USD</v>
      </c>
      <c r="E549">
        <v>6241608</v>
      </c>
      <c r="F549">
        <f>_xll.BDP("FNDE0842 Mtge","CPN")</f>
        <v>6</v>
      </c>
      <c r="G549">
        <f>_xll.BDP("FNDE0842 Mtge","MTG_FACTOR")</f>
        <v>0.98927072999999999</v>
      </c>
      <c r="H549">
        <f>_xll.BDP("FNDE0842 Mtge","MTG_WAL")</f>
        <v>3.2881</v>
      </c>
      <c r="I549" t="str">
        <f>_xll.BDP("FNDE0842 Mtge","MTG_ORIG_WAL")</f>
        <v>#N/A N/A</v>
      </c>
    </row>
    <row r="550" spans="1:9" x14ac:dyDescent="0.25">
      <c r="A550" t="str">
        <f>_xll.BDP("FNDE1148 Mtge","ID_CUSIP")</f>
        <v>3140BDH29</v>
      </c>
      <c r="B550" t="str">
        <f>_xll.BDP("FNDE1148 Mtge","SECURITY_NAME")</f>
        <v>FN DE1148</v>
      </c>
      <c r="C550" t="str">
        <f>_xll.BDP("FNDE1148 Mtge","GENERIC_TICKER_VINTAGE")</f>
        <v>FNCL 6 2025</v>
      </c>
      <c r="D550" t="str">
        <f>_xll.BDP("FNDE1148 Mtge","CRNCY")</f>
        <v>USD</v>
      </c>
      <c r="E550">
        <v>8181314</v>
      </c>
      <c r="F550">
        <f>_xll.BDP("FNDE1148 Mtge","CPN")</f>
        <v>6</v>
      </c>
      <c r="G550">
        <f>_xll.BDP("FNDE1148 Mtge","MTG_FACTOR")</f>
        <v>0.98790560000000005</v>
      </c>
      <c r="H550">
        <f>_xll.BDP("FNDE1148 Mtge","MTG_WAL")</f>
        <v>3.3401999999999998</v>
      </c>
      <c r="I550" t="str">
        <f>_xll.BDP("FNDE1148 Mtge","MTG_ORIG_WAL")</f>
        <v>#N/A N/A</v>
      </c>
    </row>
    <row r="551" spans="1:9" x14ac:dyDescent="0.25">
      <c r="A551" t="str">
        <f>_xll.BDP("FNDE1251 Mtge","ID_CUSIP")</f>
        <v>3140BDL99</v>
      </c>
      <c r="B551" t="str">
        <f>_xll.BDP("FNDE1251 Mtge","SECURITY_NAME")</f>
        <v>FN DE1251</v>
      </c>
      <c r="C551" t="str">
        <f>_xll.BDP("FNDE1251 Mtge","GENERIC_TICKER_VINTAGE")</f>
        <v>FNCL 6 2025</v>
      </c>
      <c r="D551" t="str">
        <f>_xll.BDP("FNDE1251 Mtge","CRNCY")</f>
        <v>USD</v>
      </c>
      <c r="E551">
        <v>1255750</v>
      </c>
      <c r="F551">
        <f>_xll.BDP("FNDE1251 Mtge","CPN")</f>
        <v>6</v>
      </c>
      <c r="G551">
        <f>_xll.BDP("FNDE1251 Mtge","MTG_FACTOR")</f>
        <v>0.90874268999999996</v>
      </c>
      <c r="H551">
        <f>_xll.BDP("FNDE1251 Mtge","MTG_WAL")</f>
        <v>3.3409</v>
      </c>
      <c r="I551" t="str">
        <f>_xll.BDP("FNDE1251 Mtge","MTG_ORIG_WAL")</f>
        <v>#N/A N/A</v>
      </c>
    </row>
    <row r="552" spans="1:9" x14ac:dyDescent="0.25">
      <c r="A552" t="str">
        <f>_xll.BDP("FNDE1310 Mtge","ID_CUSIP")</f>
        <v>3140BDN48</v>
      </c>
      <c r="B552" t="str">
        <f>_xll.BDP("FNDE1310 Mtge","SECURITY_NAME")</f>
        <v>FN DE1310</v>
      </c>
      <c r="C552" t="str">
        <f>_xll.BDP("FNDE1310 Mtge","GENERIC_TICKER_VINTAGE")</f>
        <v>FNCL 6 2025</v>
      </c>
      <c r="D552" t="str">
        <f>_xll.BDP("FNDE1310 Mtge","CRNCY")</f>
        <v>USD</v>
      </c>
      <c r="E552">
        <v>5851584</v>
      </c>
      <c r="F552">
        <f>_xll.BDP("FNDE1310 Mtge","CPN")</f>
        <v>6</v>
      </c>
      <c r="G552">
        <f>_xll.BDP("FNDE1310 Mtge","MTG_FACTOR")</f>
        <v>0.78762144000000001</v>
      </c>
      <c r="H552">
        <f>_xll.BDP("FNDE1310 Mtge","MTG_WAL")</f>
        <v>3.3302</v>
      </c>
      <c r="I552" t="str">
        <f>_xll.BDP("FNDE1310 Mtge","MTG_ORIG_WAL")</f>
        <v>#N/A N/A</v>
      </c>
    </row>
    <row r="553" spans="1:9" x14ac:dyDescent="0.25">
      <c r="A553" t="str">
        <f>_xll.BDP("FNDE1383 Mtge","ID_CUSIP")</f>
        <v>3140BDRD4</v>
      </c>
      <c r="B553" t="str">
        <f>_xll.BDP("FNDE1383 Mtge","SECURITY_NAME")</f>
        <v>FN DE1383</v>
      </c>
      <c r="C553" t="str">
        <f>_xll.BDP("FNDE1383 Mtge","GENERIC_TICKER_VINTAGE")</f>
        <v>FNCL 6 2025</v>
      </c>
      <c r="D553" t="str">
        <f>_xll.BDP("FNDE1383 Mtge","CRNCY")</f>
        <v>USD</v>
      </c>
      <c r="E553">
        <v>2736081</v>
      </c>
      <c r="F553">
        <f>_xll.BDP("FNDE1383 Mtge","CPN")</f>
        <v>6</v>
      </c>
      <c r="G553">
        <f>_xll.BDP("FNDE1383 Mtge","MTG_FACTOR")</f>
        <v>0.99236769999999996</v>
      </c>
      <c r="H553">
        <f>_xll.BDP("FNDE1383 Mtge","MTG_WAL")</f>
        <v>3.3468</v>
      </c>
      <c r="I553" t="str">
        <f>_xll.BDP("FNDE1383 Mtge","MTG_ORIG_WAL")</f>
        <v>#N/A N/A</v>
      </c>
    </row>
    <row r="554" spans="1:9" x14ac:dyDescent="0.25">
      <c r="A554" t="str">
        <f>_xll.BDP("FNDE1397 Mtge","ID_CUSIP")</f>
        <v>3140BDRT9</v>
      </c>
      <c r="B554" t="str">
        <f>_xll.BDP("FNDE1397 Mtge","SECURITY_NAME")</f>
        <v>FN DE1397</v>
      </c>
      <c r="C554" t="str">
        <f>_xll.BDP("FNDE1397 Mtge","GENERIC_TICKER_VINTAGE")</f>
        <v>FNCL 6 2025</v>
      </c>
      <c r="D554" t="str">
        <f>_xll.BDP("FNDE1397 Mtge","CRNCY")</f>
        <v>USD</v>
      </c>
      <c r="E554">
        <v>2515379</v>
      </c>
      <c r="F554">
        <f>_xll.BDP("FNDE1397 Mtge","CPN")</f>
        <v>6</v>
      </c>
      <c r="G554">
        <f>_xll.BDP("FNDE1397 Mtge","MTG_FACTOR")</f>
        <v>0.99189216000000002</v>
      </c>
      <c r="H554">
        <f>_xll.BDP("FNDE1397 Mtge","MTG_WAL")</f>
        <v>3.3452999999999999</v>
      </c>
      <c r="I554" t="str">
        <f>_xll.BDP("FNDE1397 Mtge","MTG_ORIG_WAL")</f>
        <v>#N/A N/A</v>
      </c>
    </row>
    <row r="555" spans="1:9" x14ac:dyDescent="0.25">
      <c r="A555" t="str">
        <f>_xll.BDP("FNDE1472 Mtge","ID_CUSIP")</f>
        <v>3140BDT67</v>
      </c>
      <c r="B555" t="str">
        <f>_xll.BDP("FNDE1472 Mtge","SECURITY_NAME")</f>
        <v>FN DE1472</v>
      </c>
      <c r="C555" t="str">
        <f>_xll.BDP("FNDE1472 Mtge","GENERIC_TICKER_VINTAGE")</f>
        <v>FNCL 6 2025</v>
      </c>
      <c r="D555" t="str">
        <f>_xll.BDP("FNDE1472 Mtge","CRNCY")</f>
        <v>USD</v>
      </c>
      <c r="E555">
        <v>2596371</v>
      </c>
      <c r="F555">
        <f>_xll.BDP("FNDE1472 Mtge","CPN")</f>
        <v>6</v>
      </c>
      <c r="G555">
        <f>_xll.BDP("FNDE1472 Mtge","MTG_FACTOR")</f>
        <v>0.98935812000000001</v>
      </c>
      <c r="H555">
        <f>_xll.BDP("FNDE1472 Mtge","MTG_WAL")</f>
        <v>3.3399000000000001</v>
      </c>
      <c r="I555" t="str">
        <f>_xll.BDP("FNDE1472 Mtge","MTG_ORIG_WAL")</f>
        <v>#N/A N/A</v>
      </c>
    </row>
    <row r="556" spans="1:9" x14ac:dyDescent="0.25">
      <c r="A556" t="str">
        <f>_xll.BDP("FNDE1529 Mtge","ID_CUSIP")</f>
        <v>3140BDVX5</v>
      </c>
      <c r="B556" t="str">
        <f>_xll.BDP("FNDE1529 Mtge","SECURITY_NAME")</f>
        <v>FN DE1529</v>
      </c>
      <c r="C556" t="str">
        <f>_xll.BDP("FNDE1529 Mtge","GENERIC_TICKER_VINTAGE")</f>
        <v>FNCL 6 2025</v>
      </c>
      <c r="D556" t="str">
        <f>_xll.BDP("FNDE1529 Mtge","CRNCY")</f>
        <v>USD</v>
      </c>
      <c r="E556">
        <v>5086261</v>
      </c>
      <c r="F556">
        <f>_xll.BDP("FNDE1529 Mtge","CPN")</f>
        <v>6</v>
      </c>
      <c r="G556">
        <f>_xll.BDP("FNDE1529 Mtge","MTG_FACTOR")</f>
        <v>0.99133093000000005</v>
      </c>
      <c r="H556">
        <f>_xll.BDP("FNDE1529 Mtge","MTG_WAL")</f>
        <v>3.2932000000000001</v>
      </c>
      <c r="I556" t="str">
        <f>_xll.BDP("FNDE1529 Mtge","MTG_ORIG_WAL")</f>
        <v>#N/A N/A</v>
      </c>
    </row>
    <row r="557" spans="1:9" x14ac:dyDescent="0.25">
      <c r="A557" t="str">
        <f>_xll.BDP("FNDE1678 Mtge","ID_CUSIP")</f>
        <v>3140BD2L3</v>
      </c>
      <c r="B557" t="str">
        <f>_xll.BDP("FNDE1678 Mtge","SECURITY_NAME")</f>
        <v>FN DE1678</v>
      </c>
      <c r="C557" t="str">
        <f>_xll.BDP("FNDE1678 Mtge","GENERIC_TICKER_VINTAGE")</f>
        <v>FNCL 6 2025</v>
      </c>
      <c r="D557" t="str">
        <f>_xll.BDP("FNDE1678 Mtge","CRNCY")</f>
        <v>USD</v>
      </c>
      <c r="E557">
        <v>8495413</v>
      </c>
      <c r="F557">
        <f>_xll.BDP("FNDE1678 Mtge","CPN")</f>
        <v>6</v>
      </c>
      <c r="G557">
        <f>_xll.BDP("FNDE1678 Mtge","MTG_FACTOR")</f>
        <v>0.86587437</v>
      </c>
      <c r="H557">
        <f>_xll.BDP("FNDE1678 Mtge","MTG_WAL")</f>
        <v>3.2963</v>
      </c>
      <c r="I557" t="str">
        <f>_xll.BDP("FNDE1678 Mtge","MTG_ORIG_WAL")</f>
        <v>#N/A N/A</v>
      </c>
    </row>
    <row r="558" spans="1:9" x14ac:dyDescent="0.25">
      <c r="A558" t="str">
        <f>_xll.BDP("FNDE1708 Mtge","ID_CUSIP")</f>
        <v>3140BD3S7</v>
      </c>
      <c r="B558" t="str">
        <f>_xll.BDP("FNDE1708 Mtge","SECURITY_NAME")</f>
        <v>FN DE1708</v>
      </c>
      <c r="C558" t="str">
        <f>_xll.BDP("FNDE1708 Mtge","GENERIC_TICKER_VINTAGE")</f>
        <v>FNCL 6 2025</v>
      </c>
      <c r="D558" t="str">
        <f>_xll.BDP("FNDE1708 Mtge","CRNCY")</f>
        <v>USD</v>
      </c>
      <c r="E558">
        <v>4344982</v>
      </c>
      <c r="F558">
        <f>_xll.BDP("FNDE1708 Mtge","CPN")</f>
        <v>6</v>
      </c>
      <c r="G558">
        <f>_xll.BDP("FNDE1708 Mtge","MTG_FACTOR")</f>
        <v>0.88553994000000003</v>
      </c>
      <c r="H558">
        <f>_xll.BDP("FNDE1708 Mtge","MTG_WAL")</f>
        <v>3.2793000000000001</v>
      </c>
      <c r="I558" t="str">
        <f>_xll.BDP("FNDE1708 Mtge","MTG_ORIG_WAL")</f>
        <v>#N/A N/A</v>
      </c>
    </row>
    <row r="559" spans="1:9" x14ac:dyDescent="0.25">
      <c r="A559" t="str">
        <f>_xll.BDP("FNDE1721 Mtge","ID_CUSIP")</f>
        <v>3140BD4F4</v>
      </c>
      <c r="B559" t="str">
        <f>_xll.BDP("FNDE1721 Mtge","SECURITY_NAME")</f>
        <v>FN DE1721</v>
      </c>
      <c r="C559" t="str">
        <f>_xll.BDP("FNDE1721 Mtge","GENERIC_TICKER_VINTAGE")</f>
        <v>FNCL 6 2025</v>
      </c>
      <c r="D559" t="str">
        <f>_xll.BDP("FNDE1721 Mtge","CRNCY")</f>
        <v>USD</v>
      </c>
      <c r="E559">
        <v>10491342</v>
      </c>
      <c r="F559">
        <f>_xll.BDP("FNDE1721 Mtge","CPN")</f>
        <v>6</v>
      </c>
      <c r="G559">
        <f>_xll.BDP("FNDE1721 Mtge","MTG_FACTOR")</f>
        <v>0.75582636000000003</v>
      </c>
      <c r="H559">
        <f>_xll.BDP("FNDE1721 Mtge","MTG_WAL")</f>
        <v>3.2953000000000001</v>
      </c>
      <c r="I559" t="str">
        <f>_xll.BDP("FNDE1721 Mtge","MTG_ORIG_WAL")</f>
        <v>#N/A N/A</v>
      </c>
    </row>
    <row r="560" spans="1:9" x14ac:dyDescent="0.25">
      <c r="A560" t="str">
        <f>_xll.BDP("FNDE1840 Mtge","ID_CUSIP")</f>
        <v>3140BEBJ6</v>
      </c>
      <c r="B560" t="str">
        <f>_xll.BDP("FNDE1840 Mtge","SECURITY_NAME")</f>
        <v>FN DE1840</v>
      </c>
      <c r="C560" t="str">
        <f>_xll.BDP("FNDE1840 Mtge","GENERIC_TICKER_VINTAGE")</f>
        <v>FNCL 6 2025</v>
      </c>
      <c r="D560" t="str">
        <f>_xll.BDP("FNDE1840 Mtge","CRNCY")</f>
        <v>USD</v>
      </c>
      <c r="E560">
        <v>35133444</v>
      </c>
      <c r="F560">
        <f>_xll.BDP("FNDE1840 Mtge","CPN")</f>
        <v>6</v>
      </c>
      <c r="G560">
        <f>_xll.BDP("FNDE1840 Mtge","MTG_FACTOR")</f>
        <v>0.98328636000000003</v>
      </c>
      <c r="H560">
        <f>_xll.BDP("FNDE1840 Mtge","MTG_WAL")</f>
        <v>3.2847</v>
      </c>
      <c r="I560" t="str">
        <f>_xll.BDP("FNDE1840 Mtge","MTG_ORIG_WAL")</f>
        <v>#N/A N/A</v>
      </c>
    </row>
    <row r="561" spans="1:9" x14ac:dyDescent="0.25">
      <c r="A561" t="str">
        <f>_xll.BDP("FNDE2374 Mtge","ID_CUSIP")</f>
        <v>3140BET81</v>
      </c>
      <c r="B561" t="str">
        <f>_xll.BDP("FNDE2374 Mtge","SECURITY_NAME")</f>
        <v>FN DE2374</v>
      </c>
      <c r="C561" t="str">
        <f>_xll.BDP("FNDE2374 Mtge","GENERIC_TICKER_VINTAGE")</f>
        <v>FNCL 6 2025</v>
      </c>
      <c r="D561" t="str">
        <f>_xll.BDP("FNDE2374 Mtge","CRNCY")</f>
        <v>USD</v>
      </c>
      <c r="E561">
        <v>9228818</v>
      </c>
      <c r="F561">
        <f>_xll.BDP("FNDE2374 Mtge","CPN")</f>
        <v>6</v>
      </c>
      <c r="G561">
        <f>_xll.BDP("FNDE2374 Mtge","MTG_FACTOR")</f>
        <v>0.89736578</v>
      </c>
      <c r="H561">
        <f>_xll.BDP("FNDE2374 Mtge","MTG_WAL")</f>
        <v>3.3380000000000001</v>
      </c>
      <c r="I561" t="str">
        <f>_xll.BDP("FNDE2374 Mtge","MTG_ORIG_WAL")</f>
        <v>#N/A N/A</v>
      </c>
    </row>
    <row r="562" spans="1:9" x14ac:dyDescent="0.25">
      <c r="A562" t="str">
        <f>_xll.BDP("FNDE2535 Mtge","ID_CUSIP")</f>
        <v>3140BEY93</v>
      </c>
      <c r="B562" t="str">
        <f>_xll.BDP("FNDE2535 Mtge","SECURITY_NAME")</f>
        <v>FN DE2535</v>
      </c>
      <c r="C562" t="str">
        <f>_xll.BDP("FNDE2535 Mtge","GENERIC_TICKER_VINTAGE")</f>
        <v>FNCL 6 2025</v>
      </c>
      <c r="D562" t="str">
        <f>_xll.BDP("FNDE2535 Mtge","CRNCY")</f>
        <v>USD</v>
      </c>
      <c r="E562">
        <v>2354950</v>
      </c>
      <c r="F562">
        <f>_xll.BDP("FNDE2535 Mtge","CPN")</f>
        <v>6</v>
      </c>
      <c r="G562">
        <f>_xll.BDP("FNDE2535 Mtge","MTG_FACTOR")</f>
        <v>0.99275557000000003</v>
      </c>
      <c r="H562">
        <f>_xll.BDP("FNDE2535 Mtge","MTG_WAL")</f>
        <v>3.3468</v>
      </c>
      <c r="I562" t="str">
        <f>_xll.BDP("FNDE2535 Mtge","MTG_ORIG_WAL")</f>
        <v>#N/A N/A</v>
      </c>
    </row>
    <row r="563" spans="1:9" x14ac:dyDescent="0.25">
      <c r="A563" t="str">
        <f>_xll.BDP("FNDE3018 Mtge","ID_CUSIP")</f>
        <v>3140BFK87</v>
      </c>
      <c r="B563" t="str">
        <f>_xll.BDP("FNDE3018 Mtge","SECURITY_NAME")</f>
        <v>FN DE3018</v>
      </c>
      <c r="C563" t="str">
        <f>_xll.BDP("FNDE3018 Mtge","GENERIC_TICKER_VINTAGE")</f>
        <v>FNCL 6 2025</v>
      </c>
      <c r="D563" t="str">
        <f>_xll.BDP("FNDE3018 Mtge","CRNCY")</f>
        <v>USD</v>
      </c>
      <c r="E563">
        <v>4413621</v>
      </c>
      <c r="F563">
        <f>_xll.BDP("FNDE3018 Mtge","CPN")</f>
        <v>6</v>
      </c>
      <c r="G563">
        <f>_xll.BDP("FNDE3018 Mtge","MTG_FACTOR")</f>
        <v>0.98694375000000001</v>
      </c>
      <c r="H563">
        <f>_xll.BDP("FNDE3018 Mtge","MTG_WAL")</f>
        <v>3.3391999999999999</v>
      </c>
      <c r="I563" t="str">
        <f>_xll.BDP("FNDE3018 Mtge","MTG_ORIG_WAL")</f>
        <v>#N/A N/A</v>
      </c>
    </row>
    <row r="564" spans="1:9" x14ac:dyDescent="0.25">
      <c r="A564" t="str">
        <f>_xll.BDP("FNDE7027 Mtge","ID_CUSIP")</f>
        <v>3140BKYZ1</v>
      </c>
      <c r="B564" t="str">
        <f>_xll.BDP("FNDE7027 Mtge","SECURITY_NAME")</f>
        <v>FN DE7027</v>
      </c>
      <c r="C564" t="str">
        <f>_xll.BDP("FNDE7027 Mtge","GENERIC_TICKER_VINTAGE")</f>
        <v>FNCL 6 2025</v>
      </c>
      <c r="D564" t="str">
        <f>_xll.BDP("FNDE7027 Mtge","CRNCY")</f>
        <v>USD</v>
      </c>
      <c r="E564">
        <v>1160118</v>
      </c>
      <c r="F564">
        <f>_xll.BDP("FNDE7027 Mtge","CPN")</f>
        <v>6</v>
      </c>
      <c r="G564">
        <f>_xll.BDP("FNDE7027 Mtge","MTG_FACTOR")</f>
        <v>0.99231411999999997</v>
      </c>
      <c r="H564">
        <f>_xll.BDP("FNDE7027 Mtge","MTG_WAL")</f>
        <v>3.3732000000000002</v>
      </c>
      <c r="I564" t="str">
        <f>_xll.BDP("FNDE7027 Mtge","MTG_ORIG_WAL")</f>
        <v>#N/A N/A</v>
      </c>
    </row>
    <row r="565" spans="1:9" x14ac:dyDescent="0.25">
      <c r="A565" t="str">
        <f>_xll.BDP("FNDE7575 Mtge","ID_CUSIP")</f>
        <v>3140BLMZ2</v>
      </c>
      <c r="B565" t="str">
        <f>_xll.BDP("FNDE7575 Mtge","SECURITY_NAME")</f>
        <v>FN DE7575</v>
      </c>
      <c r="C565" t="str">
        <f>_xll.BDP("FNDE7575 Mtge","GENERIC_TICKER_VINTAGE")</f>
        <v>FNCL 6 2025</v>
      </c>
      <c r="D565" t="str">
        <f>_xll.BDP("FNDE7575 Mtge","CRNCY")</f>
        <v>USD</v>
      </c>
      <c r="E565">
        <v>6741486</v>
      </c>
      <c r="F565">
        <f>_xll.BDP("FNDE7575 Mtge","CPN")</f>
        <v>6</v>
      </c>
      <c r="G565">
        <f>_xll.BDP("FNDE7575 Mtge","MTG_FACTOR")</f>
        <v>0.90606977</v>
      </c>
      <c r="H565">
        <f>_xll.BDP("FNDE7575 Mtge","MTG_WAL")</f>
        <v>3.3967000000000001</v>
      </c>
      <c r="I565" t="str">
        <f>_xll.BDP("FNDE7575 Mtge","MTG_ORIG_WAL")</f>
        <v>#N/A N/A</v>
      </c>
    </row>
    <row r="566" spans="1:9" x14ac:dyDescent="0.25">
      <c r="A566" t="str">
        <f>_xll.BDP("FNDE7654 Mtge","ID_CUSIP")</f>
        <v>3140BLQG0</v>
      </c>
      <c r="B566" t="str">
        <f>_xll.BDP("FNDE7654 Mtge","SECURITY_NAME")</f>
        <v>FN DE7654</v>
      </c>
      <c r="C566" t="str">
        <f>_xll.BDP("FNDE7654 Mtge","GENERIC_TICKER_VINTAGE")</f>
        <v>FNCL 6 2025</v>
      </c>
      <c r="D566" t="str">
        <f>_xll.BDP("FNDE7654 Mtge","CRNCY")</f>
        <v>USD</v>
      </c>
      <c r="E566">
        <v>4498242</v>
      </c>
      <c r="F566">
        <f>_xll.BDP("FNDE7654 Mtge","CPN")</f>
        <v>6</v>
      </c>
      <c r="G566">
        <f>_xll.BDP("FNDE7654 Mtge","MTG_FACTOR")</f>
        <v>0.97711440999999999</v>
      </c>
      <c r="H566">
        <f>_xll.BDP("FNDE7654 Mtge","MTG_WAL")</f>
        <v>3.3954</v>
      </c>
      <c r="I566" t="str">
        <f>_xll.BDP("FNDE7654 Mtge","MTG_ORIG_WAL")</f>
        <v>#N/A N/A</v>
      </c>
    </row>
    <row r="567" spans="1:9" x14ac:dyDescent="0.25">
      <c r="A567" t="str">
        <f>_xll.BDP("FNFA1452 Mtge","ID_CUSIP")</f>
        <v>3140W1TJ2</v>
      </c>
      <c r="B567" t="str">
        <f>_xll.BDP("FNFA1452 Mtge","SECURITY_NAME")</f>
        <v>FN FA1452</v>
      </c>
      <c r="C567" t="str">
        <f>_xll.BDP("FNFA1452 Mtge","GENERIC_TICKER_VINTAGE")</f>
        <v>FNCL 6 2025</v>
      </c>
      <c r="D567" t="str">
        <f>_xll.BDP("FNFA1452 Mtge","CRNCY")</f>
        <v>USD</v>
      </c>
      <c r="E567">
        <v>40235465</v>
      </c>
      <c r="F567">
        <f>_xll.BDP("FNFA1452 Mtge","CPN")</f>
        <v>6</v>
      </c>
      <c r="G567">
        <f>_xll.BDP("FNFA1452 Mtge","MTG_FACTOR")</f>
        <v>0.85004075999999995</v>
      </c>
      <c r="H567">
        <f>_xll.BDP("FNFA1452 Mtge","MTG_WAL")</f>
        <v>3.1623000000000001</v>
      </c>
      <c r="I567" t="str">
        <f>_xll.BDP("FNFA1452 Mtge","MTG_ORIG_WAL")</f>
        <v>#N/A N/A</v>
      </c>
    </row>
    <row r="568" spans="1:9" x14ac:dyDescent="0.25">
      <c r="A568" t="str">
        <f>_xll.BDP("FNFA2043 Mtge","ID_CUSIP")</f>
        <v>3140W2HV6</v>
      </c>
      <c r="B568" t="str">
        <f>_xll.BDP("FNFA2043 Mtge","SECURITY_NAME")</f>
        <v>FN FA2043</v>
      </c>
      <c r="C568" t="str">
        <f>_xll.BDP("FNFA2043 Mtge","GENERIC_TICKER_VINTAGE")</f>
        <v>FNCL 3 2021</v>
      </c>
      <c r="D568" t="str">
        <f>_xll.BDP("FNFA2043 Mtge","CRNCY")</f>
        <v>USD</v>
      </c>
      <c r="E568">
        <v>21262429</v>
      </c>
      <c r="F568">
        <f>_xll.BDP("FNFA2043 Mtge","CPN")</f>
        <v>3</v>
      </c>
      <c r="G568">
        <f>_xll.BDP("FNFA2043 Mtge","MTG_FACTOR")</f>
        <v>0.92586672000000003</v>
      </c>
      <c r="H568">
        <f>_xll.BDP("FNFA2043 Mtge","MTG_WAL")</f>
        <v>8.2713999999999999</v>
      </c>
      <c r="I568" t="str">
        <f>_xll.BDP("FNFA2043 Mtge","MTG_ORIG_WAL")</f>
        <v>#N/A N/A</v>
      </c>
    </row>
    <row r="569" spans="1:9" x14ac:dyDescent="0.25">
      <c r="A569" t="str">
        <f>_xll.BDP("FNFM8079 Mtge","ID_CUSIP")</f>
        <v>3140XB6R6</v>
      </c>
      <c r="B569" t="str">
        <f>_xll.BDP("FNFM8079 Mtge","SECURITY_NAME")</f>
        <v>FN FM8079</v>
      </c>
      <c r="C569" t="str">
        <f>_xll.BDP("FNFM8079 Mtge","GENERIC_TICKER_VINTAGE")</f>
        <v>FNCL 3 2021</v>
      </c>
      <c r="D569" t="str">
        <f>_xll.BDP("FNFM8079 Mtge","CRNCY")</f>
        <v>USD</v>
      </c>
      <c r="E569">
        <v>135699099</v>
      </c>
      <c r="F569">
        <f>_xll.BDP("FNFM8079 Mtge","CPN")</f>
        <v>3</v>
      </c>
      <c r="G569">
        <f>_xll.BDP("FNFM8079 Mtge","MTG_FACTOR")</f>
        <v>0.64535617999999995</v>
      </c>
      <c r="H569">
        <f>_xll.BDP("FNFM8079 Mtge","MTG_WAL")</f>
        <v>8.2007999999999992</v>
      </c>
      <c r="I569" t="str">
        <f>_xll.BDP("FNFM8079 Mtge","MTG_ORIG_WAL")</f>
        <v>#N/A N/A</v>
      </c>
    </row>
    <row r="570" spans="1:9" x14ac:dyDescent="0.25">
      <c r="A570" t="str">
        <f>_xll.BDP("FNFS1373 Mtge","ID_CUSIP")</f>
        <v>3140XGQ36</v>
      </c>
      <c r="B570" t="str">
        <f>_xll.BDP("FNFS1373 Mtge","SECURITY_NAME")</f>
        <v>FN FS1373</v>
      </c>
      <c r="C570" t="str">
        <f>_xll.BDP("FNFS1373 Mtge","GENERIC_TICKER_VINTAGE")</f>
        <v>FNCL 3 2021</v>
      </c>
      <c r="D570" t="str">
        <f>_xll.BDP("FNFS1373 Mtge","CRNCY")</f>
        <v>USD</v>
      </c>
      <c r="E570">
        <v>226759336</v>
      </c>
      <c r="F570">
        <f>_xll.BDP("FNFS1373 Mtge","CPN")</f>
        <v>3</v>
      </c>
      <c r="G570">
        <f>_xll.BDP("FNFS1373 Mtge","MTG_FACTOR")</f>
        <v>0.79068094</v>
      </c>
      <c r="H570">
        <f>_xll.BDP("FNFS1373 Mtge","MTG_WAL")</f>
        <v>8.2573000000000008</v>
      </c>
      <c r="I570" t="str">
        <f>_xll.BDP("FNFS1373 Mtge","MTG_ORIG_WAL")</f>
        <v>#N/A N/A</v>
      </c>
    </row>
    <row r="571" spans="1:9" x14ac:dyDescent="0.25">
      <c r="A571" t="str">
        <f>_xll.BDP("FNFS1476 Mtge","ID_CUSIP")</f>
        <v>3140XGUA5</v>
      </c>
      <c r="B571" t="str">
        <f>_xll.BDP("FNFS1476 Mtge","SECURITY_NAME")</f>
        <v>FN FS1476</v>
      </c>
      <c r="C571" t="str">
        <f>_xll.BDP("FNFS1476 Mtge","GENERIC_TICKER_VINTAGE")</f>
        <v>FNCL 3 2021</v>
      </c>
      <c r="D571" t="str">
        <f>_xll.BDP("FNFS1476 Mtge","CRNCY")</f>
        <v>USD</v>
      </c>
      <c r="E571">
        <v>305487580</v>
      </c>
      <c r="F571">
        <f>_xll.BDP("FNFS1476 Mtge","CPN")</f>
        <v>3</v>
      </c>
      <c r="G571">
        <f>_xll.BDP("FNFS1476 Mtge","MTG_FACTOR")</f>
        <v>0.77564332000000002</v>
      </c>
      <c r="H571">
        <f>_xll.BDP("FNFS1476 Mtge","MTG_WAL")</f>
        <v>8.4206000000000003</v>
      </c>
      <c r="I571" t="str">
        <f>_xll.BDP("FNFS1476 Mtge","MTG_ORIG_WAL")</f>
        <v>#N/A N/A</v>
      </c>
    </row>
    <row r="572" spans="1:9" x14ac:dyDescent="0.25">
      <c r="A572" t="str">
        <f>_xll.BDP("FNFS2676 Mtge","ID_CUSIP")</f>
        <v>3140XH6N2</v>
      </c>
      <c r="B572" t="str">
        <f>_xll.BDP("FNFS2676 Mtge","SECURITY_NAME")</f>
        <v>FN FS2676</v>
      </c>
      <c r="C572" t="str">
        <f>_xll.BDP("FNFS2676 Mtge","GENERIC_TICKER_VINTAGE")</f>
        <v>FNCL 3 2021</v>
      </c>
      <c r="D572" t="str">
        <f>_xll.BDP("FNFS2676 Mtge","CRNCY")</f>
        <v>USD</v>
      </c>
      <c r="E572">
        <v>527948562</v>
      </c>
      <c r="F572">
        <f>_xll.BDP("FNFS2676 Mtge","CPN")</f>
        <v>3</v>
      </c>
      <c r="G572">
        <f>_xll.BDP("FNFS2676 Mtge","MTG_FACTOR")</f>
        <v>0.79562339000000004</v>
      </c>
      <c r="H572">
        <f>_xll.BDP("FNFS2676 Mtge","MTG_WAL")</f>
        <v>8.3527000000000005</v>
      </c>
      <c r="I572" t="str">
        <f>_xll.BDP("FNFS2676 Mtge","MTG_ORIG_WAL")</f>
        <v>#N/A N/A</v>
      </c>
    </row>
    <row r="573" spans="1:9" x14ac:dyDescent="0.25">
      <c r="A573" t="str">
        <f>_xll.BDP("FRQC8887 Mtge","ID_CUSIP")</f>
        <v>3133AT2U4</v>
      </c>
      <c r="B573" t="str">
        <f>_xll.BDP("FRQC8887 Mtge","SECURITY_NAME")</f>
        <v>FR QC8887</v>
      </c>
      <c r="C573" t="str">
        <f>_xll.BDP("FRQC8887 Mtge","GENERIC_TICKER_VINTAGE")</f>
        <v>FNCL 3 2021</v>
      </c>
      <c r="D573" t="str">
        <f>_xll.BDP("FRQC8887 Mtge","CRNCY")</f>
        <v>USD</v>
      </c>
      <c r="E573">
        <v>24972866</v>
      </c>
      <c r="F573">
        <f>_xll.BDP("FRQC8887 Mtge","CPN")</f>
        <v>3</v>
      </c>
      <c r="G573">
        <f>_xll.BDP("FRQC8887 Mtge","MTG_FACTOR")</f>
        <v>0.72131420000000002</v>
      </c>
      <c r="H573">
        <f>_xll.BDP("FRQC8887 Mtge","MTG_WAL")</f>
        <v>8.1782000000000004</v>
      </c>
      <c r="I573" t="str">
        <f>_xll.BDP("FRQC8887 Mtge","MTG_ORIG_WAL")</f>
        <v>#N/A N/A</v>
      </c>
    </row>
    <row r="574" spans="1:9" x14ac:dyDescent="0.25">
      <c r="A574" t="str">
        <f>_xll.BDP("FRQX5702 Mtge","ID_CUSIP")</f>
        <v>31426BKQ8</v>
      </c>
      <c r="B574" t="str">
        <f>_xll.BDP("FRQX5702 Mtge","SECURITY_NAME")</f>
        <v>FR QX5702</v>
      </c>
      <c r="C574" t="str">
        <f>_xll.BDP("FRQX5702 Mtge","GENERIC_TICKER_VINTAGE")</f>
        <v>FNCL 6 2025</v>
      </c>
      <c r="D574" t="str">
        <f>_xll.BDP("FRQX5702 Mtge","CRNCY")</f>
        <v>USD</v>
      </c>
      <c r="E574">
        <v>1343710</v>
      </c>
      <c r="F574">
        <f>_xll.BDP("FRQX5702 Mtge","CPN")</f>
        <v>6</v>
      </c>
      <c r="G574">
        <f>_xll.BDP("FRQX5702 Mtge","MTG_FACTOR")</f>
        <v>0.73157307999999999</v>
      </c>
      <c r="H574">
        <f>_xll.BDP("FRQX5702 Mtge","MTG_WAL")</f>
        <v>3.1598000000000002</v>
      </c>
      <c r="I574" t="str">
        <f>_xll.BDP("FRQX5702 Mtge","MTG_ORIG_WAL")</f>
        <v>#N/A N/A</v>
      </c>
    </row>
    <row r="575" spans="1:9" x14ac:dyDescent="0.25">
      <c r="A575" t="str">
        <f>_xll.BDP("FRQX7437 Mtge","ID_CUSIP")</f>
        <v>31426DHP0</v>
      </c>
      <c r="B575" t="str">
        <f>_xll.BDP("FRQX7437 Mtge","SECURITY_NAME")</f>
        <v>FR QX7437</v>
      </c>
      <c r="C575" t="str">
        <f>_xll.BDP("FRQX7437 Mtge","GENERIC_TICKER_VINTAGE")</f>
        <v>FNCL 6 2025</v>
      </c>
      <c r="D575" t="str">
        <f>_xll.BDP("FRQX7437 Mtge","CRNCY")</f>
        <v>USD</v>
      </c>
      <c r="E575">
        <v>3208250</v>
      </c>
      <c r="F575">
        <f>_xll.BDP("FRQX7437 Mtge","CPN")</f>
        <v>6</v>
      </c>
      <c r="G575">
        <f>_xll.BDP("FRQX7437 Mtge","MTG_FACTOR")</f>
        <v>0.34793134999999997</v>
      </c>
      <c r="H575">
        <f>_xll.BDP("FRQX7437 Mtge","MTG_WAL")</f>
        <v>3.1621999999999999</v>
      </c>
      <c r="I575" t="str">
        <f>_xll.BDP("FRQX7437 Mtge","MTG_ORIG_WAL")</f>
        <v>#N/A N/A</v>
      </c>
    </row>
    <row r="576" spans="1:9" x14ac:dyDescent="0.25">
      <c r="A576" t="str">
        <f>_xll.BDP("FRQX8832 Mtge","ID_CUSIP")</f>
        <v>31426FY68</v>
      </c>
      <c r="B576" t="str">
        <f>_xll.BDP("FRQX8832 Mtge","SECURITY_NAME")</f>
        <v>FR QX8832</v>
      </c>
      <c r="C576" t="str">
        <f>_xll.BDP("FRQX8832 Mtge","GENERIC_TICKER_VINTAGE")</f>
        <v>FNCL 6 2025</v>
      </c>
      <c r="D576" t="str">
        <f>_xll.BDP("FRQX8832 Mtge","CRNCY")</f>
        <v>USD</v>
      </c>
      <c r="E576">
        <v>19202121</v>
      </c>
      <c r="F576">
        <f>_xll.BDP("FRQX8832 Mtge","CPN")</f>
        <v>6</v>
      </c>
      <c r="G576">
        <f>_xll.BDP("FRQX8832 Mtge","MTG_FACTOR")</f>
        <v>0.81418681000000004</v>
      </c>
      <c r="H576">
        <f>_xll.BDP("FRQX8832 Mtge","MTG_WAL")</f>
        <v>3.1999</v>
      </c>
      <c r="I576" t="str">
        <f>_xll.BDP("FRQX8832 Mtge","MTG_ORIG_WAL")</f>
        <v>#N/A N/A</v>
      </c>
    </row>
    <row r="577" spans="1:9" x14ac:dyDescent="0.25">
      <c r="A577" t="str">
        <f>_xll.BDP("FRQY0782 Mtge","ID_CUSIP")</f>
        <v>31426J2Q1</v>
      </c>
      <c r="B577" t="str">
        <f>_xll.BDP("FRQY0782 Mtge","SECURITY_NAME")</f>
        <v>FR QY0782</v>
      </c>
      <c r="C577" t="str">
        <f>_xll.BDP("FRQY0782 Mtge","GENERIC_TICKER_VINTAGE")</f>
        <v>FNCL 6 2025</v>
      </c>
      <c r="D577" t="str">
        <f>_xll.BDP("FRQY0782 Mtge","CRNCY")</f>
        <v>USD</v>
      </c>
      <c r="E577">
        <v>7252266</v>
      </c>
      <c r="F577">
        <f>_xll.BDP("FRQY0782 Mtge","CPN")</f>
        <v>6</v>
      </c>
      <c r="G577">
        <f>_xll.BDP("FRQY0782 Mtge","MTG_FACTOR")</f>
        <v>0.81182703000000001</v>
      </c>
      <c r="H577">
        <f>_xll.BDP("FRQY0782 Mtge","MTG_WAL")</f>
        <v>3.2501000000000002</v>
      </c>
      <c r="I577" t="str">
        <f>_xll.BDP("FRQY0782 Mtge","MTG_ORIG_WAL")</f>
        <v>#N/A N/A</v>
      </c>
    </row>
    <row r="578" spans="1:9" x14ac:dyDescent="0.25">
      <c r="A578" t="str">
        <f>_xll.BDP("FRQY2221 Mtge","ID_CUSIP")</f>
        <v>31426LPF5</v>
      </c>
      <c r="B578" t="str">
        <f>_xll.BDP("FRQY2221 Mtge","SECURITY_NAME")</f>
        <v>FR QY2221</v>
      </c>
      <c r="C578" t="str">
        <f>_xll.BDP("FRQY2221 Mtge","GENERIC_TICKER_VINTAGE")</f>
        <v>FNCL 6 2025</v>
      </c>
      <c r="D578" t="str">
        <f>_xll.BDP("FRQY2221 Mtge","CRNCY")</f>
        <v>USD</v>
      </c>
      <c r="E578">
        <v>4565445</v>
      </c>
      <c r="F578">
        <f>_xll.BDP("FRQY2221 Mtge","CPN")</f>
        <v>6</v>
      </c>
      <c r="G578">
        <f>_xll.BDP("FRQY2221 Mtge","MTG_FACTOR")</f>
        <v>0.95014162000000002</v>
      </c>
      <c r="H578">
        <f>_xll.BDP("FRQY2221 Mtge","MTG_WAL")</f>
        <v>3.1968000000000001</v>
      </c>
      <c r="I578" t="str">
        <f>_xll.BDP("FRQY2221 Mtge","MTG_ORIG_WAL")</f>
        <v>#N/A N/A</v>
      </c>
    </row>
    <row r="579" spans="1:9" x14ac:dyDescent="0.25">
      <c r="A579" t="str">
        <f>_xll.BDP("FRQY2554 Mtge","ID_CUSIP")</f>
        <v>31426LZU1</v>
      </c>
      <c r="B579" t="str">
        <f>_xll.BDP("FRQY2554 Mtge","SECURITY_NAME")</f>
        <v>FR QY2554</v>
      </c>
      <c r="C579" t="str">
        <f>_xll.BDP("FRQY2554 Mtge","GENERIC_TICKER_VINTAGE")</f>
        <v>FNCL 6 2025</v>
      </c>
      <c r="D579" t="str">
        <f>_xll.BDP("FRQY2554 Mtge","CRNCY")</f>
        <v>USD</v>
      </c>
      <c r="E579">
        <v>17696582</v>
      </c>
      <c r="F579">
        <f>_xll.BDP("FRQY2554 Mtge","CPN")</f>
        <v>6</v>
      </c>
      <c r="G579">
        <f>_xll.BDP("FRQY2554 Mtge","MTG_FACTOR")</f>
        <v>0.89922047000000005</v>
      </c>
      <c r="H579">
        <f>_xll.BDP("FRQY2554 Mtge","MTG_WAL")</f>
        <v>3.1909000000000001</v>
      </c>
      <c r="I579" t="str">
        <f>_xll.BDP("FRQY2554 Mtge","MTG_ORIG_WAL")</f>
        <v>#N/A N/A</v>
      </c>
    </row>
    <row r="580" spans="1:9" x14ac:dyDescent="0.25">
      <c r="A580" t="str">
        <f>_xll.BDP("FRQY3294 Mtge","ID_CUSIP")</f>
        <v>31426MUU4</v>
      </c>
      <c r="B580" t="str">
        <f>_xll.BDP("FRQY3294 Mtge","SECURITY_NAME")</f>
        <v>FR QY3294</v>
      </c>
      <c r="C580" t="str">
        <f>_xll.BDP("FRQY3294 Mtge","GENERIC_TICKER_VINTAGE")</f>
        <v>FNCL 6 2025</v>
      </c>
      <c r="D580" t="str">
        <f>_xll.BDP("FRQY3294 Mtge","CRNCY")</f>
        <v>USD</v>
      </c>
      <c r="E580">
        <v>15631438</v>
      </c>
      <c r="F580">
        <f>_xll.BDP("FRQY3294 Mtge","CPN")</f>
        <v>6</v>
      </c>
      <c r="G580">
        <f>_xll.BDP("FRQY3294 Mtge","MTG_FACTOR")</f>
        <v>0.89199156999999996</v>
      </c>
      <c r="H580">
        <f>_xll.BDP("FRQY3294 Mtge","MTG_WAL")</f>
        <v>3.2961</v>
      </c>
      <c r="I580" t="str">
        <f>_xll.BDP("FRQY3294 Mtge","MTG_ORIG_WAL")</f>
        <v>#N/A N/A</v>
      </c>
    </row>
    <row r="581" spans="1:9" x14ac:dyDescent="0.25">
      <c r="A581" t="str">
        <f>_xll.BDP("FRQY5270 Mtge","ID_CUSIP")</f>
        <v>31426P2C8</v>
      </c>
      <c r="B581" t="str">
        <f>_xll.BDP("FRQY5270 Mtge","SECURITY_NAME")</f>
        <v>FR QY5270</v>
      </c>
      <c r="C581" t="str">
        <f>_xll.BDP("FRQY5270 Mtge","GENERIC_TICKER_VINTAGE")</f>
        <v>FNCL 6 2025</v>
      </c>
      <c r="D581" t="str">
        <f>_xll.BDP("FRQY5270 Mtge","CRNCY")</f>
        <v>USD</v>
      </c>
      <c r="E581">
        <v>1185650</v>
      </c>
      <c r="F581">
        <f>_xll.BDP("FRQY5270 Mtge","CPN")</f>
        <v>6</v>
      </c>
      <c r="G581">
        <f>_xll.BDP("FRQY5270 Mtge","MTG_FACTOR")</f>
        <v>0.99205553000000002</v>
      </c>
      <c r="H581">
        <f>_xll.BDP("FRQY5270 Mtge","MTG_WAL")</f>
        <v>3.3422999999999998</v>
      </c>
      <c r="I581" t="str">
        <f>_xll.BDP("FRQY5270 Mtge","MTG_ORIG_WAL")</f>
        <v>#N/A N/A</v>
      </c>
    </row>
    <row r="582" spans="1:9" x14ac:dyDescent="0.25">
      <c r="A582" t="str">
        <f>_xll.BDP("FRQY5283 Mtge","ID_CUSIP")</f>
        <v>31426P2R5</v>
      </c>
      <c r="B582" t="str">
        <f>_xll.BDP("FRQY5283 Mtge","SECURITY_NAME")</f>
        <v>FR QY5283</v>
      </c>
      <c r="C582" t="str">
        <f>_xll.BDP("FRQY5283 Mtge","GENERIC_TICKER_VINTAGE")</f>
        <v>FNCL 6 2025</v>
      </c>
      <c r="D582" t="str">
        <f>_xll.BDP("FRQY5283 Mtge","CRNCY")</f>
        <v>USD</v>
      </c>
      <c r="E582">
        <v>3099848</v>
      </c>
      <c r="F582">
        <f>_xll.BDP("FRQY5283 Mtge","CPN")</f>
        <v>6</v>
      </c>
      <c r="G582">
        <f>_xll.BDP("FRQY5283 Mtge","MTG_FACTOR")</f>
        <v>0.99157503000000002</v>
      </c>
      <c r="H582">
        <f>_xll.BDP("FRQY5283 Mtge","MTG_WAL")</f>
        <v>3.3448000000000002</v>
      </c>
      <c r="I582" t="str">
        <f>_xll.BDP("FRQY5283 Mtge","MTG_ORIG_WAL")</f>
        <v>#N/A N/A</v>
      </c>
    </row>
    <row r="583" spans="1:9" x14ac:dyDescent="0.25">
      <c r="A583" t="str">
        <f>_xll.BDP("FRQY5365 Mtge","ID_CUSIP")</f>
        <v>31426P6B6</v>
      </c>
      <c r="B583" t="str">
        <f>_xll.BDP("FRQY5365 Mtge","SECURITY_NAME")</f>
        <v>FR QY5365</v>
      </c>
      <c r="C583" t="str">
        <f>_xll.BDP("FRQY5365 Mtge","GENERIC_TICKER_VINTAGE")</f>
        <v>FNCL 6 2025</v>
      </c>
      <c r="D583" t="str">
        <f>_xll.BDP("FRQY5365 Mtge","CRNCY")</f>
        <v>USD</v>
      </c>
      <c r="E583">
        <v>35144533</v>
      </c>
      <c r="F583">
        <f>_xll.BDP("FRQY5365 Mtge","CPN")</f>
        <v>6</v>
      </c>
      <c r="G583">
        <f>_xll.BDP("FRQY5365 Mtge","MTG_FACTOR")</f>
        <v>0.73880645</v>
      </c>
      <c r="H583">
        <f>_xll.BDP("FRQY5365 Mtge","MTG_WAL")</f>
        <v>3.3435999999999999</v>
      </c>
      <c r="I583" t="str">
        <f>_xll.BDP("FRQY5365 Mtge","MTG_ORIG_WAL")</f>
        <v>#N/A N/A</v>
      </c>
    </row>
    <row r="584" spans="1:9" x14ac:dyDescent="0.25">
      <c r="A584" t="str">
        <f>_xll.BDP("FRQY5488 Mtge","ID_CUSIP")</f>
        <v>31426QC27</v>
      </c>
      <c r="B584" t="str">
        <f>_xll.BDP("FRQY5488 Mtge","SECURITY_NAME")</f>
        <v>FR QY5488</v>
      </c>
      <c r="C584" t="str">
        <f>_xll.BDP("FRQY5488 Mtge","GENERIC_TICKER_VINTAGE")</f>
        <v>FNCL 6 2025</v>
      </c>
      <c r="D584" t="str">
        <f>_xll.BDP("FRQY5488 Mtge","CRNCY")</f>
        <v>USD</v>
      </c>
      <c r="E584">
        <v>2320703</v>
      </c>
      <c r="F584">
        <f>_xll.BDP("FRQY5488 Mtge","CPN")</f>
        <v>6</v>
      </c>
      <c r="G584">
        <f>_xll.BDP("FRQY5488 Mtge","MTG_FACTOR")</f>
        <v>0.97237521999999998</v>
      </c>
      <c r="H584">
        <f>_xll.BDP("FRQY5488 Mtge","MTG_WAL")</f>
        <v>3.3285</v>
      </c>
      <c r="I584" t="str">
        <f>_xll.BDP("FRQY5488 Mtge","MTG_ORIG_WAL")</f>
        <v>#N/A N/A</v>
      </c>
    </row>
    <row r="585" spans="1:9" x14ac:dyDescent="0.25">
      <c r="A585" t="str">
        <f>_xll.BDP("FRQY5940 Mtge","ID_CUSIP")</f>
        <v>31426QS61</v>
      </c>
      <c r="B585" t="str">
        <f>_xll.BDP("FRQY5940 Mtge","SECURITY_NAME")</f>
        <v>FR QY5940</v>
      </c>
      <c r="C585" t="str">
        <f>_xll.BDP("FRQY5940 Mtge","GENERIC_TICKER_VINTAGE")</f>
        <v>FNCL 6 2025</v>
      </c>
      <c r="D585" t="str">
        <f>_xll.BDP("FRQY5940 Mtge","CRNCY")</f>
        <v>USD</v>
      </c>
      <c r="E585">
        <v>1568649</v>
      </c>
      <c r="F585">
        <f>_xll.BDP("FRQY5940 Mtge","CPN")</f>
        <v>6</v>
      </c>
      <c r="G585">
        <f>_xll.BDP("FRQY5940 Mtge","MTG_FACTOR")</f>
        <v>0.98597983</v>
      </c>
      <c r="H585">
        <f>_xll.BDP("FRQY5940 Mtge","MTG_WAL")</f>
        <v>3.3315000000000001</v>
      </c>
      <c r="I585" t="str">
        <f>_xll.BDP("FRQY5940 Mtge","MTG_ORIG_WAL")</f>
        <v>#N/A N/A</v>
      </c>
    </row>
    <row r="586" spans="1:9" x14ac:dyDescent="0.25">
      <c r="A586" t="str">
        <f>_xll.BDP("FRQY6033 Mtge","ID_CUSIP")</f>
        <v>31426QV34</v>
      </c>
      <c r="B586" t="str">
        <f>_xll.BDP("FRQY6033 Mtge","SECURITY_NAME")</f>
        <v>FR QY6033</v>
      </c>
      <c r="C586" t="str">
        <f>_xll.BDP("FRQY6033 Mtge","GENERIC_TICKER_VINTAGE")</f>
        <v>FNCL 6 2025</v>
      </c>
      <c r="D586" t="str">
        <f>_xll.BDP("FRQY6033 Mtge","CRNCY")</f>
        <v>USD</v>
      </c>
      <c r="E586">
        <v>1834398</v>
      </c>
      <c r="F586">
        <f>_xll.BDP("FRQY6033 Mtge","CPN")</f>
        <v>6</v>
      </c>
      <c r="G586">
        <f>_xll.BDP("FRQY6033 Mtge","MTG_FACTOR")</f>
        <v>0.99225845000000001</v>
      </c>
      <c r="H586">
        <f>_xll.BDP("FRQY6033 Mtge","MTG_WAL")</f>
        <v>3.2959000000000001</v>
      </c>
      <c r="I586" t="str">
        <f>_xll.BDP("FRQY6033 Mtge","MTG_ORIG_WAL")</f>
        <v>#N/A N/A</v>
      </c>
    </row>
    <row r="587" spans="1:9" x14ac:dyDescent="0.25">
      <c r="A587" t="str">
        <f>_xll.BDP("FRQY6117 Mtge","ID_CUSIP")</f>
        <v>31426QYP2</v>
      </c>
      <c r="B587" t="str">
        <f>_xll.BDP("FRQY6117 Mtge","SECURITY_NAME")</f>
        <v>FR QY6117</v>
      </c>
      <c r="C587" t="str">
        <f>_xll.BDP("FRQY6117 Mtge","GENERIC_TICKER_VINTAGE")</f>
        <v>FNCL 6 2025</v>
      </c>
      <c r="D587" t="str">
        <f>_xll.BDP("FRQY6117 Mtge","CRNCY")</f>
        <v>USD</v>
      </c>
      <c r="E587">
        <v>1444693</v>
      </c>
      <c r="F587">
        <f>_xll.BDP("FRQY6117 Mtge","CPN")</f>
        <v>6</v>
      </c>
      <c r="G587">
        <f>_xll.BDP("FRQY6117 Mtge","MTG_FACTOR")</f>
        <v>0.99138473000000005</v>
      </c>
      <c r="H587">
        <f>_xll.BDP("FRQY6117 Mtge","MTG_WAL")</f>
        <v>3.3424</v>
      </c>
      <c r="I587" t="str">
        <f>_xll.BDP("FRQY6117 Mtge","MTG_ORIG_WAL")</f>
        <v>#N/A N/A</v>
      </c>
    </row>
    <row r="588" spans="1:9" x14ac:dyDescent="0.25">
      <c r="A588" t="str">
        <f>_xll.BDP("FRQY6183 Mtge","ID_CUSIP")</f>
        <v>31426Q2R3</v>
      </c>
      <c r="B588" t="str">
        <f>_xll.BDP("FRQY6183 Mtge","SECURITY_NAME")</f>
        <v>FR QY6183</v>
      </c>
      <c r="C588" t="str">
        <f>_xll.BDP("FRQY6183 Mtge","GENERIC_TICKER_VINTAGE")</f>
        <v>FNCL 6 2025</v>
      </c>
      <c r="D588" t="str">
        <f>_xll.BDP("FRQY6183 Mtge","CRNCY")</f>
        <v>USD</v>
      </c>
      <c r="E588">
        <v>6569353</v>
      </c>
      <c r="F588">
        <f>_xll.BDP("FRQY6183 Mtge","CPN")</f>
        <v>6</v>
      </c>
      <c r="G588">
        <f>_xll.BDP("FRQY6183 Mtge","MTG_FACTOR")</f>
        <v>0.90533545999999998</v>
      </c>
      <c r="H588">
        <f>_xll.BDP("FRQY6183 Mtge","MTG_WAL")</f>
        <v>3.3372999999999999</v>
      </c>
      <c r="I588" t="str">
        <f>_xll.BDP("FRQY6183 Mtge","MTG_ORIG_WAL")</f>
        <v>#N/A N/A</v>
      </c>
    </row>
    <row r="589" spans="1:9" x14ac:dyDescent="0.25">
      <c r="A589" t="str">
        <f>_xll.BDP("FRQY6263 Mtge","ID_CUSIP")</f>
        <v>31426Q5Z2</v>
      </c>
      <c r="B589" t="str">
        <f>_xll.BDP("FRQY6263 Mtge","SECURITY_NAME")</f>
        <v>FR QY6263</v>
      </c>
      <c r="C589" t="str">
        <f>_xll.BDP("FRQY6263 Mtge","GENERIC_TICKER_VINTAGE")</f>
        <v>FNCL 6 2025</v>
      </c>
      <c r="D589" t="str">
        <f>_xll.BDP("FRQY6263 Mtge","CRNCY")</f>
        <v>USD</v>
      </c>
      <c r="E589">
        <v>286210</v>
      </c>
      <c r="F589">
        <f>_xll.BDP("FRQY6263 Mtge","CPN")</f>
        <v>6</v>
      </c>
      <c r="G589">
        <f>_xll.BDP("FRQY6263 Mtge","MTG_FACTOR")</f>
        <v>0.99151162000000004</v>
      </c>
      <c r="H589">
        <f>_xll.BDP("FRQY6263 Mtge","MTG_WAL")</f>
        <v>3.2945000000000002</v>
      </c>
      <c r="I589" t="str">
        <f>_xll.BDP("FRQY6263 Mtge","MTG_ORIG_WAL")</f>
        <v>#N/A N/A</v>
      </c>
    </row>
    <row r="590" spans="1:9" x14ac:dyDescent="0.25">
      <c r="A590" t="str">
        <f>_xll.BDP("FRQY6496 Mtge","ID_CUSIP")</f>
        <v>31426RGE5</v>
      </c>
      <c r="B590" t="str">
        <f>_xll.BDP("FRQY6496 Mtge","SECURITY_NAME")</f>
        <v>FR QY6496</v>
      </c>
      <c r="C590" t="str">
        <f>_xll.BDP("FRQY6496 Mtge","GENERIC_TICKER_VINTAGE")</f>
        <v>FNCL 6 2025</v>
      </c>
      <c r="D590" t="str">
        <f>_xll.BDP("FRQY6496 Mtge","CRNCY")</f>
        <v>USD</v>
      </c>
      <c r="E590">
        <v>1153360</v>
      </c>
      <c r="F590">
        <f>_xll.BDP("FRQY6496 Mtge","CPN")</f>
        <v>6</v>
      </c>
      <c r="G590">
        <f>_xll.BDP("FRQY6496 Mtge","MTG_FACTOR")</f>
        <v>0.99076757999999998</v>
      </c>
      <c r="H590">
        <f>_xll.BDP("FRQY6496 Mtge","MTG_WAL")</f>
        <v>3.3464999999999998</v>
      </c>
      <c r="I590" t="str">
        <f>_xll.BDP("FRQY6496 Mtge","MTG_ORIG_WAL")</f>
        <v>#N/A N/A</v>
      </c>
    </row>
    <row r="591" spans="1:9" x14ac:dyDescent="0.25">
      <c r="A591" t="str">
        <f>_xll.BDP("FRQY6613 Mtge","ID_CUSIP")</f>
        <v>31426RK34</v>
      </c>
      <c r="B591" t="str">
        <f>_xll.BDP("FRQY6613 Mtge","SECURITY_NAME")</f>
        <v>FR QY6613</v>
      </c>
      <c r="C591" t="str">
        <f>_xll.BDP("FRQY6613 Mtge","GENERIC_TICKER_VINTAGE")</f>
        <v>FNCL 6 2025</v>
      </c>
      <c r="D591" t="str">
        <f>_xll.BDP("FRQY6613 Mtge","CRNCY")</f>
        <v>USD</v>
      </c>
      <c r="E591">
        <v>6888050</v>
      </c>
      <c r="F591">
        <f>_xll.BDP("FRQY6613 Mtge","CPN")</f>
        <v>6</v>
      </c>
      <c r="G591">
        <f>_xll.BDP("FRQY6613 Mtge","MTG_FACTOR")</f>
        <v>0.84614029999999996</v>
      </c>
      <c r="H591">
        <f>_xll.BDP("FRQY6613 Mtge","MTG_WAL")</f>
        <v>3.3445999999999998</v>
      </c>
      <c r="I591" t="str">
        <f>_xll.BDP("FRQY6613 Mtge","MTG_ORIG_WAL")</f>
        <v>#N/A N/A</v>
      </c>
    </row>
    <row r="592" spans="1:9" x14ac:dyDescent="0.25">
      <c r="A592" t="str">
        <f>_xll.BDP("FRQY6660 Mtge","ID_CUSIP")</f>
        <v>31426RMJ7</v>
      </c>
      <c r="B592" t="str">
        <f>_xll.BDP("FRQY6660 Mtge","SECURITY_NAME")</f>
        <v>FR QY6660</v>
      </c>
      <c r="C592" t="str">
        <f>_xll.BDP("FRQY6660 Mtge","GENERIC_TICKER_VINTAGE")</f>
        <v>FNCL 6 2025</v>
      </c>
      <c r="D592" t="str">
        <f>_xll.BDP("FRQY6660 Mtge","CRNCY")</f>
        <v>USD</v>
      </c>
      <c r="E592">
        <v>8224894</v>
      </c>
      <c r="F592">
        <f>_xll.BDP("FRQY6660 Mtge","CPN")</f>
        <v>6</v>
      </c>
      <c r="G592">
        <f>_xll.BDP("FRQY6660 Mtge","MTG_FACTOR")</f>
        <v>0.83132242000000001</v>
      </c>
      <c r="H592">
        <f>_xll.BDP("FRQY6660 Mtge","MTG_WAL")</f>
        <v>3.3325</v>
      </c>
      <c r="I592" t="str">
        <f>_xll.BDP("FRQY6660 Mtge","MTG_ORIG_WAL")</f>
        <v>#N/A N/A</v>
      </c>
    </row>
    <row r="593" spans="1:9" x14ac:dyDescent="0.25">
      <c r="A593" t="str">
        <f>_xll.BDP("FRQY6733 Mtge","ID_CUSIP")</f>
        <v>31426RPT2</v>
      </c>
      <c r="B593" t="str">
        <f>_xll.BDP("FRQY6733 Mtge","SECURITY_NAME")</f>
        <v>FR QY6733</v>
      </c>
      <c r="C593" t="str">
        <f>_xll.BDP("FRQY6733 Mtge","GENERIC_TICKER_VINTAGE")</f>
        <v>FNCL 6 2025</v>
      </c>
      <c r="D593" t="str">
        <f>_xll.BDP("FRQY6733 Mtge","CRNCY")</f>
        <v>USD</v>
      </c>
      <c r="E593">
        <v>23521795</v>
      </c>
      <c r="F593">
        <f>_xll.BDP("FRQY6733 Mtge","CPN")</f>
        <v>6</v>
      </c>
      <c r="G593">
        <f>_xll.BDP("FRQY6733 Mtge","MTG_FACTOR")</f>
        <v>0.82817187999999997</v>
      </c>
      <c r="H593">
        <f>_xll.BDP("FRQY6733 Mtge","MTG_WAL")</f>
        <v>3.3462999999999998</v>
      </c>
      <c r="I593" t="str">
        <f>_xll.BDP("FRQY6733 Mtge","MTG_ORIG_WAL")</f>
        <v>#N/A N/A</v>
      </c>
    </row>
    <row r="594" spans="1:9" x14ac:dyDescent="0.25">
      <c r="A594" t="str">
        <f>_xll.BDP("FRQY6765 Mtge","ID_CUSIP")</f>
        <v>31426RQT1</v>
      </c>
      <c r="B594" t="str">
        <f>_xll.BDP("FRQY6765 Mtge","SECURITY_NAME")</f>
        <v>FR QY6765</v>
      </c>
      <c r="C594" t="str">
        <f>_xll.BDP("FRQY6765 Mtge","GENERIC_TICKER_VINTAGE")</f>
        <v>FNCL 6 2025</v>
      </c>
      <c r="D594" t="str">
        <f>_xll.BDP("FRQY6765 Mtge","CRNCY")</f>
        <v>USD</v>
      </c>
      <c r="E594">
        <v>10234527</v>
      </c>
      <c r="F594">
        <f>_xll.BDP("FRQY6765 Mtge","CPN")</f>
        <v>6</v>
      </c>
      <c r="G594">
        <f>_xll.BDP("FRQY6765 Mtge","MTG_FACTOR")</f>
        <v>0.94640166999999997</v>
      </c>
      <c r="H594">
        <f>_xll.BDP("FRQY6765 Mtge","MTG_WAL")</f>
        <v>3.3437000000000001</v>
      </c>
      <c r="I594" t="str">
        <f>_xll.BDP("FRQY6765 Mtge","MTG_ORIG_WAL")</f>
        <v>#N/A N/A</v>
      </c>
    </row>
    <row r="595" spans="1:9" x14ac:dyDescent="0.25">
      <c r="A595" t="str">
        <f>_xll.BDP("FRQY6770 Mtge","ID_CUSIP")</f>
        <v>31426RQY0</v>
      </c>
      <c r="B595" t="str">
        <f>_xll.BDP("FRQY6770 Mtge","SECURITY_NAME")</f>
        <v>FR QY6770</v>
      </c>
      <c r="C595" t="str">
        <f>_xll.BDP("FRQY6770 Mtge","GENERIC_TICKER_VINTAGE")</f>
        <v>FNCL 6 2025</v>
      </c>
      <c r="D595" t="str">
        <f>_xll.BDP("FRQY6770 Mtge","CRNCY")</f>
        <v>USD</v>
      </c>
      <c r="E595">
        <v>13170657</v>
      </c>
      <c r="F595">
        <f>_xll.BDP("FRQY6770 Mtge","CPN")</f>
        <v>6</v>
      </c>
      <c r="G595">
        <f>_xll.BDP("FRQY6770 Mtge","MTG_FACTOR")</f>
        <v>0.95916131000000004</v>
      </c>
      <c r="H595">
        <f>_xll.BDP("FRQY6770 Mtge","MTG_WAL")</f>
        <v>3.3401000000000001</v>
      </c>
      <c r="I595" t="str">
        <f>_xll.BDP("FRQY6770 Mtge","MTG_ORIG_WAL")</f>
        <v>#N/A N/A</v>
      </c>
    </row>
    <row r="596" spans="1:9" x14ac:dyDescent="0.25">
      <c r="A596" t="str">
        <f>_xll.BDP("FRQY6788 Mtge","ID_CUSIP")</f>
        <v>31426RRJ2</v>
      </c>
      <c r="B596" t="str">
        <f>_xll.BDP("FRQY6788 Mtge","SECURITY_NAME")</f>
        <v>FR QY6788</v>
      </c>
      <c r="C596" t="str">
        <f>_xll.BDP("FRQY6788 Mtge","GENERIC_TICKER_VINTAGE")</f>
        <v>FNCL 6 2025</v>
      </c>
      <c r="D596" t="str">
        <f>_xll.BDP("FRQY6788 Mtge","CRNCY")</f>
        <v>USD</v>
      </c>
      <c r="E596">
        <v>32824709</v>
      </c>
      <c r="F596">
        <f>_xll.BDP("FRQY6788 Mtge","CPN")</f>
        <v>6</v>
      </c>
      <c r="G596">
        <f>_xll.BDP("FRQY6788 Mtge","MTG_FACTOR")</f>
        <v>0.96530660999999995</v>
      </c>
      <c r="H596">
        <f>_xll.BDP("FRQY6788 Mtge","MTG_WAL")</f>
        <v>3.3365999999999998</v>
      </c>
      <c r="I596" t="str">
        <f>_xll.BDP("FRQY6788 Mtge","MTG_ORIG_WAL")</f>
        <v>#N/A N/A</v>
      </c>
    </row>
    <row r="597" spans="1:9" x14ac:dyDescent="0.25">
      <c r="A597" t="str">
        <f>_xll.BDP("FRQY6806 Mtge","ID_CUSIP")</f>
        <v>31426RR45</v>
      </c>
      <c r="B597" t="str">
        <f>_xll.BDP("FRQY6806 Mtge","SECURITY_NAME")</f>
        <v>FR QY6806</v>
      </c>
      <c r="C597" t="str">
        <f>_xll.BDP("FRQY6806 Mtge","GENERIC_TICKER_VINTAGE")</f>
        <v>FNCL 6 2025</v>
      </c>
      <c r="D597" t="str">
        <f>_xll.BDP("FRQY6806 Mtge","CRNCY")</f>
        <v>USD</v>
      </c>
      <c r="E597">
        <v>1016350</v>
      </c>
      <c r="F597">
        <f>_xll.BDP("FRQY6806 Mtge","CPN")</f>
        <v>6</v>
      </c>
      <c r="G597">
        <f>_xll.BDP("FRQY6806 Mtge","MTG_FACTOR")</f>
        <v>0.99047213999999995</v>
      </c>
      <c r="H597">
        <f>_xll.BDP("FRQY6806 Mtge","MTG_WAL")</f>
        <v>3.3944999999999999</v>
      </c>
      <c r="I597" t="str">
        <f>_xll.BDP("FRQY6806 Mtge","MTG_ORIG_WAL")</f>
        <v>#N/A N/A</v>
      </c>
    </row>
    <row r="598" spans="1:9" x14ac:dyDescent="0.25">
      <c r="A598" t="str">
        <f>_xll.BDP("FRQY6875 Mtge","ID_CUSIP")</f>
        <v>31426RT92</v>
      </c>
      <c r="B598" t="str">
        <f>_xll.BDP("FRQY6875 Mtge","SECURITY_NAME")</f>
        <v>FR QY6875</v>
      </c>
      <c r="C598" t="str">
        <f>_xll.BDP("FRQY6875 Mtge","GENERIC_TICKER_VINTAGE")</f>
        <v>FNCL 6 2025</v>
      </c>
      <c r="D598" t="str">
        <f>_xll.BDP("FRQY6875 Mtge","CRNCY")</f>
        <v>USD</v>
      </c>
      <c r="E598">
        <v>1182211</v>
      </c>
      <c r="F598">
        <f>_xll.BDP("FRQY6875 Mtge","CPN")</f>
        <v>6</v>
      </c>
      <c r="G598">
        <f>_xll.BDP("FRQY6875 Mtge","MTG_FACTOR")</f>
        <v>0.97506420000000005</v>
      </c>
      <c r="H598">
        <f>_xll.BDP("FRQY6875 Mtge","MTG_WAL")</f>
        <v>3.2806000000000002</v>
      </c>
      <c r="I598" t="str">
        <f>_xll.BDP("FRQY6875 Mtge","MTG_ORIG_WAL")</f>
        <v>#N/A N/A</v>
      </c>
    </row>
    <row r="599" spans="1:9" x14ac:dyDescent="0.25">
      <c r="A599" t="str">
        <f>_xll.BDP("FRQY6928 Mtge","ID_CUSIP")</f>
        <v>31426RVW8</v>
      </c>
      <c r="B599" t="str">
        <f>_xll.BDP("FRQY6928 Mtge","SECURITY_NAME")</f>
        <v>FR QY6928</v>
      </c>
      <c r="C599" t="str">
        <f>_xll.BDP("FRQY6928 Mtge","GENERIC_TICKER_VINTAGE")</f>
        <v>FNCL 6 2025</v>
      </c>
      <c r="D599" t="str">
        <f>_xll.BDP("FRQY6928 Mtge","CRNCY")</f>
        <v>USD</v>
      </c>
      <c r="E599">
        <v>6534005</v>
      </c>
      <c r="F599">
        <f>_xll.BDP("FRQY6928 Mtge","CPN")</f>
        <v>6</v>
      </c>
      <c r="G599">
        <f>_xll.BDP("FRQY6928 Mtge","MTG_FACTOR")</f>
        <v>0.94818413000000001</v>
      </c>
      <c r="H599">
        <f>_xll.BDP("FRQY6928 Mtge","MTG_WAL")</f>
        <v>3.3431000000000002</v>
      </c>
      <c r="I599" t="str">
        <f>_xll.BDP("FRQY6928 Mtge","MTG_ORIG_WAL")</f>
        <v>#N/A N/A</v>
      </c>
    </row>
    <row r="600" spans="1:9" x14ac:dyDescent="0.25">
      <c r="A600" t="str">
        <f>_xll.BDP("FRQY6949 Mtge","ID_CUSIP")</f>
        <v>31426RWK3</v>
      </c>
      <c r="B600" t="str">
        <f>_xll.BDP("FRQY6949 Mtge","SECURITY_NAME")</f>
        <v>FR QY6949</v>
      </c>
      <c r="C600" t="str">
        <f>_xll.BDP("FRQY6949 Mtge","GENERIC_TICKER_VINTAGE")</f>
        <v>FNCL 6 2025</v>
      </c>
      <c r="D600" t="str">
        <f>_xll.BDP("FRQY6949 Mtge","CRNCY")</f>
        <v>USD</v>
      </c>
      <c r="E600">
        <v>11941409</v>
      </c>
      <c r="F600">
        <f>_xll.BDP("FRQY6949 Mtge","CPN")</f>
        <v>6</v>
      </c>
      <c r="G600">
        <f>_xll.BDP("FRQY6949 Mtge","MTG_FACTOR")</f>
        <v>0.96033436000000005</v>
      </c>
      <c r="H600">
        <f>_xll.BDP("FRQY6949 Mtge","MTG_WAL")</f>
        <v>3.3407</v>
      </c>
      <c r="I600" t="str">
        <f>_xll.BDP("FRQY6949 Mtge","MTG_ORIG_WAL")</f>
        <v>#N/A N/A</v>
      </c>
    </row>
    <row r="601" spans="1:9" x14ac:dyDescent="0.25">
      <c r="A601" t="str">
        <f>_xll.BDP("FRQY6993 Mtge","ID_CUSIP")</f>
        <v>31426RXX4</v>
      </c>
      <c r="B601" t="str">
        <f>_xll.BDP("FRQY6993 Mtge","SECURITY_NAME")</f>
        <v>FR QY6993</v>
      </c>
      <c r="C601" t="str">
        <f>_xll.BDP("FRQY6993 Mtge","GENERIC_TICKER_VINTAGE")</f>
        <v>FNCL 6 2025</v>
      </c>
      <c r="D601" t="str">
        <f>_xll.BDP("FRQY6993 Mtge","CRNCY")</f>
        <v>USD</v>
      </c>
      <c r="E601">
        <v>14083871</v>
      </c>
      <c r="F601">
        <f>_xll.BDP("FRQY6993 Mtge","CPN")</f>
        <v>6</v>
      </c>
      <c r="G601">
        <f>_xll.BDP("FRQY6993 Mtge","MTG_FACTOR")</f>
        <v>0.87814528999999997</v>
      </c>
      <c r="H601">
        <f>_xll.BDP("FRQY6993 Mtge","MTG_WAL")</f>
        <v>3.3418999999999999</v>
      </c>
      <c r="I601" t="str">
        <f>_xll.BDP("FRQY6993 Mtge","MTG_ORIG_WAL")</f>
        <v>#N/A N/A</v>
      </c>
    </row>
    <row r="602" spans="1:9" x14ac:dyDescent="0.25">
      <c r="A602" t="str">
        <f>_xll.BDP("FRRA5391 Mtge","ID_CUSIP")</f>
        <v>3133KL7C5</v>
      </c>
      <c r="B602" t="str">
        <f>_xll.BDP("FRRA5391 Mtge","SECURITY_NAME")</f>
        <v>FR RA5391</v>
      </c>
      <c r="C602" t="str">
        <f>_xll.BDP("FRRA5391 Mtge","GENERIC_TICKER_VINTAGE")</f>
        <v>FNCL 3 2021</v>
      </c>
      <c r="D602" t="str">
        <f>_xll.BDP("FRRA5391 Mtge","CRNCY")</f>
        <v>USD</v>
      </c>
      <c r="E602">
        <v>225088100</v>
      </c>
      <c r="F602">
        <f>_xll.BDP("FRRA5391 Mtge","CPN")</f>
        <v>3</v>
      </c>
      <c r="G602">
        <f>_xll.BDP("FRRA5391 Mtge","MTG_FACTOR")</f>
        <v>0.76824882999999999</v>
      </c>
      <c r="H602">
        <f>_xll.BDP("FRRA5391 Mtge","MTG_WAL")</f>
        <v>8.2088999999999999</v>
      </c>
      <c r="I602" t="str">
        <f>_xll.BDP("FRRA5391 Mtge","MTG_ORIG_WAL")</f>
        <v>#N/A N/A</v>
      </c>
    </row>
    <row r="603" spans="1:9" x14ac:dyDescent="0.25">
      <c r="A603" t="str">
        <f>_xll.BDP("FRRA6664 Mtge","ID_CUSIP")</f>
        <v>3133KNMM2</v>
      </c>
      <c r="B603" t="str">
        <f>_xll.BDP("FRRA6664 Mtge","SECURITY_NAME")</f>
        <v>FR RA6664</v>
      </c>
      <c r="C603" t="str">
        <f>_xll.BDP("FRRA6664 Mtge","GENERIC_TICKER_VINTAGE")</f>
        <v>FNCL 3 2021</v>
      </c>
      <c r="D603" t="str">
        <f>_xll.BDP("FRRA6664 Mtge","CRNCY")</f>
        <v>USD</v>
      </c>
      <c r="E603">
        <v>250000045</v>
      </c>
      <c r="F603">
        <f>_xll.BDP("FRRA6664 Mtge","CPN")</f>
        <v>3</v>
      </c>
      <c r="G603">
        <f>_xll.BDP("FRRA6664 Mtge","MTG_FACTOR")</f>
        <v>0.73665301999999999</v>
      </c>
      <c r="H603">
        <f>_xll.BDP("FRRA6664 Mtge","MTG_WAL")</f>
        <v>8.4495000000000005</v>
      </c>
      <c r="I603" t="str">
        <f>_xll.BDP("FRRA6664 Mtge","MTG_ORIG_WAL")</f>
        <v>#N/A N/A</v>
      </c>
    </row>
    <row r="604" spans="1:9" x14ac:dyDescent="0.25">
      <c r="A604" t="str">
        <f>_xll.BDP("FRRJ4161 Mtge","ID_CUSIP")</f>
        <v>3142GUTT0</v>
      </c>
      <c r="B604" t="str">
        <f>_xll.BDP("FRRJ4161 Mtge","SECURITY_NAME")</f>
        <v>FR RJ4161</v>
      </c>
      <c r="C604" t="str">
        <f>_xll.BDP("FRRJ4161 Mtge","GENERIC_TICKER_VINTAGE")</f>
        <v>FNCL 6 2025</v>
      </c>
      <c r="D604" t="str">
        <f>_xll.BDP("FRRJ4161 Mtge","CRNCY")</f>
        <v>USD</v>
      </c>
      <c r="E604">
        <v>69580790</v>
      </c>
      <c r="F604">
        <f>_xll.BDP("FRRJ4161 Mtge","CPN")</f>
        <v>6</v>
      </c>
      <c r="G604">
        <f>_xll.BDP("FRRJ4161 Mtge","MTG_FACTOR")</f>
        <v>0.89763879999999996</v>
      </c>
      <c r="H604">
        <f>_xll.BDP("FRRJ4161 Mtge","MTG_WAL")</f>
        <v>3.2425000000000002</v>
      </c>
      <c r="I604" t="str">
        <f>_xll.BDP("FRRJ4161 Mtge","MTG_ORIG_WAL")</f>
        <v>#N/A N/A</v>
      </c>
    </row>
    <row r="605" spans="1:9" x14ac:dyDescent="0.25">
      <c r="A605" t="str">
        <f>_xll.BDP("FRRJ4346 Mtge","ID_CUSIP")</f>
        <v>3142GUZL0</v>
      </c>
      <c r="B605" t="str">
        <f>_xll.BDP("FRRJ4346 Mtge","SECURITY_NAME")</f>
        <v>FR RJ4346</v>
      </c>
      <c r="C605" t="str">
        <f>_xll.BDP("FRRJ4346 Mtge","GENERIC_TICKER_VINTAGE")</f>
        <v>FNCL 6 2025</v>
      </c>
      <c r="D605" t="str">
        <f>_xll.BDP("FRRJ4346 Mtge","CRNCY")</f>
        <v>USD</v>
      </c>
      <c r="E605">
        <v>752442</v>
      </c>
      <c r="F605">
        <f>_xll.BDP("FRRJ4346 Mtge","CPN")</f>
        <v>6</v>
      </c>
      <c r="G605">
        <f>_xll.BDP("FRRJ4346 Mtge","MTG_FACTOR")</f>
        <v>0.99191187000000003</v>
      </c>
      <c r="H605">
        <f>_xll.BDP("FRRJ4346 Mtge","MTG_WAL")</f>
        <v>3.2469999999999999</v>
      </c>
      <c r="I605" t="str">
        <f>_xll.BDP("FRRJ4346 Mtge","MTG_ORIG_WAL")</f>
        <v>#N/A N/A</v>
      </c>
    </row>
    <row r="606" spans="1:9" x14ac:dyDescent="0.25">
      <c r="A606" t="str">
        <f>_xll.BDP("FRRJ4347 Mtge","ID_CUSIP")</f>
        <v>3142GUZM8</v>
      </c>
      <c r="B606" t="str">
        <f>_xll.BDP("FRRJ4347 Mtge","SECURITY_NAME")</f>
        <v>FR RJ4347</v>
      </c>
      <c r="C606" t="str">
        <f>_xll.BDP("FRRJ4347 Mtge","GENERIC_TICKER_VINTAGE")</f>
        <v>FNCL 6 2025</v>
      </c>
      <c r="D606" t="str">
        <f>_xll.BDP("FRRJ4347 Mtge","CRNCY")</f>
        <v>USD</v>
      </c>
      <c r="E606">
        <v>177194139</v>
      </c>
      <c r="F606">
        <f>_xll.BDP("FRRJ4347 Mtge","CPN")</f>
        <v>6</v>
      </c>
      <c r="G606">
        <f>_xll.BDP("FRRJ4347 Mtge","MTG_FACTOR")</f>
        <v>0.89669929999999998</v>
      </c>
      <c r="H606">
        <f>_xll.BDP("FRRJ4347 Mtge","MTG_WAL")</f>
        <v>3.2919</v>
      </c>
      <c r="I606" t="str">
        <f>_xll.BDP("FRRJ4347 Mtge","MTG_ORIG_WAL")</f>
        <v>#N/A N/A</v>
      </c>
    </row>
    <row r="607" spans="1:9" x14ac:dyDescent="0.25">
      <c r="A607" t="str">
        <f>_xll.BDP("FRRJ4379 Mtge","ID_CUSIP")</f>
        <v>3142GU2M4</v>
      </c>
      <c r="B607" t="str">
        <f>_xll.BDP("FRRJ4379 Mtge","SECURITY_NAME")</f>
        <v>FR RJ4379</v>
      </c>
      <c r="C607" t="str">
        <f>_xll.BDP("FRRJ4379 Mtge","GENERIC_TICKER_VINTAGE")</f>
        <v>FNCL 6 2025</v>
      </c>
      <c r="D607" t="str">
        <f>_xll.BDP("FRRJ4379 Mtge","CRNCY")</f>
        <v>USD</v>
      </c>
      <c r="E607">
        <v>83803990</v>
      </c>
      <c r="F607">
        <f>_xll.BDP("FRRJ4379 Mtge","CPN")</f>
        <v>6</v>
      </c>
      <c r="G607">
        <f>_xll.BDP("FRRJ4379 Mtge","MTG_FACTOR")</f>
        <v>0.95370193000000003</v>
      </c>
      <c r="H607">
        <f>_xll.BDP("FRRJ4379 Mtge","MTG_WAL")</f>
        <v>3.2907000000000002</v>
      </c>
      <c r="I607" t="str">
        <f>_xll.BDP("FRRJ4379 Mtge","MTG_ORIG_WAL")</f>
        <v>#N/A N/A</v>
      </c>
    </row>
    <row r="608" spans="1:9" x14ac:dyDescent="0.25">
      <c r="A608" t="str">
        <f>_xll.BDP("FRRJ4384 Mtge","ID_CUSIP")</f>
        <v>3142GU2S1</v>
      </c>
      <c r="B608" t="str">
        <f>_xll.BDP("FRRJ4384 Mtge","SECURITY_NAME")</f>
        <v>FR RJ4384</v>
      </c>
      <c r="C608" t="str">
        <f>_xll.BDP("FRRJ4384 Mtge","GENERIC_TICKER_VINTAGE")</f>
        <v>FNCL 6 2025</v>
      </c>
      <c r="D608" t="str">
        <f>_xll.BDP("FRRJ4384 Mtge","CRNCY")</f>
        <v>USD</v>
      </c>
      <c r="E608">
        <v>119685212</v>
      </c>
      <c r="F608">
        <f>_xll.BDP("FRRJ4384 Mtge","CPN")</f>
        <v>6</v>
      </c>
      <c r="G608">
        <f>_xll.BDP("FRRJ4384 Mtge","MTG_FACTOR")</f>
        <v>0.92243478000000001</v>
      </c>
      <c r="H608">
        <f>_xll.BDP("FRRJ4384 Mtge","MTG_WAL")</f>
        <v>3.3388</v>
      </c>
      <c r="I608" t="str">
        <f>_xll.BDP("FRRJ4384 Mtge","MTG_ORIG_WAL")</f>
        <v>#N/A N/A</v>
      </c>
    </row>
    <row r="609" spans="1:9" x14ac:dyDescent="0.25">
      <c r="A609" t="str">
        <f>_xll.BDP("FRSD0664 Mtge","ID_CUSIP")</f>
        <v>3132DMWZ4</v>
      </c>
      <c r="B609" t="str">
        <f>_xll.BDP("FRSD0664 Mtge","SECURITY_NAME")</f>
        <v>FR SD0664</v>
      </c>
      <c r="C609" t="str">
        <f>_xll.BDP("FRSD0664 Mtge","GENERIC_TICKER_VINTAGE")</f>
        <v>FNCL 3 2021</v>
      </c>
      <c r="D609" t="str">
        <f>_xll.BDP("FRSD0664 Mtge","CRNCY")</f>
        <v>USD</v>
      </c>
      <c r="E609">
        <v>30263012</v>
      </c>
      <c r="F609">
        <f>_xll.BDP("FRSD0664 Mtge","CPN")</f>
        <v>3</v>
      </c>
      <c r="G609">
        <f>_xll.BDP("FRSD0664 Mtge","MTG_FACTOR")</f>
        <v>0.61793165999999999</v>
      </c>
      <c r="H609">
        <f>_xll.BDP("FRSD0664 Mtge","MTG_WAL")</f>
        <v>8.2706999999999997</v>
      </c>
      <c r="I609" t="str">
        <f>_xll.BDP("FRSD0664 Mtge","MTG_ORIG_WAL")</f>
        <v>#N/A N/A</v>
      </c>
    </row>
    <row r="610" spans="1:9" x14ac:dyDescent="0.25">
      <c r="A610" t="str">
        <f>_xll.BDP("FRSD3610 Mtge","ID_CUSIP")</f>
        <v>3132E0AK8</v>
      </c>
      <c r="B610" t="str">
        <f>_xll.BDP("FRSD3610 Mtge","SECURITY_NAME")</f>
        <v>FR SD3610</v>
      </c>
      <c r="C610" t="str">
        <f>_xll.BDP("FRSD3610 Mtge","GENERIC_TICKER_VINTAGE")</f>
        <v>FNCL 3 2021</v>
      </c>
      <c r="D610" t="str">
        <f>_xll.BDP("FRSD3610 Mtge","CRNCY")</f>
        <v>USD</v>
      </c>
      <c r="E610">
        <v>72099264</v>
      </c>
      <c r="F610">
        <f>_xll.BDP("FRSD3610 Mtge","CPN")</f>
        <v>3</v>
      </c>
      <c r="G610">
        <f>_xll.BDP("FRSD3610 Mtge","MTG_FACTOR")</f>
        <v>0.77793215999999998</v>
      </c>
      <c r="H610">
        <f>_xll.BDP("FRSD3610 Mtge","MTG_WAL")</f>
        <v>8.2472999999999992</v>
      </c>
      <c r="I610" t="str">
        <f>_xll.BDP("FRSD3610 Mtge","MTG_ORIG_WAL")</f>
        <v>#N/A N/A</v>
      </c>
    </row>
    <row r="611" spans="1:9" x14ac:dyDescent="0.25">
      <c r="A611" t="str">
        <f>_xll.BDP("FRSD4626 Mtge","ID_CUSIP")</f>
        <v>3132DSD74</v>
      </c>
      <c r="B611" t="str">
        <f>_xll.BDP("FRSD4626 Mtge","SECURITY_NAME")</f>
        <v>FR SD4626</v>
      </c>
      <c r="C611" t="str">
        <f>_xll.BDP("FRSD4626 Mtge","GENERIC_TICKER_VINTAGE")</f>
        <v>FNCL 3 2021</v>
      </c>
      <c r="D611" t="str">
        <f>_xll.BDP("FRSD4626 Mtge","CRNCY")</f>
        <v>USD</v>
      </c>
      <c r="E611">
        <v>97030891</v>
      </c>
      <c r="F611">
        <f>_xll.BDP("FRSD4626 Mtge","CPN")</f>
        <v>3</v>
      </c>
      <c r="G611">
        <f>_xll.BDP("FRSD4626 Mtge","MTG_FACTOR")</f>
        <v>0.82074875000000003</v>
      </c>
      <c r="H611">
        <f>_xll.BDP("FRSD4626 Mtge","MTG_WAL")</f>
        <v>8.2136999999999993</v>
      </c>
      <c r="I611" t="str">
        <f>_xll.BDP("FRSD4626 Mtge","MTG_ORIG_WAL")</f>
        <v>#N/A N/A</v>
      </c>
    </row>
    <row r="612" spans="1:9" x14ac:dyDescent="0.25">
      <c r="A612" t="str">
        <f>_xll.BDP("FRSD7544 Mtge","ID_CUSIP")</f>
        <v>3132DVLZ6</v>
      </c>
      <c r="B612" t="str">
        <f>_xll.BDP("FRSD7544 Mtge","SECURITY_NAME")</f>
        <v>FR SD7544</v>
      </c>
      <c r="C612" t="str">
        <f>_xll.BDP("FRSD7544 Mtge","GENERIC_TICKER_VINTAGE")</f>
        <v>FNCL 3 2021</v>
      </c>
      <c r="D612" t="str">
        <f>_xll.BDP("FRSD7544 Mtge","CRNCY")</f>
        <v>USD</v>
      </c>
      <c r="E612">
        <v>2018568493</v>
      </c>
      <c r="F612">
        <f>_xll.BDP("FRSD7544 Mtge","CPN")</f>
        <v>3</v>
      </c>
      <c r="G612">
        <f>_xll.BDP("FRSD7544 Mtge","MTG_FACTOR")</f>
        <v>0.62265797000000001</v>
      </c>
      <c r="H612">
        <f>_xll.BDP("FRSD7544 Mtge","MTG_WAL")</f>
        <v>8.2668999999999997</v>
      </c>
      <c r="I612" t="str">
        <f>_xll.BDP("FRSD7544 Mtge","MTG_ORIG_WAL")</f>
        <v>#N/A N/A</v>
      </c>
    </row>
    <row r="613" spans="1:9" x14ac:dyDescent="0.25">
      <c r="A613" t="str">
        <f>_xll.BDP("FRSD8142 Mtge","ID_CUSIP")</f>
        <v>3132DWBK8</v>
      </c>
      <c r="B613" t="str">
        <f>_xll.BDP("FRSD8142 Mtge","SECURITY_NAME")</f>
        <v>FR SD8142</v>
      </c>
      <c r="C613" t="str">
        <f>_xll.BDP("FRSD8142 Mtge","GENERIC_TICKER_VINTAGE")</f>
        <v>FNCL 3 2021</v>
      </c>
      <c r="D613" t="str">
        <f>_xll.BDP("FRSD8142 Mtge","CRNCY")</f>
        <v>USD</v>
      </c>
      <c r="E613">
        <v>426971729</v>
      </c>
      <c r="F613">
        <f>_xll.BDP("FRSD8142 Mtge","CPN")</f>
        <v>3</v>
      </c>
      <c r="G613">
        <f>_xll.BDP("FRSD8142 Mtge","MTG_FACTOR")</f>
        <v>0.50523704000000003</v>
      </c>
      <c r="H613">
        <f>_xll.BDP("FRSD8142 Mtge","MTG_WAL")</f>
        <v>8.1677</v>
      </c>
      <c r="I613" t="str">
        <f>_xll.BDP("FRSD8142 Mtge","MTG_ORIG_WAL")</f>
        <v>#N/A N/A</v>
      </c>
    </row>
    <row r="614" spans="1:9" x14ac:dyDescent="0.25">
      <c r="A614" t="str">
        <f>_xll.BDP("FRSL1316 Mtge","ID_CUSIP")</f>
        <v>31427NPA1</v>
      </c>
      <c r="B614" t="str">
        <f>_xll.BDP("FRSL1316 Mtge","SECURITY_NAME")</f>
        <v>FR SL1316</v>
      </c>
      <c r="C614" t="str">
        <f>_xll.BDP("FRSL1316 Mtge","GENERIC_TICKER_VINTAGE")</f>
        <v>FNCL 6 2025</v>
      </c>
      <c r="D614" t="str">
        <f>_xll.BDP("FRSL1316 Mtge","CRNCY")</f>
        <v>USD</v>
      </c>
      <c r="E614">
        <v>19327215</v>
      </c>
      <c r="F614">
        <f>_xll.BDP("FRSL1316 Mtge","CPN")</f>
        <v>6</v>
      </c>
      <c r="G614">
        <f>_xll.BDP("FRSL1316 Mtge","MTG_FACTOR")</f>
        <v>0.78726547999999996</v>
      </c>
      <c r="H614">
        <f>_xll.BDP("FRSL1316 Mtge","MTG_WAL")</f>
        <v>3.226</v>
      </c>
      <c r="I614" t="str">
        <f>_xll.BDP("FRSL1316 Mtge","MTG_ORIG_WAL")</f>
        <v>#N/A N/A</v>
      </c>
    </row>
    <row r="615" spans="1:9" x14ac:dyDescent="0.25">
      <c r="A615" t="str">
        <f>_xll.BDP("FRSL1528 Mtge","ID_CUSIP")</f>
        <v>31427NVW6</v>
      </c>
      <c r="B615" t="str">
        <f>_xll.BDP("FRSL1528 Mtge","SECURITY_NAME")</f>
        <v>FR SL1528</v>
      </c>
      <c r="C615" t="str">
        <f>_xll.BDP("FRSL1528 Mtge","GENERIC_TICKER_VINTAGE")</f>
        <v>FNCL 6 2025</v>
      </c>
      <c r="D615" t="str">
        <f>_xll.BDP("FRSL1528 Mtge","CRNCY")</f>
        <v>USD</v>
      </c>
      <c r="E615">
        <v>7381694</v>
      </c>
      <c r="F615">
        <f>_xll.BDP("FRSL1528 Mtge","CPN")</f>
        <v>6</v>
      </c>
      <c r="G615">
        <f>_xll.BDP("FRSL1528 Mtge","MTG_FACTOR")</f>
        <v>0.96440941999999996</v>
      </c>
      <c r="H615">
        <f>_xll.BDP("FRSL1528 Mtge","MTG_WAL")</f>
        <v>3.1402999999999999</v>
      </c>
      <c r="I615" t="str">
        <f>_xll.BDP("FRSL1528 Mtge","MTG_ORIG_WAL")</f>
        <v>#N/A N/A</v>
      </c>
    </row>
    <row r="616" spans="1:9" x14ac:dyDescent="0.25">
      <c r="A616" t="str">
        <f>_xll.BDP("!!030Y58 Mtge","ID_CUSIP")</f>
        <v>3137H1GF7</v>
      </c>
      <c r="B616" t="str">
        <f>_xll.BDP("!!030Y58 Mtge","SECURITY_NAME")</f>
        <v>FHR 5124 HI</v>
      </c>
      <c r="C616" t="str">
        <f>_xll.BDP("!!030Y58 Mtge","GENERIC_TICKER_VINTAGE")</f>
        <v>FNCL 3 2021</v>
      </c>
      <c r="D616" t="str">
        <f>_xll.BDP("!!030Y58 Mtge","CRNCY")</f>
        <v>USD</v>
      </c>
      <c r="E616">
        <v>32669500</v>
      </c>
      <c r="F616">
        <f>_xll.BDP("!!030Y58 Mtge","CPN")</f>
        <v>3</v>
      </c>
      <c r="G616">
        <f>_xll.BDP("!!030Y58 Mtge","MTG_FACTOR")</f>
        <v>0.67453032000000002</v>
      </c>
      <c r="H616">
        <f>_xll.BDP("!!030Y58 Mtge","MTG_WAL")</f>
        <v>8.2891999999999992</v>
      </c>
      <c r="I616">
        <f>_xll.BDP("!!030Y58 Mtge","MTG_ORIG_WAL")</f>
        <v>6.1</v>
      </c>
    </row>
    <row r="617" spans="1:9" x14ac:dyDescent="0.25">
      <c r="A617" t="str">
        <f>_xll.BDP("!!033WBY Mtge","ID_CUSIP")</f>
        <v>3137H4PZ7</v>
      </c>
      <c r="B617" t="str">
        <f>_xll.BDP("!!033WBY Mtge","SECURITY_NAME")</f>
        <v>FHR 5171 NI</v>
      </c>
      <c r="C617" t="str">
        <f>_xll.BDP("!!033WBY Mtge","GENERIC_TICKER_VINTAGE")</f>
        <v>FNCL 3 2021</v>
      </c>
      <c r="D617" t="str">
        <f>_xll.BDP("!!033WBY Mtge","CRNCY")</f>
        <v>USD</v>
      </c>
      <c r="E617">
        <v>25649333</v>
      </c>
      <c r="F617">
        <f>_xll.BDP("!!033WBY Mtge","CPN")</f>
        <v>3</v>
      </c>
      <c r="G617">
        <f>_xll.BDP("!!033WBY Mtge","MTG_FACTOR")</f>
        <v>0.71881216000000003</v>
      </c>
      <c r="H617">
        <f>_xll.BDP("!!033WBY Mtge","MTG_WAL")</f>
        <v>5.5717999999999996</v>
      </c>
      <c r="I617">
        <f>_xll.BDP("!!033WBY Mtge","MTG_ORIG_WAL")</f>
        <v>4.2</v>
      </c>
    </row>
    <row r="618" spans="1:9" x14ac:dyDescent="0.25">
      <c r="A618" t="str">
        <f>_xll.BDP("!!033XWV Mtge","ID_CUSIP")</f>
        <v>3136BKDQ2</v>
      </c>
      <c r="B618" t="str">
        <f>_xll.BDP("!!033XWV Mtge","SECURITY_NAME")</f>
        <v>FNR 2021-84 KD</v>
      </c>
      <c r="C618" t="str">
        <f>_xll.BDP("!!033XWV Mtge","GENERIC_TICKER_VINTAGE")</f>
        <v>FNCL 3 2021</v>
      </c>
      <c r="D618" t="str">
        <f>_xll.BDP("!!033XWV Mtge","CRNCY")</f>
        <v>USD</v>
      </c>
      <c r="E618">
        <v>212000000</v>
      </c>
      <c r="F618">
        <f>_xll.BDP("!!033XWV Mtge","CPN")</f>
        <v>1.75</v>
      </c>
      <c r="G618">
        <f>_xll.BDP("!!033XWV Mtge","MTG_FACTOR")</f>
        <v>0.69412151</v>
      </c>
      <c r="H618">
        <f>_xll.BDP("!!033XWV Mtge","MTG_WAL")</f>
        <v>6.5689000000000002</v>
      </c>
      <c r="I618">
        <f>_xll.BDP("!!033XWV Mtge","MTG_ORIG_WAL")</f>
        <v>4.5999999999999996</v>
      </c>
    </row>
    <row r="619" spans="1:9" x14ac:dyDescent="0.25">
      <c r="A619" t="str">
        <f>_xll.BDP("!!0348W3 Mtge","ID_CUSIP")</f>
        <v>3137H55S2</v>
      </c>
      <c r="B619" t="str">
        <f>_xll.BDP("!!0348W3 Mtge","SECURITY_NAME")</f>
        <v>FHR 5178 SH</v>
      </c>
      <c r="C619" t="str">
        <f>_xll.BDP("!!0348W3 Mtge","GENERIC_TICKER_VINTAGE")</f>
        <v>FNCL 3 2021</v>
      </c>
      <c r="D619" t="str">
        <f>_xll.BDP("!!0348W3 Mtge","CRNCY")</f>
        <v>USD</v>
      </c>
      <c r="E619">
        <v>10000000</v>
      </c>
      <c r="F619">
        <f>_xll.BDP("!!0348W3 Mtge","CPN")</f>
        <v>0</v>
      </c>
      <c r="G619">
        <f>_xll.BDP("!!0348W3 Mtge","MTG_FACTOR")</f>
        <v>0.72914804</v>
      </c>
      <c r="H619">
        <f>_xll.BDP("!!0348W3 Mtge","MTG_WAL")</f>
        <v>8.3420000000000005</v>
      </c>
      <c r="I619">
        <f>_xll.BDP("!!0348W3 Mtge","MTG_ORIG_WAL")</f>
        <v>6.5</v>
      </c>
    </row>
    <row r="620" spans="1:9" x14ac:dyDescent="0.25">
      <c r="A620" t="str">
        <f>_xll.BDP("!!0349ZQ Mtge","ID_CUSIP")</f>
        <v>3137H4W30</v>
      </c>
      <c r="B620" t="str">
        <f>_xll.BDP("!!0349ZQ Mtge","SECURITY_NAME")</f>
        <v>FHR 5180 PU</v>
      </c>
      <c r="C620" t="str">
        <f>_xll.BDP("!!0349ZQ Mtge","GENERIC_TICKER_VINTAGE")</f>
        <v>FNCL 3 2021</v>
      </c>
      <c r="D620" t="str">
        <f>_xll.BDP("!!0349ZQ Mtge","CRNCY")</f>
        <v>USD</v>
      </c>
      <c r="E620">
        <v>8912000</v>
      </c>
      <c r="F620">
        <f>_xll.BDP("!!0349ZQ Mtge","CPN")</f>
        <v>2</v>
      </c>
      <c r="G620">
        <f>_xll.BDP("!!0349ZQ Mtge","MTG_FACTOR")</f>
        <v>0.97615308999999995</v>
      </c>
      <c r="H620">
        <f>_xll.BDP("!!0349ZQ Mtge","MTG_WAL")</f>
        <v>18.824300000000001</v>
      </c>
      <c r="I620">
        <f>_xll.BDP("!!0349ZQ Mtge","MTG_ORIG_WAL")</f>
        <v>10.4</v>
      </c>
    </row>
    <row r="621" spans="1:9" x14ac:dyDescent="0.25">
      <c r="A621" t="str">
        <f>_xll.BDP("!!034P0J Mtge","ID_CUSIP")</f>
        <v>3136BLLT5</v>
      </c>
      <c r="B621" t="str">
        <f>_xll.BDP("!!034P0J Mtge","SECURITY_NAME")</f>
        <v>FNR 2022-1 FB</v>
      </c>
      <c r="C621" t="str">
        <f>_xll.BDP("!!034P0J Mtge","GENERIC_TICKER_VINTAGE")</f>
        <v>FNCL 3 2021</v>
      </c>
      <c r="D621" t="str">
        <f>_xll.BDP("!!034P0J Mtge","CRNCY")</f>
        <v>USD</v>
      </c>
      <c r="E621">
        <v>66000000</v>
      </c>
      <c r="F621">
        <f>_xll.BDP("!!034P0J Mtge","CPN")</f>
        <v>3</v>
      </c>
      <c r="G621">
        <f>_xll.BDP("!!034P0J Mtge","MTG_FACTOR")</f>
        <v>0.70567131999999999</v>
      </c>
      <c r="H621">
        <f>_xll.BDP("!!034P0J Mtge","MTG_WAL")</f>
        <v>8.2150999999999996</v>
      </c>
      <c r="I621">
        <f>_xll.BDP("!!034P0J Mtge","MTG_ORIG_WAL")</f>
        <v>6.2976700000000001</v>
      </c>
    </row>
    <row r="622" spans="1:9" x14ac:dyDescent="0.25">
      <c r="A622" t="str">
        <f>_xll.BDP("!!035CJ2 Mtge","ID_CUSIP")</f>
        <v>3137H6KD6</v>
      </c>
      <c r="B622" t="str">
        <f>_xll.BDP("!!035CJ2 Mtge","SECURITY_NAME")</f>
        <v>FHR 5200 SA</v>
      </c>
      <c r="C622" t="str">
        <f>_xll.BDP("!!035CJ2 Mtge","GENERIC_TICKER_VINTAGE")</f>
        <v>FNCL 3 2021</v>
      </c>
      <c r="D622" t="str">
        <f>_xll.BDP("!!035CJ2 Mtge","CRNCY")</f>
        <v>USD</v>
      </c>
      <c r="E622">
        <v>38703508</v>
      </c>
      <c r="F622">
        <f>_xll.BDP("!!035CJ2 Mtge","CPN")</f>
        <v>0</v>
      </c>
      <c r="G622">
        <f>_xll.BDP("!!035CJ2 Mtge","MTG_FACTOR")</f>
        <v>0.69339927999999995</v>
      </c>
      <c r="H622">
        <f>_xll.BDP("!!035CJ2 Mtge","MTG_WAL")</f>
        <v>8.1753999999999998</v>
      </c>
      <c r="I622">
        <f>_xll.BDP("!!035CJ2 Mtge","MTG_ORIG_WAL")</f>
        <v>7.2</v>
      </c>
    </row>
    <row r="623" spans="1:9" x14ac:dyDescent="0.25">
      <c r="A623" t="str">
        <f>_xll.BDP("!!03LLT5 Mtge","ID_CUSIP")</f>
        <v>3137HKWQ3</v>
      </c>
      <c r="B623" t="str">
        <f>_xll.BDP("!!03LLT5 Mtge","SECURITY_NAME")</f>
        <v>FHR 5524 NE</v>
      </c>
      <c r="C623" t="str">
        <f>_xll.BDP("!!03LLT5 Mtge","GENERIC_TICKER_VINTAGE")</f>
        <v>FNCL 6 2025</v>
      </c>
      <c r="D623" t="str">
        <f>_xll.BDP("!!03LLT5 Mtge","CRNCY")</f>
        <v>USD</v>
      </c>
      <c r="E623">
        <v>70000000</v>
      </c>
      <c r="F623">
        <f>_xll.BDP("!!03LLT5 Mtge","CPN")</f>
        <v>5</v>
      </c>
      <c r="G623">
        <f>_xll.BDP("!!03LLT5 Mtge","MTG_FACTOR")</f>
        <v>0.55306993999999998</v>
      </c>
      <c r="H623">
        <f>_xll.BDP("!!03LLT5 Mtge","MTG_WAL")</f>
        <v>1.2321</v>
      </c>
      <c r="I623">
        <f>_xll.BDP("!!03LLT5 Mtge","MTG_ORIG_WAL")</f>
        <v>3.1</v>
      </c>
    </row>
    <row r="624" spans="1:9" x14ac:dyDescent="0.25">
      <c r="A624" t="str">
        <f>_xll.BDP("!!03LSX1 Mtge","ID_CUSIP")</f>
        <v>3137HL3Q3</v>
      </c>
      <c r="B624" t="str">
        <f>_xll.BDP("!!03LSX1 Mtge","SECURITY_NAME")</f>
        <v>FHR 5541 SD</v>
      </c>
      <c r="C624" t="str">
        <f>_xll.BDP("!!03LSX1 Mtge","GENERIC_TICKER_VINTAGE")</f>
        <v>FNCL 6 2025</v>
      </c>
      <c r="D624" t="str">
        <f>_xll.BDP("!!03LSX1 Mtge","CRNCY")</f>
        <v>USD</v>
      </c>
      <c r="E624">
        <v>160825199</v>
      </c>
      <c r="F624">
        <f>_xll.BDP("!!03LSX1 Mtge","CPN")</f>
        <v>1.5827899999999999</v>
      </c>
      <c r="G624">
        <f>_xll.BDP("!!03LSX1 Mtge","MTG_FACTOR")</f>
        <v>0.85291287000000005</v>
      </c>
      <c r="H624">
        <f>_xll.BDP("!!03LSX1 Mtge","MTG_WAL")</f>
        <v>3.0733999999999999</v>
      </c>
      <c r="I624">
        <f>_xll.BDP("!!03LSX1 Mtge","MTG_ORIG_WAL")</f>
        <v>6.5</v>
      </c>
    </row>
    <row r="625" spans="1:9" x14ac:dyDescent="0.25">
      <c r="A625" t="str">
        <f>_xll.BDP("!!03M0PG Mtge","ID_CUSIP")</f>
        <v>3137HL3P5</v>
      </c>
      <c r="B625" t="str">
        <f>_xll.BDP("!!03M0PG Mtge","SECURITY_NAME")</f>
        <v>FHR 5541 SA</v>
      </c>
      <c r="C625" t="str">
        <f>_xll.BDP("!!03M0PG Mtge","GENERIC_TICKER_VINTAGE")</f>
        <v>FNCL 6 2025</v>
      </c>
      <c r="D625" t="str">
        <f>_xll.BDP("!!03M0PG Mtge","CRNCY")</f>
        <v>USD</v>
      </c>
      <c r="E625">
        <v>250000000</v>
      </c>
      <c r="F625">
        <f>_xll.BDP("!!03M0PG Mtge","CPN")</f>
        <v>1.4827900000000001</v>
      </c>
      <c r="G625">
        <f>_xll.BDP("!!03M0PG Mtge","MTG_FACTOR")</f>
        <v>0.88904245999999998</v>
      </c>
      <c r="H625">
        <f>_xll.BDP("!!03M0PG Mtge","MTG_WAL")</f>
        <v>3.0947</v>
      </c>
      <c r="I625">
        <f>_xll.BDP("!!03M0PG Mtge","MTG_ORIG_WAL")</f>
        <v>6.5</v>
      </c>
    </row>
    <row r="626" spans="1:9" x14ac:dyDescent="0.25">
      <c r="A626" t="str">
        <f>_xll.BDP("!!03MGC0 Mtge","ID_CUSIP")</f>
        <v>3137HLLY6</v>
      </c>
      <c r="B626" t="str">
        <f>_xll.BDP("!!03MGC0 Mtge","SECURITY_NAME")</f>
        <v>FHR 5543 LZ</v>
      </c>
      <c r="C626" t="str">
        <f>_xll.BDP("!!03MGC0 Mtge","GENERIC_TICKER_VINTAGE")</f>
        <v>FNCL 6 2025</v>
      </c>
      <c r="D626" t="str">
        <f>_xll.BDP("!!03MGC0 Mtge","CRNCY")</f>
        <v>USD</v>
      </c>
      <c r="E626">
        <v>6252207</v>
      </c>
      <c r="F626">
        <f>_xll.BDP("!!03MGC0 Mtge","CPN")</f>
        <v>5.75</v>
      </c>
      <c r="G626">
        <f>_xll.BDP("!!03MGC0 Mtge","MTG_FACTOR")</f>
        <v>1.0489631800000001</v>
      </c>
      <c r="H626">
        <f>_xll.BDP("!!03MGC0 Mtge","MTG_WAL")</f>
        <v>8.4886999999999997</v>
      </c>
      <c r="I626">
        <f>_xll.BDP("!!03MGC0 Mtge","MTG_ORIG_WAL")</f>
        <v>16</v>
      </c>
    </row>
    <row r="627" spans="1:9" x14ac:dyDescent="0.25">
      <c r="A627" t="str">
        <f>_xll.BDP("!!03MH96 Mtge","ID_CUSIP")</f>
        <v>3137HLJH6</v>
      </c>
      <c r="B627" t="str">
        <f>_xll.BDP("!!03MH96 Mtge","SECURITY_NAME")</f>
        <v>FHR 5548 AS</v>
      </c>
      <c r="C627" t="str">
        <f>_xll.BDP("!!03MH96 Mtge","GENERIC_TICKER_VINTAGE")</f>
        <v>FNCL 6 2025</v>
      </c>
      <c r="D627" t="str">
        <f>_xll.BDP("!!03MH96 Mtge","CRNCY")</f>
        <v>USD</v>
      </c>
      <c r="E627">
        <v>220000000</v>
      </c>
      <c r="F627">
        <f>_xll.BDP("!!03MH96 Mtge","CPN")</f>
        <v>0.43279000000000001</v>
      </c>
      <c r="G627">
        <f>_xll.BDP("!!03MH96 Mtge","MTG_FACTOR")</f>
        <v>0.79173642</v>
      </c>
      <c r="H627">
        <f>_xll.BDP("!!03MH96 Mtge","MTG_WAL")</f>
        <v>3.1322999999999999</v>
      </c>
      <c r="I627">
        <f>_xll.BDP("!!03MH96 Mtge","MTG_ORIG_WAL")</f>
        <v>6.6</v>
      </c>
    </row>
    <row r="628" spans="1:9" x14ac:dyDescent="0.25">
      <c r="A628" t="str">
        <f>_xll.BDP("!!03MH9K Mtge","ID_CUSIP")</f>
        <v>3136BWEH5</v>
      </c>
      <c r="B628" t="str">
        <f>_xll.BDP("!!03MH9K Mtge","SECURITY_NAME")</f>
        <v>FNR 2025-45 AB</v>
      </c>
      <c r="C628" t="str">
        <f>_xll.BDP("!!03MH9K Mtge","GENERIC_TICKER_VINTAGE")</f>
        <v>FNCL 6 2025</v>
      </c>
      <c r="D628" t="str">
        <f>_xll.BDP("!!03MH9K Mtge","CRNCY")</f>
        <v>USD</v>
      </c>
      <c r="E628">
        <v>45102000</v>
      </c>
      <c r="F628">
        <f>_xll.BDP("!!03MH9K Mtge","CPN")</f>
        <v>5</v>
      </c>
      <c r="G628">
        <f>_xll.BDP("!!03MH9K Mtge","MTG_FACTOR")</f>
        <v>0.83324962000000002</v>
      </c>
      <c r="H628">
        <f>_xll.BDP("!!03MH9K Mtge","MTG_WAL")</f>
        <v>1.4986999999999999</v>
      </c>
      <c r="I628">
        <f>_xll.BDP("!!03MH9K Mtge","MTG_ORIG_WAL")</f>
        <v>3.3</v>
      </c>
    </row>
    <row r="629" spans="1:9" x14ac:dyDescent="0.25">
      <c r="A629" t="str">
        <f>_xll.BDP("!!03MH9M Mtge","ID_CUSIP")</f>
        <v>3136BWEM4</v>
      </c>
      <c r="B629" t="str">
        <f>_xll.BDP("!!03MH9M Mtge","SECURITY_NAME")</f>
        <v>FNR 2025-45 AV</v>
      </c>
      <c r="C629" t="str">
        <f>_xll.BDP("!!03MH9M Mtge","GENERIC_TICKER_VINTAGE")</f>
        <v>FNCL 6 2025</v>
      </c>
      <c r="D629" t="str">
        <f>_xll.BDP("!!03MH9M Mtge","CRNCY")</f>
        <v>USD</v>
      </c>
      <c r="E629">
        <v>9732000</v>
      </c>
      <c r="F629">
        <f>_xll.BDP("!!03MH9M Mtge","CPN")</f>
        <v>5</v>
      </c>
      <c r="G629">
        <f>_xll.BDP("!!03MH9M Mtge","MTG_FACTOR")</f>
        <v>0.94153701999999995</v>
      </c>
      <c r="H629">
        <f>_xll.BDP("!!03MH9M Mtge","MTG_WAL")</f>
        <v>3.3458000000000001</v>
      </c>
      <c r="I629">
        <f>_xll.BDP("!!03MH9M Mtge","MTG_ORIG_WAL")</f>
        <v>5.5</v>
      </c>
    </row>
    <row r="630" spans="1:9" x14ac:dyDescent="0.25">
      <c r="A630" t="str">
        <f>_xll.BDP("!!03MKR5 Mtge","ID_CUSIP")</f>
        <v>3136BWCR5</v>
      </c>
      <c r="B630" t="str">
        <f>_xll.BDP("!!03MKR5 Mtge","SECURITY_NAME")</f>
        <v>FNR 2025-44 BZ</v>
      </c>
      <c r="C630" t="str">
        <f>_xll.BDP("!!03MKR5 Mtge","GENERIC_TICKER_VINTAGE")</f>
        <v>FNCL 6 2025</v>
      </c>
      <c r="D630" t="str">
        <f>_xll.BDP("!!03MKR5 Mtge","CRNCY")</f>
        <v>USD</v>
      </c>
      <c r="E630">
        <v>13112717</v>
      </c>
      <c r="F630">
        <f>_xll.BDP("!!03MKR5 Mtge","CPN")</f>
        <v>5</v>
      </c>
      <c r="G630">
        <f>_xll.BDP("!!03MKR5 Mtge","MTG_FACTOR")</f>
        <v>1.04245666</v>
      </c>
      <c r="H630">
        <f>_xll.BDP("!!03MKR5 Mtge","MTG_WAL")</f>
        <v>7.0739999999999998</v>
      </c>
      <c r="I630">
        <f>_xll.BDP("!!03MKR5 Mtge","MTG_ORIG_WAL")</f>
        <v>14.508190000000001</v>
      </c>
    </row>
    <row r="631" spans="1:9" x14ac:dyDescent="0.25">
      <c r="A631" t="str">
        <f>_xll.BDP("!!03MPG8 Mtge","ID_CUSIP")</f>
        <v>3137HM2L3</v>
      </c>
      <c r="B631" t="str">
        <f>_xll.BDP("!!03MPG8 Mtge","SECURITY_NAME")</f>
        <v>FHR 5555 FA</v>
      </c>
      <c r="C631" t="str">
        <f>_xll.BDP("!!03MPG8 Mtge","GENERIC_TICKER_VINTAGE")</f>
        <v>FNCL 6 2025</v>
      </c>
      <c r="D631" t="str">
        <f>_xll.BDP("!!03MPG8 Mtge","CRNCY")</f>
        <v>USD</v>
      </c>
      <c r="E631">
        <v>100000000</v>
      </c>
      <c r="F631">
        <f>_xll.BDP("!!03MPG8 Mtge","CPN")</f>
        <v>4.7672100000000004</v>
      </c>
      <c r="G631">
        <f>_xll.BDP("!!03MPG8 Mtge","MTG_FACTOR")</f>
        <v>0.79721315999999998</v>
      </c>
      <c r="H631">
        <f>_xll.BDP("!!03MPG8 Mtge","MTG_WAL")</f>
        <v>3.1322999999999999</v>
      </c>
      <c r="I631">
        <f>_xll.BDP("!!03MPG8 Mtge","MTG_ORIG_WAL")</f>
        <v>6.8</v>
      </c>
    </row>
    <row r="632" spans="1:9" x14ac:dyDescent="0.25">
      <c r="A632" t="str">
        <f>_xll.BDP("!!03MTQN Mtge","ID_CUSIP")</f>
        <v>3137HM6B1</v>
      </c>
      <c r="B632" t="str">
        <f>_xll.BDP("!!03MTQN Mtge","SECURITY_NAME")</f>
        <v>FHR 5561 GJ</v>
      </c>
      <c r="C632" t="str">
        <f>_xll.BDP("!!03MTQN Mtge","GENERIC_TICKER_VINTAGE")</f>
        <v>FNCL 6 2025</v>
      </c>
      <c r="D632" t="str">
        <f>_xll.BDP("!!03MTQN Mtge","CRNCY")</f>
        <v>USD</v>
      </c>
      <c r="E632">
        <v>100000000</v>
      </c>
      <c r="F632">
        <f>_xll.BDP("!!03MTQN Mtge","CPN")</f>
        <v>6</v>
      </c>
      <c r="G632">
        <f>_xll.BDP("!!03MTQN Mtge","MTG_FACTOR")</f>
        <v>0.79721315999999998</v>
      </c>
      <c r="H632">
        <f>_xll.BDP("!!03MTQN Mtge","MTG_WAL")</f>
        <v>3.1694</v>
      </c>
      <c r="I632">
        <f>_xll.BDP("!!03MTQN Mtge","MTG_ORIG_WAL")</f>
        <v>5.8</v>
      </c>
    </row>
    <row r="633" spans="1:9" x14ac:dyDescent="0.25">
      <c r="A633" t="str">
        <f>_xll.BDP("!!03MTQP Mtge","ID_CUSIP")</f>
        <v>3137HM6A3</v>
      </c>
      <c r="B633" t="str">
        <f>_xll.BDP("!!03MTQP Mtge","SECURITY_NAME")</f>
        <v>FHR 5561 GI</v>
      </c>
      <c r="C633" t="str">
        <f>_xll.BDP("!!03MTQP Mtge","GENERIC_TICKER_VINTAGE")</f>
        <v>FNCL 6 2025</v>
      </c>
      <c r="D633" t="str">
        <f>_xll.BDP("!!03MTQP Mtge","CRNCY")</f>
        <v>USD</v>
      </c>
      <c r="E633">
        <v>25000000</v>
      </c>
      <c r="F633">
        <f>_xll.BDP("!!03MTQP Mtge","CPN")</f>
        <v>6</v>
      </c>
      <c r="G633">
        <f>_xll.BDP("!!03MTQP Mtge","MTG_FACTOR")</f>
        <v>0.79721315999999998</v>
      </c>
      <c r="H633">
        <f>_xll.BDP("!!03MTQP Mtge","MTG_WAL")</f>
        <v>3.1694</v>
      </c>
      <c r="I633">
        <f>_xll.BDP("!!03MTQP Mtge","MTG_ORIG_WAL")</f>
        <v>5.8</v>
      </c>
    </row>
    <row r="634" spans="1:9" x14ac:dyDescent="0.25">
      <c r="A634" t="str">
        <f>_xll.BDP("!!03N1JP Mtge","ID_CUSIP")</f>
        <v>3137HM2K5</v>
      </c>
      <c r="B634" t="str">
        <f>_xll.BDP("!!03N1JP Mtge","SECURITY_NAME")</f>
        <v>FHR 5555 EY</v>
      </c>
      <c r="C634" t="str">
        <f>_xll.BDP("!!03N1JP Mtge","GENERIC_TICKER_VINTAGE")</f>
        <v>FNCL 6 2025</v>
      </c>
      <c r="D634" t="str">
        <f>_xll.BDP("!!03N1JP Mtge","CRNCY")</f>
        <v>USD</v>
      </c>
      <c r="E634">
        <v>11870632</v>
      </c>
      <c r="F634">
        <f>_xll.BDP("!!03N1JP Mtge","CPN")</f>
        <v>5</v>
      </c>
      <c r="G634">
        <f>_xll.BDP("!!03N1JP Mtge","MTG_FACTOR")</f>
        <v>1</v>
      </c>
      <c r="H634">
        <f>_xll.BDP("!!03N1JP Mtge","MTG_WAL")</f>
        <v>6.3391999999999999</v>
      </c>
      <c r="I634">
        <f>_xll.BDP("!!03N1JP Mtge","MTG_ORIG_WAL")</f>
        <v>13.2</v>
      </c>
    </row>
    <row r="635" spans="1:9" x14ac:dyDescent="0.25">
      <c r="A635" t="str">
        <f>_xll.BDP("!!03N3BR Mtge","ID_CUSIP")</f>
        <v>3137HLYU0</v>
      </c>
      <c r="B635" t="str">
        <f>_xll.BDP("!!03N3BR Mtge","SECURITY_NAME")</f>
        <v>FHR 5562 PS</v>
      </c>
      <c r="C635" t="str">
        <f>_xll.BDP("!!03N3BR Mtge","GENERIC_TICKER_VINTAGE")</f>
        <v>FNCL 6 2025</v>
      </c>
      <c r="D635" t="str">
        <f>_xll.BDP("!!03N3BR Mtge","CRNCY")</f>
        <v>USD</v>
      </c>
      <c r="E635">
        <v>75816552</v>
      </c>
      <c r="F635">
        <f>_xll.BDP("!!03N3BR Mtge","CPN")</f>
        <v>2.1827899999999998</v>
      </c>
      <c r="G635">
        <f>_xll.BDP("!!03N3BR Mtge","MTG_FACTOR")</f>
        <v>0.96733733</v>
      </c>
      <c r="H635">
        <f>_xll.BDP("!!03N3BR Mtge","MTG_WAL")</f>
        <v>3.4138999999999999</v>
      </c>
      <c r="I635">
        <f>_xll.BDP("!!03N3BR Mtge","MTG_ORIG_WAL")</f>
        <v>6.4</v>
      </c>
    </row>
    <row r="636" spans="1:9" x14ac:dyDescent="0.25">
      <c r="A636" t="str">
        <f>_xll.BDP("!!03N3BS Mtge","ID_CUSIP")</f>
        <v>3137HLYX4</v>
      </c>
      <c r="B636" t="str">
        <f>_xll.BDP("!!03N3BS Mtge","SECURITY_NAME")</f>
        <v>FHR 5562 Z</v>
      </c>
      <c r="C636" t="str">
        <f>_xll.BDP("!!03N3BS Mtge","GENERIC_TICKER_VINTAGE")</f>
        <v>FNCL 6 2025</v>
      </c>
      <c r="D636" t="str">
        <f>_xll.BDP("!!03N3BS Mtge","CRNCY")</f>
        <v>USD</v>
      </c>
      <c r="E636">
        <v>20000000</v>
      </c>
      <c r="F636">
        <f>_xll.BDP("!!03N3BS Mtge","CPN")</f>
        <v>6</v>
      </c>
      <c r="G636">
        <f>_xll.BDP("!!03N3BS Mtge","MTG_FACTOR")</f>
        <v>0.42407708</v>
      </c>
      <c r="H636">
        <f>_xll.BDP("!!03N3BS Mtge","MTG_WAL")</f>
        <v>0.41510000000000002</v>
      </c>
      <c r="I636">
        <f>_xll.BDP("!!03N3BS Mtge","MTG_ORIG_WAL")</f>
        <v>7.8</v>
      </c>
    </row>
    <row r="637" spans="1:9" x14ac:dyDescent="0.25">
      <c r="A637" t="str">
        <f>_xll.BDP("!!03N6X0 Mtge","ID_CUSIP")</f>
        <v>3137HMDV9</v>
      </c>
      <c r="B637" t="str">
        <f>_xll.BDP("!!03N6X0 Mtge","SECURITY_NAME")</f>
        <v>FHR 5564 PL</v>
      </c>
      <c r="C637" t="str">
        <f>_xll.BDP("!!03N6X0 Mtge","GENERIC_TICKER_VINTAGE")</f>
        <v>FNCL 6 2025</v>
      </c>
      <c r="D637" t="str">
        <f>_xll.BDP("!!03N6X0 Mtge","CRNCY")</f>
        <v>USD</v>
      </c>
      <c r="E637">
        <v>25253828</v>
      </c>
      <c r="F637">
        <f>_xll.BDP("!!03N6X0 Mtge","CPN")</f>
        <v>5</v>
      </c>
      <c r="G637">
        <f>_xll.BDP("!!03N6X0 Mtge","MTG_FACTOR")</f>
        <v>1</v>
      </c>
      <c r="H637">
        <f>_xll.BDP("!!03N6X0 Mtge","MTG_WAL")</f>
        <v>9.9788999999999994</v>
      </c>
      <c r="I637">
        <f>_xll.BDP("!!03N6X0 Mtge","MTG_ORIG_WAL")</f>
        <v>16.7</v>
      </c>
    </row>
    <row r="638" spans="1:9" x14ac:dyDescent="0.25">
      <c r="A638" t="str">
        <f>_xll.BDP("!!03N8HG Mtge","ID_CUSIP")</f>
        <v>3137HMCT5</v>
      </c>
      <c r="B638" t="str">
        <f>_xll.BDP("!!03N8HG Mtge","SECURITY_NAME")</f>
        <v>FHR 5564 CZ</v>
      </c>
      <c r="C638" t="str">
        <f>_xll.BDP("!!03N8HG Mtge","GENERIC_TICKER_VINTAGE")</f>
        <v>FNCL 6 2025</v>
      </c>
      <c r="D638" t="str">
        <f>_xll.BDP("!!03N8HG Mtge","CRNCY")</f>
        <v>USD</v>
      </c>
      <c r="E638">
        <v>13733779</v>
      </c>
      <c r="F638">
        <f>_xll.BDP("!!03N8HG Mtge","CPN")</f>
        <v>5</v>
      </c>
      <c r="G638">
        <f>_xll.BDP("!!03N8HG Mtge","MTG_FACTOR")</f>
        <v>1.0338235200000001</v>
      </c>
      <c r="H638">
        <f>_xll.BDP("!!03N8HG Mtge","MTG_WAL")</f>
        <v>7.0422000000000002</v>
      </c>
      <c r="I638">
        <f>_xll.BDP("!!03N8HG Mtge","MTG_ORIG_WAL")</f>
        <v>13.6</v>
      </c>
    </row>
    <row r="639" spans="1:9" x14ac:dyDescent="0.25">
      <c r="A639" t="str">
        <f>_xll.BDP("!!03NC41 Mtge","ID_CUSIP")</f>
        <v>3137HMD49</v>
      </c>
      <c r="B639" t="str">
        <f>_xll.BDP("!!03NC41 Mtge","SECURITY_NAME")</f>
        <v>FHR 5564 FD</v>
      </c>
      <c r="C639" t="str">
        <f>_xll.BDP("!!03NC41 Mtge","GENERIC_TICKER_VINTAGE")</f>
        <v>FNCL 6 2025</v>
      </c>
      <c r="D639" t="str">
        <f>_xll.BDP("!!03NC41 Mtge","CRNCY")</f>
        <v>USD</v>
      </c>
      <c r="E639">
        <v>35000000</v>
      </c>
      <c r="F639">
        <f>_xll.BDP("!!03NC41 Mtge","CPN")</f>
        <v>4.8472099999999996</v>
      </c>
      <c r="G639">
        <f>_xll.BDP("!!03NC41 Mtge","MTG_FACTOR")</f>
        <v>0.94635550000000002</v>
      </c>
      <c r="H639">
        <f>_xll.BDP("!!03NC41 Mtge","MTG_WAL")</f>
        <v>3.3397999999999999</v>
      </c>
      <c r="I639">
        <f>_xll.BDP("!!03NC41 Mtge","MTG_ORIG_WAL")</f>
        <v>6.5</v>
      </c>
    </row>
    <row r="640" spans="1:9" x14ac:dyDescent="0.25">
      <c r="A640" t="str">
        <f>_xll.BDP("!!03NKLH Mtge","ID_CUSIP")</f>
        <v>3137HMHC7</v>
      </c>
      <c r="B640" t="str">
        <f>_xll.BDP("!!03NKLH Mtge","SECURITY_NAME")</f>
        <v>FHR 5566 AL</v>
      </c>
      <c r="C640" t="str">
        <f>_xll.BDP("!!03NKLH Mtge","GENERIC_TICKER_VINTAGE")</f>
        <v>FNCL 6 2025</v>
      </c>
      <c r="D640" t="str">
        <f>_xll.BDP("!!03NKLH Mtge","CRNCY")</f>
        <v>USD</v>
      </c>
      <c r="E640">
        <v>20843980</v>
      </c>
      <c r="F640">
        <f>_xll.BDP("!!03NKLH Mtge","CPN")</f>
        <v>5</v>
      </c>
      <c r="G640">
        <f>_xll.BDP("!!03NKLH Mtge","MTG_FACTOR")</f>
        <v>1</v>
      </c>
      <c r="H640">
        <f>_xll.BDP("!!03NKLH Mtge","MTG_WAL")</f>
        <v>6.2054999999999998</v>
      </c>
      <c r="I640">
        <f>_xll.BDP("!!03NKLH Mtge","MTG_ORIG_WAL")</f>
        <v>12.9</v>
      </c>
    </row>
    <row r="641" spans="1:9" x14ac:dyDescent="0.25">
      <c r="A641" t="str">
        <f>_xll.BDP("!!03NMY5 Mtge","ID_CUSIP")</f>
        <v>3137HMEH9</v>
      </c>
      <c r="B641" t="str">
        <f>_xll.BDP("!!03NMY5 Mtge","SECURITY_NAME")</f>
        <v>FHR 5571 PA</v>
      </c>
      <c r="C641" t="str">
        <f>_xll.BDP("!!03NMY5 Mtge","GENERIC_TICKER_VINTAGE")</f>
        <v>FNCL 6 2025</v>
      </c>
      <c r="D641" t="str">
        <f>_xll.BDP("!!03NMY5 Mtge","CRNCY")</f>
        <v>USD</v>
      </c>
      <c r="E641">
        <v>30000000</v>
      </c>
      <c r="F641">
        <f>_xll.BDP("!!03NMY5 Mtge","CPN")</f>
        <v>5</v>
      </c>
      <c r="G641">
        <f>_xll.BDP("!!03NMY5 Mtge","MTG_FACTOR")</f>
        <v>0.97464236999999998</v>
      </c>
      <c r="H641">
        <f>_xll.BDP("!!03NMY5 Mtge","MTG_WAL")</f>
        <v>2.8693</v>
      </c>
      <c r="I641">
        <f>_xll.BDP("!!03NMY5 Mtge","MTG_ORIG_WAL")</f>
        <v>6.2</v>
      </c>
    </row>
    <row r="642" spans="1:9" x14ac:dyDescent="0.25">
      <c r="A642" t="str">
        <f>_xll.BDP("!!03NMYB Mtge","ID_CUSIP")</f>
        <v>3137HMEM8</v>
      </c>
      <c r="B642" t="str">
        <f>_xll.BDP("!!03NMYB Mtge","SECURITY_NAME")</f>
        <v>FHR 5571 S</v>
      </c>
      <c r="C642" t="str">
        <f>_xll.BDP("!!03NMYB Mtge","GENERIC_TICKER_VINTAGE")</f>
        <v>FNCL 6 2025</v>
      </c>
      <c r="D642" t="str">
        <f>_xll.BDP("!!03NMYB Mtge","CRNCY")</f>
        <v>USD</v>
      </c>
      <c r="E642">
        <v>190522897</v>
      </c>
      <c r="F642">
        <f>_xll.BDP("!!03NMYB Mtge","CPN")</f>
        <v>2.13279</v>
      </c>
      <c r="G642">
        <f>_xll.BDP("!!03NMYB Mtge","MTG_FACTOR")</f>
        <v>0.89927840000000003</v>
      </c>
      <c r="H642">
        <f>_xll.BDP("!!03NMYB Mtge","MTG_WAL")</f>
        <v>3.2208999999999999</v>
      </c>
      <c r="I642">
        <f>_xll.BDP("!!03NMYB Mtge","MTG_ORIG_WAL")</f>
        <v>7.9</v>
      </c>
    </row>
    <row r="643" spans="1:9" x14ac:dyDescent="0.25">
      <c r="A643" t="str">
        <f>_xll.BDP("!!03NN78 Mtge","ID_CUSIP")</f>
        <v>3137HMNL0</v>
      </c>
      <c r="B643" t="str">
        <f>_xll.BDP("!!03NN78 Mtge","SECURITY_NAME")</f>
        <v>FHR 5565 SM</v>
      </c>
      <c r="C643" t="str">
        <f>_xll.BDP("!!03NN78 Mtge","GENERIC_TICKER_VINTAGE")</f>
        <v>FNCL 6 2025</v>
      </c>
      <c r="D643" t="str">
        <f>_xll.BDP("!!03NN78 Mtge","CRNCY")</f>
        <v>USD</v>
      </c>
      <c r="E643">
        <v>144566649</v>
      </c>
      <c r="F643">
        <f>_xll.BDP("!!03NN78 Mtge","CPN")</f>
        <v>1.40279</v>
      </c>
      <c r="G643">
        <f>_xll.BDP("!!03NN78 Mtge","MTG_FACTOR")</f>
        <v>0.73671222999999997</v>
      </c>
      <c r="H643">
        <f>_xll.BDP("!!03NN78 Mtge","MTG_WAL")</f>
        <v>2.9784999999999999</v>
      </c>
      <c r="I643">
        <f>_xll.BDP("!!03NN78 Mtge","MTG_ORIG_WAL")</f>
        <v>6.1</v>
      </c>
    </row>
    <row r="644" spans="1:9" x14ac:dyDescent="0.25">
      <c r="A644" t="str">
        <f>_xll.BDP("!!03NS60 Mtge","ID_CUSIP")</f>
        <v>3137HML40</v>
      </c>
      <c r="B644" t="str">
        <f>_xll.BDP("!!03NS60 Mtge","SECURITY_NAME")</f>
        <v>FHR 5563 ME</v>
      </c>
      <c r="C644" t="str">
        <f>_xll.BDP("!!03NS60 Mtge","GENERIC_TICKER_VINTAGE")</f>
        <v>FNCL 6 2025</v>
      </c>
      <c r="D644" t="str">
        <f>_xll.BDP("!!03NS60 Mtge","CRNCY")</f>
        <v>USD</v>
      </c>
      <c r="E644">
        <v>5000000</v>
      </c>
      <c r="F644">
        <f>_xll.BDP("!!03NS60 Mtge","CPN")</f>
        <v>6.11721</v>
      </c>
      <c r="G644">
        <f>_xll.BDP("!!03NS60 Mtge","MTG_FACTOR")</f>
        <v>0.80760430000000005</v>
      </c>
      <c r="H644">
        <f>_xll.BDP("!!03NS60 Mtge","MTG_WAL")</f>
        <v>3.1322999999999999</v>
      </c>
      <c r="I644">
        <f>_xll.BDP("!!03NS60 Mtge","MTG_ORIG_WAL")</f>
        <v>6.2</v>
      </c>
    </row>
    <row r="645" spans="1:9" x14ac:dyDescent="0.25">
      <c r="A645" t="str">
        <f>_xll.BDP("FNBU1421 Mtge","ID_CUSIP")</f>
        <v>3140M2SK9</v>
      </c>
      <c r="B645" t="str">
        <f>_xll.BDP("FNBU1421 Mtge","SECURITY_NAME")</f>
        <v>FN BU1421</v>
      </c>
      <c r="C645" t="str">
        <f>_xll.BDP("FNBU1421 Mtge","GENERIC_TICKER_VINTAGE")</f>
        <v>FNCL 3 2021</v>
      </c>
      <c r="D645" t="str">
        <f>_xll.BDP("FNBU1421 Mtge","CRNCY")</f>
        <v>USD</v>
      </c>
      <c r="E645">
        <v>67397425</v>
      </c>
      <c r="F645">
        <f>_xll.BDP("FNBU1421 Mtge","CPN")</f>
        <v>3</v>
      </c>
      <c r="G645">
        <f>_xll.BDP("FNBU1421 Mtge","MTG_FACTOR")</f>
        <v>0.72207091999999995</v>
      </c>
      <c r="H645">
        <f>_xll.BDP("FNBU1421 Mtge","MTG_WAL")</f>
        <v>8.2858000000000001</v>
      </c>
      <c r="I645" t="str">
        <f>_xll.BDP("FNBU1421 Mtge","MTG_ORIG_WAL")</f>
        <v>#N/A N/A</v>
      </c>
    </row>
    <row r="646" spans="1:9" x14ac:dyDescent="0.25">
      <c r="A646" t="str">
        <f>_xll.BDP("FNBV1676 Mtge","ID_CUSIP")</f>
        <v>3140ME2J4</v>
      </c>
      <c r="B646" t="str">
        <f>_xll.BDP("FNBV1676 Mtge","SECURITY_NAME")</f>
        <v>FN BV1676</v>
      </c>
      <c r="C646" t="str">
        <f>_xll.BDP("FNBV1676 Mtge","GENERIC_TICKER_VINTAGE")</f>
        <v>FNCL 6 2025</v>
      </c>
      <c r="D646" t="str">
        <f>_xll.BDP("FNBV1676 Mtge","CRNCY")</f>
        <v>USD</v>
      </c>
      <c r="E646">
        <v>2610742</v>
      </c>
      <c r="F646">
        <f>_xll.BDP("FNBV1676 Mtge","CPN")</f>
        <v>6</v>
      </c>
      <c r="G646">
        <f>_xll.BDP("FNBV1676 Mtge","MTG_FACTOR")</f>
        <v>0.98664225999999999</v>
      </c>
      <c r="H646">
        <f>_xll.BDP("FNBV1676 Mtge","MTG_WAL")</f>
        <v>3.2391999999999999</v>
      </c>
      <c r="I646" t="str">
        <f>_xll.BDP("FNBV1676 Mtge","MTG_ORIG_WAL")</f>
        <v>#N/A N/A</v>
      </c>
    </row>
    <row r="647" spans="1:9" x14ac:dyDescent="0.25">
      <c r="A647" t="str">
        <f>_xll.BDP("FNCA9299 Mtge","ID_CUSIP")</f>
        <v>3140QHKM6</v>
      </c>
      <c r="B647" t="str">
        <f>_xll.BDP("FNCA9299 Mtge","SECURITY_NAME")</f>
        <v>FN CA9299</v>
      </c>
      <c r="C647" t="str">
        <f>_xll.BDP("FNCA9299 Mtge","GENERIC_TICKER_VINTAGE")</f>
        <v>FNCL 3 2021</v>
      </c>
      <c r="D647" t="str">
        <f>_xll.BDP("FNCA9299 Mtge","CRNCY")</f>
        <v>USD</v>
      </c>
      <c r="E647">
        <v>183781020</v>
      </c>
      <c r="F647">
        <f>_xll.BDP("FNCA9299 Mtge","CPN")</f>
        <v>3</v>
      </c>
      <c r="G647">
        <f>_xll.BDP("FNCA9299 Mtge","MTG_FACTOR")</f>
        <v>0.62251961</v>
      </c>
      <c r="H647">
        <f>_xll.BDP("FNCA9299 Mtge","MTG_WAL")</f>
        <v>8.2524999999999995</v>
      </c>
      <c r="I647" t="str">
        <f>_xll.BDP("FNCA9299 Mtge","MTG_ORIG_WAL")</f>
        <v>#N/A N/A</v>
      </c>
    </row>
    <row r="648" spans="1:9" x14ac:dyDescent="0.25">
      <c r="A648" t="str">
        <f>_xll.BDP("FNCB0738 Mtge","ID_CUSIP")</f>
        <v>3140QKZC5</v>
      </c>
      <c r="B648" t="str">
        <f>_xll.BDP("FNCB0738 Mtge","SECURITY_NAME")</f>
        <v>FN CB0738</v>
      </c>
      <c r="C648" t="str">
        <f>_xll.BDP("FNCB0738 Mtge","GENERIC_TICKER_VINTAGE")</f>
        <v>FNCL 3 2021</v>
      </c>
      <c r="D648" t="str">
        <f>_xll.BDP("FNCB0738 Mtge","CRNCY")</f>
        <v>USD</v>
      </c>
      <c r="E648">
        <v>150641618</v>
      </c>
      <c r="F648">
        <f>_xll.BDP("FNCB0738 Mtge","CPN")</f>
        <v>3</v>
      </c>
      <c r="G648">
        <f>_xll.BDP("FNCB0738 Mtge","MTG_FACTOR")</f>
        <v>0.69998868999999997</v>
      </c>
      <c r="H648">
        <f>_xll.BDP("FNCB0738 Mtge","MTG_WAL")</f>
        <v>8.2833000000000006</v>
      </c>
      <c r="I648" t="str">
        <f>_xll.BDP("FNCB0738 Mtge","MTG_ORIG_WAL")</f>
        <v>#N/A N/A</v>
      </c>
    </row>
    <row r="649" spans="1:9" x14ac:dyDescent="0.25">
      <c r="A649" t="str">
        <f>_xll.BDP("FNCB0858 Mtge","ID_CUSIP")</f>
        <v>3140QK5U8</v>
      </c>
      <c r="B649" t="str">
        <f>_xll.BDP("FNCB0858 Mtge","SECURITY_NAME")</f>
        <v>FN CB0858</v>
      </c>
      <c r="C649" t="str">
        <f>_xll.BDP("FNCB0858 Mtge","GENERIC_TICKER_VINTAGE")</f>
        <v>FNCL 3 2021</v>
      </c>
      <c r="D649" t="str">
        <f>_xll.BDP("FNCB0858 Mtge","CRNCY")</f>
        <v>USD</v>
      </c>
      <c r="E649">
        <v>176394799</v>
      </c>
      <c r="F649">
        <f>_xll.BDP("FNCB0858 Mtge","CPN")</f>
        <v>3</v>
      </c>
      <c r="G649">
        <f>_xll.BDP("FNCB0858 Mtge","MTG_FACTOR")</f>
        <v>0.77540509999999996</v>
      </c>
      <c r="H649">
        <f>_xll.BDP("FNCB0858 Mtge","MTG_WAL")</f>
        <v>8.1483000000000008</v>
      </c>
      <c r="I649" t="str">
        <f>_xll.BDP("FNCB0858 Mtge","MTG_ORIG_WAL")</f>
        <v>#N/A N/A</v>
      </c>
    </row>
    <row r="650" spans="1:9" x14ac:dyDescent="0.25">
      <c r="A650" t="str">
        <f>_xll.BDP("FNCB2414 Mtge","ID_CUSIP")</f>
        <v>3140QMVG6</v>
      </c>
      <c r="B650" t="str">
        <f>_xll.BDP("FNCB2414 Mtge","SECURITY_NAME")</f>
        <v>FN CB2414</v>
      </c>
      <c r="C650" t="str">
        <f>_xll.BDP("FNCB2414 Mtge","GENERIC_TICKER_VINTAGE")</f>
        <v>FNCL 3 2021</v>
      </c>
      <c r="D650" t="str">
        <f>_xll.BDP("FNCB2414 Mtge","CRNCY")</f>
        <v>USD</v>
      </c>
      <c r="E650">
        <v>128346692</v>
      </c>
      <c r="F650">
        <f>_xll.BDP("FNCB2414 Mtge","CPN")</f>
        <v>3</v>
      </c>
      <c r="G650">
        <f>_xll.BDP("FNCB2414 Mtge","MTG_FACTOR")</f>
        <v>0.70031363000000002</v>
      </c>
      <c r="H650">
        <f>_xll.BDP("FNCB2414 Mtge","MTG_WAL")</f>
        <v>8.32</v>
      </c>
      <c r="I650" t="str">
        <f>_xll.BDP("FNCB2414 Mtge","MTG_ORIG_WAL")</f>
        <v>#N/A N/A</v>
      </c>
    </row>
    <row r="651" spans="1:9" x14ac:dyDescent="0.25">
      <c r="A651" t="str">
        <f>_xll.BDP("FNCC0503 Mtge","ID_CUSIP")</f>
        <v>3140Y6RZ5</v>
      </c>
      <c r="B651" t="str">
        <f>_xll.BDP("FNCC0503 Mtge","SECURITY_NAME")</f>
        <v>FN CC0503</v>
      </c>
      <c r="C651" t="str">
        <f>_xll.BDP("FNCC0503 Mtge","GENERIC_TICKER_VINTAGE")</f>
        <v>FNCL 6 2025</v>
      </c>
      <c r="D651" t="str">
        <f>_xll.BDP("FNCC0503 Mtge","CRNCY")</f>
        <v>USD</v>
      </c>
      <c r="E651">
        <v>2425740</v>
      </c>
      <c r="F651">
        <f>_xll.BDP("FNCC0503 Mtge","CPN")</f>
        <v>6</v>
      </c>
      <c r="G651">
        <f>_xll.BDP("FNCC0503 Mtge","MTG_FACTOR")</f>
        <v>0.97329867000000003</v>
      </c>
      <c r="H651">
        <f>_xll.BDP("FNCC0503 Mtge","MTG_WAL")</f>
        <v>3.2835999999999999</v>
      </c>
      <c r="I651" t="str">
        <f>_xll.BDP("FNCC0503 Mtge","MTG_ORIG_WAL")</f>
        <v>#N/A N/A</v>
      </c>
    </row>
    <row r="652" spans="1:9" x14ac:dyDescent="0.25">
      <c r="A652" t="str">
        <f>_xll.BDP("FNCC0631 Mtge","ID_CUSIP")</f>
        <v>3140Y6VZ0</v>
      </c>
      <c r="B652" t="str">
        <f>_xll.BDP("FNCC0631 Mtge","SECURITY_NAME")</f>
        <v>FN CC0631</v>
      </c>
      <c r="C652" t="str">
        <f>_xll.BDP("FNCC0631 Mtge","GENERIC_TICKER_VINTAGE")</f>
        <v>FNCL 6 2025</v>
      </c>
      <c r="D652" t="str">
        <f>_xll.BDP("FNCC0631 Mtge","CRNCY")</f>
        <v>USD</v>
      </c>
      <c r="E652">
        <v>2583345</v>
      </c>
      <c r="F652">
        <f>_xll.BDP("FNCC0631 Mtge","CPN")</f>
        <v>6</v>
      </c>
      <c r="G652">
        <f>_xll.BDP("FNCC0631 Mtge","MTG_FACTOR")</f>
        <v>0.99082168000000004</v>
      </c>
      <c r="H652">
        <f>_xll.BDP("FNCC0631 Mtge","MTG_WAL")</f>
        <v>3.3424999999999998</v>
      </c>
      <c r="I652" t="str">
        <f>_xll.BDP("FNCC0631 Mtge","MTG_ORIG_WAL")</f>
        <v>#N/A N/A</v>
      </c>
    </row>
    <row r="653" spans="1:9" x14ac:dyDescent="0.25">
      <c r="A653" t="str">
        <f>_xll.BDP("FNCC0719 Mtge","ID_CUSIP")</f>
        <v>3140Y6YR5</v>
      </c>
      <c r="B653" t="str">
        <f>_xll.BDP("FNCC0719 Mtge","SECURITY_NAME")</f>
        <v>FN CC0719</v>
      </c>
      <c r="C653" t="str">
        <f>_xll.BDP("FNCC0719 Mtge","GENERIC_TICKER_VINTAGE")</f>
        <v>FNCL 6 2025</v>
      </c>
      <c r="D653" t="str">
        <f>_xll.BDP("FNCC0719 Mtge","CRNCY")</f>
        <v>USD</v>
      </c>
      <c r="E653">
        <v>114752451</v>
      </c>
      <c r="F653">
        <f>_xll.BDP("FNCC0719 Mtge","CPN")</f>
        <v>6</v>
      </c>
      <c r="G653">
        <f>_xll.BDP("FNCC0719 Mtge","MTG_FACTOR")</f>
        <v>0.94296851000000004</v>
      </c>
      <c r="H653">
        <f>_xll.BDP("FNCC0719 Mtge","MTG_WAL")</f>
        <v>3.3420999999999998</v>
      </c>
      <c r="I653" t="str">
        <f>_xll.BDP("FNCC0719 Mtge","MTG_ORIG_WAL")</f>
        <v>#N/A N/A</v>
      </c>
    </row>
    <row r="654" spans="1:9" x14ac:dyDescent="0.25">
      <c r="A654" t="str">
        <f>_xll.BDP("FNCC0731 Mtge","ID_CUSIP")</f>
        <v>3140Y6Y53</v>
      </c>
      <c r="B654" t="str">
        <f>_xll.BDP("FNCC0731 Mtge","SECURITY_NAME")</f>
        <v>FN CC0731</v>
      </c>
      <c r="C654" t="str">
        <f>_xll.BDP("FNCC0731 Mtge","GENERIC_TICKER_VINTAGE")</f>
        <v>FNCL 6 2025</v>
      </c>
      <c r="D654" t="str">
        <f>_xll.BDP("FNCC0731 Mtge","CRNCY")</f>
        <v>USD</v>
      </c>
      <c r="E654">
        <v>46590711</v>
      </c>
      <c r="F654">
        <f>_xll.BDP("FNCC0731 Mtge","CPN")</f>
        <v>6</v>
      </c>
      <c r="G654">
        <f>_xll.BDP("FNCC0731 Mtge","MTG_FACTOR")</f>
        <v>0.85400184000000001</v>
      </c>
      <c r="H654">
        <f>_xll.BDP("FNCC0731 Mtge","MTG_WAL")</f>
        <v>3.3410000000000002</v>
      </c>
      <c r="I654" t="str">
        <f>_xll.BDP("FNCC0731 Mtge","MTG_ORIG_WAL")</f>
        <v>#N/A N/A</v>
      </c>
    </row>
    <row r="655" spans="1:9" x14ac:dyDescent="0.25">
      <c r="A655" t="str">
        <f>_xll.BDP("FNDC2624 Mtge","ID_CUSIP")</f>
        <v>3140AP4J0</v>
      </c>
      <c r="B655" t="str">
        <f>_xll.BDP("FNDC2624 Mtge","SECURITY_NAME")</f>
        <v>FN DC2624</v>
      </c>
      <c r="C655" t="str">
        <f>_xll.BDP("FNDC2624 Mtge","GENERIC_TICKER_VINTAGE")</f>
        <v>FNCL 6 2025</v>
      </c>
      <c r="D655" t="str">
        <f>_xll.BDP("FNDC2624 Mtge","CRNCY")</f>
        <v>USD</v>
      </c>
      <c r="E655">
        <v>9508583</v>
      </c>
      <c r="F655">
        <f>_xll.BDP("FNDC2624 Mtge","CPN")</f>
        <v>6</v>
      </c>
      <c r="G655">
        <f>_xll.BDP("FNDC2624 Mtge","MTG_FACTOR")</f>
        <v>0.98351184999999997</v>
      </c>
      <c r="H655">
        <f>_xll.BDP("FNDC2624 Mtge","MTG_WAL")</f>
        <v>3.2389000000000001</v>
      </c>
      <c r="I655" t="str">
        <f>_xll.BDP("FNDC2624 Mtge","MTG_ORIG_WAL")</f>
        <v>#N/A N/A</v>
      </c>
    </row>
    <row r="656" spans="1:9" x14ac:dyDescent="0.25">
      <c r="A656" t="str">
        <f>_xll.BDP("FNDC8200 Mtge","ID_CUSIP")</f>
        <v>3140AWDE6</v>
      </c>
      <c r="B656" t="str">
        <f>_xll.BDP("FNDC8200 Mtge","SECURITY_NAME")</f>
        <v>FN DC8200</v>
      </c>
      <c r="C656" t="str">
        <f>_xll.BDP("FNDC8200 Mtge","GENERIC_TICKER_VINTAGE")</f>
        <v>FNCL 6 2025</v>
      </c>
      <c r="D656" t="str">
        <f>_xll.BDP("FNDC8200 Mtge","CRNCY")</f>
        <v>USD</v>
      </c>
      <c r="E656">
        <v>8172969</v>
      </c>
      <c r="F656">
        <f>_xll.BDP("FNDC8200 Mtge","CPN")</f>
        <v>6</v>
      </c>
      <c r="G656">
        <f>_xll.BDP("FNDC8200 Mtge","MTG_FACTOR")</f>
        <v>0.73691812999999995</v>
      </c>
      <c r="H656">
        <f>_xll.BDP("FNDC8200 Mtge","MTG_WAL")</f>
        <v>3.2302</v>
      </c>
      <c r="I656" t="str">
        <f>_xll.BDP("FNDC8200 Mtge","MTG_ORIG_WAL")</f>
        <v>#N/A N/A</v>
      </c>
    </row>
    <row r="657" spans="1:9" x14ac:dyDescent="0.25">
      <c r="A657" t="str">
        <f>_xll.BDP("FNDD3856 Mtge","ID_CUSIP")</f>
        <v>3140B4JA9</v>
      </c>
      <c r="B657" t="str">
        <f>_xll.BDP("FNDD3856 Mtge","SECURITY_NAME")</f>
        <v>FN DD3856</v>
      </c>
      <c r="C657" t="str">
        <f>_xll.BDP("FNDD3856 Mtge","GENERIC_TICKER_VINTAGE")</f>
        <v>FNCL 6 2025</v>
      </c>
      <c r="D657" t="str">
        <f>_xll.BDP("FNDD3856 Mtge","CRNCY")</f>
        <v>USD</v>
      </c>
      <c r="E657">
        <v>4186343</v>
      </c>
      <c r="F657">
        <f>_xll.BDP("FNDD3856 Mtge","CPN")</f>
        <v>6</v>
      </c>
      <c r="G657">
        <f>_xll.BDP("FNDD3856 Mtge","MTG_FACTOR")</f>
        <v>0.83698868999999998</v>
      </c>
      <c r="H657">
        <f>_xll.BDP("FNDD3856 Mtge","MTG_WAL")</f>
        <v>3.1909999999999998</v>
      </c>
      <c r="I657" t="str">
        <f>_xll.BDP("FNDD3856 Mtge","MTG_ORIG_WAL")</f>
        <v>#N/A N/A</v>
      </c>
    </row>
    <row r="658" spans="1:9" x14ac:dyDescent="0.25">
      <c r="A658" t="str">
        <f>_xll.BDP("FNDD4063 Mtge","ID_CUSIP")</f>
        <v>3140B4QR4</v>
      </c>
      <c r="B658" t="str">
        <f>_xll.BDP("FNDD4063 Mtge","SECURITY_NAME")</f>
        <v>FN DD4063</v>
      </c>
      <c r="C658" t="str">
        <f>_xll.BDP("FNDD4063 Mtge","GENERIC_TICKER_VINTAGE")</f>
        <v>FNCL 6 2025</v>
      </c>
      <c r="D658" t="str">
        <f>_xll.BDP("FNDD4063 Mtge","CRNCY")</f>
        <v>USD</v>
      </c>
      <c r="E658">
        <v>10053191</v>
      </c>
      <c r="F658">
        <f>_xll.BDP("FNDD4063 Mtge","CPN")</f>
        <v>6</v>
      </c>
      <c r="G658">
        <f>_xll.BDP("FNDD4063 Mtge","MTG_FACTOR")</f>
        <v>0.98076134999999998</v>
      </c>
      <c r="H658">
        <f>_xll.BDP("FNDD4063 Mtge","MTG_WAL")</f>
        <v>3.1511</v>
      </c>
      <c r="I658" t="str">
        <f>_xll.BDP("FNDD4063 Mtge","MTG_ORIG_WAL")</f>
        <v>#N/A N/A</v>
      </c>
    </row>
    <row r="659" spans="1:9" x14ac:dyDescent="0.25">
      <c r="A659" t="str">
        <f>_xll.BDP("FNDD4340 Mtge","ID_CUSIP")</f>
        <v>3140B4ZE3</v>
      </c>
      <c r="B659" t="str">
        <f>_xll.BDP("FNDD4340 Mtge","SECURITY_NAME")</f>
        <v>FN DD4340</v>
      </c>
      <c r="C659" t="str">
        <f>_xll.BDP("FNDD4340 Mtge","GENERIC_TICKER_VINTAGE")</f>
        <v>FNCL 6 2025</v>
      </c>
      <c r="D659" t="str">
        <f>_xll.BDP("FNDD4340 Mtge","CRNCY")</f>
        <v>USD</v>
      </c>
      <c r="E659">
        <v>1094673</v>
      </c>
      <c r="F659">
        <f>_xll.BDP("FNDD4340 Mtge","CPN")</f>
        <v>6</v>
      </c>
      <c r="G659">
        <f>_xll.BDP("FNDD4340 Mtge","MTG_FACTOR")</f>
        <v>0.98973469999999997</v>
      </c>
      <c r="H659">
        <f>_xll.BDP("FNDD4340 Mtge","MTG_WAL")</f>
        <v>3.2052999999999998</v>
      </c>
      <c r="I659" t="str">
        <f>_xll.BDP("FNDD4340 Mtge","MTG_ORIG_WAL")</f>
        <v>#N/A N/A</v>
      </c>
    </row>
    <row r="660" spans="1:9" x14ac:dyDescent="0.25">
      <c r="A660" t="str">
        <f>_xll.BDP("FNDD4391 Mtge","ID_CUSIP")</f>
        <v>3140B42Z2</v>
      </c>
      <c r="B660" t="str">
        <f>_xll.BDP("FNDD4391 Mtge","SECURITY_NAME")</f>
        <v>FN DD4391</v>
      </c>
      <c r="C660" t="str">
        <f>_xll.BDP("FNDD4391 Mtge","GENERIC_TICKER_VINTAGE")</f>
        <v>FNCL 6 2025</v>
      </c>
      <c r="D660" t="str">
        <f>_xll.BDP("FNDD4391 Mtge","CRNCY")</f>
        <v>USD</v>
      </c>
      <c r="E660">
        <v>7084900</v>
      </c>
      <c r="F660">
        <f>_xll.BDP("FNDD4391 Mtge","CPN")</f>
        <v>6</v>
      </c>
      <c r="G660">
        <f>_xll.BDP("FNDD4391 Mtge","MTG_FACTOR")</f>
        <v>0.97920823999999995</v>
      </c>
      <c r="H660">
        <f>_xll.BDP("FNDD4391 Mtge","MTG_WAL")</f>
        <v>3.2406000000000001</v>
      </c>
      <c r="I660" t="str">
        <f>_xll.BDP("FNDD4391 Mtge","MTG_ORIG_WAL")</f>
        <v>#N/A N/A</v>
      </c>
    </row>
    <row r="661" spans="1:9" x14ac:dyDescent="0.25">
      <c r="A661" t="str">
        <f>_xll.BDP("FNDD4552 Mtge","ID_CUSIP")</f>
        <v>3140B5BW6</v>
      </c>
      <c r="B661" t="str">
        <f>_xll.BDP("FNDD4552 Mtge","SECURITY_NAME")</f>
        <v>FN DD4552</v>
      </c>
      <c r="C661" t="str">
        <f>_xll.BDP("FNDD4552 Mtge","GENERIC_TICKER_VINTAGE")</f>
        <v>FNCL 6 2025</v>
      </c>
      <c r="D661" t="str">
        <f>_xll.BDP("FNDD4552 Mtge","CRNCY")</f>
        <v>USD</v>
      </c>
      <c r="E661">
        <v>384418</v>
      </c>
      <c r="F661">
        <f>_xll.BDP("FNDD4552 Mtge","CPN")</f>
        <v>6</v>
      </c>
      <c r="G661">
        <f>_xll.BDP("FNDD4552 Mtge","MTG_FACTOR")</f>
        <v>0.99111168000000005</v>
      </c>
      <c r="H661">
        <f>_xll.BDP("FNDD4552 Mtge","MTG_WAL")</f>
        <v>3.2458</v>
      </c>
      <c r="I661" t="str">
        <f>_xll.BDP("FNDD4552 Mtge","MTG_ORIG_WAL")</f>
        <v>#N/A N/A</v>
      </c>
    </row>
    <row r="662" spans="1:9" x14ac:dyDescent="0.25">
      <c r="A662" t="str">
        <f>_xll.BDP("FNDD5067 Mtge","ID_CUSIP")</f>
        <v>3140B5TZ0</v>
      </c>
      <c r="B662" t="str">
        <f>_xll.BDP("FNDD5067 Mtge","SECURITY_NAME")</f>
        <v>FN DD5067</v>
      </c>
      <c r="C662" t="str">
        <f>_xll.BDP("FNDD5067 Mtge","GENERIC_TICKER_VINTAGE")</f>
        <v>FNCL 6 2025</v>
      </c>
      <c r="D662" t="str">
        <f>_xll.BDP("FNDD5067 Mtge","CRNCY")</f>
        <v>USD</v>
      </c>
      <c r="E662">
        <v>1329800</v>
      </c>
      <c r="F662">
        <f>_xll.BDP("FNDD5067 Mtge","CPN")</f>
        <v>6</v>
      </c>
      <c r="G662">
        <f>_xll.BDP("FNDD5067 Mtge","MTG_FACTOR")</f>
        <v>0.83619984000000003</v>
      </c>
      <c r="H662">
        <f>_xll.BDP("FNDD5067 Mtge","MTG_WAL")</f>
        <v>3.2484999999999999</v>
      </c>
      <c r="I662" t="str">
        <f>_xll.BDP("FNDD5067 Mtge","MTG_ORIG_WAL")</f>
        <v>#N/A N/A</v>
      </c>
    </row>
    <row r="663" spans="1:9" x14ac:dyDescent="0.25">
      <c r="A663" t="str">
        <f>_xll.BDP("FNDD5311 Mtge","ID_CUSIP")</f>
        <v>3140B53V7</v>
      </c>
      <c r="B663" t="str">
        <f>_xll.BDP("FNDD5311 Mtge","SECURITY_NAME")</f>
        <v>FN DD5311</v>
      </c>
      <c r="C663" t="str">
        <f>_xll.BDP("FNDD5311 Mtge","GENERIC_TICKER_VINTAGE")</f>
        <v>FNCL 6 2025</v>
      </c>
      <c r="D663" t="str">
        <f>_xll.BDP("FNDD5311 Mtge","CRNCY")</f>
        <v>USD</v>
      </c>
      <c r="E663">
        <v>18561206</v>
      </c>
      <c r="F663">
        <f>_xll.BDP("FNDD5311 Mtge","CPN")</f>
        <v>6</v>
      </c>
      <c r="G663">
        <f>_xll.BDP("FNDD5311 Mtge","MTG_FACTOR")</f>
        <v>0.50931258999999995</v>
      </c>
      <c r="H663">
        <f>_xll.BDP("FNDD5311 Mtge","MTG_WAL")</f>
        <v>3.1989000000000001</v>
      </c>
      <c r="I663" t="str">
        <f>_xll.BDP("FNDD5311 Mtge","MTG_ORIG_WAL")</f>
        <v>#N/A N/A</v>
      </c>
    </row>
    <row r="664" spans="1:9" x14ac:dyDescent="0.25">
      <c r="A664" t="str">
        <f>_xll.BDP("FNDD6106 Mtge","ID_CUSIP")</f>
        <v>3140B6YC3</v>
      </c>
      <c r="B664" t="str">
        <f>_xll.BDP("FNDD6106 Mtge","SECURITY_NAME")</f>
        <v>FN DD6106</v>
      </c>
      <c r="C664" t="str">
        <f>_xll.BDP("FNDD6106 Mtge","GENERIC_TICKER_VINTAGE")</f>
        <v>FNCL 6 2025</v>
      </c>
      <c r="D664" t="str">
        <f>_xll.BDP("FNDD6106 Mtge","CRNCY")</f>
        <v>USD</v>
      </c>
      <c r="E664">
        <v>1032104</v>
      </c>
      <c r="F664">
        <f>_xll.BDP("FNDD6106 Mtge","CPN")</f>
        <v>6</v>
      </c>
      <c r="G664">
        <f>_xll.BDP("FNDD6106 Mtge","MTG_FACTOR")</f>
        <v>0.99141601999999995</v>
      </c>
      <c r="H664">
        <f>_xll.BDP("FNDD6106 Mtge","MTG_WAL")</f>
        <v>3.2921</v>
      </c>
      <c r="I664" t="str">
        <f>_xll.BDP("FNDD6106 Mtge","MTG_ORIG_WAL")</f>
        <v>#N/A N/A</v>
      </c>
    </row>
    <row r="665" spans="1:9" x14ac:dyDescent="0.25">
      <c r="A665" t="str">
        <f>_xll.BDP("FNDD6722 Mtge","ID_CUSIP")</f>
        <v>3140B7PG2</v>
      </c>
      <c r="B665" t="str">
        <f>_xll.BDP("FNDD6722 Mtge","SECURITY_NAME")</f>
        <v>FN DD6722</v>
      </c>
      <c r="C665" t="str">
        <f>_xll.BDP("FNDD6722 Mtge","GENERIC_TICKER_VINTAGE")</f>
        <v>FNCL 6 2025</v>
      </c>
      <c r="D665" t="str">
        <f>_xll.BDP("FNDD6722 Mtge","CRNCY")</f>
        <v>USD</v>
      </c>
      <c r="E665">
        <v>1120884</v>
      </c>
      <c r="F665">
        <f>_xll.BDP("FNDD6722 Mtge","CPN")</f>
        <v>6</v>
      </c>
      <c r="G665">
        <f>_xll.BDP("FNDD6722 Mtge","MTG_FACTOR")</f>
        <v>0.99068613000000005</v>
      </c>
      <c r="H665">
        <f>_xll.BDP("FNDD6722 Mtge","MTG_WAL")</f>
        <v>3.1646000000000001</v>
      </c>
      <c r="I665" t="str">
        <f>_xll.BDP("FNDD6722 Mtge","MTG_ORIG_WAL")</f>
        <v>#N/A N/A</v>
      </c>
    </row>
    <row r="666" spans="1:9" x14ac:dyDescent="0.25">
      <c r="A666" t="str">
        <f>_xll.BDP("FNDD6933 Mtge","ID_CUSIP")</f>
        <v>3140B7V34</v>
      </c>
      <c r="B666" t="str">
        <f>_xll.BDP("FNDD6933 Mtge","SECURITY_NAME")</f>
        <v>FN DD6933</v>
      </c>
      <c r="C666" t="str">
        <f>_xll.BDP("FNDD6933 Mtge","GENERIC_TICKER_VINTAGE")</f>
        <v>FNCL 6 2025</v>
      </c>
      <c r="D666" t="str">
        <f>_xll.BDP("FNDD6933 Mtge","CRNCY")</f>
        <v>USD</v>
      </c>
      <c r="E666">
        <v>2287714</v>
      </c>
      <c r="F666">
        <f>_xll.BDP("FNDD6933 Mtge","CPN")</f>
        <v>6</v>
      </c>
      <c r="G666">
        <f>_xll.BDP("FNDD6933 Mtge","MTG_FACTOR")</f>
        <v>0.99046590000000001</v>
      </c>
      <c r="H666">
        <f>_xll.BDP("FNDD6933 Mtge","MTG_WAL")</f>
        <v>3.2433000000000001</v>
      </c>
      <c r="I666" t="str">
        <f>_xll.BDP("FNDD6933 Mtge","MTG_ORIG_WAL")</f>
        <v>#N/A N/A</v>
      </c>
    </row>
    <row r="667" spans="1:9" x14ac:dyDescent="0.25">
      <c r="A667" t="str">
        <f>_xll.BDP("FNDD7698 Mtge","ID_CUSIP")</f>
        <v>3140B8RU7</v>
      </c>
      <c r="B667" t="str">
        <f>_xll.BDP("FNDD7698 Mtge","SECURITY_NAME")</f>
        <v>FN DD7698</v>
      </c>
      <c r="C667" t="str">
        <f>_xll.BDP("FNDD7698 Mtge","GENERIC_TICKER_VINTAGE")</f>
        <v>FNCL 6 2025</v>
      </c>
      <c r="D667" t="str">
        <f>_xll.BDP("FNDD7698 Mtge","CRNCY")</f>
        <v>USD</v>
      </c>
      <c r="E667">
        <v>1153992</v>
      </c>
      <c r="F667">
        <f>_xll.BDP("FNDD7698 Mtge","CPN")</f>
        <v>6</v>
      </c>
      <c r="G667">
        <f>_xll.BDP("FNDD7698 Mtge","MTG_FACTOR")</f>
        <v>0.99108989000000003</v>
      </c>
      <c r="H667">
        <f>_xll.BDP("FNDD7698 Mtge","MTG_WAL")</f>
        <v>3.3422999999999998</v>
      </c>
      <c r="I667" t="str">
        <f>_xll.BDP("FNDD7698 Mtge","MTG_ORIG_WAL")</f>
        <v>#N/A N/A</v>
      </c>
    </row>
    <row r="668" spans="1:9" x14ac:dyDescent="0.25">
      <c r="A668" t="str">
        <f>_xll.BDP("FNDD8417 Mtge","ID_CUSIP")</f>
        <v>3140B9K73</v>
      </c>
      <c r="B668" t="str">
        <f>_xll.BDP("FNDD8417 Mtge","SECURITY_NAME")</f>
        <v>FN DD8417</v>
      </c>
      <c r="C668" t="str">
        <f>_xll.BDP("FNDD8417 Mtge","GENERIC_TICKER_VINTAGE")</f>
        <v>FNCL 6 2025</v>
      </c>
      <c r="D668" t="str">
        <f>_xll.BDP("FNDD8417 Mtge","CRNCY")</f>
        <v>USD</v>
      </c>
      <c r="E668">
        <v>3650093</v>
      </c>
      <c r="F668">
        <f>_xll.BDP("FNDD8417 Mtge","CPN")</f>
        <v>6</v>
      </c>
      <c r="G668">
        <f>_xll.BDP("FNDD8417 Mtge","MTG_FACTOR")</f>
        <v>0.99140329999999999</v>
      </c>
      <c r="H668">
        <f>_xll.BDP("FNDD8417 Mtge","MTG_WAL")</f>
        <v>3.3443000000000001</v>
      </c>
      <c r="I668" t="str">
        <f>_xll.BDP("FNDD8417 Mtge","MTG_ORIG_WAL")</f>
        <v>#N/A N/A</v>
      </c>
    </row>
    <row r="669" spans="1:9" x14ac:dyDescent="0.25">
      <c r="A669" t="str">
        <f>_xll.BDP("FNDD9346 Mtge","ID_CUSIP")</f>
        <v>3140BAL46</v>
      </c>
      <c r="B669" t="str">
        <f>_xll.BDP("FNDD9346 Mtge","SECURITY_NAME")</f>
        <v>FN DD9346</v>
      </c>
      <c r="C669" t="str">
        <f>_xll.BDP("FNDD9346 Mtge","GENERIC_TICKER_VINTAGE")</f>
        <v>FNCL 6 2025</v>
      </c>
      <c r="D669" t="str">
        <f>_xll.BDP("FNDD9346 Mtge","CRNCY")</f>
        <v>USD</v>
      </c>
      <c r="E669">
        <v>1282500</v>
      </c>
      <c r="F669">
        <f>_xll.BDP("FNDD9346 Mtge","CPN")</f>
        <v>6</v>
      </c>
      <c r="G669">
        <f>_xll.BDP("FNDD9346 Mtge","MTG_FACTOR")</f>
        <v>0.99164664000000002</v>
      </c>
      <c r="H669">
        <f>_xll.BDP("FNDD9346 Mtge","MTG_WAL")</f>
        <v>3.3365</v>
      </c>
      <c r="I669" t="str">
        <f>_xll.BDP("FNDD9346 Mtge","MTG_ORIG_WAL")</f>
        <v>#N/A N/A</v>
      </c>
    </row>
    <row r="670" spans="1:9" x14ac:dyDescent="0.25">
      <c r="A670" t="str">
        <f>_xll.BDP("FNDD9712 Mtge","ID_CUSIP")</f>
        <v>3140BAYJ9</v>
      </c>
      <c r="B670" t="str">
        <f>_xll.BDP("FNDD9712 Mtge","SECURITY_NAME")</f>
        <v>FN DD9712</v>
      </c>
      <c r="C670" t="str">
        <f>_xll.BDP("FNDD9712 Mtge","GENERIC_TICKER_VINTAGE")</f>
        <v>FNCL 6 2025</v>
      </c>
      <c r="D670" t="str">
        <f>_xll.BDP("FNDD9712 Mtge","CRNCY")</f>
        <v>USD</v>
      </c>
      <c r="E670">
        <v>3696582</v>
      </c>
      <c r="F670">
        <f>_xll.BDP("FNDD9712 Mtge","CPN")</f>
        <v>6</v>
      </c>
      <c r="G670">
        <f>_xll.BDP("FNDD9712 Mtge","MTG_FACTOR")</f>
        <v>0.99144114999999999</v>
      </c>
      <c r="H670">
        <f>_xll.BDP("FNDD9712 Mtge","MTG_WAL")</f>
        <v>3.2904</v>
      </c>
      <c r="I670" t="str">
        <f>_xll.BDP("FNDD9712 Mtge","MTG_ORIG_WAL")</f>
        <v>#N/A N/A</v>
      </c>
    </row>
    <row r="671" spans="1:9" x14ac:dyDescent="0.25">
      <c r="A671" t="str">
        <f>_xll.BDP("FNDE0088 Mtge","ID_CUSIP")</f>
        <v>3140BCC26</v>
      </c>
      <c r="B671" t="str">
        <f>_xll.BDP("FNDE0088 Mtge","SECURITY_NAME")</f>
        <v>FN DE0088</v>
      </c>
      <c r="C671" t="str">
        <f>_xll.BDP("FNDE0088 Mtge","GENERIC_TICKER_VINTAGE")</f>
        <v>FNCL 6 2025</v>
      </c>
      <c r="D671" t="str">
        <f>_xll.BDP("FNDE0088 Mtge","CRNCY")</f>
        <v>USD</v>
      </c>
      <c r="E671">
        <v>13688973</v>
      </c>
      <c r="F671">
        <f>_xll.BDP("FNDE0088 Mtge","CPN")</f>
        <v>6</v>
      </c>
      <c r="G671">
        <f>_xll.BDP("FNDE0088 Mtge","MTG_FACTOR")</f>
        <v>0.70601309000000001</v>
      </c>
      <c r="H671">
        <f>_xll.BDP("FNDE0088 Mtge","MTG_WAL")</f>
        <v>3.2955000000000001</v>
      </c>
      <c r="I671" t="str">
        <f>_xll.BDP("FNDE0088 Mtge","MTG_ORIG_WAL")</f>
        <v>#N/A N/A</v>
      </c>
    </row>
    <row r="672" spans="1:9" x14ac:dyDescent="0.25">
      <c r="A672" t="str">
        <f>_xll.BDP("FNDE0089 Mtge","ID_CUSIP")</f>
        <v>3140BCC34</v>
      </c>
      <c r="B672" t="str">
        <f>_xll.BDP("FNDE0089 Mtge","SECURITY_NAME")</f>
        <v>FN DE0089</v>
      </c>
      <c r="C672" t="str">
        <f>_xll.BDP("FNDE0089 Mtge","GENERIC_TICKER_VINTAGE")</f>
        <v>FNCL 6 2025</v>
      </c>
      <c r="D672" t="str">
        <f>_xll.BDP("FNDE0089 Mtge","CRNCY")</f>
        <v>USD</v>
      </c>
      <c r="E672">
        <v>11091751</v>
      </c>
      <c r="F672">
        <f>_xll.BDP("FNDE0089 Mtge","CPN")</f>
        <v>6</v>
      </c>
      <c r="G672">
        <f>_xll.BDP("FNDE0089 Mtge","MTG_FACTOR")</f>
        <v>0.89879397999999999</v>
      </c>
      <c r="H672">
        <f>_xll.BDP("FNDE0089 Mtge","MTG_WAL")</f>
        <v>3.3437000000000001</v>
      </c>
      <c r="I672" t="str">
        <f>_xll.BDP("FNDE0089 Mtge","MTG_ORIG_WAL")</f>
        <v>#N/A N/A</v>
      </c>
    </row>
    <row r="673" spans="1:9" x14ac:dyDescent="0.25">
      <c r="A673" t="str">
        <f>_xll.BDP("FNDE0627 Mtge","ID_CUSIP")</f>
        <v>3140BCVV1</v>
      </c>
      <c r="B673" t="str">
        <f>_xll.BDP("FNDE0627 Mtge","SECURITY_NAME")</f>
        <v>FN DE0627</v>
      </c>
      <c r="C673" t="str">
        <f>_xll.BDP("FNDE0627 Mtge","GENERIC_TICKER_VINTAGE")</f>
        <v>FNCL 6 2025</v>
      </c>
      <c r="D673" t="str">
        <f>_xll.BDP("FNDE0627 Mtge","CRNCY")</f>
        <v>USD</v>
      </c>
      <c r="E673">
        <v>136666919</v>
      </c>
      <c r="F673">
        <f>_xll.BDP("FNDE0627 Mtge","CPN")</f>
        <v>6</v>
      </c>
      <c r="G673">
        <f>_xll.BDP("FNDE0627 Mtge","MTG_FACTOR")</f>
        <v>0.84652340999999998</v>
      </c>
      <c r="H673">
        <f>_xll.BDP("FNDE0627 Mtge","MTG_WAL")</f>
        <v>3.2887</v>
      </c>
      <c r="I673" t="str">
        <f>_xll.BDP("FNDE0627 Mtge","MTG_ORIG_WAL")</f>
        <v>#N/A N/A</v>
      </c>
    </row>
    <row r="674" spans="1:9" x14ac:dyDescent="0.25">
      <c r="A674" t="str">
        <f>_xll.BDP("FNDE0630 Mtge","ID_CUSIP")</f>
        <v>3140BCVY5</v>
      </c>
      <c r="B674" t="str">
        <f>_xll.BDP("FNDE0630 Mtge","SECURITY_NAME")</f>
        <v>FN DE0630</v>
      </c>
      <c r="C674" t="str">
        <f>_xll.BDP("FNDE0630 Mtge","GENERIC_TICKER_VINTAGE")</f>
        <v>FNCL 6 2025</v>
      </c>
      <c r="D674" t="str">
        <f>_xll.BDP("FNDE0630 Mtge","CRNCY")</f>
        <v>USD</v>
      </c>
      <c r="E674">
        <v>1232654</v>
      </c>
      <c r="F674">
        <f>_xll.BDP("FNDE0630 Mtge","CPN")</f>
        <v>6</v>
      </c>
      <c r="G674">
        <f>_xll.BDP("FNDE0630 Mtge","MTG_FACTOR")</f>
        <v>0.98234396999999996</v>
      </c>
      <c r="H674">
        <f>_xll.BDP("FNDE0630 Mtge","MTG_WAL")</f>
        <v>3.2881999999999998</v>
      </c>
      <c r="I674" t="str">
        <f>_xll.BDP("FNDE0630 Mtge","MTG_ORIG_WAL")</f>
        <v>#N/A N/A</v>
      </c>
    </row>
    <row r="675" spans="1:9" x14ac:dyDescent="0.25">
      <c r="A675" t="str">
        <f>_xll.BDP("FNDE1097 Mtge","ID_CUSIP")</f>
        <v>3140BDGF1</v>
      </c>
      <c r="B675" t="str">
        <f>_xll.BDP("FNDE1097 Mtge","SECURITY_NAME")</f>
        <v>FN DE1097</v>
      </c>
      <c r="C675" t="str">
        <f>_xll.BDP("FNDE1097 Mtge","GENERIC_TICKER_VINTAGE")</f>
        <v>FNCL 6 2025</v>
      </c>
      <c r="D675" t="str">
        <f>_xll.BDP("FNDE1097 Mtge","CRNCY")</f>
        <v>USD</v>
      </c>
      <c r="E675">
        <v>2902549</v>
      </c>
      <c r="F675">
        <f>_xll.BDP("FNDE1097 Mtge","CPN")</f>
        <v>6</v>
      </c>
      <c r="G675">
        <f>_xll.BDP("FNDE1097 Mtge","MTG_FACTOR")</f>
        <v>0.95371735000000002</v>
      </c>
      <c r="H675">
        <f>_xll.BDP("FNDE1097 Mtge","MTG_WAL")</f>
        <v>3.3393999999999999</v>
      </c>
      <c r="I675" t="str">
        <f>_xll.BDP("FNDE1097 Mtge","MTG_ORIG_WAL")</f>
        <v>#N/A N/A</v>
      </c>
    </row>
    <row r="676" spans="1:9" x14ac:dyDescent="0.25">
      <c r="A676" t="str">
        <f>_xll.BDP("FNDE1151 Mtge","ID_CUSIP")</f>
        <v>3140BDH52</v>
      </c>
      <c r="B676" t="str">
        <f>_xll.BDP("FNDE1151 Mtge","SECURITY_NAME")</f>
        <v>FN DE1151</v>
      </c>
      <c r="C676" t="str">
        <f>_xll.BDP("FNDE1151 Mtge","GENERIC_TICKER_VINTAGE")</f>
        <v>FNCL 6 2025</v>
      </c>
      <c r="D676" t="str">
        <f>_xll.BDP("FNDE1151 Mtge","CRNCY")</f>
        <v>USD</v>
      </c>
      <c r="E676">
        <v>9315480</v>
      </c>
      <c r="F676">
        <f>_xll.BDP("FNDE1151 Mtge","CPN")</f>
        <v>6</v>
      </c>
      <c r="G676">
        <f>_xll.BDP("FNDE1151 Mtge","MTG_FACTOR")</f>
        <v>0.98293976000000005</v>
      </c>
      <c r="H676">
        <f>_xll.BDP("FNDE1151 Mtge","MTG_WAL")</f>
        <v>3.3418999999999999</v>
      </c>
      <c r="I676" t="str">
        <f>_xll.BDP("FNDE1151 Mtge","MTG_ORIG_WAL")</f>
        <v>#N/A N/A</v>
      </c>
    </row>
    <row r="677" spans="1:9" x14ac:dyDescent="0.25">
      <c r="A677" t="str">
        <f>_xll.BDP("FNDE1160 Mtge","ID_CUSIP")</f>
        <v>3140BDJE1</v>
      </c>
      <c r="B677" t="str">
        <f>_xll.BDP("FNDE1160 Mtge","SECURITY_NAME")</f>
        <v>FN DE1160</v>
      </c>
      <c r="C677" t="str">
        <f>_xll.BDP("FNDE1160 Mtge","GENERIC_TICKER_VINTAGE")</f>
        <v>FNCL 6 2025</v>
      </c>
      <c r="D677" t="str">
        <f>_xll.BDP("FNDE1160 Mtge","CRNCY")</f>
        <v>USD</v>
      </c>
      <c r="E677">
        <v>1087162</v>
      </c>
      <c r="F677">
        <f>_xll.BDP("FNDE1160 Mtge","CPN")</f>
        <v>6</v>
      </c>
      <c r="G677">
        <f>_xll.BDP("FNDE1160 Mtge","MTG_FACTOR")</f>
        <v>0.98983542999999996</v>
      </c>
      <c r="H677">
        <f>_xll.BDP("FNDE1160 Mtge","MTG_WAL")</f>
        <v>3.2707999999999999</v>
      </c>
      <c r="I677" t="str">
        <f>_xll.BDP("FNDE1160 Mtge","MTG_ORIG_WAL")</f>
        <v>#N/A N/A</v>
      </c>
    </row>
    <row r="678" spans="1:9" x14ac:dyDescent="0.25">
      <c r="A678" t="str">
        <f>_xll.BDP("FNDE1275 Mtge","ID_CUSIP")</f>
        <v>3140BDMZ0</v>
      </c>
      <c r="B678" t="str">
        <f>_xll.BDP("FNDE1275 Mtge","SECURITY_NAME")</f>
        <v>FN DE1275</v>
      </c>
      <c r="C678" t="str">
        <f>_xll.BDP("FNDE1275 Mtge","GENERIC_TICKER_VINTAGE")</f>
        <v>FNCL 6 2025</v>
      </c>
      <c r="D678" t="str">
        <f>_xll.BDP("FNDE1275 Mtge","CRNCY")</f>
        <v>USD</v>
      </c>
      <c r="E678">
        <v>1689437</v>
      </c>
      <c r="F678">
        <f>_xll.BDP("FNDE1275 Mtge","CPN")</f>
        <v>6</v>
      </c>
      <c r="G678">
        <f>_xll.BDP("FNDE1275 Mtge","MTG_FACTOR")</f>
        <v>0.99239487999999998</v>
      </c>
      <c r="H678">
        <f>_xll.BDP("FNDE1275 Mtge","MTG_WAL")</f>
        <v>3.3471000000000002</v>
      </c>
      <c r="I678" t="str">
        <f>_xll.BDP("FNDE1275 Mtge","MTG_ORIG_WAL")</f>
        <v>#N/A N/A</v>
      </c>
    </row>
    <row r="679" spans="1:9" x14ac:dyDescent="0.25">
      <c r="A679" t="str">
        <f>_xll.BDP("FNDE1646 Mtge","ID_CUSIP")</f>
        <v>3140BDZL7</v>
      </c>
      <c r="B679" t="str">
        <f>_xll.BDP("FNDE1646 Mtge","SECURITY_NAME")</f>
        <v>FN DE1646</v>
      </c>
      <c r="C679" t="str">
        <f>_xll.BDP("FNDE1646 Mtge","GENERIC_TICKER_VINTAGE")</f>
        <v>FNCL 6 2025</v>
      </c>
      <c r="D679" t="str">
        <f>_xll.BDP("FNDE1646 Mtge","CRNCY")</f>
        <v>USD</v>
      </c>
      <c r="E679">
        <v>3797783</v>
      </c>
      <c r="F679">
        <f>_xll.BDP("FNDE1646 Mtge","CPN")</f>
        <v>6</v>
      </c>
      <c r="G679">
        <f>_xll.BDP("FNDE1646 Mtge","MTG_FACTOR")</f>
        <v>0.90030429999999995</v>
      </c>
      <c r="H679">
        <f>_xll.BDP("FNDE1646 Mtge","MTG_WAL")</f>
        <v>3.2888999999999999</v>
      </c>
      <c r="I679" t="str">
        <f>_xll.BDP("FNDE1646 Mtge","MTG_ORIG_WAL")</f>
        <v>#N/A N/A</v>
      </c>
    </row>
    <row r="680" spans="1:9" x14ac:dyDescent="0.25">
      <c r="A680" t="str">
        <f>_xll.BDP("FNDE2252 Mtge","ID_CUSIP")</f>
        <v>3140BEQE1</v>
      </c>
      <c r="B680" t="str">
        <f>_xll.BDP("FNDE2252 Mtge","SECURITY_NAME")</f>
        <v>FN DE2252</v>
      </c>
      <c r="C680" t="str">
        <f>_xll.BDP("FNDE2252 Mtge","GENERIC_TICKER_VINTAGE")</f>
        <v>FNCL 6 2025</v>
      </c>
      <c r="D680" t="str">
        <f>_xll.BDP("FNDE2252 Mtge","CRNCY")</f>
        <v>USD</v>
      </c>
      <c r="E680">
        <v>11671198</v>
      </c>
      <c r="F680">
        <f>_xll.BDP("FNDE2252 Mtge","CPN")</f>
        <v>6</v>
      </c>
      <c r="G680">
        <f>_xll.BDP("FNDE2252 Mtge","MTG_FACTOR")</f>
        <v>0.96251160000000002</v>
      </c>
      <c r="H680">
        <f>_xll.BDP("FNDE2252 Mtge","MTG_WAL")</f>
        <v>3.3410000000000002</v>
      </c>
      <c r="I680" t="str">
        <f>_xll.BDP("FNDE2252 Mtge","MTG_ORIG_WAL")</f>
        <v>#N/A N/A</v>
      </c>
    </row>
    <row r="681" spans="1:9" x14ac:dyDescent="0.25">
      <c r="A681" t="str">
        <f>_xll.BDP("FNDE2493 Mtge","ID_CUSIP")</f>
        <v>3140BEXX1</v>
      </c>
      <c r="B681" t="str">
        <f>_xll.BDP("FNDE2493 Mtge","SECURITY_NAME")</f>
        <v>FN DE2493</v>
      </c>
      <c r="C681" t="str">
        <f>_xll.BDP("FNDE2493 Mtge","GENERIC_TICKER_VINTAGE")</f>
        <v>FNCL 6 2025</v>
      </c>
      <c r="D681" t="str">
        <f>_xll.BDP("FNDE2493 Mtge","CRNCY")</f>
        <v>USD</v>
      </c>
      <c r="E681">
        <v>2849350</v>
      </c>
      <c r="F681">
        <f>_xll.BDP("FNDE2493 Mtge","CPN")</f>
        <v>6</v>
      </c>
      <c r="G681">
        <f>_xll.BDP("FNDE2493 Mtge","MTG_FACTOR")</f>
        <v>0.99185206999999997</v>
      </c>
      <c r="H681">
        <f>_xll.BDP("FNDE2493 Mtge","MTG_WAL")</f>
        <v>3.3449</v>
      </c>
      <c r="I681" t="str">
        <f>_xll.BDP("FNDE2493 Mtge","MTG_ORIG_WAL")</f>
        <v>#N/A N/A</v>
      </c>
    </row>
    <row r="682" spans="1:9" x14ac:dyDescent="0.25">
      <c r="A682" t="str">
        <f>_xll.BDP("FNDE2510 Mtge","ID_CUSIP")</f>
        <v>3140BEYG7</v>
      </c>
      <c r="B682" t="str">
        <f>_xll.BDP("FNDE2510 Mtge","SECURITY_NAME")</f>
        <v>FN DE2510</v>
      </c>
      <c r="C682" t="str">
        <f>_xll.BDP("FNDE2510 Mtge","GENERIC_TICKER_VINTAGE")</f>
        <v>FNCL 6 2025</v>
      </c>
      <c r="D682" t="str">
        <f>_xll.BDP("FNDE2510 Mtge","CRNCY")</f>
        <v>USD</v>
      </c>
      <c r="E682">
        <v>1451050</v>
      </c>
      <c r="F682">
        <f>_xll.BDP("FNDE2510 Mtge","CPN")</f>
        <v>6</v>
      </c>
      <c r="G682">
        <f>_xll.BDP("FNDE2510 Mtge","MTG_FACTOR")</f>
        <v>0.99217323000000002</v>
      </c>
      <c r="H682">
        <f>_xll.BDP("FNDE2510 Mtge","MTG_WAL")</f>
        <v>3.3449</v>
      </c>
      <c r="I682" t="str">
        <f>_xll.BDP("FNDE2510 Mtge","MTG_ORIG_WAL")</f>
        <v>#N/A N/A</v>
      </c>
    </row>
    <row r="683" spans="1:9" x14ac:dyDescent="0.25">
      <c r="A683" t="str">
        <f>_xll.BDP("FNDE2530 Mtge","ID_CUSIP")</f>
        <v>3140BEY44</v>
      </c>
      <c r="B683" t="str">
        <f>_xll.BDP("FNDE2530 Mtge","SECURITY_NAME")</f>
        <v>FN DE2530</v>
      </c>
      <c r="C683" t="str">
        <f>_xll.BDP("FNDE2530 Mtge","GENERIC_TICKER_VINTAGE")</f>
        <v>FNCL 6 2025</v>
      </c>
      <c r="D683" t="str">
        <f>_xll.BDP("FNDE2530 Mtge","CRNCY")</f>
        <v>USD</v>
      </c>
      <c r="E683">
        <v>2215778</v>
      </c>
      <c r="F683">
        <f>_xll.BDP("FNDE2530 Mtge","CPN")</f>
        <v>6</v>
      </c>
      <c r="G683">
        <f>_xll.BDP("FNDE2530 Mtge","MTG_FACTOR")</f>
        <v>0.73511901000000002</v>
      </c>
      <c r="H683">
        <f>_xll.BDP("FNDE2530 Mtge","MTG_WAL")</f>
        <v>3.3439000000000001</v>
      </c>
      <c r="I683" t="str">
        <f>_xll.BDP("FNDE2530 Mtge","MTG_ORIG_WAL")</f>
        <v>#N/A N/A</v>
      </c>
    </row>
    <row r="684" spans="1:9" x14ac:dyDescent="0.25">
      <c r="A684" t="str">
        <f>_xll.BDP("FNDE2531 Mtge","ID_CUSIP")</f>
        <v>3140BEY51</v>
      </c>
      <c r="B684" t="str">
        <f>_xll.BDP("FNDE2531 Mtge","SECURITY_NAME")</f>
        <v>FN DE2531</v>
      </c>
      <c r="C684" t="str">
        <f>_xll.BDP("FNDE2531 Mtge","GENERIC_TICKER_VINTAGE")</f>
        <v>FNCL 6 2025</v>
      </c>
      <c r="D684" t="str">
        <f>_xll.BDP("FNDE2531 Mtge","CRNCY")</f>
        <v>USD</v>
      </c>
      <c r="E684">
        <v>1176509</v>
      </c>
      <c r="F684">
        <f>_xll.BDP("FNDE2531 Mtge","CPN")</f>
        <v>6</v>
      </c>
      <c r="G684">
        <f>_xll.BDP("FNDE2531 Mtge","MTG_FACTOR")</f>
        <v>0.98579850999999996</v>
      </c>
      <c r="H684">
        <f>_xll.BDP("FNDE2531 Mtge","MTG_WAL")</f>
        <v>3.3405</v>
      </c>
      <c r="I684" t="str">
        <f>_xll.BDP("FNDE2531 Mtge","MTG_ORIG_WAL")</f>
        <v>#N/A N/A</v>
      </c>
    </row>
    <row r="685" spans="1:9" x14ac:dyDescent="0.25">
      <c r="A685" t="str">
        <f>_xll.BDP("FNDE2533 Mtge","ID_CUSIP")</f>
        <v>3140BEY77</v>
      </c>
      <c r="B685" t="str">
        <f>_xll.BDP("FNDE2533 Mtge","SECURITY_NAME")</f>
        <v>FN DE2533</v>
      </c>
      <c r="C685" t="str">
        <f>_xll.BDP("FNDE2533 Mtge","GENERIC_TICKER_VINTAGE")</f>
        <v>FNCL 6 2025</v>
      </c>
      <c r="D685" t="str">
        <f>_xll.BDP("FNDE2533 Mtge","CRNCY")</f>
        <v>USD</v>
      </c>
      <c r="E685">
        <v>1884800</v>
      </c>
      <c r="F685">
        <f>_xll.BDP("FNDE2533 Mtge","CPN")</f>
        <v>6</v>
      </c>
      <c r="G685">
        <f>_xll.BDP("FNDE2533 Mtge","MTG_FACTOR")</f>
        <v>0.98730720999999999</v>
      </c>
      <c r="H685">
        <f>_xll.BDP("FNDE2533 Mtge","MTG_WAL")</f>
        <v>3.3397999999999999</v>
      </c>
      <c r="I685" t="str">
        <f>_xll.BDP("FNDE2533 Mtge","MTG_ORIG_WAL")</f>
        <v>#N/A N/A</v>
      </c>
    </row>
    <row r="686" spans="1:9" x14ac:dyDescent="0.25">
      <c r="A686" t="str">
        <f>_xll.BDP("FNDE2666 Mtge","ID_CUSIP")</f>
        <v>3140BE6C7</v>
      </c>
      <c r="B686" t="str">
        <f>_xll.BDP("FNDE2666 Mtge","SECURITY_NAME")</f>
        <v>FN DE2666</v>
      </c>
      <c r="C686" t="str">
        <f>_xll.BDP("FNDE2666 Mtge","GENERIC_TICKER_VINTAGE")</f>
        <v>FNCL 6 2025</v>
      </c>
      <c r="D686" t="str">
        <f>_xll.BDP("FNDE2666 Mtge","CRNCY")</f>
        <v>USD</v>
      </c>
      <c r="E686">
        <v>10579168</v>
      </c>
      <c r="F686">
        <f>_xll.BDP("FNDE2666 Mtge","CPN")</f>
        <v>6</v>
      </c>
      <c r="G686">
        <f>_xll.BDP("FNDE2666 Mtge","MTG_FACTOR")</f>
        <v>0.76198387999999995</v>
      </c>
      <c r="H686">
        <f>_xll.BDP("FNDE2666 Mtge","MTG_WAL")</f>
        <v>3.3416000000000001</v>
      </c>
      <c r="I686" t="str">
        <f>_xll.BDP("FNDE2666 Mtge","MTG_ORIG_WAL")</f>
        <v>#N/A N/A</v>
      </c>
    </row>
    <row r="687" spans="1:9" x14ac:dyDescent="0.25">
      <c r="A687" t="str">
        <f>_xll.BDP("FNDE2877 Mtge","ID_CUSIP")</f>
        <v>3140BFFT7</v>
      </c>
      <c r="B687" t="str">
        <f>_xll.BDP("FNDE2877 Mtge","SECURITY_NAME")</f>
        <v>FN DE2877</v>
      </c>
      <c r="C687" t="str">
        <f>_xll.BDP("FNDE2877 Mtge","GENERIC_TICKER_VINTAGE")</f>
        <v>FNCL 6 2025</v>
      </c>
      <c r="D687" t="str">
        <f>_xll.BDP("FNDE2877 Mtge","CRNCY")</f>
        <v>USD</v>
      </c>
      <c r="E687">
        <v>7572120</v>
      </c>
      <c r="F687">
        <f>_xll.BDP("FNDE2877 Mtge","CPN")</f>
        <v>6</v>
      </c>
      <c r="G687">
        <f>_xll.BDP("FNDE2877 Mtge","MTG_FACTOR")</f>
        <v>0.94941807</v>
      </c>
      <c r="H687">
        <f>_xll.BDP("FNDE2877 Mtge","MTG_WAL")</f>
        <v>3.3414000000000001</v>
      </c>
      <c r="I687" t="str">
        <f>_xll.BDP("FNDE2877 Mtge","MTG_ORIG_WAL")</f>
        <v>#N/A N/A</v>
      </c>
    </row>
    <row r="688" spans="1:9" x14ac:dyDescent="0.25">
      <c r="A688" t="str">
        <f>_xll.BDP("FNDE2996 Mtge","ID_CUSIP")</f>
        <v>3140BFKJ3</v>
      </c>
      <c r="B688" t="str">
        <f>_xll.BDP("FNDE2996 Mtge","SECURITY_NAME")</f>
        <v>FN DE2996</v>
      </c>
      <c r="C688" t="str">
        <f>_xll.BDP("FNDE2996 Mtge","GENERIC_TICKER_VINTAGE")</f>
        <v>FNCL 6 2025</v>
      </c>
      <c r="D688" t="str">
        <f>_xll.BDP("FNDE2996 Mtge","CRNCY")</f>
        <v>USD</v>
      </c>
      <c r="E688">
        <v>5544270</v>
      </c>
      <c r="F688">
        <f>_xll.BDP("FNDE2996 Mtge","CPN")</f>
        <v>6</v>
      </c>
      <c r="G688">
        <f>_xll.BDP("FNDE2996 Mtge","MTG_FACTOR")</f>
        <v>0.92926218000000005</v>
      </c>
      <c r="H688">
        <f>_xll.BDP("FNDE2996 Mtge","MTG_WAL")</f>
        <v>3.3466999999999998</v>
      </c>
      <c r="I688" t="str">
        <f>_xll.BDP("FNDE2996 Mtge","MTG_ORIG_WAL")</f>
        <v>#N/A N/A</v>
      </c>
    </row>
    <row r="689" spans="1:9" x14ac:dyDescent="0.25">
      <c r="A689" t="str">
        <f>_xll.BDP("FNDE3001 Mtge","ID_CUSIP")</f>
        <v>3140BFKP9</v>
      </c>
      <c r="B689" t="str">
        <f>_xll.BDP("FNDE3001 Mtge","SECURITY_NAME")</f>
        <v>FN DE3001</v>
      </c>
      <c r="C689" t="str">
        <f>_xll.BDP("FNDE3001 Mtge","GENERIC_TICKER_VINTAGE")</f>
        <v>FNCL 6 2025</v>
      </c>
      <c r="D689" t="str">
        <f>_xll.BDP("FNDE3001 Mtge","CRNCY")</f>
        <v>USD</v>
      </c>
      <c r="E689">
        <v>1701804</v>
      </c>
      <c r="F689">
        <f>_xll.BDP("FNDE3001 Mtge","CPN")</f>
        <v>6</v>
      </c>
      <c r="G689">
        <f>_xll.BDP("FNDE3001 Mtge","MTG_FACTOR")</f>
        <v>0.8654347</v>
      </c>
      <c r="H689">
        <f>_xll.BDP("FNDE3001 Mtge","MTG_WAL")</f>
        <v>3.2921</v>
      </c>
      <c r="I689" t="str">
        <f>_xll.BDP("FNDE3001 Mtge","MTG_ORIG_WAL")</f>
        <v>#N/A N/A</v>
      </c>
    </row>
    <row r="690" spans="1:9" x14ac:dyDescent="0.25">
      <c r="A690" t="str">
        <f>_xll.BDP("FNDE3002 Mtge","ID_CUSIP")</f>
        <v>3140BFKQ7</v>
      </c>
      <c r="B690" t="str">
        <f>_xll.BDP("FNDE3002 Mtge","SECURITY_NAME")</f>
        <v>FN DE3002</v>
      </c>
      <c r="C690" t="str">
        <f>_xll.BDP("FNDE3002 Mtge","GENERIC_TICKER_VINTAGE")</f>
        <v>FNCL 6 2025</v>
      </c>
      <c r="D690" t="str">
        <f>_xll.BDP("FNDE3002 Mtge","CRNCY")</f>
        <v>USD</v>
      </c>
      <c r="E690">
        <v>1639196</v>
      </c>
      <c r="F690">
        <f>_xll.BDP("FNDE3002 Mtge","CPN")</f>
        <v>6</v>
      </c>
      <c r="G690">
        <f>_xll.BDP("FNDE3002 Mtge","MTG_FACTOR")</f>
        <v>0.88183586000000003</v>
      </c>
      <c r="H690">
        <f>_xll.BDP("FNDE3002 Mtge","MTG_WAL")</f>
        <v>3.2827000000000002</v>
      </c>
      <c r="I690" t="str">
        <f>_xll.BDP("FNDE3002 Mtge","MTG_ORIG_WAL")</f>
        <v>#N/A N/A</v>
      </c>
    </row>
    <row r="691" spans="1:9" x14ac:dyDescent="0.25">
      <c r="A691" t="str">
        <f>_xll.BDP("FNDE3034 Mtge","ID_CUSIP")</f>
        <v>3140BFLQ6</v>
      </c>
      <c r="B691" t="str">
        <f>_xll.BDP("FNDE3034 Mtge","SECURITY_NAME")</f>
        <v>FN DE3034</v>
      </c>
      <c r="C691" t="str">
        <f>_xll.BDP("FNDE3034 Mtge","GENERIC_TICKER_VINTAGE")</f>
        <v>FNCL 6 2025</v>
      </c>
      <c r="D691" t="str">
        <f>_xll.BDP("FNDE3034 Mtge","CRNCY")</f>
        <v>USD</v>
      </c>
      <c r="E691">
        <v>5824059</v>
      </c>
      <c r="F691">
        <f>_xll.BDP("FNDE3034 Mtge","CPN")</f>
        <v>6</v>
      </c>
      <c r="G691">
        <f>_xll.BDP("FNDE3034 Mtge","MTG_FACTOR")</f>
        <v>0.85840002000000004</v>
      </c>
      <c r="H691">
        <f>_xll.BDP("FNDE3034 Mtge","MTG_WAL")</f>
        <v>3.3460999999999999</v>
      </c>
      <c r="I691" t="str">
        <f>_xll.BDP("FNDE3034 Mtge","MTG_ORIG_WAL")</f>
        <v>#N/A N/A</v>
      </c>
    </row>
    <row r="692" spans="1:9" x14ac:dyDescent="0.25">
      <c r="A692" t="str">
        <f>_xll.BDP("FNDE6729 Mtge","ID_CUSIP")</f>
        <v>3140BKPP3</v>
      </c>
      <c r="B692" t="str">
        <f>_xll.BDP("FNDE6729 Mtge","SECURITY_NAME")</f>
        <v>FN DE6729</v>
      </c>
      <c r="C692" t="str">
        <f>_xll.BDP("FNDE6729 Mtge","GENERIC_TICKER_VINTAGE")</f>
        <v>FNCL 6 2025</v>
      </c>
      <c r="D692" t="str">
        <f>_xll.BDP("FNDE6729 Mtge","CRNCY")</f>
        <v>USD</v>
      </c>
      <c r="E692">
        <v>7936596</v>
      </c>
      <c r="F692">
        <f>_xll.BDP("FNDE6729 Mtge","CPN")</f>
        <v>6</v>
      </c>
      <c r="G692">
        <f>_xll.BDP("FNDE6729 Mtge","MTG_FACTOR")</f>
        <v>0.92316885000000004</v>
      </c>
      <c r="H692">
        <f>_xll.BDP("FNDE6729 Mtge","MTG_WAL")</f>
        <v>3.4439000000000002</v>
      </c>
      <c r="I692" t="str">
        <f>_xll.BDP("FNDE6729 Mtge","MTG_ORIG_WAL")</f>
        <v>#N/A N/A</v>
      </c>
    </row>
    <row r="693" spans="1:9" x14ac:dyDescent="0.25">
      <c r="A693" t="str">
        <f>_xll.BDP("FNDE8088 Mtge","ID_CUSIP")</f>
        <v>3140BL7A4</v>
      </c>
      <c r="B693" t="str">
        <f>_xll.BDP("FNDE8088 Mtge","SECURITY_NAME")</f>
        <v>FN DE8088</v>
      </c>
      <c r="C693" t="str">
        <f>_xll.BDP("FNDE8088 Mtge","GENERIC_TICKER_VINTAGE")</f>
        <v>FNCL 6 2025</v>
      </c>
      <c r="D693" t="str">
        <f>_xll.BDP("FNDE8088 Mtge","CRNCY")</f>
        <v>USD</v>
      </c>
      <c r="E693">
        <v>8158711</v>
      </c>
      <c r="F693">
        <f>_xll.BDP("FNDE8088 Mtge","CPN")</f>
        <v>6</v>
      </c>
      <c r="G693">
        <f>_xll.BDP("FNDE8088 Mtge","MTG_FACTOR")</f>
        <v>0.98864008000000003</v>
      </c>
      <c r="H693">
        <f>_xll.BDP("FNDE8088 Mtge","MTG_WAL")</f>
        <v>3.4449000000000001</v>
      </c>
      <c r="I693" t="str">
        <f>_xll.BDP("FNDE8088 Mtge","MTG_ORIG_WAL")</f>
        <v>#N/A N/A</v>
      </c>
    </row>
    <row r="694" spans="1:9" x14ac:dyDescent="0.25">
      <c r="A694" t="str">
        <f>_xll.BDP("FNFA1278 Mtge","ID_CUSIP")</f>
        <v>3140W1M42</v>
      </c>
      <c r="B694" t="str">
        <f>_xll.BDP("FNFA1278 Mtge","SECURITY_NAME")</f>
        <v>FN FA1278</v>
      </c>
      <c r="C694" t="str">
        <f>_xll.BDP("FNFA1278 Mtge","GENERIC_TICKER_VINTAGE")</f>
        <v>FNCL 3 2021</v>
      </c>
      <c r="D694" t="str">
        <f>_xll.BDP("FNFA1278 Mtge","CRNCY")</f>
        <v>USD</v>
      </c>
      <c r="E694">
        <v>70077245</v>
      </c>
      <c r="F694">
        <f>_xll.BDP("FNFA1278 Mtge","CPN")</f>
        <v>3</v>
      </c>
      <c r="G694">
        <f>_xll.BDP("FNFA1278 Mtge","MTG_FACTOR")</f>
        <v>0.91135843000000005</v>
      </c>
      <c r="H694">
        <f>_xll.BDP("FNFA1278 Mtge","MTG_WAL")</f>
        <v>8.2049000000000003</v>
      </c>
      <c r="I694" t="str">
        <f>_xll.BDP("FNFA1278 Mtge","MTG_ORIG_WAL")</f>
        <v>#N/A N/A</v>
      </c>
    </row>
    <row r="695" spans="1:9" x14ac:dyDescent="0.25">
      <c r="A695" t="str">
        <f>_xll.BDP("FNFA1344 Mtge","ID_CUSIP")</f>
        <v>3140W1P64</v>
      </c>
      <c r="B695" t="str">
        <f>_xll.BDP("FNFA1344 Mtge","SECURITY_NAME")</f>
        <v>FN FA1344</v>
      </c>
      <c r="C695" t="str">
        <f>_xll.BDP("FNFA1344 Mtge","GENERIC_TICKER_VINTAGE")</f>
        <v>FNCL 6 2025</v>
      </c>
      <c r="D695" t="str">
        <f>_xll.BDP("FNFA1344 Mtge","CRNCY")</f>
        <v>USD</v>
      </c>
      <c r="E695">
        <v>25235171</v>
      </c>
      <c r="F695">
        <f>_xll.BDP("FNFA1344 Mtge","CPN")</f>
        <v>6</v>
      </c>
      <c r="G695">
        <f>_xll.BDP("FNFA1344 Mtge","MTG_FACTOR")</f>
        <v>0.88796246999999995</v>
      </c>
      <c r="H695">
        <f>_xll.BDP("FNFA1344 Mtge","MTG_WAL")</f>
        <v>3.1440999999999999</v>
      </c>
      <c r="I695" t="str">
        <f>_xll.BDP("FNFA1344 Mtge","MTG_ORIG_WAL")</f>
        <v>#N/A N/A</v>
      </c>
    </row>
    <row r="696" spans="1:9" x14ac:dyDescent="0.25">
      <c r="A696" t="str">
        <f>_xll.BDP("FNFA1697 Mtge","ID_CUSIP")</f>
        <v>3140W13F8</v>
      </c>
      <c r="B696" t="str">
        <f>_xll.BDP("FNFA1697 Mtge","SECURITY_NAME")</f>
        <v>FN FA1697</v>
      </c>
      <c r="C696" t="str">
        <f>_xll.BDP("FNFA1697 Mtge","GENERIC_TICKER_VINTAGE")</f>
        <v>FNCL 3 2021</v>
      </c>
      <c r="D696" t="str">
        <f>_xll.BDP("FNFA1697 Mtge","CRNCY")</f>
        <v>USD</v>
      </c>
      <c r="E696">
        <v>27402730</v>
      </c>
      <c r="F696">
        <f>_xll.BDP("FNFA1697 Mtge","CPN")</f>
        <v>3</v>
      </c>
      <c r="G696">
        <f>_xll.BDP("FNFA1697 Mtge","MTG_FACTOR")</f>
        <v>0.93869073000000003</v>
      </c>
      <c r="H696">
        <f>_xll.BDP("FNFA1697 Mtge","MTG_WAL")</f>
        <v>8.3842999999999996</v>
      </c>
      <c r="I696" t="str">
        <f>_xll.BDP("FNFA1697 Mtge","MTG_ORIG_WAL")</f>
        <v>#N/A N/A</v>
      </c>
    </row>
    <row r="697" spans="1:9" x14ac:dyDescent="0.25">
      <c r="A697" t="str">
        <f>_xll.BDP("FNFM9765 Mtge","ID_CUSIP")</f>
        <v>3140XDZ74</v>
      </c>
      <c r="B697" t="str">
        <f>_xll.BDP("FNFM9765 Mtge","SECURITY_NAME")</f>
        <v>FN FM9765</v>
      </c>
      <c r="C697" t="str">
        <f>_xll.BDP("FNFM9765 Mtge","GENERIC_TICKER_VINTAGE")</f>
        <v>FNCL 3 2021</v>
      </c>
      <c r="D697" t="str">
        <f>_xll.BDP("FNFM9765 Mtge","CRNCY")</f>
        <v>USD</v>
      </c>
      <c r="E697">
        <v>16408638</v>
      </c>
      <c r="F697">
        <f>_xll.BDP("FNFM9765 Mtge","CPN")</f>
        <v>3</v>
      </c>
      <c r="G697">
        <f>_xll.BDP("FNFM9765 Mtge","MTG_FACTOR")</f>
        <v>0.78241132999999996</v>
      </c>
      <c r="H697">
        <f>_xll.BDP("FNFM9765 Mtge","MTG_WAL")</f>
        <v>8.4671000000000003</v>
      </c>
      <c r="I697" t="str">
        <f>_xll.BDP("FNFM9765 Mtge","MTG_ORIG_WAL")</f>
        <v>#N/A N/A</v>
      </c>
    </row>
    <row r="698" spans="1:9" x14ac:dyDescent="0.25">
      <c r="A698" t="str">
        <f>_xll.BDP("FNFS0831 Mtge","ID_CUSIP")</f>
        <v>3140XF4R9</v>
      </c>
      <c r="B698" t="str">
        <f>_xll.BDP("FNFS0831 Mtge","SECURITY_NAME")</f>
        <v>FN FS0831</v>
      </c>
      <c r="C698" t="str">
        <f>_xll.BDP("FNFS0831 Mtge","GENERIC_TICKER_VINTAGE")</f>
        <v>FNCL 3 2021</v>
      </c>
      <c r="D698" t="str">
        <f>_xll.BDP("FNFS0831 Mtge","CRNCY")</f>
        <v>USD</v>
      </c>
      <c r="E698">
        <v>192425763</v>
      </c>
      <c r="F698">
        <f>_xll.BDP("FNFS0831 Mtge","CPN")</f>
        <v>3</v>
      </c>
      <c r="G698">
        <f>_xll.BDP("FNFS0831 Mtge","MTG_FACTOR")</f>
        <v>0.80389882000000001</v>
      </c>
      <c r="H698">
        <f>_xll.BDP("FNFS0831 Mtge","MTG_WAL")</f>
        <v>8.3239000000000001</v>
      </c>
      <c r="I698" t="str">
        <f>_xll.BDP("FNFS0831 Mtge","MTG_ORIG_WAL")</f>
        <v>#N/A N/A</v>
      </c>
    </row>
    <row r="699" spans="1:9" x14ac:dyDescent="0.25">
      <c r="A699" t="str">
        <f>_xll.BDP("FNFS1169 Mtge","ID_CUSIP")</f>
        <v>3140XGJP5</v>
      </c>
      <c r="B699" t="str">
        <f>_xll.BDP("FNFS1169 Mtge","SECURITY_NAME")</f>
        <v>FN FS1169</v>
      </c>
      <c r="C699" t="str">
        <f>_xll.BDP("FNFS1169 Mtge","GENERIC_TICKER_VINTAGE")</f>
        <v>FNCL 3 2021</v>
      </c>
      <c r="D699" t="str">
        <f>_xll.BDP("FNFS1169 Mtge","CRNCY")</f>
        <v>USD</v>
      </c>
      <c r="E699">
        <v>60462950</v>
      </c>
      <c r="F699">
        <f>_xll.BDP("FNFS1169 Mtge","CPN")</f>
        <v>3</v>
      </c>
      <c r="G699">
        <f>_xll.BDP("FNFS1169 Mtge","MTG_FACTOR")</f>
        <v>0.81216588999999995</v>
      </c>
      <c r="H699">
        <f>_xll.BDP("FNFS1169 Mtge","MTG_WAL")</f>
        <v>8.4001999999999999</v>
      </c>
      <c r="I699" t="str">
        <f>_xll.BDP("FNFS1169 Mtge","MTG_ORIG_WAL")</f>
        <v>#N/A N/A</v>
      </c>
    </row>
    <row r="700" spans="1:9" x14ac:dyDescent="0.25">
      <c r="A700" t="str">
        <f>_xll.BDP("FNFS1171 Mtge","ID_CUSIP")</f>
        <v>3140XGJR1</v>
      </c>
      <c r="B700" t="str">
        <f>_xll.BDP("FNFS1171 Mtge","SECURITY_NAME")</f>
        <v>FN FS1171</v>
      </c>
      <c r="C700" t="str">
        <f>_xll.BDP("FNFS1171 Mtge","GENERIC_TICKER_VINTAGE")</f>
        <v>FNCL 3 2021</v>
      </c>
      <c r="D700" t="str">
        <f>_xll.BDP("FNFS1171 Mtge","CRNCY")</f>
        <v>USD</v>
      </c>
      <c r="E700">
        <v>290060583</v>
      </c>
      <c r="F700">
        <f>_xll.BDP("FNFS1171 Mtge","CPN")</f>
        <v>3</v>
      </c>
      <c r="G700">
        <f>_xll.BDP("FNFS1171 Mtge","MTG_FACTOR")</f>
        <v>0.68120223000000002</v>
      </c>
      <c r="H700">
        <f>_xll.BDP("FNFS1171 Mtge","MTG_WAL")</f>
        <v>8.3701000000000008</v>
      </c>
      <c r="I700" t="str">
        <f>_xll.BDP("FNFS1171 Mtge","MTG_ORIG_WAL")</f>
        <v>#N/A N/A</v>
      </c>
    </row>
    <row r="701" spans="1:9" x14ac:dyDescent="0.25">
      <c r="A701" t="str">
        <f>_xll.BDP("FNFS1386 Mtge","ID_CUSIP")</f>
        <v>3140XGRG6</v>
      </c>
      <c r="B701" t="str">
        <f>_xll.BDP("FNFS1386 Mtge","SECURITY_NAME")</f>
        <v>FN FS1386</v>
      </c>
      <c r="C701" t="str">
        <f>_xll.BDP("FNFS1386 Mtge","GENERIC_TICKER_VINTAGE")</f>
        <v>FNCL 3 2021</v>
      </c>
      <c r="D701" t="str">
        <f>_xll.BDP("FNFS1386 Mtge","CRNCY")</f>
        <v>USD</v>
      </c>
      <c r="E701">
        <v>121485247</v>
      </c>
      <c r="F701">
        <f>_xll.BDP("FNFS1386 Mtge","CPN")</f>
        <v>3</v>
      </c>
      <c r="G701">
        <f>_xll.BDP("FNFS1386 Mtge","MTG_FACTOR")</f>
        <v>0.67000523000000001</v>
      </c>
      <c r="H701">
        <f>_xll.BDP("FNFS1386 Mtge","MTG_WAL")</f>
        <v>8.2422000000000004</v>
      </c>
      <c r="I701" t="str">
        <f>_xll.BDP("FNFS1386 Mtge","MTG_ORIG_WAL")</f>
        <v>#N/A N/A</v>
      </c>
    </row>
    <row r="702" spans="1:9" x14ac:dyDescent="0.25">
      <c r="A702" t="str">
        <f>_xll.BDP("FNFS5098 Mtge","ID_CUSIP")</f>
        <v>3140XLUY2</v>
      </c>
      <c r="B702" t="str">
        <f>_xll.BDP("FNFS5098 Mtge","SECURITY_NAME")</f>
        <v>FN FS5098</v>
      </c>
      <c r="C702" t="str">
        <f>_xll.BDP("FNFS5098 Mtge","GENERIC_TICKER_VINTAGE")</f>
        <v>FNCL 3 2021</v>
      </c>
      <c r="D702" t="str">
        <f>_xll.BDP("FNFS5098 Mtge","CRNCY")</f>
        <v>USD</v>
      </c>
      <c r="E702">
        <v>22029095</v>
      </c>
      <c r="F702">
        <f>_xll.BDP("FNFS5098 Mtge","CPN")</f>
        <v>3</v>
      </c>
      <c r="G702">
        <f>_xll.BDP("FNFS5098 Mtge","MTG_FACTOR")</f>
        <v>0.76031234999999997</v>
      </c>
      <c r="H702">
        <f>_xll.BDP("FNFS5098 Mtge","MTG_WAL")</f>
        <v>8.3382000000000005</v>
      </c>
      <c r="I702" t="str">
        <f>_xll.BDP("FNFS5098 Mtge","MTG_ORIG_WAL")</f>
        <v>#N/A N/A</v>
      </c>
    </row>
    <row r="703" spans="1:9" x14ac:dyDescent="0.25">
      <c r="A703" t="str">
        <f>_xll.BDP("FNMA4439 Mtge","ID_CUSIP")</f>
        <v>31418D4Z2</v>
      </c>
      <c r="B703" t="str">
        <f>_xll.BDP("FNMA4439 Mtge","SECURITY_NAME")</f>
        <v>FN MA4439</v>
      </c>
      <c r="C703" t="str">
        <f>_xll.BDP("FNMA4439 Mtge","GENERIC_TICKER_VINTAGE")</f>
        <v>FNCL 3 2021</v>
      </c>
      <c r="D703" t="str">
        <f>_xll.BDP("FNMA4439 Mtge","CRNCY")</f>
        <v>USD</v>
      </c>
      <c r="E703">
        <v>447091144</v>
      </c>
      <c r="F703">
        <f>_xll.BDP("FNMA4439 Mtge","CPN")</f>
        <v>3</v>
      </c>
      <c r="G703">
        <f>_xll.BDP("FNMA4439 Mtge","MTG_FACTOR")</f>
        <v>0.62851069999999998</v>
      </c>
      <c r="H703">
        <f>_xll.BDP("FNMA4439 Mtge","MTG_WAL")</f>
        <v>8.3546999999999993</v>
      </c>
      <c r="I703" t="str">
        <f>_xll.BDP("FNMA4439 Mtge","MTG_ORIG_WAL")</f>
        <v>#N/A N/A</v>
      </c>
    </row>
    <row r="704" spans="1:9" x14ac:dyDescent="0.25">
      <c r="A704" t="str">
        <f>_xll.BDP("FNMA4549 Mtge","ID_CUSIP")</f>
        <v>31418EBT6</v>
      </c>
      <c r="B704" t="str">
        <f>_xll.BDP("FNMA4549 Mtge","SECURITY_NAME")</f>
        <v>FN MA4549</v>
      </c>
      <c r="C704" t="str">
        <f>_xll.BDP("FNMA4549 Mtge","GENERIC_TICKER_VINTAGE")</f>
        <v>FNCL 3 2021</v>
      </c>
      <c r="D704" t="str">
        <f>_xll.BDP("FNMA4549 Mtge","CRNCY")</f>
        <v>USD</v>
      </c>
      <c r="E704">
        <v>1955514859</v>
      </c>
      <c r="F704">
        <f>_xll.BDP("FNMA4549 Mtge","CPN")</f>
        <v>3</v>
      </c>
      <c r="G704">
        <f>_xll.BDP("FNMA4549 Mtge","MTG_FACTOR")</f>
        <v>0.70304703999999996</v>
      </c>
      <c r="H704">
        <f>_xll.BDP("FNMA4549 Mtge","MTG_WAL")</f>
        <v>8.4192999999999998</v>
      </c>
      <c r="I704" t="str">
        <f>_xll.BDP("FNMA4549 Mtge","MTG_ORIG_WAL")</f>
        <v>#N/A N/A</v>
      </c>
    </row>
    <row r="705" spans="1:9" x14ac:dyDescent="0.25">
      <c r="A705" t="str">
        <f>_xll.BDP("FRQD7331 Mtge","ID_CUSIP")</f>
        <v>3133B5EC2</v>
      </c>
      <c r="B705" t="str">
        <f>_xll.BDP("FRQD7331 Mtge","SECURITY_NAME")</f>
        <v>FR QD7331</v>
      </c>
      <c r="C705" t="str">
        <f>_xll.BDP("FRQD7331 Mtge","GENERIC_TICKER_VINTAGE")</f>
        <v>FNCL 3 2021</v>
      </c>
      <c r="D705" t="str">
        <f>_xll.BDP("FRQD7331 Mtge","CRNCY")</f>
        <v>USD</v>
      </c>
      <c r="E705">
        <v>8310284</v>
      </c>
      <c r="F705">
        <f>_xll.BDP("FRQD7331 Mtge","CPN")</f>
        <v>3</v>
      </c>
      <c r="G705">
        <f>_xll.BDP("FRQD7331 Mtge","MTG_FACTOR")</f>
        <v>0.68190134999999996</v>
      </c>
      <c r="H705">
        <f>_xll.BDP("FRQD7331 Mtge","MTG_WAL")</f>
        <v>8.4423999999999992</v>
      </c>
      <c r="I705" t="str">
        <f>_xll.BDP("FRQD7331 Mtge","MTG_ORIG_WAL")</f>
        <v>#N/A N/A</v>
      </c>
    </row>
    <row r="706" spans="1:9" x14ac:dyDescent="0.25">
      <c r="A706" t="str">
        <f>_xll.BDP("FRQX7837 Mtge","ID_CUSIP")</f>
        <v>31426DV74</v>
      </c>
      <c r="B706" t="str">
        <f>_xll.BDP("FRQX7837 Mtge","SECURITY_NAME")</f>
        <v>FR QX7837</v>
      </c>
      <c r="C706" t="str">
        <f>_xll.BDP("FRQX7837 Mtge","GENERIC_TICKER_VINTAGE")</f>
        <v>FNCL 6 2025</v>
      </c>
      <c r="D706" t="str">
        <f>_xll.BDP("FRQX7837 Mtge","CRNCY")</f>
        <v>USD</v>
      </c>
      <c r="E706">
        <v>54741793</v>
      </c>
      <c r="F706">
        <f>_xll.BDP("FRQX7837 Mtge","CPN")</f>
        <v>6</v>
      </c>
      <c r="G706">
        <f>_xll.BDP("FRQX7837 Mtge","MTG_FACTOR")</f>
        <v>0.61080181</v>
      </c>
      <c r="H706">
        <f>_xll.BDP("FRQX7837 Mtge","MTG_WAL")</f>
        <v>3.1974999999999998</v>
      </c>
      <c r="I706" t="str">
        <f>_xll.BDP("FRQX7837 Mtge","MTG_ORIG_WAL")</f>
        <v>#N/A N/A</v>
      </c>
    </row>
    <row r="707" spans="1:9" x14ac:dyDescent="0.25">
      <c r="A707" t="str">
        <f>_xll.BDP("FRQX8129 Mtge","ID_CUSIP")</f>
        <v>31426FA72</v>
      </c>
      <c r="B707" t="str">
        <f>_xll.BDP("FRQX8129 Mtge","SECURITY_NAME")</f>
        <v>FR QX8129</v>
      </c>
      <c r="C707" t="str">
        <f>_xll.BDP("FRQX8129 Mtge","GENERIC_TICKER_VINTAGE")</f>
        <v>FNCL 6 2025</v>
      </c>
      <c r="D707" t="str">
        <f>_xll.BDP("FRQX8129 Mtge","CRNCY")</f>
        <v>USD</v>
      </c>
      <c r="E707">
        <v>1305146</v>
      </c>
      <c r="F707">
        <f>_xll.BDP("FRQX8129 Mtge","CPN")</f>
        <v>6</v>
      </c>
      <c r="G707">
        <f>_xll.BDP("FRQX8129 Mtge","MTG_FACTOR")</f>
        <v>0.98835994000000005</v>
      </c>
      <c r="H707">
        <f>_xll.BDP("FRQX8129 Mtge","MTG_WAL")</f>
        <v>3.1591999999999998</v>
      </c>
      <c r="I707" t="str">
        <f>_xll.BDP("FRQX8129 Mtge","MTG_ORIG_WAL")</f>
        <v>#N/A N/A</v>
      </c>
    </row>
    <row r="708" spans="1:9" x14ac:dyDescent="0.25">
      <c r="A708" t="str">
        <f>_xll.BDP("FRQX8395 Mtge","ID_CUSIP")</f>
        <v>31426FKH9</v>
      </c>
      <c r="B708" t="str">
        <f>_xll.BDP("FRQX8395 Mtge","SECURITY_NAME")</f>
        <v>FR QX8395</v>
      </c>
      <c r="C708" t="str">
        <f>_xll.BDP("FRQX8395 Mtge","GENERIC_TICKER_VINTAGE")</f>
        <v>FNCL 6 2025</v>
      </c>
      <c r="D708" t="str">
        <f>_xll.BDP("FRQX8395 Mtge","CRNCY")</f>
        <v>USD</v>
      </c>
      <c r="E708">
        <v>11175249</v>
      </c>
      <c r="F708">
        <f>_xll.BDP("FRQX8395 Mtge","CPN")</f>
        <v>6</v>
      </c>
      <c r="G708">
        <f>_xll.BDP("FRQX8395 Mtge","MTG_FACTOR")</f>
        <v>0.89623319999999995</v>
      </c>
      <c r="H708">
        <f>_xll.BDP("FRQX8395 Mtge","MTG_WAL")</f>
        <v>3.16</v>
      </c>
      <c r="I708" t="str">
        <f>_xll.BDP("FRQX8395 Mtge","MTG_ORIG_WAL")</f>
        <v>#N/A N/A</v>
      </c>
    </row>
    <row r="709" spans="1:9" x14ac:dyDescent="0.25">
      <c r="A709" t="str">
        <f>_xll.BDP("FRQX8554 Mtge","ID_CUSIP")</f>
        <v>31426FQG5</v>
      </c>
      <c r="B709" t="str">
        <f>_xll.BDP("FRQX8554 Mtge","SECURITY_NAME")</f>
        <v>FR QX8554</v>
      </c>
      <c r="C709" t="str">
        <f>_xll.BDP("FRQX8554 Mtge","GENERIC_TICKER_VINTAGE")</f>
        <v>FNCL 6 2025</v>
      </c>
      <c r="D709" t="str">
        <f>_xll.BDP("FRQX8554 Mtge","CRNCY")</f>
        <v>USD</v>
      </c>
      <c r="E709">
        <v>1443940</v>
      </c>
      <c r="F709">
        <f>_xll.BDP("FRQX8554 Mtge","CPN")</f>
        <v>6</v>
      </c>
      <c r="G709">
        <f>_xll.BDP("FRQX8554 Mtge","MTG_FACTOR")</f>
        <v>0.86745410999999994</v>
      </c>
      <c r="H709">
        <f>_xll.BDP("FRQX8554 Mtge","MTG_WAL")</f>
        <v>3.1625999999999999</v>
      </c>
      <c r="I709" t="str">
        <f>_xll.BDP("FRQX8554 Mtge","MTG_ORIG_WAL")</f>
        <v>#N/A N/A</v>
      </c>
    </row>
    <row r="710" spans="1:9" x14ac:dyDescent="0.25">
      <c r="A710" t="str">
        <f>_xll.BDP("FRQX8730 Mtge","ID_CUSIP")</f>
        <v>31426FVY0</v>
      </c>
      <c r="B710" t="str">
        <f>_xll.BDP("FRQX8730 Mtge","SECURITY_NAME")</f>
        <v>FR QX8730</v>
      </c>
      <c r="C710" t="str">
        <f>_xll.BDP("FRQX8730 Mtge","GENERIC_TICKER_VINTAGE")</f>
        <v>FNCL 6 2025</v>
      </c>
      <c r="D710" t="str">
        <f>_xll.BDP("FRQX8730 Mtge","CRNCY")</f>
        <v>USD</v>
      </c>
      <c r="E710">
        <v>1572020</v>
      </c>
      <c r="F710">
        <f>_xll.BDP("FRQX8730 Mtge","CPN")</f>
        <v>6</v>
      </c>
      <c r="G710">
        <f>_xll.BDP("FRQX8730 Mtge","MTG_FACTOR")</f>
        <v>0.80093875000000003</v>
      </c>
      <c r="H710">
        <f>_xll.BDP("FRQX8730 Mtge","MTG_WAL")</f>
        <v>3.1850999999999998</v>
      </c>
      <c r="I710" t="str">
        <f>_xll.BDP("FRQX8730 Mtge","MTG_ORIG_WAL")</f>
        <v>#N/A N/A</v>
      </c>
    </row>
    <row r="711" spans="1:9" x14ac:dyDescent="0.25">
      <c r="A711" t="str">
        <f>_xll.BDP("FRQX9381 Mtge","ID_CUSIP")</f>
        <v>31426GM77</v>
      </c>
      <c r="B711" t="str">
        <f>_xll.BDP("FRQX9381 Mtge","SECURITY_NAME")</f>
        <v>FR QX9381</v>
      </c>
      <c r="C711" t="str">
        <f>_xll.BDP("FRQX9381 Mtge","GENERIC_TICKER_VINTAGE")</f>
        <v>FNCL 6 2025</v>
      </c>
      <c r="D711" t="str">
        <f>_xll.BDP("FRQX9381 Mtge","CRNCY")</f>
        <v>USD</v>
      </c>
      <c r="E711">
        <v>11301582</v>
      </c>
      <c r="F711">
        <f>_xll.BDP("FRQX9381 Mtge","CPN")</f>
        <v>6</v>
      </c>
      <c r="G711">
        <f>_xll.BDP("FRQX9381 Mtge","MTG_FACTOR")</f>
        <v>0.89887731999999998</v>
      </c>
      <c r="H711">
        <f>_xll.BDP("FRQX9381 Mtge","MTG_WAL")</f>
        <v>3.2010000000000001</v>
      </c>
      <c r="I711" t="str">
        <f>_xll.BDP("FRQX9381 Mtge","MTG_ORIG_WAL")</f>
        <v>#N/A N/A</v>
      </c>
    </row>
    <row r="712" spans="1:9" x14ac:dyDescent="0.25">
      <c r="A712" t="str">
        <f>_xll.BDP("FRQY1472 Mtge","ID_CUSIP")</f>
        <v>31426KT63</v>
      </c>
      <c r="B712" t="str">
        <f>_xll.BDP("FRQY1472 Mtge","SECURITY_NAME")</f>
        <v>FR QY1472</v>
      </c>
      <c r="C712" t="str">
        <f>_xll.BDP("FRQY1472 Mtge","GENERIC_TICKER_VINTAGE")</f>
        <v>FNCL 6 2025</v>
      </c>
      <c r="D712" t="str">
        <f>_xll.BDP("FRQY1472 Mtge","CRNCY")</f>
        <v>USD</v>
      </c>
      <c r="E712">
        <v>2233471</v>
      </c>
      <c r="F712">
        <f>_xll.BDP("FRQY1472 Mtge","CPN")</f>
        <v>6</v>
      </c>
      <c r="G712">
        <f>_xll.BDP("FRQY1472 Mtge","MTG_FACTOR")</f>
        <v>0.98169377999999996</v>
      </c>
      <c r="H712">
        <f>_xll.BDP("FRQY1472 Mtge","MTG_WAL")</f>
        <v>3.2321</v>
      </c>
      <c r="I712" t="str">
        <f>_xll.BDP("FRQY1472 Mtge","MTG_ORIG_WAL")</f>
        <v>#N/A N/A</v>
      </c>
    </row>
    <row r="713" spans="1:9" x14ac:dyDescent="0.25">
      <c r="A713" t="str">
        <f>_xll.BDP("FRQY2039 Mtge","ID_CUSIP")</f>
        <v>31426LHR8</v>
      </c>
      <c r="B713" t="str">
        <f>_xll.BDP("FRQY2039 Mtge","SECURITY_NAME")</f>
        <v>FR QY2039</v>
      </c>
      <c r="C713" t="str">
        <f>_xll.BDP("FRQY2039 Mtge","GENERIC_TICKER_VINTAGE")</f>
        <v>FNCL 6 2025</v>
      </c>
      <c r="D713" t="str">
        <f>_xll.BDP("FRQY2039 Mtge","CRNCY")</f>
        <v>USD</v>
      </c>
      <c r="E713">
        <v>2489581</v>
      </c>
      <c r="F713">
        <f>_xll.BDP("FRQY2039 Mtge","CPN")</f>
        <v>6</v>
      </c>
      <c r="G713">
        <f>_xll.BDP("FRQY2039 Mtge","MTG_FACTOR")</f>
        <v>0.78691707</v>
      </c>
      <c r="H713">
        <f>_xll.BDP("FRQY2039 Mtge","MTG_WAL")</f>
        <v>3.2349000000000001</v>
      </c>
      <c r="I713" t="str">
        <f>_xll.BDP("FRQY2039 Mtge","MTG_ORIG_WAL")</f>
        <v>#N/A N/A</v>
      </c>
    </row>
    <row r="714" spans="1:9" x14ac:dyDescent="0.25">
      <c r="A714" t="str">
        <f>_xll.BDP("FRQY2420 Mtge","ID_CUSIP")</f>
        <v>31426LVN1</v>
      </c>
      <c r="B714" t="str">
        <f>_xll.BDP("FRQY2420 Mtge","SECURITY_NAME")</f>
        <v>FR QY2420</v>
      </c>
      <c r="C714" t="str">
        <f>_xll.BDP("FRQY2420 Mtge","GENERIC_TICKER_VINTAGE")</f>
        <v>FNCL 6 2025</v>
      </c>
      <c r="D714" t="str">
        <f>_xll.BDP("FRQY2420 Mtge","CRNCY")</f>
        <v>USD</v>
      </c>
      <c r="E714">
        <v>11613037</v>
      </c>
      <c r="F714">
        <f>_xll.BDP("FRQY2420 Mtge","CPN")</f>
        <v>6</v>
      </c>
      <c r="G714">
        <f>_xll.BDP("FRQY2420 Mtge","MTG_FACTOR")</f>
        <v>0.94170708999999997</v>
      </c>
      <c r="H714">
        <f>_xll.BDP("FRQY2420 Mtge","MTG_WAL")</f>
        <v>3.2894000000000001</v>
      </c>
      <c r="I714" t="str">
        <f>_xll.BDP("FRQY2420 Mtge","MTG_ORIG_WAL")</f>
        <v>#N/A N/A</v>
      </c>
    </row>
    <row r="715" spans="1:9" x14ac:dyDescent="0.25">
      <c r="A715" t="str">
        <f>_xll.BDP("FRQY3179 Mtge","ID_CUSIP")</f>
        <v>31426MQ96</v>
      </c>
      <c r="B715" t="str">
        <f>_xll.BDP("FRQY3179 Mtge","SECURITY_NAME")</f>
        <v>FR QY3179</v>
      </c>
      <c r="C715" t="str">
        <f>_xll.BDP("FRQY3179 Mtge","GENERIC_TICKER_VINTAGE")</f>
        <v>FNCL 6 2025</v>
      </c>
      <c r="D715" t="str">
        <f>_xll.BDP("FRQY3179 Mtge","CRNCY")</f>
        <v>USD</v>
      </c>
      <c r="E715">
        <v>10720706</v>
      </c>
      <c r="F715">
        <f>_xll.BDP("FRQY3179 Mtge","CPN")</f>
        <v>6</v>
      </c>
      <c r="G715">
        <f>_xll.BDP("FRQY3179 Mtge","MTG_FACTOR")</f>
        <v>0.85553798000000003</v>
      </c>
      <c r="H715">
        <f>_xll.BDP("FRQY3179 Mtge","MTG_WAL")</f>
        <v>3.2412999999999998</v>
      </c>
      <c r="I715" t="str">
        <f>_xll.BDP("FRQY3179 Mtge","MTG_ORIG_WAL")</f>
        <v>#N/A N/A</v>
      </c>
    </row>
    <row r="716" spans="1:9" x14ac:dyDescent="0.25">
      <c r="A716" t="str">
        <f>_xll.BDP("FRQY3682 Mtge","ID_CUSIP")</f>
        <v>31426NCU2</v>
      </c>
      <c r="B716" t="str">
        <f>_xll.BDP("FRQY3682 Mtge","SECURITY_NAME")</f>
        <v>FR QY3682</v>
      </c>
      <c r="C716" t="str">
        <f>_xll.BDP("FRQY3682 Mtge","GENERIC_TICKER_VINTAGE")</f>
        <v>FNCL 6 2025</v>
      </c>
      <c r="D716" t="str">
        <f>_xll.BDP("FRQY3682 Mtge","CRNCY")</f>
        <v>USD</v>
      </c>
      <c r="E716">
        <v>3175950</v>
      </c>
      <c r="F716">
        <f>_xll.BDP("FRQY3682 Mtge","CPN")</f>
        <v>6</v>
      </c>
      <c r="G716">
        <f>_xll.BDP("FRQY3682 Mtge","MTG_FACTOR")</f>
        <v>0.71499815</v>
      </c>
      <c r="H716">
        <f>_xll.BDP("FRQY3682 Mtge","MTG_WAL")</f>
        <v>3.2498999999999998</v>
      </c>
      <c r="I716" t="str">
        <f>_xll.BDP("FRQY3682 Mtge","MTG_ORIG_WAL")</f>
        <v>#N/A N/A</v>
      </c>
    </row>
    <row r="717" spans="1:9" x14ac:dyDescent="0.25">
      <c r="A717" t="str">
        <f>_xll.BDP("FRQY4054 Mtge","ID_CUSIP")</f>
        <v>31426NQG8</v>
      </c>
      <c r="B717" t="str">
        <f>_xll.BDP("FRQY4054 Mtge","SECURITY_NAME")</f>
        <v>FR QY4054</v>
      </c>
      <c r="C717" t="str">
        <f>_xll.BDP("FRQY4054 Mtge","GENERIC_TICKER_VINTAGE")</f>
        <v>FNCL 6 2025</v>
      </c>
      <c r="D717" t="str">
        <f>_xll.BDP("FRQY4054 Mtge","CRNCY")</f>
        <v>USD</v>
      </c>
      <c r="E717">
        <v>42570220</v>
      </c>
      <c r="F717">
        <f>_xll.BDP("FRQY4054 Mtge","CPN")</f>
        <v>6</v>
      </c>
      <c r="G717">
        <f>_xll.BDP("FRQY4054 Mtge","MTG_FACTOR")</f>
        <v>0.84392922999999997</v>
      </c>
      <c r="H717">
        <f>_xll.BDP("FRQY4054 Mtge","MTG_WAL")</f>
        <v>3.2938000000000001</v>
      </c>
      <c r="I717" t="str">
        <f>_xll.BDP("FRQY4054 Mtge","MTG_ORIG_WAL")</f>
        <v>#N/A N/A</v>
      </c>
    </row>
    <row r="718" spans="1:9" x14ac:dyDescent="0.25">
      <c r="A718" t="str">
        <f>_xll.BDP("FRQY4330 Mtge","ID_CUSIP")</f>
        <v>31426NY46</v>
      </c>
      <c r="B718" t="str">
        <f>_xll.BDP("FRQY4330 Mtge","SECURITY_NAME")</f>
        <v>FR QY4330</v>
      </c>
      <c r="C718" t="str">
        <f>_xll.BDP("FRQY4330 Mtge","GENERIC_TICKER_VINTAGE")</f>
        <v>FNCL 6 2025</v>
      </c>
      <c r="D718" t="str">
        <f>_xll.BDP("FRQY4330 Mtge","CRNCY")</f>
        <v>USD</v>
      </c>
      <c r="E718">
        <v>25013105</v>
      </c>
      <c r="F718">
        <f>_xll.BDP("FRQY4330 Mtge","CPN")</f>
        <v>6</v>
      </c>
      <c r="G718">
        <f>_xll.BDP("FRQY4330 Mtge","MTG_FACTOR")</f>
        <v>0.89168813999999996</v>
      </c>
      <c r="H718">
        <f>_xll.BDP("FRQY4330 Mtge","MTG_WAL")</f>
        <v>3.2471000000000001</v>
      </c>
      <c r="I718" t="str">
        <f>_xll.BDP("FRQY4330 Mtge","MTG_ORIG_WAL")</f>
        <v>#N/A N/A</v>
      </c>
    </row>
    <row r="719" spans="1:9" x14ac:dyDescent="0.25">
      <c r="A719" t="str">
        <f>_xll.BDP("FRQY4774 Mtge","ID_CUSIP")</f>
        <v>31426PJU0</v>
      </c>
      <c r="B719" t="str">
        <f>_xll.BDP("FRQY4774 Mtge","SECURITY_NAME")</f>
        <v>FR QY4774</v>
      </c>
      <c r="C719" t="str">
        <f>_xll.BDP("FRQY4774 Mtge","GENERIC_TICKER_VINTAGE")</f>
        <v>FNCL 6 2025</v>
      </c>
      <c r="D719" t="str">
        <f>_xll.BDP("FRQY4774 Mtge","CRNCY")</f>
        <v>USD</v>
      </c>
      <c r="E719">
        <v>18578212</v>
      </c>
      <c r="F719">
        <f>_xll.BDP("FRQY4774 Mtge","CPN")</f>
        <v>6</v>
      </c>
      <c r="G719">
        <f>_xll.BDP("FRQY4774 Mtge","MTG_FACTOR")</f>
        <v>0.97165376000000003</v>
      </c>
      <c r="H719">
        <f>_xll.BDP("FRQY4774 Mtge","MTG_WAL")</f>
        <v>3.2890000000000001</v>
      </c>
      <c r="I719" t="str">
        <f>_xll.BDP("FRQY4774 Mtge","MTG_ORIG_WAL")</f>
        <v>#N/A N/A</v>
      </c>
    </row>
    <row r="720" spans="1:9" x14ac:dyDescent="0.25">
      <c r="A720" t="str">
        <f>_xll.BDP("FRQY4968 Mtge","ID_CUSIP")</f>
        <v>31426PQW8</v>
      </c>
      <c r="B720" t="str">
        <f>_xll.BDP("FRQY4968 Mtge","SECURITY_NAME")</f>
        <v>FR QY4968</v>
      </c>
      <c r="C720" t="str">
        <f>_xll.BDP("FRQY4968 Mtge","GENERIC_TICKER_VINTAGE")</f>
        <v>FNCL 6 2025</v>
      </c>
      <c r="D720" t="str">
        <f>_xll.BDP("FRQY4968 Mtge","CRNCY")</f>
        <v>USD</v>
      </c>
      <c r="E720">
        <v>2976649</v>
      </c>
      <c r="F720">
        <f>_xll.BDP("FRQY4968 Mtge","CPN")</f>
        <v>6</v>
      </c>
      <c r="G720">
        <f>_xll.BDP("FRQY4968 Mtge","MTG_FACTOR")</f>
        <v>0.84730766000000002</v>
      </c>
      <c r="H720">
        <f>_xll.BDP("FRQY4968 Mtge","MTG_WAL")</f>
        <v>3.2387000000000001</v>
      </c>
      <c r="I720" t="str">
        <f>_xll.BDP("FRQY4968 Mtge","MTG_ORIG_WAL")</f>
        <v>#N/A N/A</v>
      </c>
    </row>
    <row r="721" spans="1:9" x14ac:dyDescent="0.25">
      <c r="A721" t="str">
        <f>_xll.BDP("FRQY5023 Mtge","ID_CUSIP")</f>
        <v>31426PSM8</v>
      </c>
      <c r="B721" t="str">
        <f>_xll.BDP("FRQY5023 Mtge","SECURITY_NAME")</f>
        <v>FR QY5023</v>
      </c>
      <c r="C721" t="str">
        <f>_xll.BDP("FRQY5023 Mtge","GENERIC_TICKER_VINTAGE")</f>
        <v>FNCL 6 2025</v>
      </c>
      <c r="D721" t="str">
        <f>_xll.BDP("FRQY5023 Mtge","CRNCY")</f>
        <v>USD</v>
      </c>
      <c r="E721">
        <v>42832483</v>
      </c>
      <c r="F721">
        <f>_xll.BDP("FRQY5023 Mtge","CPN")</f>
        <v>6</v>
      </c>
      <c r="G721">
        <f>_xll.BDP("FRQY5023 Mtge","MTG_FACTOR")</f>
        <v>0.87743954999999996</v>
      </c>
      <c r="H721">
        <f>_xll.BDP("FRQY5023 Mtge","MTG_WAL")</f>
        <v>3.2930000000000001</v>
      </c>
      <c r="I721" t="str">
        <f>_xll.BDP("FRQY5023 Mtge","MTG_ORIG_WAL")</f>
        <v>#N/A N/A</v>
      </c>
    </row>
    <row r="722" spans="1:9" x14ac:dyDescent="0.25">
      <c r="A722" t="str">
        <f>_xll.BDP("FRQY5231 Mtge","ID_CUSIP")</f>
        <v>31426PY58</v>
      </c>
      <c r="B722" t="str">
        <f>_xll.BDP("FRQY5231 Mtge","SECURITY_NAME")</f>
        <v>FR QY5231</v>
      </c>
      <c r="C722" t="str">
        <f>_xll.BDP("FRQY5231 Mtge","GENERIC_TICKER_VINTAGE")</f>
        <v>FNCL 6 2025</v>
      </c>
      <c r="D722" t="str">
        <f>_xll.BDP("FRQY5231 Mtge","CRNCY")</f>
        <v>USD</v>
      </c>
      <c r="E722">
        <v>12712450</v>
      </c>
      <c r="F722">
        <f>_xll.BDP("FRQY5231 Mtge","CPN")</f>
        <v>6</v>
      </c>
      <c r="G722">
        <f>_xll.BDP("FRQY5231 Mtge","MTG_FACTOR")</f>
        <v>0.88145671000000003</v>
      </c>
      <c r="H722">
        <f>_xll.BDP("FRQY5231 Mtge","MTG_WAL")</f>
        <v>3.2917999999999998</v>
      </c>
      <c r="I722" t="str">
        <f>_xll.BDP("FRQY5231 Mtge","MTG_ORIG_WAL")</f>
        <v>#N/A N/A</v>
      </c>
    </row>
    <row r="723" spans="1:9" x14ac:dyDescent="0.25">
      <c r="A723" t="str">
        <f>_xll.BDP("FRQY5234 Mtge","ID_CUSIP")</f>
        <v>31426PY82</v>
      </c>
      <c r="B723" t="str">
        <f>_xll.BDP("FRQY5234 Mtge","SECURITY_NAME")</f>
        <v>FR QY5234</v>
      </c>
      <c r="C723" t="str">
        <f>_xll.BDP("FRQY5234 Mtge","GENERIC_TICKER_VINTAGE")</f>
        <v>FNCL 6 2025</v>
      </c>
      <c r="D723" t="str">
        <f>_xll.BDP("FRQY5234 Mtge","CRNCY")</f>
        <v>USD</v>
      </c>
      <c r="E723">
        <v>6725876</v>
      </c>
      <c r="F723">
        <f>_xll.BDP("FRQY5234 Mtge","CPN")</f>
        <v>6</v>
      </c>
      <c r="G723">
        <f>_xll.BDP("FRQY5234 Mtge","MTG_FACTOR")</f>
        <v>0.84999384</v>
      </c>
      <c r="H723">
        <f>_xll.BDP("FRQY5234 Mtge","MTG_WAL")</f>
        <v>3.2856999999999998</v>
      </c>
      <c r="I723" t="str">
        <f>_xll.BDP("FRQY5234 Mtge","MTG_ORIG_WAL")</f>
        <v>#N/A N/A</v>
      </c>
    </row>
    <row r="724" spans="1:9" x14ac:dyDescent="0.25">
      <c r="A724" t="str">
        <f>_xll.BDP("FRQY5851 Mtge","ID_CUSIP")</f>
        <v>31426QQD8</v>
      </c>
      <c r="B724" t="str">
        <f>_xll.BDP("FRQY5851 Mtge","SECURITY_NAME")</f>
        <v>FR QY5851</v>
      </c>
      <c r="C724" t="str">
        <f>_xll.BDP("FRQY5851 Mtge","GENERIC_TICKER_VINTAGE")</f>
        <v>FNCL 6 2025</v>
      </c>
      <c r="D724" t="str">
        <f>_xll.BDP("FRQY5851 Mtge","CRNCY")</f>
        <v>USD</v>
      </c>
      <c r="E724">
        <v>1561080</v>
      </c>
      <c r="F724">
        <f>_xll.BDP("FRQY5851 Mtge","CPN")</f>
        <v>6</v>
      </c>
      <c r="G724">
        <f>_xll.BDP("FRQY5851 Mtge","MTG_FACTOR")</f>
        <v>0.98981631000000003</v>
      </c>
      <c r="H724">
        <f>_xll.BDP("FRQY5851 Mtge","MTG_WAL")</f>
        <v>3.3405999999999998</v>
      </c>
      <c r="I724" t="str">
        <f>_xll.BDP("FRQY5851 Mtge","MTG_ORIG_WAL")</f>
        <v>#N/A N/A</v>
      </c>
    </row>
    <row r="725" spans="1:9" x14ac:dyDescent="0.25">
      <c r="A725" t="str">
        <f>_xll.BDP("FRQY6046 Mtge","ID_CUSIP")</f>
        <v>31426QWG4</v>
      </c>
      <c r="B725" t="str">
        <f>_xll.BDP("FRQY6046 Mtge","SECURITY_NAME")</f>
        <v>FR QY6046</v>
      </c>
      <c r="C725" t="str">
        <f>_xll.BDP("FRQY6046 Mtge","GENERIC_TICKER_VINTAGE")</f>
        <v>FNCL 6 2025</v>
      </c>
      <c r="D725" t="str">
        <f>_xll.BDP("FRQY6046 Mtge","CRNCY")</f>
        <v>USD</v>
      </c>
      <c r="E725">
        <v>41747467</v>
      </c>
      <c r="F725">
        <f>_xll.BDP("FRQY6046 Mtge","CPN")</f>
        <v>6</v>
      </c>
      <c r="G725">
        <f>_xll.BDP("FRQY6046 Mtge","MTG_FACTOR")</f>
        <v>0.87956911000000004</v>
      </c>
      <c r="H725">
        <f>_xll.BDP("FRQY6046 Mtge","MTG_WAL")</f>
        <v>3.3449</v>
      </c>
      <c r="I725" t="str">
        <f>_xll.BDP("FRQY6046 Mtge","MTG_ORIG_WAL")</f>
        <v>#N/A N/A</v>
      </c>
    </row>
    <row r="726" spans="1:9" x14ac:dyDescent="0.25">
      <c r="A726" t="str">
        <f>_xll.BDP("FRQY6260 Mtge","ID_CUSIP")</f>
        <v>31426Q5W9</v>
      </c>
      <c r="B726" t="str">
        <f>_xll.BDP("FRQY6260 Mtge","SECURITY_NAME")</f>
        <v>FR QY6260</v>
      </c>
      <c r="C726" t="str">
        <f>_xll.BDP("FRQY6260 Mtge","GENERIC_TICKER_VINTAGE")</f>
        <v>FNCL 6 2025</v>
      </c>
      <c r="D726" t="str">
        <f>_xll.BDP("FRQY6260 Mtge","CRNCY")</f>
        <v>USD</v>
      </c>
      <c r="E726">
        <v>2134102</v>
      </c>
      <c r="F726">
        <f>_xll.BDP("FRQY6260 Mtge","CPN")</f>
        <v>6</v>
      </c>
      <c r="G726">
        <f>_xll.BDP("FRQY6260 Mtge","MTG_FACTOR")</f>
        <v>0.99243488000000002</v>
      </c>
      <c r="H726">
        <f>_xll.BDP("FRQY6260 Mtge","MTG_WAL")</f>
        <v>3.2989999999999999</v>
      </c>
      <c r="I726" t="str">
        <f>_xll.BDP("FRQY6260 Mtge","MTG_ORIG_WAL")</f>
        <v>#N/A N/A</v>
      </c>
    </row>
    <row r="727" spans="1:9" x14ac:dyDescent="0.25">
      <c r="A727" t="str">
        <f>_xll.BDP("FRQY6322 Mtge","ID_CUSIP")</f>
        <v>31426RAY7</v>
      </c>
      <c r="B727" t="str">
        <f>_xll.BDP("FRQY6322 Mtge","SECURITY_NAME")</f>
        <v>FR QY6322</v>
      </c>
      <c r="C727" t="str">
        <f>_xll.BDP("FRQY6322 Mtge","GENERIC_TICKER_VINTAGE")</f>
        <v>FNCL 6 2025</v>
      </c>
      <c r="D727" t="str">
        <f>_xll.BDP("FRQY6322 Mtge","CRNCY")</f>
        <v>USD</v>
      </c>
      <c r="E727">
        <v>1257579</v>
      </c>
      <c r="F727">
        <f>_xll.BDP("FRQY6322 Mtge","CPN")</f>
        <v>6</v>
      </c>
      <c r="G727">
        <f>_xll.BDP("FRQY6322 Mtge","MTG_FACTOR")</f>
        <v>0.99090076999999999</v>
      </c>
      <c r="H727">
        <f>_xll.BDP("FRQY6322 Mtge","MTG_WAL")</f>
        <v>3.2452000000000001</v>
      </c>
      <c r="I727" t="str">
        <f>_xll.BDP("FRQY6322 Mtge","MTG_ORIG_WAL")</f>
        <v>#N/A N/A</v>
      </c>
    </row>
    <row r="728" spans="1:9" x14ac:dyDescent="0.25">
      <c r="A728" t="str">
        <f>_xll.BDP("FRQY6335 Mtge","ID_CUSIP")</f>
        <v>31426RBD2</v>
      </c>
      <c r="B728" t="str">
        <f>_xll.BDP("FRQY6335 Mtge","SECURITY_NAME")</f>
        <v>FR QY6335</v>
      </c>
      <c r="C728" t="str">
        <f>_xll.BDP("FRQY6335 Mtge","GENERIC_TICKER_VINTAGE")</f>
        <v>FNCL 6 2025</v>
      </c>
      <c r="D728" t="str">
        <f>_xll.BDP("FRQY6335 Mtge","CRNCY")</f>
        <v>USD</v>
      </c>
      <c r="E728">
        <v>9741790</v>
      </c>
      <c r="F728">
        <f>_xll.BDP("FRQY6335 Mtge","CPN")</f>
        <v>6</v>
      </c>
      <c r="G728">
        <f>_xll.BDP("FRQY6335 Mtge","MTG_FACTOR")</f>
        <v>0.82378752</v>
      </c>
      <c r="H728">
        <f>_xll.BDP("FRQY6335 Mtge","MTG_WAL")</f>
        <v>3.3433999999999999</v>
      </c>
      <c r="I728" t="str">
        <f>_xll.BDP("FRQY6335 Mtge","MTG_ORIG_WAL")</f>
        <v>#N/A N/A</v>
      </c>
    </row>
    <row r="729" spans="1:9" x14ac:dyDescent="0.25">
      <c r="A729" t="str">
        <f>_xll.BDP("FRQY6372 Mtge","ID_CUSIP")</f>
        <v>31426RCJ8</v>
      </c>
      <c r="B729" t="str">
        <f>_xll.BDP("FRQY6372 Mtge","SECURITY_NAME")</f>
        <v>FR QY6372</v>
      </c>
      <c r="C729" t="str">
        <f>_xll.BDP("FRQY6372 Mtge","GENERIC_TICKER_VINTAGE")</f>
        <v>FNCL 6 2025</v>
      </c>
      <c r="D729" t="str">
        <f>_xll.BDP("FRQY6372 Mtge","CRNCY")</f>
        <v>USD</v>
      </c>
      <c r="E729">
        <v>1149002</v>
      </c>
      <c r="F729">
        <f>_xll.BDP("FRQY6372 Mtge","CPN")</f>
        <v>6</v>
      </c>
      <c r="G729">
        <f>_xll.BDP("FRQY6372 Mtge","MTG_FACTOR")</f>
        <v>0.98952488000000005</v>
      </c>
      <c r="H729">
        <f>_xll.BDP("FRQY6372 Mtge","MTG_WAL")</f>
        <v>3.2911999999999999</v>
      </c>
      <c r="I729" t="str">
        <f>_xll.BDP("FRQY6372 Mtge","MTG_ORIG_WAL")</f>
        <v>#N/A N/A</v>
      </c>
    </row>
    <row r="730" spans="1:9" x14ac:dyDescent="0.25">
      <c r="A730" t="str">
        <f>_xll.BDP("FRQY6449 Mtge","ID_CUSIP")</f>
        <v>31426REX5</v>
      </c>
      <c r="B730" t="str">
        <f>_xll.BDP("FRQY6449 Mtge","SECURITY_NAME")</f>
        <v>FR QY6449</v>
      </c>
      <c r="C730" t="str">
        <f>_xll.BDP("FRQY6449 Mtge","GENERIC_TICKER_VINTAGE")</f>
        <v>FNCL 6 2025</v>
      </c>
      <c r="D730" t="str">
        <f>_xll.BDP("FRQY6449 Mtge","CRNCY")</f>
        <v>USD</v>
      </c>
      <c r="E730">
        <v>9998203</v>
      </c>
      <c r="F730">
        <f>_xll.BDP("FRQY6449 Mtge","CPN")</f>
        <v>6</v>
      </c>
      <c r="G730">
        <f>_xll.BDP("FRQY6449 Mtge","MTG_FACTOR")</f>
        <v>0.83521551999999999</v>
      </c>
      <c r="H730">
        <f>_xll.BDP("FRQY6449 Mtge","MTG_WAL")</f>
        <v>3.3249</v>
      </c>
      <c r="I730" t="str">
        <f>_xll.BDP("FRQY6449 Mtge","MTG_ORIG_WAL")</f>
        <v>#N/A N/A</v>
      </c>
    </row>
    <row r="731" spans="1:9" x14ac:dyDescent="0.25">
      <c r="A731" t="str">
        <f>_xll.BDP("FRQY6515 Mtge","ID_CUSIP")</f>
        <v>31426RGZ8</v>
      </c>
      <c r="B731" t="str">
        <f>_xll.BDP("FRQY6515 Mtge","SECURITY_NAME")</f>
        <v>FR QY6515</v>
      </c>
      <c r="C731" t="str">
        <f>_xll.BDP("FRQY6515 Mtge","GENERIC_TICKER_VINTAGE")</f>
        <v>FNCL 6 2025</v>
      </c>
      <c r="D731" t="str">
        <f>_xll.BDP("FRQY6515 Mtge","CRNCY")</f>
        <v>USD</v>
      </c>
      <c r="E731">
        <v>1309757</v>
      </c>
      <c r="F731">
        <f>_xll.BDP("FRQY6515 Mtge","CPN")</f>
        <v>6</v>
      </c>
      <c r="G731">
        <f>_xll.BDP("FRQY6515 Mtge","MTG_FACTOR")</f>
        <v>0.79192203000000005</v>
      </c>
      <c r="H731">
        <f>_xll.BDP("FRQY6515 Mtge","MTG_WAL")</f>
        <v>3.3353999999999999</v>
      </c>
      <c r="I731" t="str">
        <f>_xll.BDP("FRQY6515 Mtge","MTG_ORIG_WAL")</f>
        <v>#N/A N/A</v>
      </c>
    </row>
    <row r="732" spans="1:9" x14ac:dyDescent="0.25">
      <c r="A732" t="str">
        <f>_xll.BDP("FRQY6517 Mtge","ID_CUSIP")</f>
        <v>31426RG39</v>
      </c>
      <c r="B732" t="str">
        <f>_xll.BDP("FRQY6517 Mtge","SECURITY_NAME")</f>
        <v>FR QY6517</v>
      </c>
      <c r="C732" t="str">
        <f>_xll.BDP("FRQY6517 Mtge","GENERIC_TICKER_VINTAGE")</f>
        <v>FNCL 6 2025</v>
      </c>
      <c r="D732" t="str">
        <f>_xll.BDP("FRQY6517 Mtge","CRNCY")</f>
        <v>USD</v>
      </c>
      <c r="E732">
        <v>31522825</v>
      </c>
      <c r="F732">
        <f>_xll.BDP("FRQY6517 Mtge","CPN")</f>
        <v>6</v>
      </c>
      <c r="G732">
        <f>_xll.BDP("FRQY6517 Mtge","MTG_FACTOR")</f>
        <v>0.94628115000000002</v>
      </c>
      <c r="H732">
        <f>_xll.BDP("FRQY6517 Mtge","MTG_WAL")</f>
        <v>3.3378000000000001</v>
      </c>
      <c r="I732" t="str">
        <f>_xll.BDP("FRQY6517 Mtge","MTG_ORIG_WAL")</f>
        <v>#N/A N/A</v>
      </c>
    </row>
    <row r="733" spans="1:9" x14ac:dyDescent="0.25">
      <c r="A733" t="str">
        <f>_xll.BDP("FRQY6619 Mtge","ID_CUSIP")</f>
        <v>31426RK91</v>
      </c>
      <c r="B733" t="str">
        <f>_xll.BDP("FRQY6619 Mtge","SECURITY_NAME")</f>
        <v>FR QY6619</v>
      </c>
      <c r="C733" t="str">
        <f>_xll.BDP("FRQY6619 Mtge","GENERIC_TICKER_VINTAGE")</f>
        <v>FNCL 6 2025</v>
      </c>
      <c r="D733" t="str">
        <f>_xll.BDP("FRQY6619 Mtge","CRNCY")</f>
        <v>USD</v>
      </c>
      <c r="E733">
        <v>56657800</v>
      </c>
      <c r="F733">
        <f>_xll.BDP("FRQY6619 Mtge","CPN")</f>
        <v>6</v>
      </c>
      <c r="G733">
        <f>_xll.BDP("FRQY6619 Mtge","MTG_FACTOR")</f>
        <v>0.90642836999999998</v>
      </c>
      <c r="H733">
        <f>_xll.BDP("FRQY6619 Mtge","MTG_WAL")</f>
        <v>3.3433000000000002</v>
      </c>
      <c r="I733" t="str">
        <f>_xll.BDP("FRQY6619 Mtge","MTG_ORIG_WAL")</f>
        <v>#N/A N/A</v>
      </c>
    </row>
    <row r="734" spans="1:9" x14ac:dyDescent="0.25">
      <c r="A734" t="str">
        <f>_xll.BDP("FRQY6644 Mtge","ID_CUSIP")</f>
        <v>31426RL25</v>
      </c>
      <c r="B734" t="str">
        <f>_xll.BDP("FRQY6644 Mtge","SECURITY_NAME")</f>
        <v>FR QY6644</v>
      </c>
      <c r="C734" t="str">
        <f>_xll.BDP("FRQY6644 Mtge","GENERIC_TICKER_VINTAGE")</f>
        <v>FNCL 6 2025</v>
      </c>
      <c r="D734" t="str">
        <f>_xll.BDP("FRQY6644 Mtge","CRNCY")</f>
        <v>USD</v>
      </c>
      <c r="E734">
        <v>1120410</v>
      </c>
      <c r="F734">
        <f>_xll.BDP("FRQY6644 Mtge","CPN")</f>
        <v>6</v>
      </c>
      <c r="G734">
        <f>_xll.BDP("FRQY6644 Mtge","MTG_FACTOR")</f>
        <v>0.97746862000000001</v>
      </c>
      <c r="H734">
        <f>_xll.BDP("FRQY6644 Mtge","MTG_WAL")</f>
        <v>3.2810000000000001</v>
      </c>
      <c r="I734" t="str">
        <f>_xll.BDP("FRQY6644 Mtge","MTG_ORIG_WAL")</f>
        <v>#N/A N/A</v>
      </c>
    </row>
    <row r="735" spans="1:9" x14ac:dyDescent="0.25">
      <c r="A735" t="str">
        <f>_xll.BDP("FRQY6656 Mtge","ID_CUSIP")</f>
        <v>31426RME8</v>
      </c>
      <c r="B735" t="str">
        <f>_xll.BDP("FRQY6656 Mtge","SECURITY_NAME")</f>
        <v>FR QY6656</v>
      </c>
      <c r="C735" t="str">
        <f>_xll.BDP("FRQY6656 Mtge","GENERIC_TICKER_VINTAGE")</f>
        <v>FNCL 6 2025</v>
      </c>
      <c r="D735" t="str">
        <f>_xll.BDP("FRQY6656 Mtge","CRNCY")</f>
        <v>USD</v>
      </c>
      <c r="E735">
        <v>51814976</v>
      </c>
      <c r="F735">
        <f>_xll.BDP("FRQY6656 Mtge","CPN")</f>
        <v>6</v>
      </c>
      <c r="G735">
        <f>_xll.BDP("FRQY6656 Mtge","MTG_FACTOR")</f>
        <v>0.84495094999999998</v>
      </c>
      <c r="H735">
        <f>_xll.BDP("FRQY6656 Mtge","MTG_WAL")</f>
        <v>3.3382999999999998</v>
      </c>
      <c r="I735" t="str">
        <f>_xll.BDP("FRQY6656 Mtge","MTG_ORIG_WAL")</f>
        <v>#N/A N/A</v>
      </c>
    </row>
    <row r="736" spans="1:9" x14ac:dyDescent="0.25">
      <c r="A736" t="str">
        <f>_xll.BDP("FRQY6669 Mtge","ID_CUSIP")</f>
        <v>31426RMT5</v>
      </c>
      <c r="B736" t="str">
        <f>_xll.BDP("FRQY6669 Mtge","SECURITY_NAME")</f>
        <v>FR QY6669</v>
      </c>
      <c r="C736" t="str">
        <f>_xll.BDP("FRQY6669 Mtge","GENERIC_TICKER_VINTAGE")</f>
        <v>FNCL 6 2025</v>
      </c>
      <c r="D736" t="str">
        <f>_xll.BDP("FRQY6669 Mtge","CRNCY")</f>
        <v>USD</v>
      </c>
      <c r="E736">
        <v>16474539</v>
      </c>
      <c r="F736">
        <f>_xll.BDP("FRQY6669 Mtge","CPN")</f>
        <v>6</v>
      </c>
      <c r="G736">
        <f>_xll.BDP("FRQY6669 Mtge","MTG_FACTOR")</f>
        <v>0.81830897000000002</v>
      </c>
      <c r="H736">
        <f>_xll.BDP("FRQY6669 Mtge","MTG_WAL")</f>
        <v>3.2961999999999998</v>
      </c>
      <c r="I736" t="str">
        <f>_xll.BDP("FRQY6669 Mtge","MTG_ORIG_WAL")</f>
        <v>#N/A N/A</v>
      </c>
    </row>
    <row r="737" spans="1:9" x14ac:dyDescent="0.25">
      <c r="A737" t="str">
        <f>_xll.BDP("FRQY6794 Mtge","ID_CUSIP")</f>
        <v>31426RRQ6</v>
      </c>
      <c r="B737" t="str">
        <f>_xll.BDP("FRQY6794 Mtge","SECURITY_NAME")</f>
        <v>FR QY6794</v>
      </c>
      <c r="C737" t="str">
        <f>_xll.BDP("FRQY6794 Mtge","GENERIC_TICKER_VINTAGE")</f>
        <v>FNCL 6 2025</v>
      </c>
      <c r="D737" t="str">
        <f>_xll.BDP("FRQY6794 Mtge","CRNCY")</f>
        <v>USD</v>
      </c>
      <c r="E737">
        <v>1245587</v>
      </c>
      <c r="F737">
        <f>_xll.BDP("FRQY6794 Mtge","CPN")</f>
        <v>6</v>
      </c>
      <c r="G737">
        <f>_xll.BDP("FRQY6794 Mtge","MTG_FACTOR")</f>
        <v>0.86901658000000004</v>
      </c>
      <c r="H737">
        <f>_xll.BDP("FRQY6794 Mtge","MTG_WAL")</f>
        <v>3.3382999999999998</v>
      </c>
      <c r="I737" t="str">
        <f>_xll.BDP("FRQY6794 Mtge","MTG_ORIG_WAL")</f>
        <v>#N/A N/A</v>
      </c>
    </row>
    <row r="738" spans="1:9" x14ac:dyDescent="0.25">
      <c r="A738" t="str">
        <f>_xll.BDP("FRQY6848 Mtge","ID_CUSIP")</f>
        <v>31426RTE1</v>
      </c>
      <c r="B738" t="str">
        <f>_xll.BDP("FRQY6848 Mtge","SECURITY_NAME")</f>
        <v>FR QY6848</v>
      </c>
      <c r="C738" t="str">
        <f>_xll.BDP("FRQY6848 Mtge","GENERIC_TICKER_VINTAGE")</f>
        <v>FNCL 6 2025</v>
      </c>
      <c r="D738" t="str">
        <f>_xll.BDP("FRQY6848 Mtge","CRNCY")</f>
        <v>USD</v>
      </c>
      <c r="E738">
        <v>1958798</v>
      </c>
      <c r="F738">
        <f>_xll.BDP("FRQY6848 Mtge","CPN")</f>
        <v>6</v>
      </c>
      <c r="G738">
        <f>_xll.BDP("FRQY6848 Mtge","MTG_FACTOR")</f>
        <v>0.87777906000000006</v>
      </c>
      <c r="H738">
        <f>_xll.BDP("FRQY6848 Mtge","MTG_WAL")</f>
        <v>3.2945000000000002</v>
      </c>
      <c r="I738" t="str">
        <f>_xll.BDP("FRQY6848 Mtge","MTG_ORIG_WAL")</f>
        <v>#N/A N/A</v>
      </c>
    </row>
    <row r="739" spans="1:9" x14ac:dyDescent="0.25">
      <c r="A739" t="str">
        <f>_xll.BDP("FRQY6920 Mtge","ID_CUSIP")</f>
        <v>31426RVN8</v>
      </c>
      <c r="B739" t="str">
        <f>_xll.BDP("FRQY6920 Mtge","SECURITY_NAME")</f>
        <v>FR QY6920</v>
      </c>
      <c r="C739" t="str">
        <f>_xll.BDP("FRQY6920 Mtge","GENERIC_TICKER_VINTAGE")</f>
        <v>FNCL 6 2025</v>
      </c>
      <c r="D739" t="str">
        <f>_xll.BDP("FRQY6920 Mtge","CRNCY")</f>
        <v>USD</v>
      </c>
      <c r="E739">
        <v>7116455</v>
      </c>
      <c r="F739">
        <f>_xll.BDP("FRQY6920 Mtge","CPN")</f>
        <v>6</v>
      </c>
      <c r="G739">
        <f>_xll.BDP("FRQY6920 Mtge","MTG_FACTOR")</f>
        <v>0.95069042000000004</v>
      </c>
      <c r="H739">
        <f>_xll.BDP("FRQY6920 Mtge","MTG_WAL")</f>
        <v>3.2865000000000002</v>
      </c>
      <c r="I739" t="str">
        <f>_xll.BDP("FRQY6920 Mtge","MTG_ORIG_WAL")</f>
        <v>#N/A N/A</v>
      </c>
    </row>
    <row r="740" spans="1:9" x14ac:dyDescent="0.25">
      <c r="A740" t="str">
        <f>_xll.BDP("FRQY6982 Mtge","ID_CUSIP")</f>
        <v>31426RXL0</v>
      </c>
      <c r="B740" t="str">
        <f>_xll.BDP("FRQY6982 Mtge","SECURITY_NAME")</f>
        <v>FR QY6982</v>
      </c>
      <c r="C740" t="str">
        <f>_xll.BDP("FRQY6982 Mtge","GENERIC_TICKER_VINTAGE")</f>
        <v>FNCL 6 2025</v>
      </c>
      <c r="D740" t="str">
        <f>_xll.BDP("FRQY6982 Mtge","CRNCY")</f>
        <v>USD</v>
      </c>
      <c r="E740">
        <v>2422844</v>
      </c>
      <c r="F740">
        <f>_xll.BDP("FRQY6982 Mtge","CPN")</f>
        <v>6</v>
      </c>
      <c r="G740">
        <f>_xll.BDP("FRQY6982 Mtge","MTG_FACTOR")</f>
        <v>0.71955972999999995</v>
      </c>
      <c r="H740">
        <f>_xll.BDP("FRQY6982 Mtge","MTG_WAL")</f>
        <v>3.3462000000000001</v>
      </c>
      <c r="I740" t="str">
        <f>_xll.BDP("FRQY6982 Mtge","MTG_ORIG_WAL")</f>
        <v>#N/A N/A</v>
      </c>
    </row>
    <row r="741" spans="1:9" x14ac:dyDescent="0.25">
      <c r="A741" t="str">
        <f>_xll.BDP("FRQY7043 Mtge","ID_CUSIP")</f>
        <v>31426RZH7</v>
      </c>
      <c r="B741" t="str">
        <f>_xll.BDP("FRQY7043 Mtge","SECURITY_NAME")</f>
        <v>FR QY7043</v>
      </c>
      <c r="C741" t="str">
        <f>_xll.BDP("FRQY7043 Mtge","GENERIC_TICKER_VINTAGE")</f>
        <v>FNCL 6 2025</v>
      </c>
      <c r="D741" t="str">
        <f>_xll.BDP("FRQY7043 Mtge","CRNCY")</f>
        <v>USD</v>
      </c>
      <c r="E741">
        <v>2157458</v>
      </c>
      <c r="F741">
        <f>_xll.BDP("FRQY7043 Mtge","CPN")</f>
        <v>6</v>
      </c>
      <c r="G741">
        <f>_xll.BDP("FRQY7043 Mtge","MTG_FACTOR")</f>
        <v>0.87663738000000002</v>
      </c>
      <c r="H741">
        <f>_xll.BDP("FRQY7043 Mtge","MTG_WAL")</f>
        <v>3.3416000000000001</v>
      </c>
      <c r="I741" t="str">
        <f>_xll.BDP("FRQY7043 Mtge","MTG_ORIG_WAL")</f>
        <v>#N/A N/A</v>
      </c>
    </row>
    <row r="742" spans="1:9" x14ac:dyDescent="0.25">
      <c r="A742" t="str">
        <f>_xll.BDP("FRQY7057 Mtge","ID_CUSIP")</f>
        <v>31426RZX2</v>
      </c>
      <c r="B742" t="str">
        <f>_xll.BDP("FRQY7057 Mtge","SECURITY_NAME")</f>
        <v>FR QY7057</v>
      </c>
      <c r="C742" t="str">
        <f>_xll.BDP("FRQY7057 Mtge","GENERIC_TICKER_VINTAGE")</f>
        <v>FNCL 6 2025</v>
      </c>
      <c r="D742" t="str">
        <f>_xll.BDP("FRQY7057 Mtge","CRNCY")</f>
        <v>USD</v>
      </c>
      <c r="E742">
        <v>3389136</v>
      </c>
      <c r="F742">
        <f>_xll.BDP("FRQY7057 Mtge","CPN")</f>
        <v>6</v>
      </c>
      <c r="G742">
        <f>_xll.BDP("FRQY7057 Mtge","MTG_FACTOR")</f>
        <v>0.84838356999999998</v>
      </c>
      <c r="H742">
        <f>_xll.BDP("FRQY7057 Mtge","MTG_WAL")</f>
        <v>3.3443999999999998</v>
      </c>
      <c r="I742" t="str">
        <f>_xll.BDP("FRQY7057 Mtge","MTG_ORIG_WAL")</f>
        <v>#N/A N/A</v>
      </c>
    </row>
    <row r="743" spans="1:9" x14ac:dyDescent="0.25">
      <c r="A743" t="str">
        <f>_xll.BDP("FRRA0518 Mtge","ID_CUSIP")</f>
        <v>3133KFSF8</v>
      </c>
      <c r="B743" t="str">
        <f>_xll.BDP("FRRA0518 Mtge","SECURITY_NAME")</f>
        <v>FR RA0518</v>
      </c>
      <c r="C743" t="str">
        <f>_xll.BDP("FRRA0518 Mtge","GENERIC_TICKER_VINTAGE")</f>
        <v>FNCL 6 2025</v>
      </c>
      <c r="D743" t="str">
        <f>_xll.BDP("FRRA0518 Mtge","CRNCY")</f>
        <v>USD</v>
      </c>
      <c r="E743">
        <v>2417096458</v>
      </c>
      <c r="F743">
        <f>_xll.BDP("FRRA0518 Mtge","CPN")</f>
        <v>6</v>
      </c>
      <c r="G743">
        <f>_xll.BDP("FRRA0518 Mtge","MTG_FACTOR")</f>
        <v>0.75168504999999997</v>
      </c>
      <c r="H743">
        <f>_xll.BDP("FRRA0518 Mtge","MTG_WAL")</f>
        <v>3.2442000000000002</v>
      </c>
      <c r="I743" t="str">
        <f>_xll.BDP("FRRA0518 Mtge","MTG_ORIG_WAL")</f>
        <v>#N/A N/A</v>
      </c>
    </row>
    <row r="744" spans="1:9" x14ac:dyDescent="0.25">
      <c r="A744" t="str">
        <f>_xll.BDP("FRRA6488 Mtge","ID_CUSIP")</f>
        <v>3133KNF57</v>
      </c>
      <c r="B744" t="str">
        <f>_xll.BDP("FRRA6488 Mtge","SECURITY_NAME")</f>
        <v>FR RA6488</v>
      </c>
      <c r="C744" t="str">
        <f>_xll.BDP("FRRA6488 Mtge","GENERIC_TICKER_VINTAGE")</f>
        <v>FNCL 3 2021</v>
      </c>
      <c r="D744" t="str">
        <f>_xll.BDP("FRRA6488 Mtge","CRNCY")</f>
        <v>USD</v>
      </c>
      <c r="E744">
        <v>139622832</v>
      </c>
      <c r="F744">
        <f>_xll.BDP("FRRA6488 Mtge","CPN")</f>
        <v>3</v>
      </c>
      <c r="G744">
        <f>_xll.BDP("FRRA6488 Mtge","MTG_FACTOR")</f>
        <v>0.67903104999999997</v>
      </c>
      <c r="H744">
        <f>_xll.BDP("FRRA6488 Mtge","MTG_WAL")</f>
        <v>8.4664000000000001</v>
      </c>
      <c r="I744" t="str">
        <f>_xll.BDP("FRRA6488 Mtge","MTG_ORIG_WAL")</f>
        <v>#N/A N/A</v>
      </c>
    </row>
    <row r="745" spans="1:9" x14ac:dyDescent="0.25">
      <c r="A745" t="str">
        <f>_xll.BDP("FRRJ3745 Mtge","ID_CUSIP")</f>
        <v>3142GUET6</v>
      </c>
      <c r="B745" t="str">
        <f>_xll.BDP("FRRJ3745 Mtge","SECURITY_NAME")</f>
        <v>FR RJ3745</v>
      </c>
      <c r="C745" t="str">
        <f>_xll.BDP("FRRJ3745 Mtge","GENERIC_TICKER_VINTAGE")</f>
        <v>FNCL 6 2025</v>
      </c>
      <c r="D745" t="str">
        <f>_xll.BDP("FRRJ3745 Mtge","CRNCY")</f>
        <v>USD</v>
      </c>
      <c r="E745">
        <v>48698468</v>
      </c>
      <c r="F745">
        <f>_xll.BDP("FRRJ3745 Mtge","CPN")</f>
        <v>6</v>
      </c>
      <c r="G745">
        <f>_xll.BDP("FRRJ3745 Mtge","MTG_FACTOR")</f>
        <v>0.88345762000000005</v>
      </c>
      <c r="H745">
        <f>_xll.BDP("FRRJ3745 Mtge","MTG_WAL")</f>
        <v>3.2033</v>
      </c>
      <c r="I745" t="str">
        <f>_xll.BDP("FRRJ3745 Mtge","MTG_ORIG_WAL")</f>
        <v>#N/A N/A</v>
      </c>
    </row>
    <row r="746" spans="1:9" x14ac:dyDescent="0.25">
      <c r="A746" t="str">
        <f>_xll.BDP("FRRJ4028 Mtge","ID_CUSIP")</f>
        <v>3142GUPN7</v>
      </c>
      <c r="B746" t="str">
        <f>_xll.BDP("FRRJ4028 Mtge","SECURITY_NAME")</f>
        <v>FR RJ4028</v>
      </c>
      <c r="C746" t="str">
        <f>_xll.BDP("FRRJ4028 Mtge","GENERIC_TICKER_VINTAGE")</f>
        <v>FNCL 6 2025</v>
      </c>
      <c r="D746" t="str">
        <f>_xll.BDP("FRRJ4028 Mtge","CRNCY")</f>
        <v>USD</v>
      </c>
      <c r="E746">
        <v>76275275</v>
      </c>
      <c r="F746">
        <f>_xll.BDP("FRRJ4028 Mtge","CPN")</f>
        <v>6</v>
      </c>
      <c r="G746">
        <f>_xll.BDP("FRRJ4028 Mtge","MTG_FACTOR")</f>
        <v>0.92767584999999997</v>
      </c>
      <c r="H746">
        <f>_xll.BDP("FRRJ4028 Mtge","MTG_WAL")</f>
        <v>3.2435</v>
      </c>
      <c r="I746" t="str">
        <f>_xll.BDP("FRRJ4028 Mtge","MTG_ORIG_WAL")</f>
        <v>#N/A N/A</v>
      </c>
    </row>
    <row r="747" spans="1:9" x14ac:dyDescent="0.25">
      <c r="A747" t="str">
        <f>_xll.BDP("FRRJ4160 Mtge","ID_CUSIP")</f>
        <v>3142GUTS2</v>
      </c>
      <c r="B747" t="str">
        <f>_xll.BDP("FRRJ4160 Mtge","SECURITY_NAME")</f>
        <v>FR RJ4160</v>
      </c>
      <c r="C747" t="str">
        <f>_xll.BDP("FRRJ4160 Mtge","GENERIC_TICKER_VINTAGE")</f>
        <v>FNCL 6 2025</v>
      </c>
      <c r="D747" t="str">
        <f>_xll.BDP("FRRJ4160 Mtge","CRNCY")</f>
        <v>USD</v>
      </c>
      <c r="E747">
        <v>125836698</v>
      </c>
      <c r="F747">
        <f>_xll.BDP("FRRJ4160 Mtge","CPN")</f>
        <v>6</v>
      </c>
      <c r="G747">
        <f>_xll.BDP("FRRJ4160 Mtge","MTG_FACTOR")</f>
        <v>0.90756265000000003</v>
      </c>
      <c r="H747">
        <f>_xll.BDP("FRRJ4160 Mtge","MTG_WAL")</f>
        <v>3.2440000000000002</v>
      </c>
      <c r="I747" t="str">
        <f>_xll.BDP("FRRJ4160 Mtge","MTG_ORIG_WAL")</f>
        <v>#N/A N/A</v>
      </c>
    </row>
    <row r="748" spans="1:9" x14ac:dyDescent="0.25">
      <c r="A748" t="str">
        <f>_xll.BDP("FRRJ4166 Mtge","ID_CUSIP")</f>
        <v>3142GUTY9</v>
      </c>
      <c r="B748" t="str">
        <f>_xll.BDP("FRRJ4166 Mtge","SECURITY_NAME")</f>
        <v>FR RJ4166</v>
      </c>
      <c r="C748" t="str">
        <f>_xll.BDP("FRRJ4166 Mtge","GENERIC_TICKER_VINTAGE")</f>
        <v>FNCL 6 2025</v>
      </c>
      <c r="D748" t="str">
        <f>_xll.BDP("FRRJ4166 Mtge","CRNCY")</f>
        <v>USD</v>
      </c>
      <c r="E748">
        <v>117467151</v>
      </c>
      <c r="F748">
        <f>_xll.BDP("FRRJ4166 Mtge","CPN")</f>
        <v>6</v>
      </c>
      <c r="G748">
        <f>_xll.BDP("FRRJ4166 Mtge","MTG_FACTOR")</f>
        <v>0.84135934000000001</v>
      </c>
      <c r="H748">
        <f>_xll.BDP("FRRJ4166 Mtge","MTG_WAL")</f>
        <v>3.2391999999999999</v>
      </c>
      <c r="I748" t="str">
        <f>_xll.BDP("FRRJ4166 Mtge","MTG_ORIG_WAL")</f>
        <v>#N/A N/A</v>
      </c>
    </row>
    <row r="749" spans="1:9" x14ac:dyDescent="0.25">
      <c r="A749" t="str">
        <f>_xll.BDP("FRRJ4342 Mtge","ID_CUSIP")</f>
        <v>3142GUZG1</v>
      </c>
      <c r="B749" t="str">
        <f>_xll.BDP("FRRJ4342 Mtge","SECURITY_NAME")</f>
        <v>FR RJ4342</v>
      </c>
      <c r="C749" t="str">
        <f>_xll.BDP("FRRJ4342 Mtge","GENERIC_TICKER_VINTAGE")</f>
        <v>FNCL 6 2025</v>
      </c>
      <c r="D749" t="str">
        <f>_xll.BDP("FRRJ4342 Mtge","CRNCY")</f>
        <v>USD</v>
      </c>
      <c r="E749">
        <v>1467359</v>
      </c>
      <c r="F749">
        <f>_xll.BDP("FRRJ4342 Mtge","CPN")</f>
        <v>6</v>
      </c>
      <c r="G749">
        <f>_xll.BDP("FRRJ4342 Mtge","MTG_FACTOR")</f>
        <v>0.99114471999999998</v>
      </c>
      <c r="H749">
        <f>_xll.BDP("FRRJ4342 Mtge","MTG_WAL")</f>
        <v>3.2913999999999999</v>
      </c>
      <c r="I749" t="str">
        <f>_xll.BDP("FRRJ4342 Mtge","MTG_ORIG_WAL")</f>
        <v>#N/A N/A</v>
      </c>
    </row>
    <row r="750" spans="1:9" x14ac:dyDescent="0.25">
      <c r="A750" t="str">
        <f>_xll.BDP("FRRJ4383 Mtge","ID_CUSIP")</f>
        <v>3142GU2R3</v>
      </c>
      <c r="B750" t="str">
        <f>_xll.BDP("FRRJ4383 Mtge","SECURITY_NAME")</f>
        <v>FR RJ4383</v>
      </c>
      <c r="C750" t="str">
        <f>_xll.BDP("FRRJ4383 Mtge","GENERIC_TICKER_VINTAGE")</f>
        <v>FNCL 6 2025</v>
      </c>
      <c r="D750" t="str">
        <f>_xll.BDP("FRRJ4383 Mtge","CRNCY")</f>
        <v>USD</v>
      </c>
      <c r="E750">
        <v>172190262</v>
      </c>
      <c r="F750">
        <f>_xll.BDP("FRRJ4383 Mtge","CPN")</f>
        <v>6</v>
      </c>
      <c r="G750">
        <f>_xll.BDP("FRRJ4383 Mtge","MTG_FACTOR")</f>
        <v>0.93475353999999999</v>
      </c>
      <c r="H750">
        <f>_xll.BDP("FRRJ4383 Mtge","MTG_WAL")</f>
        <v>3.2928000000000002</v>
      </c>
      <c r="I750" t="str">
        <f>_xll.BDP("FRRJ4383 Mtge","MTG_ORIG_WAL")</f>
        <v>#N/A N/A</v>
      </c>
    </row>
    <row r="751" spans="1:9" x14ac:dyDescent="0.25">
      <c r="A751" t="str">
        <f>_xll.BDP("FRRJ4388 Mtge","ID_CUSIP")</f>
        <v>3142GU2W2</v>
      </c>
      <c r="B751" t="str">
        <f>_xll.BDP("FRRJ4388 Mtge","SECURITY_NAME")</f>
        <v>FR RJ4388</v>
      </c>
      <c r="C751" t="str">
        <f>_xll.BDP("FRRJ4388 Mtge","GENERIC_TICKER_VINTAGE")</f>
        <v>FNCL 6 2025</v>
      </c>
      <c r="D751" t="str">
        <f>_xll.BDP("FRRJ4388 Mtge","CRNCY")</f>
        <v>USD</v>
      </c>
      <c r="E751">
        <v>129556305</v>
      </c>
      <c r="F751">
        <f>_xll.BDP("FRRJ4388 Mtge","CPN")</f>
        <v>6</v>
      </c>
      <c r="G751">
        <f>_xll.BDP("FRRJ4388 Mtge","MTG_FACTOR")</f>
        <v>0.91229652999999999</v>
      </c>
      <c r="H751">
        <f>_xll.BDP("FRRJ4388 Mtge","MTG_WAL")</f>
        <v>3.2944</v>
      </c>
      <c r="I751" t="str">
        <f>_xll.BDP("FRRJ4388 Mtge","MTG_ORIG_WAL")</f>
        <v>#N/A N/A</v>
      </c>
    </row>
    <row r="752" spans="1:9" x14ac:dyDescent="0.25">
      <c r="A752" t="str">
        <f>_xll.BDP("FRRJ4390 Mtge","ID_CUSIP")</f>
        <v>3142GU2Y8</v>
      </c>
      <c r="B752" t="str">
        <f>_xll.BDP("FRRJ4390 Mtge","SECURITY_NAME")</f>
        <v>FR RJ4390</v>
      </c>
      <c r="C752" t="str">
        <f>_xll.BDP("FRRJ4390 Mtge","GENERIC_TICKER_VINTAGE")</f>
        <v>FNCL 6 2025</v>
      </c>
      <c r="D752" t="str">
        <f>_xll.BDP("FRRJ4390 Mtge","CRNCY")</f>
        <v>USD</v>
      </c>
      <c r="E752">
        <v>156968278</v>
      </c>
      <c r="F752">
        <f>_xll.BDP("FRRJ4390 Mtge","CPN")</f>
        <v>6</v>
      </c>
      <c r="G752">
        <f>_xll.BDP("FRRJ4390 Mtge","MTG_FACTOR")</f>
        <v>0.84609698</v>
      </c>
      <c r="H752">
        <f>_xll.BDP("FRRJ4390 Mtge","MTG_WAL")</f>
        <v>3.2875000000000001</v>
      </c>
      <c r="I752" t="str">
        <f>_xll.BDP("FRRJ4390 Mtge","MTG_ORIG_WAL")</f>
        <v>#N/A N/A</v>
      </c>
    </row>
    <row r="753" spans="1:9" x14ac:dyDescent="0.25">
      <c r="A753" t="str">
        <f>_xll.BDP("FRRJ4393 Mtge","ID_CUSIP")</f>
        <v>3142GU3B7</v>
      </c>
      <c r="B753" t="str">
        <f>_xll.BDP("FRRJ4393 Mtge","SECURITY_NAME")</f>
        <v>FR RJ4393</v>
      </c>
      <c r="C753" t="str">
        <f>_xll.BDP("FRRJ4393 Mtge","GENERIC_TICKER_VINTAGE")</f>
        <v>FNCL 6 2025</v>
      </c>
      <c r="D753" t="str">
        <f>_xll.BDP("FRRJ4393 Mtge","CRNCY")</f>
        <v>USD</v>
      </c>
      <c r="E753">
        <v>66161148</v>
      </c>
      <c r="F753">
        <f>_xll.BDP("FRRJ4393 Mtge","CPN")</f>
        <v>6</v>
      </c>
      <c r="G753">
        <f>_xll.BDP("FRRJ4393 Mtge","MTG_FACTOR")</f>
        <v>0.85891854999999995</v>
      </c>
      <c r="H753">
        <f>_xll.BDP("FRRJ4393 Mtge","MTG_WAL")</f>
        <v>3.3395000000000001</v>
      </c>
      <c r="I753" t="str">
        <f>_xll.BDP("FRRJ4393 Mtge","MTG_ORIG_WAL")</f>
        <v>#N/A N/A</v>
      </c>
    </row>
    <row r="754" spans="1:9" x14ac:dyDescent="0.25">
      <c r="A754" t="str">
        <f>_xll.BDP("FRRJ4429 Mtge","ID_CUSIP")</f>
        <v>3142GU4P5</v>
      </c>
      <c r="B754" t="str">
        <f>_xll.BDP("FRRJ4429 Mtge","SECURITY_NAME")</f>
        <v>FR RJ4429</v>
      </c>
      <c r="C754" t="str">
        <f>_xll.BDP("FRRJ4429 Mtge","GENERIC_TICKER_VINTAGE")</f>
        <v>FNCL 6 2025</v>
      </c>
      <c r="D754" t="str">
        <f>_xll.BDP("FRRJ4429 Mtge","CRNCY")</f>
        <v>USD</v>
      </c>
      <c r="E754">
        <v>1200517</v>
      </c>
      <c r="F754">
        <f>_xll.BDP("FRRJ4429 Mtge","CPN")</f>
        <v>6</v>
      </c>
      <c r="G754">
        <f>_xll.BDP("FRRJ4429 Mtge","MTG_FACTOR")</f>
        <v>0.98990122999999997</v>
      </c>
      <c r="H754">
        <f>_xll.BDP("FRRJ4429 Mtge","MTG_WAL")</f>
        <v>3.2909999999999999</v>
      </c>
      <c r="I754" t="str">
        <f>_xll.BDP("FRRJ4429 Mtge","MTG_ORIG_WAL")</f>
        <v>#N/A N/A</v>
      </c>
    </row>
    <row r="755" spans="1:9" x14ac:dyDescent="0.25">
      <c r="A755" t="str">
        <f>_xll.BDP("FRRJ4437 Mtge","ID_CUSIP")</f>
        <v>3142GU4X8</v>
      </c>
      <c r="B755" t="str">
        <f>_xll.BDP("FRRJ4437 Mtge","SECURITY_NAME")</f>
        <v>FR RJ4437</v>
      </c>
      <c r="C755" t="str">
        <f>_xll.BDP("FRRJ4437 Mtge","GENERIC_TICKER_VINTAGE")</f>
        <v>FNCL 6 2025</v>
      </c>
      <c r="D755" t="str">
        <f>_xll.BDP("FRRJ4437 Mtge","CRNCY")</f>
        <v>USD</v>
      </c>
      <c r="E755">
        <v>986906</v>
      </c>
      <c r="F755">
        <f>_xll.BDP("FRRJ4437 Mtge","CPN")</f>
        <v>6</v>
      </c>
      <c r="G755">
        <f>_xll.BDP("FRRJ4437 Mtge","MTG_FACTOR")</f>
        <v>0.98474066000000005</v>
      </c>
      <c r="H755">
        <f>_xll.BDP("FRRJ4437 Mtge","MTG_WAL")</f>
        <v>3.2873999999999999</v>
      </c>
      <c r="I755" t="str">
        <f>_xll.BDP("FRRJ4437 Mtge","MTG_ORIG_WAL")</f>
        <v>#N/A N/A</v>
      </c>
    </row>
    <row r="756" spans="1:9" x14ac:dyDescent="0.25">
      <c r="A756" t="str">
        <f>_xll.BDP("FRSD0665 Mtge","ID_CUSIP")</f>
        <v>3132DMW27</v>
      </c>
      <c r="B756" t="str">
        <f>_xll.BDP("FRSD0665 Mtge","SECURITY_NAME")</f>
        <v>FR SD0665</v>
      </c>
      <c r="C756" t="str">
        <f>_xll.BDP("FRSD0665 Mtge","GENERIC_TICKER_VINTAGE")</f>
        <v>FNCL 3 2021</v>
      </c>
      <c r="D756" t="str">
        <f>_xll.BDP("FRSD0665 Mtge","CRNCY")</f>
        <v>USD</v>
      </c>
      <c r="E756">
        <v>91622806</v>
      </c>
      <c r="F756">
        <f>_xll.BDP("FRSD0665 Mtge","CPN")</f>
        <v>3</v>
      </c>
      <c r="G756">
        <f>_xll.BDP("FRSD0665 Mtge","MTG_FACTOR")</f>
        <v>0.59858761999999999</v>
      </c>
      <c r="H756">
        <f>_xll.BDP("FRSD0665 Mtge","MTG_WAL")</f>
        <v>8.2416999999999998</v>
      </c>
      <c r="I756" t="str">
        <f>_xll.BDP("FRSD0665 Mtge","MTG_ORIG_WAL")</f>
        <v>#N/A N/A</v>
      </c>
    </row>
    <row r="757" spans="1:9" x14ac:dyDescent="0.25">
      <c r="A757" t="str">
        <f>_xll.BDP("FRSD0670 Mtge","ID_CUSIP")</f>
        <v>3132DMW76</v>
      </c>
      <c r="B757" t="str">
        <f>_xll.BDP("FRSD0670 Mtge","SECURITY_NAME")</f>
        <v>FR SD0670</v>
      </c>
      <c r="C757" t="str">
        <f>_xll.BDP("FRSD0670 Mtge","GENERIC_TICKER_VINTAGE")</f>
        <v>FNCL 3 2021</v>
      </c>
      <c r="D757" t="str">
        <f>_xll.BDP("FRSD0670 Mtge","CRNCY")</f>
        <v>USD</v>
      </c>
      <c r="E757">
        <v>110823203</v>
      </c>
      <c r="F757">
        <f>_xll.BDP("FRSD0670 Mtge","CPN")</f>
        <v>3</v>
      </c>
      <c r="G757">
        <f>_xll.BDP("FRSD0670 Mtge","MTG_FACTOR")</f>
        <v>0.64764316</v>
      </c>
      <c r="H757">
        <f>_xll.BDP("FRSD0670 Mtge","MTG_WAL")</f>
        <v>8.1969999999999992</v>
      </c>
      <c r="I757" t="str">
        <f>_xll.BDP("FRSD0670 Mtge","MTG_ORIG_WAL")</f>
        <v>#N/A N/A</v>
      </c>
    </row>
    <row r="758" spans="1:9" x14ac:dyDescent="0.25">
      <c r="A758" t="str">
        <f>_xll.BDP("FRSD0812 Mtge","ID_CUSIP")</f>
        <v>3132DM3V5</v>
      </c>
      <c r="B758" t="str">
        <f>_xll.BDP("FRSD0812 Mtge","SECURITY_NAME")</f>
        <v>FR SD0812</v>
      </c>
      <c r="C758" t="str">
        <f>_xll.BDP("FRSD0812 Mtge","GENERIC_TICKER_VINTAGE")</f>
        <v>FNCL 3 2021</v>
      </c>
      <c r="D758" t="str">
        <f>_xll.BDP("FRSD0812 Mtge","CRNCY")</f>
        <v>USD</v>
      </c>
      <c r="E758">
        <v>112621702</v>
      </c>
      <c r="F758">
        <f>_xll.BDP("FRSD0812 Mtge","CPN")</f>
        <v>3</v>
      </c>
      <c r="G758">
        <f>_xll.BDP("FRSD0812 Mtge","MTG_FACTOR")</f>
        <v>0.67498957000000004</v>
      </c>
      <c r="H758">
        <f>_xll.BDP("FRSD0812 Mtge","MTG_WAL")</f>
        <v>8.3327000000000009</v>
      </c>
      <c r="I758" t="str">
        <f>_xll.BDP("FRSD0812 Mtge","MTG_ORIG_WAL")</f>
        <v>#N/A N/A</v>
      </c>
    </row>
    <row r="759" spans="1:9" x14ac:dyDescent="0.25">
      <c r="A759" t="str">
        <f>_xll.BDP("FRSD0815 Mtge","ID_CUSIP")</f>
        <v>3132DM3Y9</v>
      </c>
      <c r="B759" t="str">
        <f>_xll.BDP("FRSD0815 Mtge","SECURITY_NAME")</f>
        <v>FR SD0815</v>
      </c>
      <c r="C759" t="str">
        <f>_xll.BDP("FRSD0815 Mtge","GENERIC_TICKER_VINTAGE")</f>
        <v>FNCL 3 2021</v>
      </c>
      <c r="D759" t="str">
        <f>_xll.BDP("FRSD0815 Mtge","CRNCY")</f>
        <v>USD</v>
      </c>
      <c r="E759">
        <v>22000512</v>
      </c>
      <c r="F759">
        <f>_xll.BDP("FRSD0815 Mtge","CPN")</f>
        <v>3</v>
      </c>
      <c r="G759">
        <f>_xll.BDP("FRSD0815 Mtge","MTG_FACTOR")</f>
        <v>0.66838587999999999</v>
      </c>
      <c r="H759">
        <f>_xll.BDP("FRSD0815 Mtge","MTG_WAL")</f>
        <v>8.3503000000000007</v>
      </c>
      <c r="I759" t="str">
        <f>_xll.BDP("FRSD0815 Mtge","MTG_ORIG_WAL")</f>
        <v>#N/A N/A</v>
      </c>
    </row>
    <row r="760" spans="1:9" x14ac:dyDescent="0.25">
      <c r="A760" t="str">
        <f>_xll.BDP("FRSD1652 Mtge","ID_CUSIP")</f>
        <v>3132DNZR7</v>
      </c>
      <c r="B760" t="str">
        <f>_xll.BDP("FRSD1652 Mtge","SECURITY_NAME")</f>
        <v>FR SD1652</v>
      </c>
      <c r="C760" t="str">
        <f>_xll.BDP("FRSD1652 Mtge","GENERIC_TICKER_VINTAGE")</f>
        <v>FNCL 3 2021</v>
      </c>
      <c r="D760" t="str">
        <f>_xll.BDP("FRSD1652 Mtge","CRNCY")</f>
        <v>USD</v>
      </c>
      <c r="E760">
        <v>46317479</v>
      </c>
      <c r="F760">
        <f>_xll.BDP("FRSD1652 Mtge","CPN")</f>
        <v>3</v>
      </c>
      <c r="G760">
        <f>_xll.BDP("FRSD1652 Mtge","MTG_FACTOR")</f>
        <v>0.74255079999999996</v>
      </c>
      <c r="H760">
        <f>_xll.BDP("FRSD1652 Mtge","MTG_WAL")</f>
        <v>8.3085000000000004</v>
      </c>
      <c r="I760" t="str">
        <f>_xll.BDP("FRSD1652 Mtge","MTG_ORIG_WAL")</f>
        <v>#N/A N/A</v>
      </c>
    </row>
    <row r="761" spans="1:9" x14ac:dyDescent="0.25">
      <c r="A761" t="str">
        <f>_xll.BDP("FRSD2269 Mtge","ID_CUSIP")</f>
        <v>3132DPQW1</v>
      </c>
      <c r="B761" t="str">
        <f>_xll.BDP("FRSD2269 Mtge","SECURITY_NAME")</f>
        <v>FR SD2269</v>
      </c>
      <c r="C761" t="str">
        <f>_xll.BDP("FRSD2269 Mtge","GENERIC_TICKER_VINTAGE")</f>
        <v>FNCL 3 2021</v>
      </c>
      <c r="D761" t="str">
        <f>_xll.BDP("FRSD2269 Mtge","CRNCY")</f>
        <v>USD</v>
      </c>
      <c r="E761">
        <v>48633382</v>
      </c>
      <c r="F761">
        <f>_xll.BDP("FRSD2269 Mtge","CPN")</f>
        <v>3</v>
      </c>
      <c r="G761">
        <f>_xll.BDP("FRSD2269 Mtge","MTG_FACTOR")</f>
        <v>0.79328127000000004</v>
      </c>
      <c r="H761">
        <f>_xll.BDP("FRSD2269 Mtge","MTG_WAL")</f>
        <v>8.4079999999999995</v>
      </c>
      <c r="I761" t="str">
        <f>_xll.BDP("FRSD2269 Mtge","MTG_ORIG_WAL")</f>
        <v>#N/A N/A</v>
      </c>
    </row>
    <row r="762" spans="1:9" x14ac:dyDescent="0.25">
      <c r="A762" t="str">
        <f>_xll.BDP("FRSD7551 Mtge","ID_CUSIP")</f>
        <v>3132DVL86</v>
      </c>
      <c r="B762" t="str">
        <f>_xll.BDP("FRSD7551 Mtge","SECURITY_NAME")</f>
        <v>FR SD7551</v>
      </c>
      <c r="C762" t="str">
        <f>_xll.BDP("FRSD7551 Mtge","GENERIC_TICKER_VINTAGE")</f>
        <v>FNCL 3 2021</v>
      </c>
      <c r="D762" t="str">
        <f>_xll.BDP("FRSD7551 Mtge","CRNCY")</f>
        <v>USD</v>
      </c>
      <c r="E762">
        <v>1534459578</v>
      </c>
      <c r="F762">
        <f>_xll.BDP("FRSD7551 Mtge","CPN")</f>
        <v>3</v>
      </c>
      <c r="G762">
        <f>_xll.BDP("FRSD7551 Mtge","MTG_FACTOR")</f>
        <v>0.68088777</v>
      </c>
      <c r="H762">
        <f>_xll.BDP("FRSD7551 Mtge","MTG_WAL")</f>
        <v>8.2384000000000004</v>
      </c>
      <c r="I762" t="str">
        <f>_xll.BDP("FRSD7551 Mtge","MTG_ORIG_WAL")</f>
        <v>#N/A N/A</v>
      </c>
    </row>
    <row r="763" spans="1:9" x14ac:dyDescent="0.25">
      <c r="A763" t="str">
        <f>_xll.BDP("FRSL0545 Mtge","ID_CUSIP")</f>
        <v>31427MTB7</v>
      </c>
      <c r="B763" t="str">
        <f>_xll.BDP("FRSL0545 Mtge","SECURITY_NAME")</f>
        <v>FR SL0545</v>
      </c>
      <c r="C763" t="str">
        <f>_xll.BDP("FRSL0545 Mtge","GENERIC_TICKER_VINTAGE")</f>
        <v>FNCL 6 2025</v>
      </c>
      <c r="D763" t="str">
        <f>_xll.BDP("FRSL0545 Mtge","CRNCY")</f>
        <v>USD</v>
      </c>
      <c r="E763">
        <v>111586364</v>
      </c>
      <c r="F763">
        <f>_xll.BDP("FRSL0545 Mtge","CPN")</f>
        <v>6</v>
      </c>
      <c r="G763">
        <f>_xll.BDP("FRSL0545 Mtge","MTG_FACTOR")</f>
        <v>0.83695691000000005</v>
      </c>
      <c r="H763">
        <f>_xll.BDP("FRSL0545 Mtge","MTG_WAL")</f>
        <v>3.1514000000000002</v>
      </c>
      <c r="I763" t="str">
        <f>_xll.BDP("FRSL0545 Mtge","MTG_ORIG_WAL")</f>
        <v>#N/A N/A</v>
      </c>
    </row>
    <row r="764" spans="1:9" x14ac:dyDescent="0.25">
      <c r="A764" t="str">
        <f>_xll.BDP("FRSL0616 Mtge","ID_CUSIP")</f>
        <v>31427MVJ7</v>
      </c>
      <c r="B764" t="str">
        <f>_xll.BDP("FRSL0616 Mtge","SECURITY_NAME")</f>
        <v>FR SL0616</v>
      </c>
      <c r="C764" t="str">
        <f>_xll.BDP("FRSL0616 Mtge","GENERIC_TICKER_VINTAGE")</f>
        <v>FNCL 6 2025</v>
      </c>
      <c r="D764" t="str">
        <f>_xll.BDP("FRSL0616 Mtge","CRNCY")</f>
        <v>USD</v>
      </c>
      <c r="E764">
        <v>107166146</v>
      </c>
      <c r="F764">
        <f>_xll.BDP("FRSL0616 Mtge","CPN")</f>
        <v>6</v>
      </c>
      <c r="G764">
        <f>_xll.BDP("FRSL0616 Mtge","MTG_FACTOR")</f>
        <v>0.87645695999999995</v>
      </c>
      <c r="H764">
        <f>_xll.BDP("FRSL0616 Mtge","MTG_WAL")</f>
        <v>3.1675</v>
      </c>
      <c r="I764" t="str">
        <f>_xll.BDP("FRSL0616 Mtge","MTG_ORIG_WAL")</f>
        <v>#N/A N/A</v>
      </c>
    </row>
    <row r="765" spans="1:9" x14ac:dyDescent="0.25">
      <c r="A765" t="str">
        <f>_xll.BDP("FRSL0742 Mtge","ID_CUSIP")</f>
        <v>31427MZG9</v>
      </c>
      <c r="B765" t="str">
        <f>_xll.BDP("FRSL0742 Mtge","SECURITY_NAME")</f>
        <v>FR SL0742</v>
      </c>
      <c r="C765" t="str">
        <f>_xll.BDP("FRSL0742 Mtge","GENERIC_TICKER_VINTAGE")</f>
        <v>FNCL 6 2025</v>
      </c>
      <c r="D765" t="str">
        <f>_xll.BDP("FRSL0742 Mtge","CRNCY")</f>
        <v>USD</v>
      </c>
      <c r="E765">
        <v>18946576</v>
      </c>
      <c r="F765">
        <f>_xll.BDP("FRSL0742 Mtge","CPN")</f>
        <v>6</v>
      </c>
      <c r="G765">
        <f>_xll.BDP("FRSL0742 Mtge","MTG_FACTOR")</f>
        <v>0.79821306000000003</v>
      </c>
      <c r="H765">
        <f>_xll.BDP("FRSL0742 Mtge","MTG_WAL")</f>
        <v>3.1960000000000002</v>
      </c>
      <c r="I765" t="str">
        <f>_xll.BDP("FRSL0742 Mtge","MTG_ORIG_WAL")</f>
        <v>#N/A N/A</v>
      </c>
    </row>
    <row r="766" spans="1:9" x14ac:dyDescent="0.25">
      <c r="A766" t="str">
        <f>_xll.BDP("FRSL0807 Mtge","ID_CUSIP")</f>
        <v>31427M3R0</v>
      </c>
      <c r="B766" t="str">
        <f>_xll.BDP("FRSL0807 Mtge","SECURITY_NAME")</f>
        <v>FR SL0807</v>
      </c>
      <c r="C766" t="str">
        <f>_xll.BDP("FRSL0807 Mtge","GENERIC_TICKER_VINTAGE")</f>
        <v>FNCL 6 2025</v>
      </c>
      <c r="D766" t="str">
        <f>_xll.BDP("FRSL0807 Mtge","CRNCY")</f>
        <v>USD</v>
      </c>
      <c r="E766">
        <v>31080656</v>
      </c>
      <c r="F766">
        <f>_xll.BDP("FRSL0807 Mtge","CPN")</f>
        <v>6</v>
      </c>
      <c r="G766">
        <f>_xll.BDP("FRSL0807 Mtge","MTG_FACTOR")</f>
        <v>0.85333115999999998</v>
      </c>
      <c r="H766">
        <f>_xll.BDP("FRSL0807 Mtge","MTG_WAL")</f>
        <v>3.1372</v>
      </c>
      <c r="I766" t="str">
        <f>_xll.BDP("FRSL0807 Mtge","MTG_ORIG_WAL")</f>
        <v>#N/A N/A</v>
      </c>
    </row>
    <row r="767" spans="1:9" x14ac:dyDescent="0.25">
      <c r="A767" t="str">
        <f>_xll.BDP("FRSL0883 Mtge","ID_CUSIP")</f>
        <v>31427M6V8</v>
      </c>
      <c r="B767" t="str">
        <f>_xll.BDP("FRSL0883 Mtge","SECURITY_NAME")</f>
        <v>FR SL0883</v>
      </c>
      <c r="C767" t="str">
        <f>_xll.BDP("FRSL0883 Mtge","GENERIC_TICKER_VINTAGE")</f>
        <v>FNCL 3 2021</v>
      </c>
      <c r="D767" t="str">
        <f>_xll.BDP("FRSL0883 Mtge","CRNCY")</f>
        <v>USD</v>
      </c>
      <c r="E767">
        <v>28340714</v>
      </c>
      <c r="F767">
        <f>_xll.BDP("FRSL0883 Mtge","CPN")</f>
        <v>3</v>
      </c>
      <c r="G767">
        <f>_xll.BDP("FRSL0883 Mtge","MTG_FACTOR")</f>
        <v>0.91865204</v>
      </c>
      <c r="H767">
        <f>_xll.BDP("FRSL0883 Mtge","MTG_WAL")</f>
        <v>8.3451000000000004</v>
      </c>
      <c r="I767" t="str">
        <f>_xll.BDP("FRSL0883 Mtge","MTG_ORIG_WAL")</f>
        <v>#N/A N/A</v>
      </c>
    </row>
    <row r="768" spans="1:9" x14ac:dyDescent="0.25">
      <c r="A768" t="str">
        <f>_xll.BDP("FRSL0942 Mtge","ID_CUSIP")</f>
        <v>31427NBL2</v>
      </c>
      <c r="B768" t="str">
        <f>_xll.BDP("FRSL0942 Mtge","SECURITY_NAME")</f>
        <v>FR SL0942</v>
      </c>
      <c r="C768" t="str">
        <f>_xll.BDP("FRSL0942 Mtge","GENERIC_TICKER_VINTAGE")</f>
        <v>FNCL 3 2021</v>
      </c>
      <c r="D768" t="str">
        <f>_xll.BDP("FRSL0942 Mtge","CRNCY")</f>
        <v>USD</v>
      </c>
      <c r="E768">
        <v>49453652</v>
      </c>
      <c r="F768">
        <f>_xll.BDP("FRSL0942 Mtge","CPN")</f>
        <v>3</v>
      </c>
      <c r="G768">
        <f>_xll.BDP("FRSL0942 Mtge","MTG_FACTOR")</f>
        <v>0.93957793000000001</v>
      </c>
      <c r="H768">
        <f>_xll.BDP("FRSL0942 Mtge","MTG_WAL")</f>
        <v>8.3751999999999995</v>
      </c>
      <c r="I768" t="str">
        <f>_xll.BDP("FRSL0942 Mtge","MTG_ORIG_WAL")</f>
        <v>#N/A N/A</v>
      </c>
    </row>
    <row r="769" spans="1:9" x14ac:dyDescent="0.25">
      <c r="A769" t="str">
        <f>_xll.BDP("FRSL1098 Mtge","ID_CUSIP")</f>
        <v>31427NGG8</v>
      </c>
      <c r="B769" t="str">
        <f>_xll.BDP("FRSL1098 Mtge","SECURITY_NAME")</f>
        <v>FR SL1098</v>
      </c>
      <c r="C769" t="str">
        <f>_xll.BDP("FRSL1098 Mtge","GENERIC_TICKER_VINTAGE")</f>
        <v>FNCL 6 2025</v>
      </c>
      <c r="D769" t="str">
        <f>_xll.BDP("FRSL1098 Mtge","CRNCY")</f>
        <v>USD</v>
      </c>
      <c r="E769">
        <v>40450183</v>
      </c>
      <c r="F769">
        <f>_xll.BDP("FRSL1098 Mtge","CPN")</f>
        <v>6</v>
      </c>
      <c r="G769">
        <f>_xll.BDP("FRSL1098 Mtge","MTG_FACTOR")</f>
        <v>0.75309331999999995</v>
      </c>
      <c r="H769">
        <f>_xll.BDP("FRSL1098 Mtge","MTG_WAL")</f>
        <v>3.1789999999999998</v>
      </c>
      <c r="I769" t="str">
        <f>_xll.BDP("FRSL1098 Mtge","MTG_ORIG_WAL")</f>
        <v>#N/A N/A</v>
      </c>
    </row>
    <row r="770" spans="1:9" x14ac:dyDescent="0.25">
      <c r="A770" t="str">
        <f>_xll.BDP("FRSL1388 Mtge","ID_CUSIP")</f>
        <v>31427NRJ0</v>
      </c>
      <c r="B770" t="str">
        <f>_xll.BDP("FRSL1388 Mtge","SECURITY_NAME")</f>
        <v>FR SL1388</v>
      </c>
      <c r="C770" t="str">
        <f>_xll.BDP("FRSL1388 Mtge","GENERIC_TICKER_VINTAGE")</f>
        <v>FNCL 3 2021</v>
      </c>
      <c r="D770" t="str">
        <f>_xll.BDP("FRSL1388 Mtge","CRNCY")</f>
        <v>USD</v>
      </c>
      <c r="E770">
        <v>16120310</v>
      </c>
      <c r="F770">
        <f>_xll.BDP("FRSL1388 Mtge","CPN")</f>
        <v>3</v>
      </c>
      <c r="G770">
        <f>_xll.BDP("FRSL1388 Mtge","MTG_FACTOR")</f>
        <v>0.92073216000000002</v>
      </c>
      <c r="H770">
        <f>_xll.BDP("FRSL1388 Mtge","MTG_WAL")</f>
        <v>8.0955999999999992</v>
      </c>
      <c r="I770" t="str">
        <f>_xll.BDP("FRSL1388 Mtge","MTG_ORIG_WAL")</f>
        <v>#N/A N/A</v>
      </c>
    </row>
    <row r="771" spans="1:9" x14ac:dyDescent="0.25">
      <c r="A771" t="str">
        <f>_xll.BDP("FRSL1504 Mtge","ID_CUSIP")</f>
        <v>31427NU64</v>
      </c>
      <c r="B771" t="str">
        <f>_xll.BDP("FRSL1504 Mtge","SECURITY_NAME")</f>
        <v>FR SL1504</v>
      </c>
      <c r="C771" t="str">
        <f>_xll.BDP("FRSL1504 Mtge","GENERIC_TICKER_VINTAGE")</f>
        <v>FNCL 6 2025</v>
      </c>
      <c r="D771" t="str">
        <f>_xll.BDP("FRSL1504 Mtge","CRNCY")</f>
        <v>USD</v>
      </c>
      <c r="E771">
        <v>114532848</v>
      </c>
      <c r="F771">
        <f>_xll.BDP("FRSL1504 Mtge","CPN")</f>
        <v>6</v>
      </c>
      <c r="G771">
        <f>_xll.BDP("FRSL1504 Mtge","MTG_FACTOR")</f>
        <v>0.90621165000000004</v>
      </c>
      <c r="H771">
        <f>_xll.BDP("FRSL1504 Mtge","MTG_WAL")</f>
        <v>3.1991000000000001</v>
      </c>
      <c r="I771" t="str">
        <f>_xll.BDP("FRSL1504 Mtge","MTG_ORIG_WAL")</f>
        <v>#N/A N/A</v>
      </c>
    </row>
    <row r="772" spans="1:9" x14ac:dyDescent="0.25">
      <c r="A772" t="str">
        <f>_xll.BDP("FRSL1630 Mtge","ID_CUSIP")</f>
        <v>31427NY45</v>
      </c>
      <c r="B772" t="str">
        <f>_xll.BDP("FRSL1630 Mtge","SECURITY_NAME")</f>
        <v>FR SL1630</v>
      </c>
      <c r="C772" t="str">
        <f>_xll.BDP("FRSL1630 Mtge","GENERIC_TICKER_VINTAGE")</f>
        <v>FNCL 6 2025</v>
      </c>
      <c r="D772" t="str">
        <f>_xll.BDP("FRSL1630 Mtge","CRNCY")</f>
        <v>USD</v>
      </c>
      <c r="E772">
        <v>71884671</v>
      </c>
      <c r="F772">
        <f>_xll.BDP("FRSL1630 Mtge","CPN")</f>
        <v>6</v>
      </c>
      <c r="G772">
        <f>_xll.BDP("FRSL1630 Mtge","MTG_FACTOR")</f>
        <v>0.82145612000000001</v>
      </c>
      <c r="H772">
        <f>_xll.BDP("FRSL1630 Mtge","MTG_WAL")</f>
        <v>3.2778999999999998</v>
      </c>
      <c r="I772" t="str">
        <f>_xll.BDP("FRSL1630 Mtge","MTG_ORIG_WAL")</f>
        <v>#N/A N/A</v>
      </c>
    </row>
    <row r="773" spans="1:9" x14ac:dyDescent="0.25">
      <c r="A773" t="str">
        <f>_xll.BDP("!!030RPM Mtge","ID_CUSIP")</f>
        <v>3137H0T24</v>
      </c>
      <c r="B773" t="str">
        <f>_xll.BDP("!!030RPM Mtge","SECURITY_NAME")</f>
        <v>FHR 5119 SQ</v>
      </c>
      <c r="C773" t="str">
        <f>_xll.BDP("!!030RPM Mtge","GENERIC_TICKER_VINTAGE")</f>
        <v>FNCL 3 2021</v>
      </c>
      <c r="D773" t="str">
        <f>_xll.BDP("!!030RPM Mtge","CRNCY")</f>
        <v>USD</v>
      </c>
      <c r="E773">
        <v>14003818</v>
      </c>
      <c r="F773">
        <f>_xll.BDP("!!030RPM Mtge","CPN")</f>
        <v>0</v>
      </c>
      <c r="G773">
        <f>_xll.BDP("!!030RPM Mtge","MTG_FACTOR")</f>
        <v>0.93233277999999997</v>
      </c>
      <c r="H773">
        <f>_xll.BDP("!!030RPM Mtge","MTG_WAL")</f>
        <v>16.604099999999999</v>
      </c>
      <c r="I773">
        <f>_xll.BDP("!!030RPM Mtge","MTG_ORIG_WAL")</f>
        <v>8.6</v>
      </c>
    </row>
    <row r="774" spans="1:9" x14ac:dyDescent="0.25">
      <c r="A774" t="str">
        <f>_xll.BDP("!!030RZR Mtge","ID_CUSIP")</f>
        <v>3137H13A2</v>
      </c>
      <c r="B774" t="str">
        <f>_xll.BDP("!!030RZR Mtge","SECURITY_NAME")</f>
        <v>FHR 5121 QI</v>
      </c>
      <c r="C774" t="str">
        <f>_xll.BDP("!!030RZR Mtge","GENERIC_TICKER_VINTAGE")</f>
        <v>FNCL 3 2021</v>
      </c>
      <c r="D774" t="str">
        <f>_xll.BDP("!!030RZR Mtge","CRNCY")</f>
        <v>USD</v>
      </c>
      <c r="E774">
        <v>22783666</v>
      </c>
      <c r="F774">
        <f>_xll.BDP("!!030RZR Mtge","CPN")</f>
        <v>3</v>
      </c>
      <c r="G774">
        <f>_xll.BDP("!!030RZR Mtge","MTG_FACTOR")</f>
        <v>0.59230654999999999</v>
      </c>
      <c r="H774">
        <f>_xll.BDP("!!030RZR Mtge","MTG_WAL")</f>
        <v>8.2759</v>
      </c>
      <c r="I774">
        <f>_xll.BDP("!!030RZR Mtge","MTG_ORIG_WAL")</f>
        <v>4.9000000000000004</v>
      </c>
    </row>
    <row r="775" spans="1:9" x14ac:dyDescent="0.25">
      <c r="A775" t="str">
        <f>_xll.BDP("!!030SVR Mtge","ID_CUSIP")</f>
        <v>3136BGAB7</v>
      </c>
      <c r="B775" t="str">
        <f>_xll.BDP("!!030SVR Mtge","SECURITY_NAME")</f>
        <v>FNR 2021-42 TA</v>
      </c>
      <c r="C775" t="str">
        <f>_xll.BDP("!!030SVR Mtge","GENERIC_TICKER_VINTAGE")</f>
        <v>FNCL 3 2021</v>
      </c>
      <c r="D775" t="str">
        <f>_xll.BDP("!!030SVR Mtge","CRNCY")</f>
        <v>USD</v>
      </c>
      <c r="E775">
        <v>6557711</v>
      </c>
      <c r="F775">
        <f>_xll.BDP("!!030SVR Mtge","CPN")</f>
        <v>2</v>
      </c>
      <c r="G775">
        <f>_xll.BDP("!!030SVR Mtge","MTG_FACTOR")</f>
        <v>0.47839259000000001</v>
      </c>
      <c r="H775">
        <f>_xll.BDP("!!030SVR Mtge","MTG_WAL")</f>
        <v>20.352</v>
      </c>
      <c r="I775">
        <f>_xll.BDP("!!030SVR Mtge","MTG_ORIG_WAL")</f>
        <v>6.9247399999999999</v>
      </c>
    </row>
    <row r="776" spans="1:9" x14ac:dyDescent="0.25">
      <c r="A776" t="str">
        <f>_xll.BDP("!!0315MV Mtge","ID_CUSIP")</f>
        <v>3136BHS34</v>
      </c>
      <c r="B776" t="str">
        <f>_xll.BDP("!!0315MV Mtge","SECURITY_NAME")</f>
        <v>FNR 2021-41 FP</v>
      </c>
      <c r="C776" t="str">
        <f>_xll.BDP("!!0315MV Mtge","GENERIC_TICKER_VINTAGE")</f>
        <v>FNCL 3 2021</v>
      </c>
      <c r="D776" t="str">
        <f>_xll.BDP("!!0315MV Mtge","CRNCY")</f>
        <v>USD</v>
      </c>
      <c r="E776">
        <v>47327054</v>
      </c>
      <c r="F776">
        <f>_xll.BDP("!!0315MV Mtge","CPN")</f>
        <v>3</v>
      </c>
      <c r="G776">
        <f>_xll.BDP("!!0315MV Mtge","MTG_FACTOR")</f>
        <v>0.60027052000000003</v>
      </c>
      <c r="H776">
        <f>_xll.BDP("!!0315MV Mtge","MTG_WAL")</f>
        <v>8.0543999999999993</v>
      </c>
      <c r="I776">
        <f>_xll.BDP("!!0315MV Mtge","MTG_ORIG_WAL")</f>
        <v>5.0373999999999999</v>
      </c>
    </row>
    <row r="777" spans="1:9" x14ac:dyDescent="0.25">
      <c r="A777" t="str">
        <f>_xll.BDP("!!032F4Z Mtge","ID_CUSIP")</f>
        <v>3136BJCP8</v>
      </c>
      <c r="B777" t="str">
        <f>_xll.BDP("!!032F4Z Mtge","SECURITY_NAME")</f>
        <v>FNR 2021-67 PZ</v>
      </c>
      <c r="C777" t="str">
        <f>_xll.BDP("!!032F4Z Mtge","GENERIC_TICKER_VINTAGE")</f>
        <v>FNCL 3 2021</v>
      </c>
      <c r="D777" t="str">
        <f>_xll.BDP("!!032F4Z Mtge","CRNCY")</f>
        <v>USD</v>
      </c>
      <c r="E777">
        <v>6146326</v>
      </c>
      <c r="F777">
        <f>_xll.BDP("!!032F4Z Mtge","CPN")</f>
        <v>3</v>
      </c>
      <c r="G777">
        <f>_xll.BDP("!!032F4Z Mtge","MTG_FACTOR")</f>
        <v>9.5094919999999999E-2</v>
      </c>
      <c r="H777">
        <f>_xll.BDP("!!032F4Z Mtge","MTG_WAL")</f>
        <v>22.828199999999999</v>
      </c>
      <c r="I777">
        <f>_xll.BDP("!!032F4Z Mtge","MTG_ORIG_WAL")</f>
        <v>12.80559</v>
      </c>
    </row>
    <row r="778" spans="1:9" x14ac:dyDescent="0.25">
      <c r="A778" t="str">
        <f>_xll.BDP("!!032P9X Mtge","ID_CUSIP")</f>
        <v>3136BJGY5</v>
      </c>
      <c r="B778" t="str">
        <f>_xll.BDP("!!032P9X Mtge","SECURITY_NAME")</f>
        <v>FNR 2021-69 JF</v>
      </c>
      <c r="C778" t="str">
        <f>_xll.BDP("!!032P9X Mtge","GENERIC_TICKER_VINTAGE")</f>
        <v>FNCL 3 2021</v>
      </c>
      <c r="D778" t="str">
        <f>_xll.BDP("!!032P9X Mtge","CRNCY")</f>
        <v>USD</v>
      </c>
      <c r="E778">
        <v>25000000</v>
      </c>
      <c r="F778">
        <f>_xll.BDP("!!032P9X Mtge","CPN")</f>
        <v>3</v>
      </c>
      <c r="G778">
        <f>_xll.BDP("!!032P9X Mtge","MTG_FACTOR")</f>
        <v>0.70010978000000001</v>
      </c>
      <c r="H778">
        <f>_xll.BDP("!!032P9X Mtge","MTG_WAL")</f>
        <v>8.2311999999999994</v>
      </c>
      <c r="I778">
        <f>_xll.BDP("!!032P9X Mtge","MTG_ORIG_WAL")</f>
        <v>4.4901600000000004</v>
      </c>
    </row>
    <row r="779" spans="1:9" x14ac:dyDescent="0.25">
      <c r="A779" t="str">
        <f>_xll.BDP("!!032RHW Mtge","ID_CUSIP")</f>
        <v>3136BJBE4</v>
      </c>
      <c r="B779" t="str">
        <f>_xll.BDP("!!032RHW Mtge","SECURITY_NAME")</f>
        <v>FNR 2021-72 NB</v>
      </c>
      <c r="C779" t="str">
        <f>_xll.BDP("!!032RHW Mtge","GENERIC_TICKER_VINTAGE")</f>
        <v>FNCL 3 2021</v>
      </c>
      <c r="D779" t="str">
        <f>_xll.BDP("!!032RHW Mtge","CRNCY")</f>
        <v>USD</v>
      </c>
      <c r="E779">
        <v>254000</v>
      </c>
      <c r="F779">
        <f>_xll.BDP("!!032RHW Mtge","CPN")</f>
        <v>1.5</v>
      </c>
      <c r="G779">
        <f>_xll.BDP("!!032RHW Mtge","MTG_FACTOR")</f>
        <v>1</v>
      </c>
      <c r="H779">
        <f>_xll.BDP("!!032RHW Mtge","MTG_WAL")</f>
        <v>24.388400000000001</v>
      </c>
      <c r="I779">
        <f>_xll.BDP("!!032RHW Mtge","MTG_ORIG_WAL")</f>
        <v>26.1</v>
      </c>
    </row>
    <row r="780" spans="1:9" x14ac:dyDescent="0.25">
      <c r="A780" t="str">
        <f>_xll.BDP("!!03368H Mtge","ID_CUSIP")</f>
        <v>3137H3UG5</v>
      </c>
      <c r="B780" t="str">
        <f>_xll.BDP("!!03368H Mtge","SECURITY_NAME")</f>
        <v>FHR 5159 PZ</v>
      </c>
      <c r="C780" t="str">
        <f>_xll.BDP("!!03368H Mtge","GENERIC_TICKER_VINTAGE")</f>
        <v>FNCL 3 2021</v>
      </c>
      <c r="D780" t="str">
        <f>_xll.BDP("!!03368H Mtge","CRNCY")</f>
        <v>USD</v>
      </c>
      <c r="E780">
        <v>16638262</v>
      </c>
      <c r="F780">
        <f>_xll.BDP("!!03368H Mtge","CPN")</f>
        <v>3</v>
      </c>
      <c r="G780">
        <f>_xll.BDP("!!03368H Mtge","MTG_FACTOR")</f>
        <v>0.32274754</v>
      </c>
      <c r="H780">
        <f>_xll.BDP("!!03368H Mtge","MTG_WAL")</f>
        <v>18.857700000000001</v>
      </c>
      <c r="I780">
        <f>_xll.BDP("!!03368H Mtge","MTG_ORIG_WAL")</f>
        <v>8.6999999999999993</v>
      </c>
    </row>
    <row r="781" spans="1:9" x14ac:dyDescent="0.25">
      <c r="A781" t="str">
        <f>_xll.BDP("!!033YNY Mtge","ID_CUSIP")</f>
        <v>3136BK3L4</v>
      </c>
      <c r="B781" t="str">
        <f>_xll.BDP("!!033YNY Mtge","SECURITY_NAME")</f>
        <v>FNR 2021-91 FA</v>
      </c>
      <c r="C781" t="str">
        <f>_xll.BDP("!!033YNY Mtge","GENERIC_TICKER_VINTAGE")</f>
        <v>FNCL 3 2021</v>
      </c>
      <c r="D781" t="str">
        <f>_xll.BDP("!!033YNY Mtge","CRNCY")</f>
        <v>USD</v>
      </c>
      <c r="E781">
        <v>50035000</v>
      </c>
      <c r="F781">
        <f>_xll.BDP("!!033YNY Mtge","CPN")</f>
        <v>3</v>
      </c>
      <c r="G781">
        <f>_xll.BDP("!!033YNY Mtge","MTG_FACTOR")</f>
        <v>0.68797470000000005</v>
      </c>
      <c r="H781">
        <f>_xll.BDP("!!033YNY Mtge","MTG_WAL")</f>
        <v>8.2562999999999995</v>
      </c>
      <c r="I781">
        <f>_xll.BDP("!!033YNY Mtge","MTG_ORIG_WAL")</f>
        <v>5.2900400000000003</v>
      </c>
    </row>
    <row r="782" spans="1:9" x14ac:dyDescent="0.25">
      <c r="A782" t="str">
        <f>_xll.BDP("!!0348BR Mtge","ID_CUSIP")</f>
        <v>3136BKUN0</v>
      </c>
      <c r="B782" t="str">
        <f>_xll.BDP("!!0348BR Mtge","SECURITY_NAME")</f>
        <v>FNR 2021-95 IG</v>
      </c>
      <c r="C782" t="str">
        <f>_xll.BDP("!!0348BR Mtge","GENERIC_TICKER_VINTAGE")</f>
        <v>FNCL 3 2021</v>
      </c>
      <c r="D782" t="str">
        <f>_xll.BDP("!!0348BR Mtge","CRNCY")</f>
        <v>USD</v>
      </c>
      <c r="E782">
        <v>21651937</v>
      </c>
      <c r="F782">
        <f>_xll.BDP("!!0348BR Mtge","CPN")</f>
        <v>3</v>
      </c>
      <c r="G782">
        <f>_xll.BDP("!!0348BR Mtge","MTG_FACTOR")</f>
        <v>0.68396254000000001</v>
      </c>
      <c r="H782">
        <f>_xll.BDP("!!0348BR Mtge","MTG_WAL")</f>
        <v>8.2106999999999992</v>
      </c>
      <c r="I782">
        <f>_xll.BDP("!!0348BR Mtge","MTG_ORIG_WAL")</f>
        <v>5.3110799999999996</v>
      </c>
    </row>
    <row r="783" spans="1:9" x14ac:dyDescent="0.25">
      <c r="A783" t="str">
        <f>_xll.BDP("!!0349V7 Mtge","ID_CUSIP")</f>
        <v>3136BK6A5</v>
      </c>
      <c r="B783" t="str">
        <f>_xll.BDP("!!0349V7 Mtge","SECURITY_NAME")</f>
        <v>FNR 2021-93 BC</v>
      </c>
      <c r="C783" t="str">
        <f>_xll.BDP("!!0349V7 Mtge","GENERIC_TICKER_VINTAGE")</f>
        <v>FNCL 3 2021</v>
      </c>
      <c r="D783" t="str">
        <f>_xll.BDP("!!0349V7 Mtge","CRNCY")</f>
        <v>USD</v>
      </c>
      <c r="E783">
        <v>169331629</v>
      </c>
      <c r="F783">
        <f>_xll.BDP("!!0349V7 Mtge","CPN")</f>
        <v>1.25</v>
      </c>
      <c r="G783">
        <f>_xll.BDP("!!0349V7 Mtge","MTG_FACTOR")</f>
        <v>0.60307476999999998</v>
      </c>
      <c r="H783">
        <f>_xll.BDP("!!0349V7 Mtge","MTG_WAL")</f>
        <v>5.2313999999999998</v>
      </c>
      <c r="I783">
        <f>_xll.BDP("!!0349V7 Mtge","MTG_ORIG_WAL")</f>
        <v>3.4</v>
      </c>
    </row>
    <row r="784" spans="1:9" x14ac:dyDescent="0.25">
      <c r="A784" t="str">
        <f>_xll.BDP("!!034L9Z Mtge","ID_CUSIP")</f>
        <v>3137H5SU2</v>
      </c>
      <c r="B784" t="str">
        <f>_xll.BDP("!!034L9Z Mtge","SECURITY_NAME")</f>
        <v>FHR 5194 NI</v>
      </c>
      <c r="C784" t="str">
        <f>_xll.BDP("!!034L9Z Mtge","GENERIC_TICKER_VINTAGE")</f>
        <v>FNCL 3 2021</v>
      </c>
      <c r="D784" t="str">
        <f>_xll.BDP("!!034L9Z Mtge","CRNCY")</f>
        <v>USD</v>
      </c>
      <c r="E784">
        <v>68344666</v>
      </c>
      <c r="F784">
        <f>_xll.BDP("!!034L9Z Mtge","CPN")</f>
        <v>3</v>
      </c>
      <c r="G784">
        <f>_xll.BDP("!!034L9Z Mtge","MTG_FACTOR")</f>
        <v>0.62774322999999999</v>
      </c>
      <c r="H784">
        <f>_xll.BDP("!!034L9Z Mtge","MTG_WAL")</f>
        <v>4.8765000000000001</v>
      </c>
      <c r="I784">
        <f>_xll.BDP("!!034L9Z Mtge","MTG_ORIG_WAL")</f>
        <v>3.4</v>
      </c>
    </row>
    <row r="785" spans="1:9" x14ac:dyDescent="0.25">
      <c r="A785" t="str">
        <f>_xll.BDP("!!034NXG Mtge","ID_CUSIP")</f>
        <v>3136BLPZ7</v>
      </c>
      <c r="B785" t="str">
        <f>_xll.BDP("!!034NXG Mtge","SECURITY_NAME")</f>
        <v>FNR 2022-6 JP</v>
      </c>
      <c r="C785" t="str">
        <f>_xll.BDP("!!034NXG Mtge","GENERIC_TICKER_VINTAGE")</f>
        <v>FNCL 3 2021</v>
      </c>
      <c r="D785" t="str">
        <f>_xll.BDP("!!034NXG Mtge","CRNCY")</f>
        <v>USD</v>
      </c>
      <c r="E785">
        <v>57006000</v>
      </c>
      <c r="F785">
        <f>_xll.BDP("!!034NXG Mtge","CPN")</f>
        <v>3</v>
      </c>
      <c r="G785">
        <f>_xll.BDP("!!034NXG Mtge","MTG_FACTOR")</f>
        <v>0.66994229999999999</v>
      </c>
      <c r="H785">
        <f>_xll.BDP("!!034NXG Mtge","MTG_WAL")</f>
        <v>4.0415999999999999</v>
      </c>
      <c r="I785">
        <f>_xll.BDP("!!034NXG Mtge","MTG_ORIG_WAL")</f>
        <v>3.8</v>
      </c>
    </row>
    <row r="786" spans="1:9" x14ac:dyDescent="0.25">
      <c r="A786" t="str">
        <f>_xll.BDP("!!03539S Mtge","ID_CUSIP")</f>
        <v>3137H67L3</v>
      </c>
      <c r="B786" t="str">
        <f>_xll.BDP("!!03539S Mtge","SECURITY_NAME")</f>
        <v>FHR 5205 KI</v>
      </c>
      <c r="C786" t="str">
        <f>_xll.BDP("!!03539S Mtge","GENERIC_TICKER_VINTAGE")</f>
        <v>FNCL 3 2021</v>
      </c>
      <c r="D786" t="str">
        <f>_xll.BDP("!!03539S Mtge","CRNCY")</f>
        <v>USD</v>
      </c>
      <c r="E786">
        <v>50000000</v>
      </c>
      <c r="F786">
        <f>_xll.BDP("!!03539S Mtge","CPN")</f>
        <v>3</v>
      </c>
      <c r="G786">
        <f>_xll.BDP("!!03539S Mtge","MTG_FACTOR")</f>
        <v>0.54410082000000004</v>
      </c>
      <c r="H786">
        <f>_xll.BDP("!!03539S Mtge","MTG_WAL")</f>
        <v>4.5518999999999998</v>
      </c>
      <c r="I786">
        <f>_xll.BDP("!!03539S Mtge","MTG_ORIG_WAL")</f>
        <v>4.8</v>
      </c>
    </row>
    <row r="787" spans="1:9" x14ac:dyDescent="0.25">
      <c r="A787" t="str">
        <f>_xll.BDP("!!0353JZ Mtge","ID_CUSIP")</f>
        <v>3136BL3P3</v>
      </c>
      <c r="B787" t="str">
        <f>_xll.BDP("!!0353JZ Mtge","SECURITY_NAME")</f>
        <v>FNR 2022-10 CL</v>
      </c>
      <c r="C787" t="str">
        <f>_xll.BDP("!!0353JZ Mtge","GENERIC_TICKER_VINTAGE")</f>
        <v>FNCL 3 2021</v>
      </c>
      <c r="D787" t="str">
        <f>_xll.BDP("!!0353JZ Mtge","CRNCY")</f>
        <v>USD</v>
      </c>
      <c r="E787">
        <v>2562500</v>
      </c>
      <c r="F787">
        <f>_xll.BDP("!!0353JZ Mtge","CPN")</f>
        <v>3</v>
      </c>
      <c r="G787">
        <f>_xll.BDP("!!0353JZ Mtge","MTG_FACTOR")</f>
        <v>0.61087117000000002</v>
      </c>
      <c r="H787">
        <f>_xll.BDP("!!0353JZ Mtge","MTG_WAL")</f>
        <v>19.5154</v>
      </c>
      <c r="I787">
        <f>_xll.BDP("!!0353JZ Mtge","MTG_ORIG_WAL")</f>
        <v>10.9</v>
      </c>
    </row>
    <row r="788" spans="1:9" x14ac:dyDescent="0.25">
      <c r="A788" t="str">
        <f>_xll.BDP("!!035CB7 Mtge","ID_CUSIP")</f>
        <v>3137H64F9</v>
      </c>
      <c r="B788" t="str">
        <f>_xll.BDP("!!035CB7 Mtge","SECURITY_NAME")</f>
        <v>FHR 5207 AB</v>
      </c>
      <c r="C788" t="str">
        <f>_xll.BDP("!!035CB7 Mtge","GENERIC_TICKER_VINTAGE")</f>
        <v>FNCL 3 2021</v>
      </c>
      <c r="D788" t="str">
        <f>_xll.BDP("!!035CB7 Mtge","CRNCY")</f>
        <v>USD</v>
      </c>
      <c r="E788">
        <v>25000000</v>
      </c>
      <c r="F788">
        <f>_xll.BDP("!!035CB7 Mtge","CPN")</f>
        <v>3</v>
      </c>
      <c r="G788">
        <f>_xll.BDP("!!035CB7 Mtge","MTG_FACTOR")</f>
        <v>0.67429718000000005</v>
      </c>
      <c r="H788">
        <f>_xll.BDP("!!035CB7 Mtge","MTG_WAL")</f>
        <v>6.7236000000000002</v>
      </c>
      <c r="I788">
        <f>_xll.BDP("!!035CB7 Mtge","MTG_ORIG_WAL")</f>
        <v>5.8</v>
      </c>
    </row>
    <row r="789" spans="1:9" x14ac:dyDescent="0.25">
      <c r="A789" t="str">
        <f>_xll.BDP("!!03LL0C Mtge","ID_CUSIP")</f>
        <v>3136BVSG4</v>
      </c>
      <c r="B789" t="str">
        <f>_xll.BDP("!!03LL0C Mtge","SECURITY_NAME")</f>
        <v>FNR 2025-24 CM</v>
      </c>
      <c r="C789" t="str">
        <f>_xll.BDP("!!03LL0C Mtge","GENERIC_TICKER_VINTAGE")</f>
        <v>FNCL 6 2025</v>
      </c>
      <c r="D789" t="str">
        <f>_xll.BDP("!!03LL0C Mtge","CRNCY")</f>
        <v>USD</v>
      </c>
      <c r="E789">
        <v>12983000</v>
      </c>
      <c r="F789">
        <f>_xll.BDP("!!03LL0C Mtge","CPN")</f>
        <v>5</v>
      </c>
      <c r="G789">
        <f>_xll.BDP("!!03LL0C Mtge","MTG_FACTOR")</f>
        <v>1</v>
      </c>
      <c r="H789">
        <f>_xll.BDP("!!03LL0C Mtge","MTG_WAL")</f>
        <v>3.0491000000000001</v>
      </c>
      <c r="I789">
        <f>_xll.BDP("!!03LL0C Mtge","MTG_ORIG_WAL")</f>
        <v>6.9</v>
      </c>
    </row>
    <row r="790" spans="1:9" x14ac:dyDescent="0.25">
      <c r="A790" t="str">
        <f>_xll.BDP("!!03LL0G Mtge","ID_CUSIP")</f>
        <v>3136BVUC0</v>
      </c>
      <c r="B790" t="str">
        <f>_xll.BDP("!!03LL0G Mtge","SECURITY_NAME")</f>
        <v>FNR 2025-24 CT</v>
      </c>
      <c r="C790" t="str">
        <f>_xll.BDP("!!03LL0G Mtge","GENERIC_TICKER_VINTAGE")</f>
        <v>FNCL 6 2025</v>
      </c>
      <c r="D790" t="str">
        <f>_xll.BDP("!!03LL0G Mtge","CRNCY")</f>
        <v>USD</v>
      </c>
      <c r="E790">
        <v>142479052</v>
      </c>
      <c r="F790">
        <f>_xll.BDP("!!03LL0G Mtge","CPN")</f>
        <v>5</v>
      </c>
      <c r="G790">
        <f>_xll.BDP("!!03LL0G Mtge","MTG_FACTOR")</f>
        <v>0.87216963999999997</v>
      </c>
      <c r="H790">
        <f>_xll.BDP("!!03LL0G Mtge","MTG_WAL")</f>
        <v>3.1175000000000002</v>
      </c>
      <c r="I790">
        <f>_xll.BDP("!!03LL0G Mtge","MTG_ORIG_WAL")</f>
        <v>6.2</v>
      </c>
    </row>
    <row r="791" spans="1:9" x14ac:dyDescent="0.25">
      <c r="A791" t="str">
        <f>_xll.BDP("!!03LLT6 Mtge","ID_CUSIP")</f>
        <v>3137HKWR1</v>
      </c>
      <c r="B791" t="str">
        <f>_xll.BDP("!!03LLT6 Mtge","SECURITY_NAME")</f>
        <v>FHR 5524 NG</v>
      </c>
      <c r="C791" t="str">
        <f>_xll.BDP("!!03LLT6 Mtge","GENERIC_TICKER_VINTAGE")</f>
        <v>FNCL 6 2025</v>
      </c>
      <c r="D791" t="str">
        <f>_xll.BDP("!!03LLT6 Mtge","CRNCY")</f>
        <v>USD</v>
      </c>
      <c r="E791">
        <v>70000000</v>
      </c>
      <c r="F791">
        <f>_xll.BDP("!!03LLT6 Mtge","CPN")</f>
        <v>5.25</v>
      </c>
      <c r="G791">
        <f>_xll.BDP("!!03LLT6 Mtge","MTG_FACTOR")</f>
        <v>0.55306993999999998</v>
      </c>
      <c r="H791">
        <f>_xll.BDP("!!03LLT6 Mtge","MTG_WAL")</f>
        <v>1.2321</v>
      </c>
      <c r="I791">
        <f>_xll.BDP("!!03LLT6 Mtge","MTG_ORIG_WAL")</f>
        <v>3.1</v>
      </c>
    </row>
    <row r="792" spans="1:9" x14ac:dyDescent="0.25">
      <c r="A792" t="str">
        <f>_xll.BDP("!!03LLT9 Mtge","ID_CUSIP")</f>
        <v>3137HKWV2</v>
      </c>
      <c r="B792" t="str">
        <f>_xll.BDP("!!03LLT9 Mtge","SECURITY_NAME")</f>
        <v>FHR 5524 NK</v>
      </c>
      <c r="C792" t="str">
        <f>_xll.BDP("!!03LLT9 Mtge","GENERIC_TICKER_VINTAGE")</f>
        <v>FNCL 6 2025</v>
      </c>
      <c r="D792" t="str">
        <f>_xll.BDP("!!03LLT9 Mtge","CRNCY")</f>
        <v>USD</v>
      </c>
      <c r="E792">
        <v>70000000</v>
      </c>
      <c r="F792">
        <f>_xll.BDP("!!03LLT9 Mtge","CPN")</f>
        <v>6</v>
      </c>
      <c r="G792">
        <f>_xll.BDP("!!03LLT9 Mtge","MTG_FACTOR")</f>
        <v>0.55306993999999998</v>
      </c>
      <c r="H792">
        <f>_xll.BDP("!!03LLT9 Mtge","MTG_WAL")</f>
        <v>1.2321</v>
      </c>
      <c r="I792">
        <f>_xll.BDP("!!03LLT9 Mtge","MTG_ORIG_WAL")</f>
        <v>3.1</v>
      </c>
    </row>
    <row r="793" spans="1:9" x14ac:dyDescent="0.25">
      <c r="A793" t="str">
        <f>_xll.BDP("!!03LPSL Mtge","ID_CUSIP")</f>
        <v>3136BVTQ1</v>
      </c>
      <c r="B793" t="str">
        <f>_xll.BDP("!!03LPSL Mtge","SECURITY_NAME")</f>
        <v>FNR 2025-24 C</v>
      </c>
      <c r="C793" t="str">
        <f>_xll.BDP("!!03LPSL Mtge","GENERIC_TICKER_VINTAGE")</f>
        <v>FNCL 6 2025</v>
      </c>
      <c r="D793" t="str">
        <f>_xll.BDP("!!03LPSL Mtge","CRNCY")</f>
        <v>USD</v>
      </c>
      <c r="E793">
        <v>88073000</v>
      </c>
      <c r="F793">
        <f>_xll.BDP("!!03LPSL Mtge","CPN")</f>
        <v>4.5</v>
      </c>
      <c r="G793">
        <f>_xll.BDP("!!03LPSL Mtge","MTG_FACTOR")</f>
        <v>0.79320394999999999</v>
      </c>
      <c r="H793">
        <f>_xll.BDP("!!03LPSL Mtge","MTG_WAL")</f>
        <v>1.3665</v>
      </c>
      <c r="I793">
        <f>_xll.BDP("!!03LPSL Mtge","MTG_ORIG_WAL")</f>
        <v>3.2</v>
      </c>
    </row>
    <row r="794" spans="1:9" x14ac:dyDescent="0.25">
      <c r="A794" t="str">
        <f>_xll.BDP("!!03LPSN Mtge","ID_CUSIP")</f>
        <v>3136BVTR9</v>
      </c>
      <c r="B794" t="str">
        <f>_xll.BDP("!!03LPSN Mtge","SECURITY_NAME")</f>
        <v>FNR 2025-24 CB</v>
      </c>
      <c r="C794" t="str">
        <f>_xll.BDP("!!03LPSN Mtge","GENERIC_TICKER_VINTAGE")</f>
        <v>FNCL 6 2025</v>
      </c>
      <c r="D794" t="str">
        <f>_xll.BDP("!!03LPSN Mtge","CRNCY")</f>
        <v>USD</v>
      </c>
      <c r="E794">
        <v>88073000</v>
      </c>
      <c r="F794">
        <f>_xll.BDP("!!03LPSN Mtge","CPN")</f>
        <v>4.75</v>
      </c>
      <c r="G794">
        <f>_xll.BDP("!!03LPSN Mtge","MTG_FACTOR")</f>
        <v>0.79320394999999999</v>
      </c>
      <c r="H794">
        <f>_xll.BDP("!!03LPSN Mtge","MTG_WAL")</f>
        <v>1.3665</v>
      </c>
      <c r="I794">
        <f>_xll.BDP("!!03LPSN Mtge","MTG_ORIG_WAL")</f>
        <v>3.2</v>
      </c>
    </row>
    <row r="795" spans="1:9" x14ac:dyDescent="0.25">
      <c r="A795" t="str">
        <f>_xll.BDP("!!03LPT0 Mtge","ID_CUSIP")</f>
        <v>3136BVUA4</v>
      </c>
      <c r="B795" t="str">
        <f>_xll.BDP("!!03LPT0 Mtge","SECURITY_NAME")</f>
        <v>FNR 2025-24 CN</v>
      </c>
      <c r="C795" t="str">
        <f>_xll.BDP("!!03LPT0 Mtge","GENERIC_TICKER_VINTAGE")</f>
        <v>FNCL 6 2025</v>
      </c>
      <c r="D795" t="str">
        <f>_xll.BDP("!!03LPT0 Mtge","CRNCY")</f>
        <v>USD</v>
      </c>
      <c r="E795">
        <v>67370666</v>
      </c>
      <c r="F795">
        <f>_xll.BDP("!!03LPT0 Mtge","CPN")</f>
        <v>5.25</v>
      </c>
      <c r="G795">
        <f>_xll.BDP("!!03LPT0 Mtge","MTG_FACTOR")</f>
        <v>0.81977173000000003</v>
      </c>
      <c r="H795">
        <f>_xll.BDP("!!03LPT0 Mtge","MTG_WAL")</f>
        <v>1.6302000000000001</v>
      </c>
      <c r="I795">
        <f>_xll.BDP("!!03LPT0 Mtge","MTG_ORIG_WAL")</f>
        <v>3.7</v>
      </c>
    </row>
    <row r="796" spans="1:9" x14ac:dyDescent="0.25">
      <c r="A796" t="str">
        <f>_xll.BDP("!!03LSWZ Mtge","ID_CUSIP")</f>
        <v>3137HL2E1</v>
      </c>
      <c r="B796" t="str">
        <f>_xll.BDP("!!03LSWZ Mtge","SECURITY_NAME")</f>
        <v>FHR 5541 DZ</v>
      </c>
      <c r="C796" t="str">
        <f>_xll.BDP("!!03LSWZ Mtge","GENERIC_TICKER_VINTAGE")</f>
        <v>FNCL 6 2025</v>
      </c>
      <c r="D796" t="str">
        <f>_xll.BDP("!!03LSWZ Mtge","CRNCY")</f>
        <v>USD</v>
      </c>
      <c r="E796">
        <v>12796600</v>
      </c>
      <c r="F796">
        <f>_xll.BDP("!!03LSWZ Mtge","CPN")</f>
        <v>5</v>
      </c>
      <c r="G796">
        <f>_xll.BDP("!!03LSWZ Mtge","MTG_FACTOR")</f>
        <v>1.0468002300000001</v>
      </c>
      <c r="H796">
        <f>_xll.BDP("!!03LSWZ Mtge","MTG_WAL")</f>
        <v>6.9854000000000003</v>
      </c>
      <c r="I796">
        <f>_xll.BDP("!!03LSWZ Mtge","MTG_ORIG_WAL")</f>
        <v>13.8</v>
      </c>
    </row>
    <row r="797" spans="1:9" x14ac:dyDescent="0.25">
      <c r="A797" t="str">
        <f>_xll.BDP("!!03LZNJ Mtge","ID_CUSIP")</f>
        <v>3137HKY24</v>
      </c>
      <c r="B797" t="str">
        <f>_xll.BDP("!!03LZNJ Mtge","SECURITY_NAME")</f>
        <v>FHR 5538 MG</v>
      </c>
      <c r="C797" t="str">
        <f>_xll.BDP("!!03LZNJ Mtge","GENERIC_TICKER_VINTAGE")</f>
        <v>FNCL 6 2025</v>
      </c>
      <c r="D797" t="str">
        <f>_xll.BDP("!!03LZNJ Mtge","CRNCY")</f>
        <v>USD</v>
      </c>
      <c r="E797">
        <v>70000000</v>
      </c>
      <c r="F797">
        <f>_xll.BDP("!!03LZNJ Mtge","CPN")</f>
        <v>5.5</v>
      </c>
      <c r="G797">
        <f>_xll.BDP("!!03LZNJ Mtge","MTG_FACTOR")</f>
        <v>0.62146117000000001</v>
      </c>
      <c r="H797">
        <f>_xll.BDP("!!03LZNJ Mtge","MTG_WAL")</f>
        <v>1.3306</v>
      </c>
      <c r="I797">
        <f>_xll.BDP("!!03LZNJ Mtge","MTG_ORIG_WAL")</f>
        <v>3.3</v>
      </c>
    </row>
    <row r="798" spans="1:9" x14ac:dyDescent="0.25">
      <c r="A798" t="str">
        <f>_xll.BDP("!!03M01J Mtge","ID_CUSIP")</f>
        <v>3136BVM62</v>
      </c>
      <c r="B798" t="str">
        <f>_xll.BDP("!!03M01J Mtge","SECURITY_NAME")</f>
        <v>FNR 2025-35 AY</v>
      </c>
      <c r="C798" t="str">
        <f>_xll.BDP("!!03M01J Mtge","GENERIC_TICKER_VINTAGE")</f>
        <v>FNCL 6 2025</v>
      </c>
      <c r="D798" t="str">
        <f>_xll.BDP("!!03M01J Mtge","CRNCY")</f>
        <v>USD</v>
      </c>
      <c r="E798">
        <v>8438531</v>
      </c>
      <c r="F798">
        <f>_xll.BDP("!!03M01J Mtge","CPN")</f>
        <v>5</v>
      </c>
      <c r="G798">
        <f>_xll.BDP("!!03M01J Mtge","MTG_FACTOR")</f>
        <v>1</v>
      </c>
      <c r="H798">
        <f>_xll.BDP("!!03M01J Mtge","MTG_WAL")</f>
        <v>6.1365999999999996</v>
      </c>
      <c r="I798">
        <f>_xll.BDP("!!03M01J Mtge","MTG_ORIG_WAL")</f>
        <v>13.21721</v>
      </c>
    </row>
    <row r="799" spans="1:9" x14ac:dyDescent="0.25">
      <c r="A799" t="str">
        <f>_xll.BDP("!!03M2T4 Mtge","ID_CUSIP")</f>
        <v>3136BVYE2</v>
      </c>
      <c r="B799" t="str">
        <f>_xll.BDP("!!03M2T4 Mtge","SECURITY_NAME")</f>
        <v>FNR 2025-36 FA</v>
      </c>
      <c r="C799" t="str">
        <f>_xll.BDP("!!03M2T4 Mtge","GENERIC_TICKER_VINTAGE")</f>
        <v>FNCL 6 2025</v>
      </c>
      <c r="D799" t="str">
        <f>_xll.BDP("!!03M2T4 Mtge","CRNCY")</f>
        <v>USD</v>
      </c>
      <c r="E799">
        <v>100000000</v>
      </c>
      <c r="F799">
        <f>_xll.BDP("!!03M2T4 Mtge","CPN")</f>
        <v>5.5672100000000002</v>
      </c>
      <c r="G799">
        <f>_xll.BDP("!!03M2T4 Mtge","MTG_FACTOR")</f>
        <v>0.72908722000000004</v>
      </c>
      <c r="H799">
        <f>_xll.BDP("!!03M2T4 Mtge","MTG_WAL")</f>
        <v>3.0562999999999998</v>
      </c>
      <c r="I799">
        <f>_xll.BDP("!!03M2T4 Mtge","MTG_ORIG_WAL")</f>
        <v>6.1</v>
      </c>
    </row>
    <row r="800" spans="1:9" x14ac:dyDescent="0.25">
      <c r="A800" t="str">
        <f>_xll.BDP("!!03M500 Mtge","ID_CUSIP")</f>
        <v>3137HLHW5</v>
      </c>
      <c r="B800" t="str">
        <f>_xll.BDP("!!03M500 Mtge","SECURITY_NAME")</f>
        <v>FHR 5534 AT</v>
      </c>
      <c r="C800" t="str">
        <f>_xll.BDP("!!03M500 Mtge","GENERIC_TICKER_VINTAGE")</f>
        <v>FNCL 6 2025</v>
      </c>
      <c r="D800" t="str">
        <f>_xll.BDP("!!03M500 Mtge","CRNCY")</f>
        <v>USD</v>
      </c>
      <c r="E800">
        <v>51290066</v>
      </c>
      <c r="F800">
        <f>_xll.BDP("!!03M500 Mtge","CPN")</f>
        <v>5</v>
      </c>
      <c r="G800">
        <f>_xll.BDP("!!03M500 Mtge","MTG_FACTOR")</f>
        <v>0.84714184000000003</v>
      </c>
      <c r="H800">
        <f>_xll.BDP("!!03M500 Mtge","MTG_WAL")</f>
        <v>3.2111000000000001</v>
      </c>
      <c r="I800">
        <f>_xll.BDP("!!03M500 Mtge","MTG_ORIG_WAL")</f>
        <v>6.7</v>
      </c>
    </row>
    <row r="801" spans="1:9" x14ac:dyDescent="0.25">
      <c r="A801" t="str">
        <f>_xll.BDP("!!03M59L Mtge","ID_CUSIP")</f>
        <v>3137HKZU1</v>
      </c>
      <c r="B801" t="str">
        <f>_xll.BDP("!!03M59L Mtge","SECURITY_NAME")</f>
        <v>FHR 5541 DC</v>
      </c>
      <c r="C801" t="str">
        <f>_xll.BDP("!!03M59L Mtge","GENERIC_TICKER_VINTAGE")</f>
        <v>FNCL 6 2025</v>
      </c>
      <c r="D801" t="str">
        <f>_xll.BDP("!!03M59L Mtge","CRNCY")</f>
        <v>USD</v>
      </c>
      <c r="E801">
        <v>58323000</v>
      </c>
      <c r="F801">
        <f>_xll.BDP("!!03M59L Mtge","CPN")</f>
        <v>4</v>
      </c>
      <c r="G801">
        <f>_xll.BDP("!!03M59L Mtge","MTG_FACTOR")</f>
        <v>0.79720420999999997</v>
      </c>
      <c r="H801">
        <f>_xll.BDP("!!03M59L Mtge","MTG_WAL")</f>
        <v>1.6915</v>
      </c>
      <c r="I801">
        <f>_xll.BDP("!!03M59L Mtge","MTG_ORIG_WAL")</f>
        <v>3.9</v>
      </c>
    </row>
    <row r="802" spans="1:9" x14ac:dyDescent="0.25">
      <c r="A802" t="str">
        <f>_xll.BDP("!!03M612 Mtge","ID_CUSIP")</f>
        <v>3137HLNF5</v>
      </c>
      <c r="B802" t="str">
        <f>_xll.BDP("!!03M612 Mtge","SECURITY_NAME")</f>
        <v>FHR 5544 CG</v>
      </c>
      <c r="C802" t="str">
        <f>_xll.BDP("!!03M612 Mtge","GENERIC_TICKER_VINTAGE")</f>
        <v>FNCL 6 2025</v>
      </c>
      <c r="D802" t="str">
        <f>_xll.BDP("!!03M612 Mtge","CRNCY")</f>
        <v>USD</v>
      </c>
      <c r="E802">
        <v>116666667</v>
      </c>
      <c r="F802">
        <f>_xll.BDP("!!03M612 Mtge","CPN")</f>
        <v>6</v>
      </c>
      <c r="G802">
        <f>_xll.BDP("!!03M612 Mtge","MTG_FACTOR")</f>
        <v>0.63147333999999999</v>
      </c>
      <c r="H802">
        <f>_xll.BDP("!!03M612 Mtge","MTG_WAL")</f>
        <v>1.361</v>
      </c>
      <c r="I802">
        <f>_xll.BDP("!!03M612 Mtge","MTG_ORIG_WAL")</f>
        <v>2.8</v>
      </c>
    </row>
    <row r="803" spans="1:9" x14ac:dyDescent="0.25">
      <c r="A803" t="str">
        <f>_xll.BDP("!!03MB41 Mtge","ID_CUSIP")</f>
        <v>3136BWEJ1</v>
      </c>
      <c r="B803" t="str">
        <f>_xll.BDP("!!03MB41 Mtge","SECURITY_NAME")</f>
        <v>FNR 2025-45 AF</v>
      </c>
      <c r="C803" t="str">
        <f>_xll.BDP("!!03MB41 Mtge","GENERIC_TICKER_VINTAGE")</f>
        <v>FNCL 6 2025</v>
      </c>
      <c r="D803" t="str">
        <f>_xll.BDP("!!03MB41 Mtge","CRNCY")</f>
        <v>USD</v>
      </c>
      <c r="E803">
        <v>150000000</v>
      </c>
      <c r="F803">
        <f>_xll.BDP("!!03MB41 Mtge","CPN")</f>
        <v>5.11721</v>
      </c>
      <c r="G803">
        <f>_xll.BDP("!!03MB41 Mtge","MTG_FACTOR")</f>
        <v>0.89972299</v>
      </c>
      <c r="H803">
        <f>_xll.BDP("!!03MB41 Mtge","MTG_WAL")</f>
        <v>3.2700999999999998</v>
      </c>
      <c r="I803">
        <f>_xll.BDP("!!03MB41 Mtge","MTG_ORIG_WAL")</f>
        <v>6.5</v>
      </c>
    </row>
    <row r="804" spans="1:9" x14ac:dyDescent="0.25">
      <c r="A804" t="str">
        <f>_xll.BDP("!!03MF7C Mtge","ID_CUSIP")</f>
        <v>3136BWHT6</v>
      </c>
      <c r="B804" t="str">
        <f>_xll.BDP("!!03MF7C Mtge","SECURITY_NAME")</f>
        <v>FNR 2025-47 A</v>
      </c>
      <c r="C804" t="str">
        <f>_xll.BDP("!!03MF7C Mtge","GENERIC_TICKER_VINTAGE")</f>
        <v>FNCL 6 2025</v>
      </c>
      <c r="D804" t="str">
        <f>_xll.BDP("!!03MF7C Mtge","CRNCY")</f>
        <v>USD</v>
      </c>
      <c r="E804">
        <v>39997531</v>
      </c>
      <c r="F804">
        <f>_xll.BDP("!!03MF7C Mtge","CPN")</f>
        <v>0.01</v>
      </c>
      <c r="G804">
        <f>_xll.BDP("!!03MF7C Mtge","MTG_FACTOR")</f>
        <v>0.90068972999999997</v>
      </c>
      <c r="H804">
        <f>_xll.BDP("!!03MF7C Mtge","MTG_WAL")</f>
        <v>3.2530999999999999</v>
      </c>
      <c r="I804">
        <f>_xll.BDP("!!03MF7C Mtge","MTG_ORIG_WAL")</f>
        <v>6.4696800000000003</v>
      </c>
    </row>
    <row r="805" spans="1:9" x14ac:dyDescent="0.25">
      <c r="A805" t="str">
        <f>_xll.BDP("!!03MF7F Mtge","ID_CUSIP")</f>
        <v>3136BWHZ2</v>
      </c>
      <c r="B805" t="str">
        <f>_xll.BDP("!!03MF7F Mtge","SECURITY_NAME")</f>
        <v>FNR 2025-47 SA</v>
      </c>
      <c r="C805" t="str">
        <f>_xll.BDP("!!03MF7F Mtge","GENERIC_TICKER_VINTAGE")</f>
        <v>FNCL 6 2025</v>
      </c>
      <c r="D805" t="str">
        <f>_xll.BDP("!!03MF7F Mtge","CRNCY")</f>
        <v>USD</v>
      </c>
      <c r="E805">
        <v>239585208</v>
      </c>
      <c r="F805">
        <f>_xll.BDP("!!03MF7F Mtge","CPN")</f>
        <v>2.13279</v>
      </c>
      <c r="G805">
        <f>_xll.BDP("!!03MF7F Mtge","MTG_FACTOR")</f>
        <v>0.90068972999999997</v>
      </c>
      <c r="H805">
        <f>_xll.BDP("!!03MF7F Mtge","MTG_WAL")</f>
        <v>3.1888000000000001</v>
      </c>
      <c r="I805">
        <f>_xll.BDP("!!03MF7F Mtge","MTG_ORIG_WAL")</f>
        <v>6.4696800000000003</v>
      </c>
    </row>
    <row r="806" spans="1:9" x14ac:dyDescent="0.25">
      <c r="A806" t="str">
        <f>_xll.BDP("!!03MF7N Mtge","ID_CUSIP")</f>
        <v>3136BWKC9</v>
      </c>
      <c r="B806" t="str">
        <f>_xll.BDP("!!03MF7N Mtge","SECURITY_NAME")</f>
        <v>FNR 2025-47 GT</v>
      </c>
      <c r="C806" t="str">
        <f>_xll.BDP("!!03MF7N Mtge","GENERIC_TICKER_VINTAGE")</f>
        <v>FNCL 6 2025</v>
      </c>
      <c r="D806" t="str">
        <f>_xll.BDP("!!03MF7N Mtge","CRNCY")</f>
        <v>USD</v>
      </c>
      <c r="E806">
        <v>70000000</v>
      </c>
      <c r="F806">
        <f>_xll.BDP("!!03MF7N Mtge","CPN")</f>
        <v>4.5</v>
      </c>
      <c r="G806">
        <f>_xll.BDP("!!03MF7N Mtge","MTG_FACTOR")</f>
        <v>0.95188035000000004</v>
      </c>
      <c r="H806">
        <f>_xll.BDP("!!03MF7N Mtge","MTG_WAL")</f>
        <v>3.1839</v>
      </c>
      <c r="I806">
        <f>_xll.BDP("!!03MF7N Mtge","MTG_ORIG_WAL")</f>
        <v>6.3847300000000002</v>
      </c>
    </row>
    <row r="807" spans="1:9" x14ac:dyDescent="0.25">
      <c r="A807" t="str">
        <f>_xll.BDP("!!03MG4N Mtge","ID_CUSIP")</f>
        <v>3136BWCZ7</v>
      </c>
      <c r="B807" t="str">
        <f>_xll.BDP("!!03MG4N Mtge","SECURITY_NAME")</f>
        <v>FNR 2025-44 DV</v>
      </c>
      <c r="C807" t="str">
        <f>_xll.BDP("!!03MG4N Mtge","GENERIC_TICKER_VINTAGE")</f>
        <v>FNCL 6 2025</v>
      </c>
      <c r="D807" t="str">
        <f>_xll.BDP("!!03MG4N Mtge","CRNCY")</f>
        <v>USD</v>
      </c>
      <c r="E807">
        <v>10634002</v>
      </c>
      <c r="F807">
        <f>_xll.BDP("!!03MG4N Mtge","CPN")</f>
        <v>5</v>
      </c>
      <c r="G807">
        <f>_xll.BDP("!!03MG4N Mtge","MTG_FACTOR")</f>
        <v>0.94149168000000005</v>
      </c>
      <c r="H807">
        <f>_xll.BDP("!!03MG4N Mtge","MTG_WAL")</f>
        <v>3.1004999999999998</v>
      </c>
      <c r="I807">
        <f>_xll.BDP("!!03MG4N Mtge","MTG_ORIG_WAL")</f>
        <v>5.6872400000000001</v>
      </c>
    </row>
    <row r="808" spans="1:9" x14ac:dyDescent="0.25">
      <c r="A808" t="str">
        <f>_xll.BDP("!!03MH9L Mtge","ID_CUSIP")</f>
        <v>3136BWEK8</v>
      </c>
      <c r="B808" t="str">
        <f>_xll.BDP("!!03MH9L Mtge","SECURITY_NAME")</f>
        <v>FNR 2025-45 AN</v>
      </c>
      <c r="C808" t="str">
        <f>_xll.BDP("!!03MH9L Mtge","GENERIC_TICKER_VINTAGE")</f>
        <v>FNCL 6 2025</v>
      </c>
      <c r="D808" t="str">
        <f>_xll.BDP("!!03MH9L Mtge","CRNCY")</f>
        <v>USD</v>
      </c>
      <c r="E808">
        <v>6765000</v>
      </c>
      <c r="F808">
        <f>_xll.BDP("!!03MH9L Mtge","CPN")</f>
        <v>5</v>
      </c>
      <c r="G808">
        <f>_xll.BDP("!!03MH9L Mtge","MTG_FACTOR")</f>
        <v>1</v>
      </c>
      <c r="H808">
        <f>_xll.BDP("!!03MH9L Mtge","MTG_WAL")</f>
        <v>3.2021999999999999</v>
      </c>
      <c r="I808">
        <f>_xll.BDP("!!03MH9L Mtge","MTG_ORIG_WAL")</f>
        <v>7</v>
      </c>
    </row>
    <row r="809" spans="1:9" x14ac:dyDescent="0.25">
      <c r="A809" t="str">
        <f>_xll.BDP("!!03MKR2 Mtge","ID_CUSIP")</f>
        <v>3136BWCU8</v>
      </c>
      <c r="B809" t="str">
        <f>_xll.BDP("!!03MKR2 Mtge","SECURITY_NAME")</f>
        <v>FNR 2025-44 BS</v>
      </c>
      <c r="C809" t="str">
        <f>_xll.BDP("!!03MKR2 Mtge","GENERIC_TICKER_VINTAGE")</f>
        <v>FNCL 6 2025</v>
      </c>
      <c r="D809" t="str">
        <f>_xll.BDP("!!03MKR2 Mtge","CRNCY")</f>
        <v>USD</v>
      </c>
      <c r="E809">
        <v>78199500</v>
      </c>
      <c r="F809">
        <f>_xll.BDP("!!03MKR2 Mtge","CPN")</f>
        <v>1.43279</v>
      </c>
      <c r="G809">
        <f>_xll.BDP("!!03MKR2 Mtge","MTG_FACTOR")</f>
        <v>0.87058177999999997</v>
      </c>
      <c r="H809">
        <f>_xll.BDP("!!03MKR2 Mtge","MTG_WAL")</f>
        <v>3.0714000000000001</v>
      </c>
      <c r="I809">
        <f>_xll.BDP("!!03MKR2 Mtge","MTG_ORIG_WAL")</f>
        <v>6.9209199999999997</v>
      </c>
    </row>
    <row r="810" spans="1:9" x14ac:dyDescent="0.25">
      <c r="A810" t="str">
        <f>_xll.BDP("!!03MKRH Mtge","ID_CUSIP")</f>
        <v>3136BWDB9</v>
      </c>
      <c r="B810" t="str">
        <f>_xll.BDP("!!03MKRH Mtge","SECURITY_NAME")</f>
        <v>FNR 2025-44 DF</v>
      </c>
      <c r="C810" t="str">
        <f>_xll.BDP("!!03MKRH Mtge","GENERIC_TICKER_VINTAGE")</f>
        <v>FNCL 6 2025</v>
      </c>
      <c r="D810" t="str">
        <f>_xll.BDP("!!03MKRH Mtge","CRNCY")</f>
        <v>USD</v>
      </c>
      <c r="E810">
        <v>167690834</v>
      </c>
      <c r="F810">
        <f>_xll.BDP("!!03MKRH Mtge","CPN")</f>
        <v>5.0672100000000002</v>
      </c>
      <c r="G810">
        <f>_xll.BDP("!!03MKRH Mtge","MTG_FACTOR")</f>
        <v>0.81761824999999999</v>
      </c>
      <c r="H810">
        <f>_xll.BDP("!!03MKRH Mtge","MTG_WAL")</f>
        <v>3.0206</v>
      </c>
      <c r="I810">
        <f>_xll.BDP("!!03MKRH Mtge","MTG_ORIG_WAL")</f>
        <v>6.84063</v>
      </c>
    </row>
    <row r="811" spans="1:9" x14ac:dyDescent="0.25">
      <c r="A811" t="str">
        <f>_xll.BDP("!!03MKRW Mtge","ID_CUSIP")</f>
        <v>3136BWDK9</v>
      </c>
      <c r="B811" t="str">
        <f>_xll.BDP("!!03MKRW Mtge","SECURITY_NAME")</f>
        <v>FNR 2025-44 AF</v>
      </c>
      <c r="C811" t="str">
        <f>_xll.BDP("!!03MKRW Mtge","GENERIC_TICKER_VINTAGE")</f>
        <v>FNCL 6 2025</v>
      </c>
      <c r="D811" t="str">
        <f>_xll.BDP("!!03MKRW Mtge","CRNCY")</f>
        <v>USD</v>
      </c>
      <c r="E811">
        <v>50000000</v>
      </c>
      <c r="F811">
        <f>_xll.BDP("!!03MKRW Mtge","CPN")</f>
        <v>5.6672099999999999</v>
      </c>
      <c r="G811">
        <f>_xll.BDP("!!03MKRW Mtge","MTG_FACTOR")</f>
        <v>0.85852910999999998</v>
      </c>
      <c r="H811">
        <f>_xll.BDP("!!03MKRW Mtge","MTG_WAL")</f>
        <v>3.1084000000000001</v>
      </c>
      <c r="I811">
        <f>_xll.BDP("!!03MKRW Mtge","MTG_ORIG_WAL")</f>
        <v>6.4035599999999997</v>
      </c>
    </row>
    <row r="812" spans="1:9" x14ac:dyDescent="0.25">
      <c r="A812" t="str">
        <f>_xll.BDP("!!03MLJD Mtge","ID_CUSIP")</f>
        <v>3136BWPK6</v>
      </c>
      <c r="B812" t="str">
        <f>_xll.BDP("!!03MLJD Mtge","SECURITY_NAME")</f>
        <v>FNR 2025-47 B</v>
      </c>
      <c r="C812" t="str">
        <f>_xll.BDP("!!03MLJD Mtge","GENERIC_TICKER_VINTAGE")</f>
        <v>FNCL 6 2025</v>
      </c>
      <c r="D812" t="str">
        <f>_xll.BDP("!!03MLJD Mtge","CRNCY")</f>
        <v>USD</v>
      </c>
      <c r="E812">
        <v>70336388</v>
      </c>
      <c r="F812">
        <f>_xll.BDP("!!03MLJD Mtge","CPN")</f>
        <v>0.01</v>
      </c>
      <c r="G812">
        <f>_xll.BDP("!!03MLJD Mtge","MTG_FACTOR")</f>
        <v>0.89503365999999995</v>
      </c>
      <c r="H812">
        <f>_xll.BDP("!!03MLJD Mtge","MTG_WAL")</f>
        <v>3.2597999999999998</v>
      </c>
      <c r="I812">
        <f>_xll.BDP("!!03MLJD Mtge","MTG_ORIG_WAL")</f>
        <v>6.4993999999999996</v>
      </c>
    </row>
    <row r="813" spans="1:9" x14ac:dyDescent="0.25">
      <c r="A813" t="str">
        <f>_xll.BDP("!!03MLJJ Mtge","ID_CUSIP")</f>
        <v>3136BWJG2</v>
      </c>
      <c r="B813" t="str">
        <f>_xll.BDP("!!03MLJJ Mtge","SECURITY_NAME")</f>
        <v>FNR 2025-47 EA</v>
      </c>
      <c r="C813" t="str">
        <f>_xll.BDP("!!03MLJJ Mtge","GENERIC_TICKER_VINTAGE")</f>
        <v>FNCL 6 2025</v>
      </c>
      <c r="D813" t="str">
        <f>_xll.BDP("!!03MLJJ Mtge","CRNCY")</f>
        <v>USD</v>
      </c>
      <c r="E813">
        <v>52876000</v>
      </c>
      <c r="F813">
        <f>_xll.BDP("!!03MLJJ Mtge","CPN")</f>
        <v>5.75</v>
      </c>
      <c r="G813">
        <f>_xll.BDP("!!03MLJJ Mtge","MTG_FACTOR")</f>
        <v>0.87905241999999995</v>
      </c>
      <c r="H813">
        <f>_xll.BDP("!!03MLJJ Mtge","MTG_WAL")</f>
        <v>2.65</v>
      </c>
      <c r="I813">
        <f>_xll.BDP("!!03MLJJ Mtge","MTG_ORIG_WAL")</f>
        <v>5.2626900000000001</v>
      </c>
    </row>
    <row r="814" spans="1:9" x14ac:dyDescent="0.25">
      <c r="A814" t="str">
        <f>_xll.BDP("!!03MLKK Mtge","ID_CUSIP")</f>
        <v>3136BWNK8</v>
      </c>
      <c r="B814" t="str">
        <f>_xll.BDP("!!03MLKK Mtge","SECURITY_NAME")</f>
        <v>FNR 2025-47 JS</v>
      </c>
      <c r="C814" t="str">
        <f>_xll.BDP("!!03MLKK Mtge","GENERIC_TICKER_VINTAGE")</f>
        <v>FNCL 6 2025</v>
      </c>
      <c r="D814" t="str">
        <f>_xll.BDP("!!03MLKK Mtge","CRNCY")</f>
        <v>USD</v>
      </c>
      <c r="E814">
        <v>121153168</v>
      </c>
      <c r="F814">
        <f>_xll.BDP("!!03MLKK Mtge","CPN")</f>
        <v>2.6827899999999998</v>
      </c>
      <c r="G814">
        <f>_xll.BDP("!!03MLKK Mtge","MTG_FACTOR")</f>
        <v>0.88757691000000005</v>
      </c>
      <c r="H814">
        <f>_xll.BDP("!!03MLKK Mtge","MTG_WAL")</f>
        <v>3.2044999999999999</v>
      </c>
      <c r="I814">
        <f>_xll.BDP("!!03MLKK Mtge","MTG_ORIG_WAL")</f>
        <v>6.53857</v>
      </c>
    </row>
    <row r="815" spans="1:9" x14ac:dyDescent="0.25">
      <c r="A815" t="str">
        <f>_xll.BDP("!!03MLKV Mtge","ID_CUSIP")</f>
        <v>3136BWHY5</v>
      </c>
      <c r="B815" t="str">
        <f>_xll.BDP("!!03MLKV Mtge","SECURITY_NAME")</f>
        <v>FNR 2025-47 SN</v>
      </c>
      <c r="C815" t="str">
        <f>_xll.BDP("!!03MLKV Mtge","GENERIC_TICKER_VINTAGE")</f>
        <v>FNCL 6 2025</v>
      </c>
      <c r="D815" t="str">
        <f>_xll.BDP("!!03MLKV Mtge","CRNCY")</f>
        <v>USD</v>
      </c>
      <c r="E815">
        <v>8500000</v>
      </c>
      <c r="F815">
        <f>_xll.BDP("!!03MLKV Mtge","CPN")</f>
        <v>0.1</v>
      </c>
      <c r="G815">
        <f>_xll.BDP("!!03MLKV Mtge","MTG_FACTOR")</f>
        <v>0.90068972999999997</v>
      </c>
      <c r="H815">
        <f>_xll.BDP("!!03MLKV Mtge","MTG_WAL")</f>
        <v>3.1888000000000001</v>
      </c>
      <c r="I815">
        <f>_xll.BDP("!!03MLKV Mtge","MTG_ORIG_WAL")</f>
        <v>6.4696800000000003</v>
      </c>
    </row>
    <row r="816" spans="1:9" x14ac:dyDescent="0.25">
      <c r="A816" t="str">
        <f>_xll.BDP("!!03MM1Y Mtge","ID_CUSIP")</f>
        <v>3137HLUW0</v>
      </c>
      <c r="B816" t="str">
        <f>_xll.BDP("!!03MM1Y Mtge","SECURITY_NAME")</f>
        <v>FHR 5553 FH</v>
      </c>
      <c r="C816" t="str">
        <f>_xll.BDP("!!03MM1Y Mtge","GENERIC_TICKER_VINTAGE")</f>
        <v>FNCL 6 2025</v>
      </c>
      <c r="D816" t="str">
        <f>_xll.BDP("!!03MM1Y Mtge","CRNCY")</f>
        <v>USD</v>
      </c>
      <c r="E816">
        <v>50816107</v>
      </c>
      <c r="F816">
        <f>_xll.BDP("!!03MM1Y Mtge","CPN")</f>
        <v>4.61721</v>
      </c>
      <c r="G816">
        <f>_xll.BDP("!!03MM1Y Mtge","MTG_FACTOR")</f>
        <v>0.94027384000000003</v>
      </c>
      <c r="H816">
        <f>_xll.BDP("!!03MM1Y Mtge","MTG_WAL")</f>
        <v>3.1821000000000002</v>
      </c>
      <c r="I816">
        <f>_xll.BDP("!!03MM1Y Mtge","MTG_ORIG_WAL")</f>
        <v>6.4</v>
      </c>
    </row>
    <row r="817" spans="1:9" x14ac:dyDescent="0.25">
      <c r="A817" t="str">
        <f>_xll.BDP("!!03MMW7 Mtge","ID_CUSIP")</f>
        <v>3137HLNM0</v>
      </c>
      <c r="B817" t="str">
        <f>_xll.BDP("!!03MMW7 Mtge","SECURITY_NAME")</f>
        <v>FHR 5544 DZ</v>
      </c>
      <c r="C817" t="str">
        <f>_xll.BDP("!!03MMW7 Mtge","GENERIC_TICKER_VINTAGE")</f>
        <v>FNCL 6 2025</v>
      </c>
      <c r="D817" t="str">
        <f>_xll.BDP("!!03MMW7 Mtge","CRNCY")</f>
        <v>USD</v>
      </c>
      <c r="E817">
        <v>18191418</v>
      </c>
      <c r="F817">
        <f>_xll.BDP("!!03MMW7 Mtge","CPN")</f>
        <v>5</v>
      </c>
      <c r="G817">
        <f>_xll.BDP("!!03MMW7 Mtge","MTG_FACTOR")</f>
        <v>1.04245666</v>
      </c>
      <c r="H817">
        <f>_xll.BDP("!!03MMW7 Mtge","MTG_WAL")</f>
        <v>7.1295000000000002</v>
      </c>
      <c r="I817">
        <f>_xll.BDP("!!03MMW7 Mtge","MTG_ORIG_WAL")</f>
        <v>13.3</v>
      </c>
    </row>
    <row r="818" spans="1:9" x14ac:dyDescent="0.25">
      <c r="A818" t="str">
        <f>_xll.BDP("!!03MMWB Mtge","ID_CUSIP")</f>
        <v>3137HLPB2</v>
      </c>
      <c r="B818" t="str">
        <f>_xll.BDP("!!03MMWB Mtge","SECURITY_NAME")</f>
        <v>FHR 5544 SD</v>
      </c>
      <c r="C818" t="str">
        <f>_xll.BDP("!!03MMWB Mtge","GENERIC_TICKER_VINTAGE")</f>
        <v>FNCL 6 2025</v>
      </c>
      <c r="D818" t="str">
        <f>_xll.BDP("!!03MMWB Mtge","CRNCY")</f>
        <v>USD</v>
      </c>
      <c r="E818">
        <v>213573937</v>
      </c>
      <c r="F818">
        <f>_xll.BDP("!!03MMWB Mtge","CPN")</f>
        <v>1.38279</v>
      </c>
      <c r="G818">
        <f>_xll.BDP("!!03MMWB Mtge","MTG_FACTOR")</f>
        <v>0.91962586999999996</v>
      </c>
      <c r="H818">
        <f>_xll.BDP("!!03MMWB Mtge","MTG_WAL")</f>
        <v>3.1554000000000002</v>
      </c>
      <c r="I818">
        <f>_xll.BDP("!!03MMWB Mtge","MTG_ORIG_WAL")</f>
        <v>6.3</v>
      </c>
    </row>
    <row r="819" spans="1:9" x14ac:dyDescent="0.25">
      <c r="A819" t="str">
        <f>_xll.BDP("!!03MN0C Mtge","ID_CUSIP")</f>
        <v>3137HLK35</v>
      </c>
      <c r="B819" t="str">
        <f>_xll.BDP("!!03MN0C Mtge","SECURITY_NAME")</f>
        <v>FHR 5548 S</v>
      </c>
      <c r="C819" t="str">
        <f>_xll.BDP("!!03MN0C Mtge","GENERIC_TICKER_VINTAGE")</f>
        <v>FNCL 6 2025</v>
      </c>
      <c r="D819" t="str">
        <f>_xll.BDP("!!03MN0C Mtge","CRNCY")</f>
        <v>USD</v>
      </c>
      <c r="E819">
        <v>21375000</v>
      </c>
      <c r="F819">
        <f>_xll.BDP("!!03MN0C Mtge","CPN")</f>
        <v>5.5546499999999996</v>
      </c>
      <c r="G819">
        <f>_xll.BDP("!!03MN0C Mtge","MTG_FACTOR")</f>
        <v>0.72985520000000004</v>
      </c>
      <c r="H819">
        <f>_xll.BDP("!!03MN0C Mtge","MTG_WAL")</f>
        <v>3</v>
      </c>
      <c r="I819">
        <f>_xll.BDP("!!03MN0C Mtge","MTG_ORIG_WAL")</f>
        <v>6.4</v>
      </c>
    </row>
    <row r="820" spans="1:9" x14ac:dyDescent="0.25">
      <c r="A820" t="str">
        <f>_xll.BDP("!!03MN0M Mtge","ID_CUSIP")</f>
        <v>3137HLJQ6</v>
      </c>
      <c r="B820" t="str">
        <f>_xll.BDP("!!03MN0M Mtge","SECURITY_NAME")</f>
        <v>FHR 5548 F</v>
      </c>
      <c r="C820" t="str">
        <f>_xll.BDP("!!03MN0M Mtge","GENERIC_TICKER_VINTAGE")</f>
        <v>FNCL 6 2025</v>
      </c>
      <c r="D820" t="str">
        <f>_xll.BDP("!!03MN0M Mtge","CRNCY")</f>
        <v>USD</v>
      </c>
      <c r="E820">
        <v>55000000</v>
      </c>
      <c r="F820">
        <f>_xll.BDP("!!03MN0M Mtge","CPN")</f>
        <v>8.2672100000000004</v>
      </c>
      <c r="G820">
        <f>_xll.BDP("!!03MN0M Mtge","MTG_FACTOR")</f>
        <v>0.79173642</v>
      </c>
      <c r="H820">
        <f>_xll.BDP("!!03MN0M Mtge","MTG_WAL")</f>
        <v>3.1322999999999999</v>
      </c>
      <c r="I820">
        <f>_xll.BDP("!!03MN0M Mtge","MTG_ORIG_WAL")</f>
        <v>6.6</v>
      </c>
    </row>
    <row r="821" spans="1:9" x14ac:dyDescent="0.25">
      <c r="A821" t="str">
        <f>_xll.BDP("!!03MPGC Mtge","ID_CUSIP")</f>
        <v>3137HM2X7</v>
      </c>
      <c r="B821" t="str">
        <f>_xll.BDP("!!03MPGC Mtge","SECURITY_NAME")</f>
        <v>FHR 5555 TA</v>
      </c>
      <c r="C821" t="str">
        <f>_xll.BDP("!!03MPGC Mtge","GENERIC_TICKER_VINTAGE")</f>
        <v>FNCL 6 2025</v>
      </c>
      <c r="D821" t="str">
        <f>_xll.BDP("!!03MPGC Mtge","CRNCY")</f>
        <v>USD</v>
      </c>
      <c r="E821">
        <v>100000000</v>
      </c>
      <c r="F821">
        <f>_xll.BDP("!!03MPGC Mtge","CPN")</f>
        <v>0.25</v>
      </c>
      <c r="G821">
        <f>_xll.BDP("!!03MPGC Mtge","MTG_FACTOR")</f>
        <v>0.79721315999999998</v>
      </c>
      <c r="H821">
        <f>_xll.BDP("!!03MPGC Mtge","MTG_WAL")</f>
        <v>3.1322999999999999</v>
      </c>
      <c r="I821">
        <f>_xll.BDP("!!03MPGC Mtge","MTG_ORIG_WAL")</f>
        <v>6.8</v>
      </c>
    </row>
    <row r="822" spans="1:9" x14ac:dyDescent="0.25">
      <c r="A822" t="str">
        <f>_xll.BDP("!!03MXJS Mtge","ID_CUSIP")</f>
        <v>3136BWNF9</v>
      </c>
      <c r="B822" t="str">
        <f>_xll.BDP("!!03MXJS Mtge","SECURITY_NAME")</f>
        <v>FNR 2025-56 JA</v>
      </c>
      <c r="C822" t="str">
        <f>_xll.BDP("!!03MXJS Mtge","GENERIC_TICKER_VINTAGE")</f>
        <v>FNCL 6 2025</v>
      </c>
      <c r="D822" t="str">
        <f>_xll.BDP("!!03MXJS Mtge","CRNCY")</f>
        <v>USD</v>
      </c>
      <c r="E822">
        <v>74575000</v>
      </c>
      <c r="F822">
        <f>_xll.BDP("!!03MXJS Mtge","CPN")</f>
        <v>6</v>
      </c>
      <c r="G822">
        <f>_xll.BDP("!!03MXJS Mtge","MTG_FACTOR")</f>
        <v>0.87911881999999997</v>
      </c>
      <c r="H822">
        <f>_xll.BDP("!!03MXJS Mtge","MTG_WAL")</f>
        <v>2.6591</v>
      </c>
      <c r="I822">
        <f>_xll.BDP("!!03MXJS Mtge","MTG_ORIG_WAL")</f>
        <v>5.4903000000000004</v>
      </c>
    </row>
    <row r="823" spans="1:9" x14ac:dyDescent="0.25">
      <c r="A823" t="str">
        <f>_xll.BDP("!!03MYPL Mtge","ID_CUSIP")</f>
        <v>3137HM2P4</v>
      </c>
      <c r="B823" t="str">
        <f>_xll.BDP("!!03MYPL Mtge","SECURITY_NAME")</f>
        <v>FHR 5555 FD</v>
      </c>
      <c r="C823" t="str">
        <f>_xll.BDP("!!03MYPL Mtge","GENERIC_TICKER_VINTAGE")</f>
        <v>FNCL 6 2025</v>
      </c>
      <c r="D823" t="str">
        <f>_xll.BDP("!!03MYPL Mtge","CRNCY")</f>
        <v>USD</v>
      </c>
      <c r="E823">
        <v>125000000</v>
      </c>
      <c r="F823">
        <f>_xll.BDP("!!03MYPL Mtge","CPN")</f>
        <v>5.11721</v>
      </c>
      <c r="G823">
        <f>_xll.BDP("!!03MYPL Mtge","MTG_FACTOR")</f>
        <v>0.92777695999999998</v>
      </c>
      <c r="H823">
        <f>_xll.BDP("!!03MYPL Mtge","MTG_WAL")</f>
        <v>3.2130000000000001</v>
      </c>
      <c r="I823">
        <f>_xll.BDP("!!03MYPL Mtge","MTG_ORIG_WAL")</f>
        <v>6.7</v>
      </c>
    </row>
    <row r="824" spans="1:9" x14ac:dyDescent="0.25">
      <c r="A824" t="str">
        <f>_xll.BDP("!!03MZDQ Mtge","ID_CUSIP")</f>
        <v>3137HLZD7</v>
      </c>
      <c r="B824" t="str">
        <f>_xll.BDP("!!03MZDQ Mtge","SECURITY_NAME")</f>
        <v>FHR 5560 FB</v>
      </c>
      <c r="C824" t="str">
        <f>_xll.BDP("!!03MZDQ Mtge","GENERIC_TICKER_VINTAGE")</f>
        <v>FNCL 6 2025</v>
      </c>
      <c r="D824" t="str">
        <f>_xll.BDP("!!03MZDQ Mtge","CRNCY")</f>
        <v>USD</v>
      </c>
      <c r="E824">
        <v>150000000</v>
      </c>
      <c r="F824">
        <f>_xll.BDP("!!03MZDQ Mtge","CPN")</f>
        <v>4.6672099999999999</v>
      </c>
      <c r="G824">
        <f>_xll.BDP("!!03MZDQ Mtge","MTG_FACTOR")</f>
        <v>0.79721315999999998</v>
      </c>
      <c r="H824">
        <f>_xll.BDP("!!03MZDQ Mtge","MTG_WAL")</f>
        <v>3.1322999999999999</v>
      </c>
      <c r="I824">
        <f>_xll.BDP("!!03MZDQ Mtge","MTG_ORIG_WAL")</f>
        <v>6.9</v>
      </c>
    </row>
    <row r="825" spans="1:9" x14ac:dyDescent="0.25">
      <c r="A825" t="str">
        <f>_xll.BDP("!!03N1J1 Mtge","ID_CUSIP")</f>
        <v>3137HLZL9</v>
      </c>
      <c r="B825" t="str">
        <f>_xll.BDP("!!03N1J1 Mtge","SECURITY_NAME")</f>
        <v>FHR 5555 DA</v>
      </c>
      <c r="C825" t="str">
        <f>_xll.BDP("!!03N1J1 Mtge","GENERIC_TICKER_VINTAGE")</f>
        <v>FNCL 6 2025</v>
      </c>
      <c r="D825" t="str">
        <f>_xll.BDP("!!03N1J1 Mtge","CRNCY")</f>
        <v>USD</v>
      </c>
      <c r="E825">
        <v>37654000</v>
      </c>
      <c r="F825">
        <f>_xll.BDP("!!03N1J1 Mtge","CPN")</f>
        <v>5</v>
      </c>
      <c r="G825">
        <f>_xll.BDP("!!03N1J1 Mtge","MTG_FACTOR")</f>
        <v>0.88012056999999999</v>
      </c>
      <c r="H825">
        <f>_xll.BDP("!!03N1J1 Mtge","MTG_WAL")</f>
        <v>1.5375000000000001</v>
      </c>
      <c r="I825">
        <f>_xll.BDP("!!03N1J1 Mtge","MTG_ORIG_WAL")</f>
        <v>3.3</v>
      </c>
    </row>
    <row r="826" spans="1:9" x14ac:dyDescent="0.25">
      <c r="A826" t="str">
        <f>_xll.BDP("!!03N1J8 Mtge","ID_CUSIP")</f>
        <v>3137HLZP0</v>
      </c>
      <c r="B826" t="str">
        <f>_xll.BDP("!!03N1J8 Mtge","SECURITY_NAME")</f>
        <v>FHR 5555 DG</v>
      </c>
      <c r="C826" t="str">
        <f>_xll.BDP("!!03N1J8 Mtge","GENERIC_TICKER_VINTAGE")</f>
        <v>FNCL 6 2025</v>
      </c>
      <c r="D826" t="str">
        <f>_xll.BDP("!!03N1J8 Mtge","CRNCY")</f>
        <v>USD</v>
      </c>
      <c r="E826">
        <v>43298000</v>
      </c>
      <c r="F826">
        <f>_xll.BDP("!!03N1J8 Mtge","CPN")</f>
        <v>4.5</v>
      </c>
      <c r="G826">
        <f>_xll.BDP("!!03N1J8 Mtge","MTG_FACTOR")</f>
        <v>0.89574715000000005</v>
      </c>
      <c r="H826">
        <f>_xll.BDP("!!03N1J8 Mtge","MTG_WAL")</f>
        <v>1.7894000000000001</v>
      </c>
      <c r="I826">
        <f>_xll.BDP("!!03N1J8 Mtge","MTG_ORIG_WAL")</f>
        <v>3.8</v>
      </c>
    </row>
    <row r="827" spans="1:9" x14ac:dyDescent="0.25">
      <c r="A827" t="str">
        <f>_xll.BDP("!!03N1JL Mtge","ID_CUSIP")</f>
        <v>3137HM2Z2</v>
      </c>
      <c r="B827" t="str">
        <f>_xll.BDP("!!03N1JL Mtge","SECURITY_NAME")</f>
        <v>FHR 5555 VE</v>
      </c>
      <c r="C827" t="str">
        <f>_xll.BDP("!!03N1JL Mtge","GENERIC_TICKER_VINTAGE")</f>
        <v>FNCL 6 2025</v>
      </c>
      <c r="D827" t="str">
        <f>_xll.BDP("!!03N1JL Mtge","CRNCY")</f>
        <v>USD</v>
      </c>
      <c r="E827">
        <v>4994000</v>
      </c>
      <c r="F827">
        <f>_xll.BDP("!!03N1JL Mtge","CPN")</f>
        <v>5</v>
      </c>
      <c r="G827">
        <f>_xll.BDP("!!03N1JL Mtge","MTG_FACTOR")</f>
        <v>0.94749426000000003</v>
      </c>
      <c r="H827">
        <f>_xll.BDP("!!03N1JL Mtge","MTG_WAL")</f>
        <v>3.4218000000000002</v>
      </c>
      <c r="I827">
        <f>_xll.BDP("!!03N1JL Mtge","MTG_ORIG_WAL")</f>
        <v>5.6</v>
      </c>
    </row>
    <row r="828" spans="1:9" x14ac:dyDescent="0.25">
      <c r="A828" t="str">
        <f>_xll.BDP("!!03N1JW Mtge","ID_CUSIP")</f>
        <v>3137HM2H2</v>
      </c>
      <c r="B828" t="str">
        <f>_xll.BDP("!!03N1JW Mtge","SECURITY_NAME")</f>
        <v>FHR 5555 EN</v>
      </c>
      <c r="C828" t="str">
        <f>_xll.BDP("!!03N1JW Mtge","GENERIC_TICKER_VINTAGE")</f>
        <v>FNCL 6 2025</v>
      </c>
      <c r="D828" t="str">
        <f>_xll.BDP("!!03N1JW Mtge","CRNCY")</f>
        <v>USD</v>
      </c>
      <c r="E828">
        <v>14673500</v>
      </c>
      <c r="F828">
        <f>_xll.BDP("!!03N1JW Mtge","CPN")</f>
        <v>5.5</v>
      </c>
      <c r="G828">
        <f>_xll.BDP("!!03N1JW Mtge","MTG_FACTOR")</f>
        <v>0.92316741999999996</v>
      </c>
      <c r="H828">
        <f>_xll.BDP("!!03N1JW Mtge","MTG_WAL")</f>
        <v>1.7176</v>
      </c>
      <c r="I828">
        <f>_xll.BDP("!!03N1JW Mtge","MTG_ORIG_WAL")</f>
        <v>3.7</v>
      </c>
    </row>
    <row r="829" spans="1:9" x14ac:dyDescent="0.25">
      <c r="A829" t="str">
        <f>_xll.BDP("!!03N1K2 Mtge","ID_CUSIP")</f>
        <v>3137HM2C3</v>
      </c>
      <c r="B829" t="str">
        <f>_xll.BDP("!!03N1K2 Mtge","SECURITY_NAME")</f>
        <v>FHR 5555 EI</v>
      </c>
      <c r="C829" t="str">
        <f>_xll.BDP("!!03N1K2 Mtge","GENERIC_TICKER_VINTAGE")</f>
        <v>FNCL 6 2025</v>
      </c>
      <c r="D829" t="str">
        <f>_xll.BDP("!!03N1K2 Mtge","CRNCY")</f>
        <v>USD</v>
      </c>
      <c r="E829">
        <v>2139583</v>
      </c>
      <c r="F829">
        <f>_xll.BDP("!!03N1K2 Mtge","CPN")</f>
        <v>6</v>
      </c>
      <c r="G829">
        <f>_xll.BDP("!!03N1K2 Mtge","MTG_FACTOR")</f>
        <v>0.91217893999999999</v>
      </c>
      <c r="H829">
        <f>_xll.BDP("!!03N1K2 Mtge","MTG_WAL")</f>
        <v>1.4681999999999999</v>
      </c>
      <c r="I829">
        <f>_xll.BDP("!!03N1K2 Mtge","MTG_ORIG_WAL")</f>
        <v>3.2</v>
      </c>
    </row>
    <row r="830" spans="1:9" x14ac:dyDescent="0.25">
      <c r="A830" t="str">
        <f>_xll.BDP("!!03N3BN Mtge","ID_CUSIP")</f>
        <v>3137HLYT3</v>
      </c>
      <c r="B830" t="str">
        <f>_xll.BDP("!!03N3BN Mtge","SECURITY_NAME")</f>
        <v>FHR 5562 PL</v>
      </c>
      <c r="C830" t="str">
        <f>_xll.BDP("!!03N3BN Mtge","GENERIC_TICKER_VINTAGE")</f>
        <v>FNCL 6 2025</v>
      </c>
      <c r="D830" t="str">
        <f>_xll.BDP("!!03N3BN Mtge","CRNCY")</f>
        <v>USD</v>
      </c>
      <c r="E830">
        <v>9995552</v>
      </c>
      <c r="F830">
        <f>_xll.BDP("!!03N3BN Mtge","CPN")</f>
        <v>5</v>
      </c>
      <c r="G830">
        <f>_xll.BDP("!!03N3BN Mtge","MTG_FACTOR")</f>
        <v>1</v>
      </c>
      <c r="H830">
        <f>_xll.BDP("!!03N3BN Mtge","MTG_WAL")</f>
        <v>8.7728999999999999</v>
      </c>
      <c r="I830">
        <f>_xll.BDP("!!03N3BN Mtge","MTG_ORIG_WAL")</f>
        <v>15.9</v>
      </c>
    </row>
    <row r="831" spans="1:9" x14ac:dyDescent="0.25">
      <c r="A831" t="str">
        <f>_xll.BDP("!!03N3BP Mtge","ID_CUSIP")</f>
        <v>3137HLYN6</v>
      </c>
      <c r="B831" t="str">
        <f>_xll.BDP("!!03N3BP Mtge","SECURITY_NAME")</f>
        <v>FHR 5562 PF</v>
      </c>
      <c r="C831" t="str">
        <f>_xll.BDP("!!03N3BP Mtge","GENERIC_TICKER_VINTAGE")</f>
        <v>FNCL 6 2025</v>
      </c>
      <c r="D831" t="str">
        <f>_xll.BDP("!!03N3BP Mtge","CRNCY")</f>
        <v>USD</v>
      </c>
      <c r="E831">
        <v>75816552</v>
      </c>
      <c r="F831">
        <f>_xll.BDP("!!03N3BP Mtge","CPN")</f>
        <v>4.7172099999999997</v>
      </c>
      <c r="G831">
        <f>_xll.BDP("!!03N3BP Mtge","MTG_FACTOR")</f>
        <v>0.96733733</v>
      </c>
      <c r="H831">
        <f>_xll.BDP("!!03N3BP Mtge","MTG_WAL")</f>
        <v>3.4138999999999999</v>
      </c>
      <c r="I831">
        <f>_xll.BDP("!!03N3BP Mtge","MTG_ORIG_WAL")</f>
        <v>6.4</v>
      </c>
    </row>
    <row r="832" spans="1:9" x14ac:dyDescent="0.25">
      <c r="A832" t="str">
        <f>_xll.BDP("!!03N3BT Mtge","ID_CUSIP")</f>
        <v>3137HLYH9</v>
      </c>
      <c r="B832" t="str">
        <f>_xll.BDP("!!03N3BT Mtge","SECURITY_NAME")</f>
        <v>FHR 5562 PA</v>
      </c>
      <c r="C832" t="str">
        <f>_xll.BDP("!!03N3BT Mtge","GENERIC_TICKER_VINTAGE")</f>
        <v>FNCL 6 2025</v>
      </c>
      <c r="D832" t="str">
        <f>_xll.BDP("!!03N3BT Mtge","CRNCY")</f>
        <v>USD</v>
      </c>
      <c r="E832">
        <v>65821000</v>
      </c>
      <c r="F832">
        <f>_xll.BDP("!!03N3BT Mtge","CPN")</f>
        <v>4</v>
      </c>
      <c r="G832">
        <f>_xll.BDP("!!03N3BT Mtge","MTG_FACTOR")</f>
        <v>0.96237718999999999</v>
      </c>
      <c r="H832">
        <f>_xll.BDP("!!03N3BT Mtge","MTG_WAL")</f>
        <v>2.5884</v>
      </c>
      <c r="I832">
        <f>_xll.BDP("!!03N3BT Mtge","MTG_ORIG_WAL")</f>
        <v>4.9000000000000004</v>
      </c>
    </row>
    <row r="833" spans="1:9" x14ac:dyDescent="0.25">
      <c r="A833" t="str">
        <f>_xll.BDP("!!03N3BV Mtge","ID_CUSIP")</f>
        <v>3137HLYJ5</v>
      </c>
      <c r="B833" t="str">
        <f>_xll.BDP("!!03N3BV Mtge","SECURITY_NAME")</f>
        <v>FHR 5562 PB</v>
      </c>
      <c r="C833" t="str">
        <f>_xll.BDP("!!03N3BV Mtge","GENERIC_TICKER_VINTAGE")</f>
        <v>FNCL 6 2025</v>
      </c>
      <c r="D833" t="str">
        <f>_xll.BDP("!!03N3BV Mtge","CRNCY")</f>
        <v>USD</v>
      </c>
      <c r="E833">
        <v>65821000</v>
      </c>
      <c r="F833">
        <f>_xll.BDP("!!03N3BV Mtge","CPN")</f>
        <v>4.25</v>
      </c>
      <c r="G833">
        <f>_xll.BDP("!!03N3BV Mtge","MTG_FACTOR")</f>
        <v>0.96237718999999999</v>
      </c>
      <c r="H833">
        <f>_xll.BDP("!!03N3BV Mtge","MTG_WAL")</f>
        <v>2.5884</v>
      </c>
      <c r="I833">
        <f>_xll.BDP("!!03N3BV Mtge","MTG_ORIG_WAL")</f>
        <v>4.9000000000000004</v>
      </c>
    </row>
    <row r="834" spans="1:9" x14ac:dyDescent="0.25">
      <c r="A834" t="str">
        <f>_xll.BDP("!!03N3BW Mtge","ID_CUSIP")</f>
        <v>3137HLYK2</v>
      </c>
      <c r="B834" t="str">
        <f>_xll.BDP("!!03N3BW Mtge","SECURITY_NAME")</f>
        <v>FHR 5562 PC</v>
      </c>
      <c r="C834" t="str">
        <f>_xll.BDP("!!03N3BW Mtge","GENERIC_TICKER_VINTAGE")</f>
        <v>FNCL 6 2025</v>
      </c>
      <c r="D834" t="str">
        <f>_xll.BDP("!!03N3BW Mtge","CRNCY")</f>
        <v>USD</v>
      </c>
      <c r="E834">
        <v>65821000</v>
      </c>
      <c r="F834">
        <f>_xll.BDP("!!03N3BW Mtge","CPN")</f>
        <v>4.5</v>
      </c>
      <c r="G834">
        <f>_xll.BDP("!!03N3BW Mtge","MTG_FACTOR")</f>
        <v>0.96237718999999999</v>
      </c>
      <c r="H834">
        <f>_xll.BDP("!!03N3BW Mtge","MTG_WAL")</f>
        <v>2.5884</v>
      </c>
      <c r="I834">
        <f>_xll.BDP("!!03N3BW Mtge","MTG_ORIG_WAL")</f>
        <v>4.9000000000000004</v>
      </c>
    </row>
    <row r="835" spans="1:9" x14ac:dyDescent="0.25">
      <c r="A835" t="str">
        <f>_xll.BDP("!!03N3BX Mtge","ID_CUSIP")</f>
        <v>3137HLYL0</v>
      </c>
      <c r="B835" t="str">
        <f>_xll.BDP("!!03N3BX Mtge","SECURITY_NAME")</f>
        <v>FHR 5562 PD</v>
      </c>
      <c r="C835" t="str">
        <f>_xll.BDP("!!03N3BX Mtge","GENERIC_TICKER_VINTAGE")</f>
        <v>FNCL 6 2025</v>
      </c>
      <c r="D835" t="str">
        <f>_xll.BDP("!!03N3BX Mtge","CRNCY")</f>
        <v>USD</v>
      </c>
      <c r="E835">
        <v>65821000</v>
      </c>
      <c r="F835">
        <f>_xll.BDP("!!03N3BX Mtge","CPN")</f>
        <v>4.75</v>
      </c>
      <c r="G835">
        <f>_xll.BDP("!!03N3BX Mtge","MTG_FACTOR")</f>
        <v>0.96237718999999999</v>
      </c>
      <c r="H835">
        <f>_xll.BDP("!!03N3BX Mtge","MTG_WAL")</f>
        <v>2.5884</v>
      </c>
      <c r="I835">
        <f>_xll.BDP("!!03N3BX Mtge","MTG_ORIG_WAL")</f>
        <v>4.9000000000000004</v>
      </c>
    </row>
    <row r="836" spans="1:9" x14ac:dyDescent="0.25">
      <c r="A836" t="str">
        <f>_xll.BDP("!!03N3BY Mtge","ID_CUSIP")</f>
        <v>3137HLYM8</v>
      </c>
      <c r="B836" t="str">
        <f>_xll.BDP("!!03N3BY Mtge","SECURITY_NAME")</f>
        <v>FHR 5562 PE</v>
      </c>
      <c r="C836" t="str">
        <f>_xll.BDP("!!03N3BY Mtge","GENERIC_TICKER_VINTAGE")</f>
        <v>FNCL 6 2025</v>
      </c>
      <c r="D836" t="str">
        <f>_xll.BDP("!!03N3BY Mtge","CRNCY")</f>
        <v>USD</v>
      </c>
      <c r="E836">
        <v>65821000</v>
      </c>
      <c r="F836">
        <f>_xll.BDP("!!03N3BY Mtge","CPN")</f>
        <v>5</v>
      </c>
      <c r="G836">
        <f>_xll.BDP("!!03N3BY Mtge","MTG_FACTOR")</f>
        <v>0.96237718999999999</v>
      </c>
      <c r="H836">
        <f>_xll.BDP("!!03N3BY Mtge","MTG_WAL")</f>
        <v>2.5884</v>
      </c>
      <c r="I836">
        <f>_xll.BDP("!!03N3BY Mtge","MTG_ORIG_WAL")</f>
        <v>4.9000000000000004</v>
      </c>
    </row>
    <row r="837" spans="1:9" x14ac:dyDescent="0.25">
      <c r="A837" t="str">
        <f>_xll.BDP("!!03N3BZ Mtge","ID_CUSIP")</f>
        <v>3137HLYP1</v>
      </c>
      <c r="B837" t="str">
        <f>_xll.BDP("!!03N3BZ Mtge","SECURITY_NAME")</f>
        <v>FHR 5562 PG</v>
      </c>
      <c r="C837" t="str">
        <f>_xll.BDP("!!03N3BZ Mtge","GENERIC_TICKER_VINTAGE")</f>
        <v>FNCL 6 2025</v>
      </c>
      <c r="D837" t="str">
        <f>_xll.BDP("!!03N3BZ Mtge","CRNCY")</f>
        <v>USD</v>
      </c>
      <c r="E837">
        <v>52656800</v>
      </c>
      <c r="F837">
        <f>_xll.BDP("!!03N3BZ Mtge","CPN")</f>
        <v>5.25</v>
      </c>
      <c r="G837">
        <f>_xll.BDP("!!03N3BZ Mtge","MTG_FACTOR")</f>
        <v>0.96237718999999999</v>
      </c>
      <c r="H837">
        <f>_xll.BDP("!!03N3BZ Mtge","MTG_WAL")</f>
        <v>2.5884</v>
      </c>
      <c r="I837">
        <f>_xll.BDP("!!03N3BZ Mtge","MTG_ORIG_WAL")</f>
        <v>4.9000000000000004</v>
      </c>
    </row>
    <row r="838" spans="1:9" x14ac:dyDescent="0.25">
      <c r="A838" t="str">
        <f>_xll.BDP("!!03N3C0 Mtge","ID_CUSIP")</f>
        <v>3137HLYQ9</v>
      </c>
      <c r="B838" t="str">
        <f>_xll.BDP("!!03N3C0 Mtge","SECURITY_NAME")</f>
        <v>FHR 5562 PH</v>
      </c>
      <c r="C838" t="str">
        <f>_xll.BDP("!!03N3C0 Mtge","GENERIC_TICKER_VINTAGE")</f>
        <v>FNCL 6 2025</v>
      </c>
      <c r="D838" t="str">
        <f>_xll.BDP("!!03N3C0 Mtge","CRNCY")</f>
        <v>USD</v>
      </c>
      <c r="E838">
        <v>43880666</v>
      </c>
      <c r="F838">
        <f>_xll.BDP("!!03N3C0 Mtge","CPN")</f>
        <v>5.5</v>
      </c>
      <c r="G838">
        <f>_xll.BDP("!!03N3C0 Mtge","MTG_FACTOR")</f>
        <v>0.96237718999999999</v>
      </c>
      <c r="H838">
        <f>_xll.BDP("!!03N3C0 Mtge","MTG_WAL")</f>
        <v>2.5884</v>
      </c>
      <c r="I838">
        <f>_xll.BDP("!!03N3C0 Mtge","MTG_ORIG_WAL")</f>
        <v>4.9000000000000004</v>
      </c>
    </row>
    <row r="839" spans="1:9" x14ac:dyDescent="0.25">
      <c r="A839" t="str">
        <f>_xll.BDP("!!03N3C1 Mtge","ID_CUSIP")</f>
        <v>3137HLYR7</v>
      </c>
      <c r="B839" t="str">
        <f>_xll.BDP("!!03N3C1 Mtge","SECURITY_NAME")</f>
        <v>FHR 5562 PJ</v>
      </c>
      <c r="C839" t="str">
        <f>_xll.BDP("!!03N3C1 Mtge","GENERIC_TICKER_VINTAGE")</f>
        <v>FNCL 6 2025</v>
      </c>
      <c r="D839" t="str">
        <f>_xll.BDP("!!03N3C1 Mtge","CRNCY")</f>
        <v>USD</v>
      </c>
      <c r="E839">
        <v>37612000</v>
      </c>
      <c r="F839">
        <f>_xll.BDP("!!03N3C1 Mtge","CPN")</f>
        <v>5.75</v>
      </c>
      <c r="G839">
        <f>_xll.BDP("!!03N3C1 Mtge","MTG_FACTOR")</f>
        <v>0.96237718999999999</v>
      </c>
      <c r="H839">
        <f>_xll.BDP("!!03N3C1 Mtge","MTG_WAL")</f>
        <v>2.5884</v>
      </c>
      <c r="I839">
        <f>_xll.BDP("!!03N3C1 Mtge","MTG_ORIG_WAL")</f>
        <v>4.9000000000000004</v>
      </c>
    </row>
    <row r="840" spans="1:9" x14ac:dyDescent="0.25">
      <c r="A840" t="str">
        <f>_xll.BDP("!!03N3C2 Mtge","ID_CUSIP")</f>
        <v>3137HLYS5</v>
      </c>
      <c r="B840" t="str">
        <f>_xll.BDP("!!03N3C2 Mtge","SECURITY_NAME")</f>
        <v>FHR 5562 PK</v>
      </c>
      <c r="C840" t="str">
        <f>_xll.BDP("!!03N3C2 Mtge","GENERIC_TICKER_VINTAGE")</f>
        <v>FNCL 6 2025</v>
      </c>
      <c r="D840" t="str">
        <f>_xll.BDP("!!03N3C2 Mtge","CRNCY")</f>
        <v>USD</v>
      </c>
      <c r="E840">
        <v>32910500</v>
      </c>
      <c r="F840">
        <f>_xll.BDP("!!03N3C2 Mtge","CPN")</f>
        <v>6</v>
      </c>
      <c r="G840">
        <f>_xll.BDP("!!03N3C2 Mtge","MTG_FACTOR")</f>
        <v>0.96237718999999999</v>
      </c>
      <c r="H840">
        <f>_xll.BDP("!!03N3C2 Mtge","MTG_WAL")</f>
        <v>2.5884</v>
      </c>
      <c r="I840">
        <f>_xll.BDP("!!03N3C2 Mtge","MTG_ORIG_WAL")</f>
        <v>4.9000000000000004</v>
      </c>
    </row>
    <row r="841" spans="1:9" x14ac:dyDescent="0.25">
      <c r="A841" t="str">
        <f>_xll.BDP("!!03N3C5 Mtge","ID_CUSIP")</f>
        <v>3137HLY89</v>
      </c>
      <c r="B841" t="str">
        <f>_xll.BDP("!!03N3C5 Mtge","SECURITY_NAME")</f>
        <v>FHR 5562 BP</v>
      </c>
      <c r="C841" t="str">
        <f>_xll.BDP("!!03N3C5 Mtge","GENERIC_TICKER_VINTAGE")</f>
        <v>FNCL 6 2025</v>
      </c>
      <c r="D841" t="str">
        <f>_xll.BDP("!!03N3C5 Mtge","CRNCY")</f>
        <v>USD</v>
      </c>
      <c r="E841">
        <v>75816552</v>
      </c>
      <c r="F841">
        <f>_xll.BDP("!!03N3C5 Mtge","CPN")</f>
        <v>4.25</v>
      </c>
      <c r="G841">
        <f>_xll.BDP("!!03N3C5 Mtge","MTG_FACTOR")</f>
        <v>0.96733733</v>
      </c>
      <c r="H841">
        <f>_xll.BDP("!!03N3C5 Mtge","MTG_WAL")</f>
        <v>3.4312999999999998</v>
      </c>
      <c r="I841">
        <f>_xll.BDP("!!03N3C5 Mtge","MTG_ORIG_WAL")</f>
        <v>6.4</v>
      </c>
    </row>
    <row r="842" spans="1:9" x14ac:dyDescent="0.25">
      <c r="A842" t="str">
        <f>_xll.BDP("!!03N3C6 Mtge","ID_CUSIP")</f>
        <v>3137HLY97</v>
      </c>
      <c r="B842" t="str">
        <f>_xll.BDP("!!03N3C6 Mtge","SECURITY_NAME")</f>
        <v>FHR 5562 CP</v>
      </c>
      <c r="C842" t="str">
        <f>_xll.BDP("!!03N3C6 Mtge","GENERIC_TICKER_VINTAGE")</f>
        <v>FNCL 6 2025</v>
      </c>
      <c r="D842" t="str">
        <f>_xll.BDP("!!03N3C6 Mtge","CRNCY")</f>
        <v>USD</v>
      </c>
      <c r="E842">
        <v>75816552</v>
      </c>
      <c r="F842">
        <f>_xll.BDP("!!03N3C6 Mtge","CPN")</f>
        <v>4.5</v>
      </c>
      <c r="G842">
        <f>_xll.BDP("!!03N3C6 Mtge","MTG_FACTOR")</f>
        <v>0.96733733</v>
      </c>
      <c r="H842">
        <f>_xll.BDP("!!03N3C6 Mtge","MTG_WAL")</f>
        <v>3.4312999999999998</v>
      </c>
      <c r="I842">
        <f>_xll.BDP("!!03N3C6 Mtge","MTG_ORIG_WAL")</f>
        <v>6.4</v>
      </c>
    </row>
    <row r="843" spans="1:9" x14ac:dyDescent="0.25">
      <c r="A843" t="str">
        <f>_xll.BDP("!!03N3C7 Mtge","ID_CUSIP")</f>
        <v>3137HLYA4</v>
      </c>
      <c r="B843" t="str">
        <f>_xll.BDP("!!03N3C7 Mtge","SECURITY_NAME")</f>
        <v>FHR 5562 DP</v>
      </c>
      <c r="C843" t="str">
        <f>_xll.BDP("!!03N3C7 Mtge","GENERIC_TICKER_VINTAGE")</f>
        <v>FNCL 6 2025</v>
      </c>
      <c r="D843" t="str">
        <f>_xll.BDP("!!03N3C7 Mtge","CRNCY")</f>
        <v>USD</v>
      </c>
      <c r="E843">
        <v>75816552</v>
      </c>
      <c r="F843">
        <f>_xll.BDP("!!03N3C7 Mtge","CPN")</f>
        <v>4.75</v>
      </c>
      <c r="G843">
        <f>_xll.BDP("!!03N3C7 Mtge","MTG_FACTOR")</f>
        <v>0.96733733</v>
      </c>
      <c r="H843">
        <f>_xll.BDP("!!03N3C7 Mtge","MTG_WAL")</f>
        <v>3.4312999999999998</v>
      </c>
      <c r="I843">
        <f>_xll.BDP("!!03N3C7 Mtge","MTG_ORIG_WAL")</f>
        <v>6.4</v>
      </c>
    </row>
    <row r="844" spans="1:9" x14ac:dyDescent="0.25">
      <c r="A844" t="str">
        <f>_xll.BDP("!!03N3C8 Mtge","ID_CUSIP")</f>
        <v>3137HLYB2</v>
      </c>
      <c r="B844" t="str">
        <f>_xll.BDP("!!03N3C8 Mtge","SECURITY_NAME")</f>
        <v>FHR 5562 EP</v>
      </c>
      <c r="C844" t="str">
        <f>_xll.BDP("!!03N3C8 Mtge","GENERIC_TICKER_VINTAGE")</f>
        <v>FNCL 6 2025</v>
      </c>
      <c r="D844" t="str">
        <f>_xll.BDP("!!03N3C8 Mtge","CRNCY")</f>
        <v>USD</v>
      </c>
      <c r="E844">
        <v>75816552</v>
      </c>
      <c r="F844">
        <f>_xll.BDP("!!03N3C8 Mtge","CPN")</f>
        <v>5</v>
      </c>
      <c r="G844">
        <f>_xll.BDP("!!03N3C8 Mtge","MTG_FACTOR")</f>
        <v>0.96733733</v>
      </c>
      <c r="H844">
        <f>_xll.BDP("!!03N3C8 Mtge","MTG_WAL")</f>
        <v>3.4312999999999998</v>
      </c>
      <c r="I844">
        <f>_xll.BDP("!!03N3C8 Mtge","MTG_ORIG_WAL")</f>
        <v>6.4</v>
      </c>
    </row>
    <row r="845" spans="1:9" x14ac:dyDescent="0.25">
      <c r="A845" t="str">
        <f>_xll.BDP("!!03N3C9 Mtge","ID_CUSIP")</f>
        <v>3137HLYC0</v>
      </c>
      <c r="B845" t="str">
        <f>_xll.BDP("!!03N3C9 Mtge","SECURITY_NAME")</f>
        <v>FHR 5562 GP</v>
      </c>
      <c r="C845" t="str">
        <f>_xll.BDP("!!03N3C9 Mtge","GENERIC_TICKER_VINTAGE")</f>
        <v>FNCL 6 2025</v>
      </c>
      <c r="D845" t="str">
        <f>_xll.BDP("!!03N3C9 Mtge","CRNCY")</f>
        <v>USD</v>
      </c>
      <c r="E845">
        <v>60653241</v>
      </c>
      <c r="F845">
        <f>_xll.BDP("!!03N3C9 Mtge","CPN")</f>
        <v>5.25</v>
      </c>
      <c r="G845">
        <f>_xll.BDP("!!03N3C9 Mtge","MTG_FACTOR")</f>
        <v>0.96733733</v>
      </c>
      <c r="H845">
        <f>_xll.BDP("!!03N3C9 Mtge","MTG_WAL")</f>
        <v>3.4312999999999998</v>
      </c>
      <c r="I845">
        <f>_xll.BDP("!!03N3C9 Mtge","MTG_ORIG_WAL")</f>
        <v>6.4</v>
      </c>
    </row>
    <row r="846" spans="1:9" x14ac:dyDescent="0.25">
      <c r="A846" t="str">
        <f>_xll.BDP("!!03N3CB Mtge","ID_CUSIP")</f>
        <v>3137HLYD8</v>
      </c>
      <c r="B846" t="str">
        <f>_xll.BDP("!!03N3CB Mtge","SECURITY_NAME")</f>
        <v>FHR 5562 HP</v>
      </c>
      <c r="C846" t="str">
        <f>_xll.BDP("!!03N3CB Mtge","GENERIC_TICKER_VINTAGE")</f>
        <v>FNCL 6 2025</v>
      </c>
      <c r="D846" t="str">
        <f>_xll.BDP("!!03N3CB Mtge","CRNCY")</f>
        <v>USD</v>
      </c>
      <c r="E846">
        <v>50544368</v>
      </c>
      <c r="F846">
        <f>_xll.BDP("!!03N3CB Mtge","CPN")</f>
        <v>5.5</v>
      </c>
      <c r="G846">
        <f>_xll.BDP("!!03N3CB Mtge","MTG_FACTOR")</f>
        <v>0.96733733</v>
      </c>
      <c r="H846">
        <f>_xll.BDP("!!03N3CB Mtge","MTG_WAL")</f>
        <v>3.4312999999999998</v>
      </c>
      <c r="I846">
        <f>_xll.BDP("!!03N3CB Mtge","MTG_ORIG_WAL")</f>
        <v>6.4</v>
      </c>
    </row>
    <row r="847" spans="1:9" x14ac:dyDescent="0.25">
      <c r="A847" t="str">
        <f>_xll.BDP("!!03N3CC Mtge","ID_CUSIP")</f>
        <v>3137HLYE6</v>
      </c>
      <c r="B847" t="str">
        <f>_xll.BDP("!!03N3CC Mtge","SECURITY_NAME")</f>
        <v>FHR 5562 JP</v>
      </c>
      <c r="C847" t="str">
        <f>_xll.BDP("!!03N3CC Mtge","GENERIC_TICKER_VINTAGE")</f>
        <v>FNCL 6 2025</v>
      </c>
      <c r="D847" t="str">
        <f>_xll.BDP("!!03N3CC Mtge","CRNCY")</f>
        <v>USD</v>
      </c>
      <c r="E847">
        <v>43323744</v>
      </c>
      <c r="F847">
        <f>_xll.BDP("!!03N3CC Mtge","CPN")</f>
        <v>5.75</v>
      </c>
      <c r="G847">
        <f>_xll.BDP("!!03N3CC Mtge","MTG_FACTOR")</f>
        <v>0.96733733</v>
      </c>
      <c r="H847">
        <f>_xll.BDP("!!03N3CC Mtge","MTG_WAL")</f>
        <v>3.4312999999999998</v>
      </c>
      <c r="I847">
        <f>_xll.BDP("!!03N3CC Mtge","MTG_ORIG_WAL")</f>
        <v>6.4</v>
      </c>
    </row>
    <row r="848" spans="1:9" x14ac:dyDescent="0.25">
      <c r="A848" t="str">
        <f>_xll.BDP("!!03N3CD Mtge","ID_CUSIP")</f>
        <v>3137HLYF3</v>
      </c>
      <c r="B848" t="str">
        <f>_xll.BDP("!!03N3CD Mtge","SECURITY_NAME")</f>
        <v>FHR 5562 KP</v>
      </c>
      <c r="C848" t="str">
        <f>_xll.BDP("!!03N3CD Mtge","GENERIC_TICKER_VINTAGE")</f>
        <v>FNCL 6 2025</v>
      </c>
      <c r="D848" t="str">
        <f>_xll.BDP("!!03N3CD Mtge","CRNCY")</f>
        <v>USD</v>
      </c>
      <c r="E848">
        <v>37908276</v>
      </c>
      <c r="F848">
        <f>_xll.BDP("!!03N3CD Mtge","CPN")</f>
        <v>6</v>
      </c>
      <c r="G848">
        <f>_xll.BDP("!!03N3CD Mtge","MTG_FACTOR")</f>
        <v>0.96733733</v>
      </c>
      <c r="H848">
        <f>_xll.BDP("!!03N3CD Mtge","MTG_WAL")</f>
        <v>3.4312999999999998</v>
      </c>
      <c r="I848">
        <f>_xll.BDP("!!03N3CD Mtge","MTG_ORIG_WAL")</f>
        <v>6.4</v>
      </c>
    </row>
    <row r="849" spans="1:9" x14ac:dyDescent="0.25">
      <c r="A849" t="str">
        <f>_xll.BDP("!!03N5D6 Mtge","ID_CUSIP")</f>
        <v>3137HM5P1</v>
      </c>
      <c r="B849" t="str">
        <f>_xll.BDP("!!03N5D6 Mtge","SECURITY_NAME")</f>
        <v>FHR 5561 EQ</v>
      </c>
      <c r="C849" t="str">
        <f>_xll.BDP("!!03N5D6 Mtge","GENERIC_TICKER_VINTAGE")</f>
        <v>FNCL 6 2025</v>
      </c>
      <c r="D849" t="str">
        <f>_xll.BDP("!!03N5D6 Mtge","CRNCY")</f>
        <v>USD</v>
      </c>
      <c r="E849">
        <v>14349478</v>
      </c>
      <c r="F849">
        <f>_xll.BDP("!!03N5D6 Mtge","CPN")</f>
        <v>10.8279</v>
      </c>
      <c r="G849">
        <f>_xll.BDP("!!03N5D6 Mtge","MTG_FACTOR")</f>
        <v>0.72849684000000003</v>
      </c>
      <c r="H849">
        <f>_xll.BDP("!!03N5D6 Mtge","MTG_WAL")</f>
        <v>3.0367000000000002</v>
      </c>
      <c r="I849">
        <f>_xll.BDP("!!03N5D6 Mtge","MTG_ORIG_WAL")</f>
        <v>6.6</v>
      </c>
    </row>
    <row r="850" spans="1:9" x14ac:dyDescent="0.25">
      <c r="A850" t="str">
        <f>_xll.BDP("!!03N5D8 Mtge","ID_CUSIP")</f>
        <v>3137HMA42</v>
      </c>
      <c r="B850" t="str">
        <f>_xll.BDP("!!03N5D8 Mtge","SECURITY_NAME")</f>
        <v>FHR 5561 WQ</v>
      </c>
      <c r="C850" t="str">
        <f>_xll.BDP("!!03N5D8 Mtge","GENERIC_TICKER_VINTAGE")</f>
        <v>FNCL 6 2025</v>
      </c>
      <c r="D850" t="str">
        <f>_xll.BDP("!!03N5D8 Mtge","CRNCY")</f>
        <v>USD</v>
      </c>
      <c r="E850">
        <v>19010686</v>
      </c>
      <c r="F850">
        <f>_xll.BDP("!!03N5D8 Mtge","CPN")</f>
        <v>9.8278999999999996</v>
      </c>
      <c r="G850">
        <f>_xll.BDP("!!03N5D8 Mtge","MTG_FACTOR")</f>
        <v>0.74066622999999998</v>
      </c>
      <c r="H850">
        <f>_xll.BDP("!!03N5D8 Mtge","MTG_WAL")</f>
        <v>2.9415</v>
      </c>
      <c r="I850">
        <f>_xll.BDP("!!03N5D8 Mtge","MTG_ORIG_WAL")</f>
        <v>6.5</v>
      </c>
    </row>
    <row r="851" spans="1:9" x14ac:dyDescent="0.25">
      <c r="A851" t="str">
        <f>_xll.BDP("!!03N5DS Mtge","ID_CUSIP")</f>
        <v>3137HM7B0</v>
      </c>
      <c r="B851" t="str">
        <f>_xll.BDP("!!03N5DS Mtge","SECURITY_NAME")</f>
        <v>FHR 5561 NQ</v>
      </c>
      <c r="C851" t="str">
        <f>_xll.BDP("!!03N5DS Mtge","GENERIC_TICKER_VINTAGE")</f>
        <v>FNCL 6 2025</v>
      </c>
      <c r="D851" t="str">
        <f>_xll.BDP("!!03N5DS Mtge","CRNCY")</f>
        <v>USD</v>
      </c>
      <c r="E851">
        <v>4923773</v>
      </c>
      <c r="F851">
        <f>_xll.BDP("!!03N5DS Mtge","CPN")</f>
        <v>9.3278999999999996</v>
      </c>
      <c r="G851">
        <f>_xll.BDP("!!03N5DS Mtge","MTG_FACTOR")</f>
        <v>0.76909846000000004</v>
      </c>
      <c r="H851">
        <f>_xll.BDP("!!03N5DS Mtge","MTG_WAL")</f>
        <v>3.0621999999999998</v>
      </c>
      <c r="I851">
        <f>_xll.BDP("!!03N5DS Mtge","MTG_ORIG_WAL")</f>
        <v>6.7</v>
      </c>
    </row>
    <row r="852" spans="1:9" x14ac:dyDescent="0.25">
      <c r="A852" t="str">
        <f>_xll.BDP("!!03N5DT Mtge","ID_CUSIP")</f>
        <v>3137HM7C8</v>
      </c>
      <c r="B852" t="str">
        <f>_xll.BDP("!!03N5DT Mtge","SECURITY_NAME")</f>
        <v>FHR 5561 NS</v>
      </c>
      <c r="C852" t="str">
        <f>_xll.BDP("!!03N5DT Mtge","GENERIC_TICKER_VINTAGE")</f>
        <v>FNCL 6 2025</v>
      </c>
      <c r="D852" t="str">
        <f>_xll.BDP("!!03N5DT Mtge","CRNCY")</f>
        <v>USD</v>
      </c>
      <c r="E852">
        <v>49237738</v>
      </c>
      <c r="F852">
        <f>_xll.BDP("!!03N5DT Mtge","CPN")</f>
        <v>0.93279000000000001</v>
      </c>
      <c r="G852">
        <f>_xll.BDP("!!03N5DT Mtge","MTG_FACTOR")</f>
        <v>0.76909846000000004</v>
      </c>
      <c r="H852">
        <f>_xll.BDP("!!03N5DT Mtge","MTG_WAL")</f>
        <v>3.0621999999999998</v>
      </c>
      <c r="I852">
        <f>_xll.BDP("!!03N5DT Mtge","MTG_ORIG_WAL")</f>
        <v>6.7</v>
      </c>
    </row>
    <row r="853" spans="1:9" x14ac:dyDescent="0.25">
      <c r="A853" t="str">
        <f>_xll.BDP("!!03N5DV Mtge","ID_CUSIP")</f>
        <v>3137HM7D6</v>
      </c>
      <c r="B853" t="str">
        <f>_xll.BDP("!!03N5DV Mtge","SECURITY_NAME")</f>
        <v>FHR 5561 PQ</v>
      </c>
      <c r="C853" t="str">
        <f>_xll.BDP("!!03N5DV Mtge","GENERIC_TICKER_VINTAGE")</f>
        <v>FNCL 6 2025</v>
      </c>
      <c r="D853" t="str">
        <f>_xll.BDP("!!03N5DV Mtge","CRNCY")</f>
        <v>USD</v>
      </c>
      <c r="E853">
        <v>4923773</v>
      </c>
      <c r="F853">
        <f>_xll.BDP("!!03N5DV Mtge","CPN")</f>
        <v>11.3279</v>
      </c>
      <c r="G853">
        <f>_xll.BDP("!!03N5DV Mtge","MTG_FACTOR")</f>
        <v>0.76909846000000004</v>
      </c>
      <c r="H853">
        <f>_xll.BDP("!!03N5DV Mtge","MTG_WAL")</f>
        <v>3.0621999999999998</v>
      </c>
      <c r="I853">
        <f>_xll.BDP("!!03N5DV Mtge","MTG_ORIG_WAL")</f>
        <v>6.7</v>
      </c>
    </row>
    <row r="854" spans="1:9" x14ac:dyDescent="0.25">
      <c r="A854" t="str">
        <f>_xll.BDP("!!03N5DX Mtge","ID_CUSIP")</f>
        <v>3137HM7J3</v>
      </c>
      <c r="B854" t="str">
        <f>_xll.BDP("!!03N5DX Mtge","SECURITY_NAME")</f>
        <v>FHR 5561 TQ</v>
      </c>
      <c r="C854" t="str">
        <f>_xll.BDP("!!03N5DX Mtge","GENERIC_TICKER_VINTAGE")</f>
        <v>FNCL 6 2025</v>
      </c>
      <c r="D854" t="str">
        <f>_xll.BDP("!!03N5DX Mtge","CRNCY")</f>
        <v>USD</v>
      </c>
      <c r="E854">
        <v>14771321</v>
      </c>
      <c r="F854">
        <f>_xll.BDP("!!03N5DX Mtge","CPN")</f>
        <v>7.8278999999999996</v>
      </c>
      <c r="G854">
        <f>_xll.BDP("!!03N5DX Mtge","MTG_FACTOR")</f>
        <v>0.76909846000000004</v>
      </c>
      <c r="H854">
        <f>_xll.BDP("!!03N5DX Mtge","MTG_WAL")</f>
        <v>3.1212</v>
      </c>
      <c r="I854">
        <f>_xll.BDP("!!03N5DX Mtge","MTG_ORIG_WAL")</f>
        <v>6.7</v>
      </c>
    </row>
    <row r="855" spans="1:9" x14ac:dyDescent="0.25">
      <c r="A855" t="str">
        <f>_xll.BDP("!!03N5DY Mtge","ID_CUSIP")</f>
        <v>3137HM7K0</v>
      </c>
      <c r="B855" t="str">
        <f>_xll.BDP("!!03N5DY Mtge","SECURITY_NAME")</f>
        <v>FHR 5561 TS</v>
      </c>
      <c r="C855" t="str">
        <f>_xll.BDP("!!03N5DY Mtge","GENERIC_TICKER_VINTAGE")</f>
        <v>FNCL 6 2025</v>
      </c>
      <c r="D855" t="str">
        <f>_xll.BDP("!!03N5DY Mtge","CRNCY")</f>
        <v>USD</v>
      </c>
      <c r="E855">
        <v>147713215</v>
      </c>
      <c r="F855">
        <f>_xll.BDP("!!03N5DY Mtge","CPN")</f>
        <v>0.78278999999999999</v>
      </c>
      <c r="G855">
        <f>_xll.BDP("!!03N5DY Mtge","MTG_FACTOR")</f>
        <v>0.76909846000000004</v>
      </c>
      <c r="H855">
        <f>_xll.BDP("!!03N5DY Mtge","MTG_WAL")</f>
        <v>3.1212</v>
      </c>
      <c r="I855">
        <f>_xll.BDP("!!03N5DY Mtge","MTG_ORIG_WAL")</f>
        <v>6.7</v>
      </c>
    </row>
    <row r="856" spans="1:9" x14ac:dyDescent="0.25">
      <c r="A856" t="str">
        <f>_xll.BDP("!!03N5DZ Mtge","ID_CUSIP")</f>
        <v>3137HM7L8</v>
      </c>
      <c r="B856" t="str">
        <f>_xll.BDP("!!03N5DZ Mtge","SECURITY_NAME")</f>
        <v>FHR 5561 UQ</v>
      </c>
      <c r="C856" t="str">
        <f>_xll.BDP("!!03N5DZ Mtge","GENERIC_TICKER_VINTAGE")</f>
        <v>FNCL 6 2025</v>
      </c>
      <c r="D856" t="str">
        <f>_xll.BDP("!!03N5DZ Mtge","CRNCY")</f>
        <v>USD</v>
      </c>
      <c r="E856">
        <v>9847547</v>
      </c>
      <c r="F856">
        <f>_xll.BDP("!!03N5DZ Mtge","CPN")</f>
        <v>7.8278999999999996</v>
      </c>
      <c r="G856">
        <f>_xll.BDP("!!03N5DZ Mtge","MTG_FACTOR")</f>
        <v>0.76909846000000004</v>
      </c>
      <c r="H856">
        <f>_xll.BDP("!!03N5DZ Mtge","MTG_WAL")</f>
        <v>3.1212</v>
      </c>
      <c r="I856">
        <f>_xll.BDP("!!03N5DZ Mtge","MTG_ORIG_WAL")</f>
        <v>6.7</v>
      </c>
    </row>
    <row r="857" spans="1:9" x14ac:dyDescent="0.25">
      <c r="A857" t="str">
        <f>_xll.BDP("!!03N5F1 Mtge","ID_CUSIP")</f>
        <v>3137HMA26</v>
      </c>
      <c r="B857" t="str">
        <f>_xll.BDP("!!03N5F1 Mtge","SECURITY_NAME")</f>
        <v>FHR 5561 VQ</v>
      </c>
      <c r="C857" t="str">
        <f>_xll.BDP("!!03N5F1 Mtge","GENERIC_TICKER_VINTAGE")</f>
        <v>FNCL 6 2025</v>
      </c>
      <c r="D857" t="str">
        <f>_xll.BDP("!!03N5F1 Mtge","CRNCY")</f>
        <v>USD</v>
      </c>
      <c r="E857">
        <v>17559457</v>
      </c>
      <c r="F857">
        <f>_xll.BDP("!!03N5F1 Mtge","CPN")</f>
        <v>7.3278999999999996</v>
      </c>
      <c r="G857">
        <f>_xll.BDP("!!03N5F1 Mtge","MTG_FACTOR")</f>
        <v>0.76909846000000004</v>
      </c>
      <c r="H857">
        <f>_xll.BDP("!!03N5F1 Mtge","MTG_WAL")</f>
        <v>3.0621999999999998</v>
      </c>
      <c r="I857">
        <f>_xll.BDP("!!03N5F1 Mtge","MTG_ORIG_WAL")</f>
        <v>6.7</v>
      </c>
    </row>
    <row r="858" spans="1:9" x14ac:dyDescent="0.25">
      <c r="A858" t="str">
        <f>_xll.BDP("!!03N5F2 Mtge","ID_CUSIP")</f>
        <v>3137HMA34</v>
      </c>
      <c r="B858" t="str">
        <f>_xll.BDP("!!03N5F2 Mtge","SECURITY_NAME")</f>
        <v>FHR 5561 VS</v>
      </c>
      <c r="C858" t="str">
        <f>_xll.BDP("!!03N5F2 Mtge","GENERIC_TICKER_VINTAGE")</f>
        <v>FNCL 6 2025</v>
      </c>
      <c r="D858" t="str">
        <f>_xll.BDP("!!03N5F2 Mtge","CRNCY")</f>
        <v>USD</v>
      </c>
      <c r="E858">
        <v>175594577</v>
      </c>
      <c r="F858">
        <f>_xll.BDP("!!03N5F2 Mtge","CPN")</f>
        <v>0.73279000000000005</v>
      </c>
      <c r="G858">
        <f>_xll.BDP("!!03N5F2 Mtge","MTG_FACTOR")</f>
        <v>0.76909846000000004</v>
      </c>
      <c r="H858">
        <f>_xll.BDP("!!03N5F2 Mtge","MTG_WAL")</f>
        <v>3.0621999999999998</v>
      </c>
      <c r="I858">
        <f>_xll.BDP("!!03N5F2 Mtge","MTG_ORIG_WAL")</f>
        <v>6.7</v>
      </c>
    </row>
    <row r="859" spans="1:9" x14ac:dyDescent="0.25">
      <c r="A859" t="str">
        <f>_xll.BDP("!!03N5QZ Mtge","ID_CUSIP")</f>
        <v>3137HLZ39</v>
      </c>
      <c r="B859" t="str">
        <f>_xll.BDP("!!03N5QZ Mtge","SECURITY_NAME")</f>
        <v>FHR 5557 IM</v>
      </c>
      <c r="C859" t="str">
        <f>_xll.BDP("!!03N5QZ Mtge","GENERIC_TICKER_VINTAGE")</f>
        <v>FNCL 6 2025</v>
      </c>
      <c r="D859" t="str">
        <f>_xll.BDP("!!03N5QZ Mtge","CRNCY")</f>
        <v>USD</v>
      </c>
      <c r="E859">
        <v>25000000</v>
      </c>
      <c r="F859">
        <f>_xll.BDP("!!03N5QZ Mtge","CPN")</f>
        <v>7.8072100000000004</v>
      </c>
      <c r="G859">
        <f>_xll.BDP("!!03N5QZ Mtge","MTG_FACTOR")</f>
        <v>0.79721315999999998</v>
      </c>
      <c r="H859">
        <f>_xll.BDP("!!03N5QZ Mtge","MTG_WAL")</f>
        <v>3.1322999999999999</v>
      </c>
      <c r="I859">
        <f>_xll.BDP("!!03N5QZ Mtge","MTG_ORIG_WAL")</f>
        <v>7.1</v>
      </c>
    </row>
    <row r="860" spans="1:9" x14ac:dyDescent="0.25">
      <c r="A860" t="str">
        <f>_xll.BDP("!!03N5R4 Mtge","ID_CUSIP")</f>
        <v>3137HLZB1</v>
      </c>
      <c r="B860" t="str">
        <f>_xll.BDP("!!03N5R4 Mtge","SECURITY_NAME")</f>
        <v>FHR 5557 UO</v>
      </c>
      <c r="C860" t="str">
        <f>_xll.BDP("!!03N5R4 Mtge","GENERIC_TICKER_VINTAGE")</f>
        <v>FNCL 6 2025</v>
      </c>
      <c r="D860" t="str">
        <f>_xll.BDP("!!03N5R4 Mtge","CRNCY")</f>
        <v>USD</v>
      </c>
      <c r="E860">
        <v>25000000</v>
      </c>
      <c r="F860">
        <f>_xll.BDP("!!03N5R4 Mtge","CPN")</f>
        <v>0</v>
      </c>
      <c r="G860">
        <f>_xll.BDP("!!03N5R4 Mtge","MTG_FACTOR")</f>
        <v>0.79721315999999998</v>
      </c>
      <c r="H860">
        <f>_xll.BDP("!!03N5R4 Mtge","MTG_WAL")</f>
        <v>3.2677999999999998</v>
      </c>
      <c r="I860">
        <f>_xll.BDP("!!03N5R4 Mtge","MTG_ORIG_WAL")</f>
        <v>7.1</v>
      </c>
    </row>
    <row r="861" spans="1:9" x14ac:dyDescent="0.25">
      <c r="A861" t="str">
        <f>_xll.BDP("!!03N6X5 Mtge","ID_CUSIP")</f>
        <v>3137HMDK3</v>
      </c>
      <c r="B861" t="str">
        <f>_xll.BDP("!!03N6X5 Mtge","SECURITY_NAME")</f>
        <v>FHR 5564 PB</v>
      </c>
      <c r="C861" t="str">
        <f>_xll.BDP("!!03N6X5 Mtge","GENERIC_TICKER_VINTAGE")</f>
        <v>FNCL 6 2025</v>
      </c>
      <c r="D861" t="str">
        <f>_xll.BDP("!!03N6X5 Mtge","CRNCY")</f>
        <v>USD</v>
      </c>
      <c r="E861">
        <v>247602000</v>
      </c>
      <c r="F861">
        <f>_xll.BDP("!!03N6X5 Mtge","CPN")</f>
        <v>4.25</v>
      </c>
      <c r="G861">
        <f>_xll.BDP("!!03N6X5 Mtge","MTG_FACTOR")</f>
        <v>0.96240170999999997</v>
      </c>
      <c r="H861">
        <f>_xll.BDP("!!03N6X5 Mtge","MTG_WAL")</f>
        <v>2.8997000000000002</v>
      </c>
      <c r="I861">
        <f>_xll.BDP("!!03N6X5 Mtge","MTG_ORIG_WAL")</f>
        <v>5</v>
      </c>
    </row>
    <row r="862" spans="1:9" x14ac:dyDescent="0.25">
      <c r="A862" t="str">
        <f>_xll.BDP("!!03N6XB Mtge","ID_CUSIP")</f>
        <v>3137HMDR8</v>
      </c>
      <c r="B862" t="str">
        <f>_xll.BDP("!!03N6XB Mtge","SECURITY_NAME")</f>
        <v>FHR 5564 PH</v>
      </c>
      <c r="C862" t="str">
        <f>_xll.BDP("!!03N6XB Mtge","GENERIC_TICKER_VINTAGE")</f>
        <v>FNCL 6 2025</v>
      </c>
      <c r="D862" t="str">
        <f>_xll.BDP("!!03N6XB Mtge","CRNCY")</f>
        <v>USD</v>
      </c>
      <c r="E862">
        <v>165068000</v>
      </c>
      <c r="F862">
        <f>_xll.BDP("!!03N6XB Mtge","CPN")</f>
        <v>5.5</v>
      </c>
      <c r="G862">
        <f>_xll.BDP("!!03N6XB Mtge","MTG_FACTOR")</f>
        <v>0.96240170999999997</v>
      </c>
      <c r="H862">
        <f>_xll.BDP("!!03N6XB Mtge","MTG_WAL")</f>
        <v>2.8997000000000002</v>
      </c>
      <c r="I862">
        <f>_xll.BDP("!!03N6XB Mtge","MTG_ORIG_WAL")</f>
        <v>5</v>
      </c>
    </row>
    <row r="863" spans="1:9" x14ac:dyDescent="0.25">
      <c r="A863" t="str">
        <f>_xll.BDP("!!03N7R8 Mtge","ID_CUSIP")</f>
        <v>3137HMGT1</v>
      </c>
      <c r="B863" t="str">
        <f>_xll.BDP("!!03N7R8 Mtge","SECURITY_NAME")</f>
        <v>FHR 5565 PF</v>
      </c>
      <c r="C863" t="str">
        <f>_xll.BDP("!!03N7R8 Mtge","GENERIC_TICKER_VINTAGE")</f>
        <v>FNCL 6 2025</v>
      </c>
      <c r="D863" t="str">
        <f>_xll.BDP("!!03N7R8 Mtge","CRNCY")</f>
        <v>USD</v>
      </c>
      <c r="E863">
        <v>10000000</v>
      </c>
      <c r="F863">
        <f>_xll.BDP("!!03N7R8 Mtge","CPN")</f>
        <v>4.61721</v>
      </c>
      <c r="G863">
        <f>_xll.BDP("!!03N7R8 Mtge","MTG_FACTOR")</f>
        <v>0.91767821000000005</v>
      </c>
      <c r="H863">
        <f>_xll.BDP("!!03N7R8 Mtge","MTG_WAL")</f>
        <v>3.1566000000000001</v>
      </c>
      <c r="I863">
        <f>_xll.BDP("!!03N7R8 Mtge","MTG_ORIG_WAL")</f>
        <v>7</v>
      </c>
    </row>
    <row r="864" spans="1:9" x14ac:dyDescent="0.25">
      <c r="A864" t="str">
        <f>_xll.BDP("!!03NKLG Mtge","ID_CUSIP")</f>
        <v>3137HMHF0</v>
      </c>
      <c r="B864" t="str">
        <f>_xll.BDP("!!03NKLG Mtge","SECURITY_NAME")</f>
        <v>FHR 5566 AZ</v>
      </c>
      <c r="C864" t="str">
        <f>_xll.BDP("!!03NKLG Mtge","GENERIC_TICKER_VINTAGE")</f>
        <v>FNCL 6 2025</v>
      </c>
      <c r="D864" t="str">
        <f>_xll.BDP("!!03NKLG Mtge","CRNCY")</f>
        <v>USD</v>
      </c>
      <c r="E864">
        <v>12073980</v>
      </c>
      <c r="F864">
        <f>_xll.BDP("!!03NKLG Mtge","CPN")</f>
        <v>5</v>
      </c>
      <c r="G864">
        <f>_xll.BDP("!!03NKLG Mtge","MTG_FACTOR")</f>
        <v>1.0338235200000001</v>
      </c>
      <c r="H864">
        <f>_xll.BDP("!!03NKLG Mtge","MTG_WAL")</f>
        <v>7.0045999999999999</v>
      </c>
      <c r="I864">
        <f>_xll.BDP("!!03NKLG Mtge","MTG_ORIG_WAL")</f>
        <v>13.5</v>
      </c>
    </row>
    <row r="865" spans="1:9" x14ac:dyDescent="0.25">
      <c r="A865" t="str">
        <f>_xll.BDP("!!03NM8F Mtge","ID_CUSIP")</f>
        <v>3137HMHU7</v>
      </c>
      <c r="B865" t="str">
        <f>_xll.BDP("!!03NM8F Mtge","SECURITY_NAME")</f>
        <v>FHR 5566 EV</v>
      </c>
      <c r="C865" t="str">
        <f>_xll.BDP("!!03NM8F Mtge","GENERIC_TICKER_VINTAGE")</f>
        <v>FNCL 6 2025</v>
      </c>
      <c r="D865" t="str">
        <f>_xll.BDP("!!03NM8F Mtge","CRNCY")</f>
        <v>USD</v>
      </c>
      <c r="E865">
        <v>21037000</v>
      </c>
      <c r="F865">
        <f>_xll.BDP("!!03NM8F Mtge","CPN")</f>
        <v>5</v>
      </c>
      <c r="G865">
        <f>_xll.BDP("!!03NM8F Mtge","MTG_FACTOR")</f>
        <v>0.95339099999999999</v>
      </c>
      <c r="H865">
        <f>_xll.BDP("!!03NM8F Mtge","MTG_WAL")</f>
        <v>3.4056999999999999</v>
      </c>
      <c r="I865">
        <f>_xll.BDP("!!03NM8F Mtge","MTG_ORIG_WAL")</f>
        <v>5.6</v>
      </c>
    </row>
    <row r="866" spans="1:9" x14ac:dyDescent="0.25">
      <c r="A866" t="str">
        <f>_xll.BDP("!!03NMY2 Mtge","ID_CUSIP")</f>
        <v>3137HMED8</v>
      </c>
      <c r="B866" t="str">
        <f>_xll.BDP("!!03NMY2 Mtge","SECURITY_NAME")</f>
        <v>FHR 5571 BZ</v>
      </c>
      <c r="C866" t="str">
        <f>_xll.BDP("!!03NMY2 Mtge","GENERIC_TICKER_VINTAGE")</f>
        <v>FNCL 6 2025</v>
      </c>
      <c r="D866" t="str">
        <f>_xll.BDP("!!03NMY2 Mtge","CRNCY")</f>
        <v>USD</v>
      </c>
      <c r="E866">
        <v>26065741</v>
      </c>
      <c r="F866">
        <f>_xll.BDP("!!03NMY2 Mtge","CPN")</f>
        <v>5</v>
      </c>
      <c r="G866">
        <f>_xll.BDP("!!03NMY2 Mtge","MTG_FACTOR")</f>
        <v>1.0338235200000001</v>
      </c>
      <c r="H866">
        <f>_xll.BDP("!!03NMY2 Mtge","MTG_WAL")</f>
        <v>7.0279999999999996</v>
      </c>
      <c r="I866">
        <f>_xll.BDP("!!03NMY2 Mtge","MTG_ORIG_WAL")</f>
        <v>15.8</v>
      </c>
    </row>
    <row r="867" spans="1:9" x14ac:dyDescent="0.25">
      <c r="A867" t="str">
        <f>_xll.BDP("!!03NN3W Mtge","ID_CUSIP")</f>
        <v>3137HMH78</v>
      </c>
      <c r="B867" t="str">
        <f>_xll.BDP("!!03NN3W Mtge","SECURITY_NAME")</f>
        <v>FHR 5565 VC</v>
      </c>
      <c r="C867" t="str">
        <f>_xll.BDP("!!03NN3W Mtge","GENERIC_TICKER_VINTAGE")</f>
        <v>FNCL 6 2025</v>
      </c>
      <c r="D867" t="str">
        <f>_xll.BDP("!!03NN3W Mtge","CRNCY")</f>
        <v>USD</v>
      </c>
      <c r="E867">
        <v>18560000</v>
      </c>
      <c r="F867">
        <f>_xll.BDP("!!03NN3W Mtge","CPN")</f>
        <v>5</v>
      </c>
      <c r="G867">
        <f>_xll.BDP("!!03NN3W Mtge","MTG_FACTOR")</f>
        <v>1</v>
      </c>
      <c r="H867">
        <f>_xll.BDP("!!03NN3W Mtge","MTG_WAL")</f>
        <v>4.8327999999999998</v>
      </c>
      <c r="I867">
        <f>_xll.BDP("!!03NN3W Mtge","MTG_ORIG_WAL")</f>
        <v>8.9</v>
      </c>
    </row>
    <row r="868" spans="1:9" x14ac:dyDescent="0.25">
      <c r="A868" t="str">
        <f>_xll.BDP("!!03NNFP Mtge","ID_CUSIP")</f>
        <v>3137HMD98</v>
      </c>
      <c r="B868" t="str">
        <f>_xll.BDP("!!03NNFP Mtge","SECURITY_NAME")</f>
        <v>FHR 5564 MC</v>
      </c>
      <c r="C868" t="str">
        <f>_xll.BDP("!!03NNFP Mtge","GENERIC_TICKER_VINTAGE")</f>
        <v>FNCL 6 2025</v>
      </c>
      <c r="D868" t="str">
        <f>_xll.BDP("!!03NNFP Mtge","CRNCY")</f>
        <v>USD</v>
      </c>
      <c r="E868">
        <v>272855828</v>
      </c>
      <c r="F868">
        <f>_xll.BDP("!!03NNFP Mtge","CPN")</f>
        <v>4.5</v>
      </c>
      <c r="G868">
        <f>_xll.BDP("!!03NNFP Mtge","MTG_FACTOR")</f>
        <v>0.96588156999999997</v>
      </c>
      <c r="H868">
        <f>_xll.BDP("!!03NNFP Mtge","MTG_WAL")</f>
        <v>3.5781000000000001</v>
      </c>
      <c r="I868">
        <f>_xll.BDP("!!03NNFP Mtge","MTG_ORIG_WAL")</f>
        <v>6.1</v>
      </c>
    </row>
    <row r="869" spans="1:9" x14ac:dyDescent="0.25">
      <c r="A869" t="str">
        <f>_xll.BDP("!!03NNGN Mtge","ID_CUSIP")</f>
        <v>3137HMCV0</v>
      </c>
      <c r="B869" t="str">
        <f>_xll.BDP("!!03NNGN Mtge","SECURITY_NAME")</f>
        <v>FHR 5564 DF</v>
      </c>
      <c r="C869" t="str">
        <f>_xll.BDP("!!03NNGN Mtge","GENERIC_TICKER_VINTAGE")</f>
        <v>FNCL 6 2025</v>
      </c>
      <c r="D869" t="str">
        <f>_xll.BDP("!!03NNGN Mtge","CRNCY")</f>
        <v>USD</v>
      </c>
      <c r="E869">
        <v>70641000</v>
      </c>
      <c r="F869">
        <f>_xll.BDP("!!03NNGN Mtge","CPN")</f>
        <v>4.86721</v>
      </c>
      <c r="G869">
        <f>_xll.BDP("!!03NNGN Mtge","MTG_FACTOR")</f>
        <v>0.94635550000000002</v>
      </c>
      <c r="H869">
        <f>_xll.BDP("!!03NNGN Mtge","MTG_WAL")</f>
        <v>3.3397999999999999</v>
      </c>
      <c r="I869">
        <f>_xll.BDP("!!03NNGN Mtge","MTG_ORIG_WAL")</f>
        <v>6.5</v>
      </c>
    </row>
    <row r="870" spans="1:9" x14ac:dyDescent="0.25">
      <c r="A870" t="str">
        <f>_xll.BDP("!!03NRM1 Mtge","ID_CUSIP")</f>
        <v>3137HMFD7</v>
      </c>
      <c r="B870" t="str">
        <f>_xll.BDP("!!03NRM1 Mtge","SECURITY_NAME")</f>
        <v>FHR 5567 ST</v>
      </c>
      <c r="C870" t="str">
        <f>_xll.BDP("!!03NRM1 Mtge","GENERIC_TICKER_VINTAGE")</f>
        <v>FNCL 6 2025</v>
      </c>
      <c r="D870" t="str">
        <f>_xll.BDP("!!03NRM1 Mtge","CRNCY")</f>
        <v>USD</v>
      </c>
      <c r="E870">
        <v>25000000</v>
      </c>
      <c r="F870">
        <f>_xll.BDP("!!03NRM1 Mtge","CPN")</f>
        <v>8.25</v>
      </c>
      <c r="G870">
        <f>_xll.BDP("!!03NRM1 Mtge","MTG_FACTOR")</f>
        <v>0.80760430999999999</v>
      </c>
      <c r="H870">
        <f>_xll.BDP("!!03NRM1 Mtge","MTG_WAL")</f>
        <v>3.1322999999999999</v>
      </c>
      <c r="I870">
        <f>_xll.BDP("!!03NRM1 Mtge","MTG_ORIG_WAL")</f>
        <v>6.1</v>
      </c>
    </row>
    <row r="871" spans="1:9" x14ac:dyDescent="0.25">
      <c r="A871" t="str">
        <f>_xll.BDP("!!03NS5Z Mtge","ID_CUSIP")</f>
        <v>3137HML32</v>
      </c>
      <c r="B871" t="str">
        <f>_xll.BDP("!!03NS5Z Mtge","SECURITY_NAME")</f>
        <v>FHR 5563 MD</v>
      </c>
      <c r="C871" t="str">
        <f>_xll.BDP("!!03NS5Z Mtge","GENERIC_TICKER_VINTAGE")</f>
        <v>FNCL 6 2025</v>
      </c>
      <c r="D871" t="str">
        <f>_xll.BDP("!!03NS5Z Mtge","CRNCY")</f>
        <v>USD</v>
      </c>
      <c r="E871">
        <v>5000000</v>
      </c>
      <c r="F871">
        <f>_xll.BDP("!!03NS5Z Mtge","CPN")</f>
        <v>6.36721</v>
      </c>
      <c r="G871">
        <f>_xll.BDP("!!03NS5Z Mtge","MTG_FACTOR")</f>
        <v>0.80760430000000005</v>
      </c>
      <c r="H871">
        <f>_xll.BDP("!!03NS5Z Mtge","MTG_WAL")</f>
        <v>3.1322999999999999</v>
      </c>
      <c r="I871">
        <f>_xll.BDP("!!03NS5Z Mtge","MTG_ORIG_WAL")</f>
        <v>6.2</v>
      </c>
    </row>
    <row r="872" spans="1:9" x14ac:dyDescent="0.25">
      <c r="A872" t="str">
        <f>_xll.BDP("FNBT9500 Mtge","ID_CUSIP")</f>
        <v>3140LYRW5</v>
      </c>
      <c r="B872" t="str">
        <f>_xll.BDP("FNBT9500 Mtge","SECURITY_NAME")</f>
        <v>FN BT9500</v>
      </c>
      <c r="C872" t="str">
        <f>_xll.BDP("FNBT9500 Mtge","GENERIC_TICKER_VINTAGE")</f>
        <v>FNCL 3 2021</v>
      </c>
      <c r="D872" t="str">
        <f>_xll.BDP("FNBT9500 Mtge","CRNCY")</f>
        <v>USD</v>
      </c>
      <c r="E872">
        <v>14814279</v>
      </c>
      <c r="F872">
        <f>_xll.BDP("FNBT9500 Mtge","CPN")</f>
        <v>3</v>
      </c>
      <c r="G872">
        <f>_xll.BDP("FNBT9500 Mtge","MTG_FACTOR")</f>
        <v>0.84110642999999996</v>
      </c>
      <c r="H872">
        <f>_xll.BDP("FNBT9500 Mtge","MTG_WAL")</f>
        <v>8.3238000000000003</v>
      </c>
      <c r="I872" t="str">
        <f>_xll.BDP("FNBT9500 Mtge","MTG_ORIG_WAL")</f>
        <v>#N/A N/A</v>
      </c>
    </row>
    <row r="873" spans="1:9" x14ac:dyDescent="0.25">
      <c r="A873" t="str">
        <f>_xll.BDP("FNBU7120 Mtge","ID_CUSIP")</f>
        <v>3140M84E6</v>
      </c>
      <c r="B873" t="str">
        <f>_xll.BDP("FNBU7120 Mtge","SECURITY_NAME")</f>
        <v>FN BU7120</v>
      </c>
      <c r="C873" t="str">
        <f>_xll.BDP("FNBU7120 Mtge","GENERIC_TICKER_VINTAGE")</f>
        <v>FNCL 3 2021</v>
      </c>
      <c r="D873" t="str">
        <f>_xll.BDP("FNBU7120 Mtge","CRNCY")</f>
        <v>USD</v>
      </c>
      <c r="E873">
        <v>10151145</v>
      </c>
      <c r="F873">
        <f>_xll.BDP("FNBU7120 Mtge","CPN")</f>
        <v>3</v>
      </c>
      <c r="G873">
        <f>_xll.BDP("FNBU7120 Mtge","MTG_FACTOR")</f>
        <v>0.76092207000000001</v>
      </c>
      <c r="H873">
        <f>_xll.BDP("FNBU7120 Mtge","MTG_WAL")</f>
        <v>8.4994999999999994</v>
      </c>
      <c r="I873" t="str">
        <f>_xll.BDP("FNBU7120 Mtge","MTG_ORIG_WAL")</f>
        <v>#N/A N/A</v>
      </c>
    </row>
    <row r="874" spans="1:9" x14ac:dyDescent="0.25">
      <c r="A874" t="str">
        <f>_xll.BDP("FNBV1623 Mtge","ID_CUSIP")</f>
        <v>3140MEYV2</v>
      </c>
      <c r="B874" t="str">
        <f>_xll.BDP("FNBV1623 Mtge","SECURITY_NAME")</f>
        <v>FN BV1623</v>
      </c>
      <c r="C874" t="str">
        <f>_xll.BDP("FNBV1623 Mtge","GENERIC_TICKER_VINTAGE")</f>
        <v>FNCL 6 2025</v>
      </c>
      <c r="D874" t="str">
        <f>_xll.BDP("FNBV1623 Mtge","CRNCY")</f>
        <v>USD</v>
      </c>
      <c r="E874">
        <v>2407388</v>
      </c>
      <c r="F874">
        <f>_xll.BDP("FNBV1623 Mtge","CPN")</f>
        <v>6</v>
      </c>
      <c r="G874">
        <f>_xll.BDP("FNBV1623 Mtge","MTG_FACTOR")</f>
        <v>0.81683223999999999</v>
      </c>
      <c r="H874">
        <f>_xll.BDP("FNBV1623 Mtge","MTG_WAL")</f>
        <v>3.2448999999999999</v>
      </c>
      <c r="I874" t="str">
        <f>_xll.BDP("FNBV1623 Mtge","MTG_ORIG_WAL")</f>
        <v>#N/A N/A</v>
      </c>
    </row>
    <row r="875" spans="1:9" x14ac:dyDescent="0.25">
      <c r="A875" t="str">
        <f>_xll.BDP("FNBV1634 Mtge","ID_CUSIP")</f>
        <v>3140MEY83</v>
      </c>
      <c r="B875" t="str">
        <f>_xll.BDP("FNBV1634 Mtge","SECURITY_NAME")</f>
        <v>FN BV1634</v>
      </c>
      <c r="C875" t="str">
        <f>_xll.BDP("FNBV1634 Mtge","GENERIC_TICKER_VINTAGE")</f>
        <v>FNCL 6 2025</v>
      </c>
      <c r="D875" t="str">
        <f>_xll.BDP("FNBV1634 Mtge","CRNCY")</f>
        <v>USD</v>
      </c>
      <c r="E875">
        <v>14401707</v>
      </c>
      <c r="F875">
        <f>_xll.BDP("FNBV1634 Mtge","CPN")</f>
        <v>6</v>
      </c>
      <c r="G875">
        <f>_xll.BDP("FNBV1634 Mtge","MTG_FACTOR")</f>
        <v>0.94897657999999996</v>
      </c>
      <c r="H875">
        <f>_xll.BDP("FNBV1634 Mtge","MTG_WAL")</f>
        <v>3.2339000000000002</v>
      </c>
      <c r="I875" t="str">
        <f>_xll.BDP("FNBV1634 Mtge","MTG_ORIG_WAL")</f>
        <v>#N/A N/A</v>
      </c>
    </row>
    <row r="876" spans="1:9" x14ac:dyDescent="0.25">
      <c r="A876" t="str">
        <f>_xll.BDP("FNBV1655 Mtge","ID_CUSIP")</f>
        <v>3140MEZV1</v>
      </c>
      <c r="B876" t="str">
        <f>_xll.BDP("FNBV1655 Mtge","SECURITY_NAME")</f>
        <v>FN BV1655</v>
      </c>
      <c r="C876" t="str">
        <f>_xll.BDP("FNBV1655 Mtge","GENERIC_TICKER_VINTAGE")</f>
        <v>FNCL 6 2025</v>
      </c>
      <c r="D876" t="str">
        <f>_xll.BDP("FNBV1655 Mtge","CRNCY")</f>
        <v>USD</v>
      </c>
      <c r="E876">
        <v>11412650</v>
      </c>
      <c r="F876">
        <f>_xll.BDP("FNBV1655 Mtge","CPN")</f>
        <v>6</v>
      </c>
      <c r="G876">
        <f>_xll.BDP("FNBV1655 Mtge","MTG_FACTOR")</f>
        <v>0.87548596999999995</v>
      </c>
      <c r="H876">
        <f>_xll.BDP("FNBV1655 Mtge","MTG_WAL")</f>
        <v>3.2012</v>
      </c>
      <c r="I876" t="str">
        <f>_xll.BDP("FNBV1655 Mtge","MTG_ORIG_WAL")</f>
        <v>#N/A N/A</v>
      </c>
    </row>
    <row r="877" spans="1:9" x14ac:dyDescent="0.25">
      <c r="A877" t="str">
        <f>_xll.BDP("FNCB1632 Mtge","ID_CUSIP")</f>
        <v>3140QLY67</v>
      </c>
      <c r="B877" t="str">
        <f>_xll.BDP("FNCB1632 Mtge","SECURITY_NAME")</f>
        <v>FN CB1632</v>
      </c>
      <c r="C877" t="str">
        <f>_xll.BDP("FNCB1632 Mtge","GENERIC_TICKER_VINTAGE")</f>
        <v>FNCL 3 2021</v>
      </c>
      <c r="D877" t="str">
        <f>_xll.BDP("FNCB1632 Mtge","CRNCY")</f>
        <v>USD</v>
      </c>
      <c r="E877">
        <v>144678354</v>
      </c>
      <c r="F877">
        <f>_xll.BDP("FNCB1632 Mtge","CPN")</f>
        <v>3</v>
      </c>
      <c r="G877">
        <f>_xll.BDP("FNCB1632 Mtge","MTG_FACTOR")</f>
        <v>0.67983276000000004</v>
      </c>
      <c r="H877">
        <f>_xll.BDP("FNCB1632 Mtge","MTG_WAL")</f>
        <v>8.3968000000000007</v>
      </c>
      <c r="I877" t="str">
        <f>_xll.BDP("FNCB1632 Mtge","MTG_ORIG_WAL")</f>
        <v>#N/A N/A</v>
      </c>
    </row>
    <row r="878" spans="1:9" x14ac:dyDescent="0.25">
      <c r="A878" t="str">
        <f>_xll.BDP("FNCB1917 Mtge","ID_CUSIP")</f>
        <v>3140QMDX9</v>
      </c>
      <c r="B878" t="str">
        <f>_xll.BDP("FNCB1917 Mtge","SECURITY_NAME")</f>
        <v>FN CB1917</v>
      </c>
      <c r="C878" t="str">
        <f>_xll.BDP("FNCB1917 Mtge","GENERIC_TICKER_VINTAGE")</f>
        <v>FNCL 3 2021</v>
      </c>
      <c r="D878" t="str">
        <f>_xll.BDP("FNCB1917 Mtge","CRNCY")</f>
        <v>USD</v>
      </c>
      <c r="E878">
        <v>26022858</v>
      </c>
      <c r="F878">
        <f>_xll.BDP("FNCB1917 Mtge","CPN")</f>
        <v>3</v>
      </c>
      <c r="G878">
        <f>_xll.BDP("FNCB1917 Mtge","MTG_FACTOR")</f>
        <v>0.74314115000000003</v>
      </c>
      <c r="H878">
        <f>_xll.BDP("FNCB1917 Mtge","MTG_WAL")</f>
        <v>8.4169999999999998</v>
      </c>
      <c r="I878" t="str">
        <f>_xll.BDP("FNCB1917 Mtge","MTG_ORIG_WAL")</f>
        <v>#N/A N/A</v>
      </c>
    </row>
    <row r="879" spans="1:9" x14ac:dyDescent="0.25">
      <c r="A879" t="str">
        <f>_xll.BDP("FNCB2422 Mtge","ID_CUSIP")</f>
        <v>3140QMVQ4</v>
      </c>
      <c r="B879" t="str">
        <f>_xll.BDP("FNCB2422 Mtge","SECURITY_NAME")</f>
        <v>FN CB2422</v>
      </c>
      <c r="C879" t="str">
        <f>_xll.BDP("FNCB2422 Mtge","GENERIC_TICKER_VINTAGE")</f>
        <v>FNCL 3 2021</v>
      </c>
      <c r="D879" t="str">
        <f>_xll.BDP("FNCB2422 Mtge","CRNCY")</f>
        <v>USD</v>
      </c>
      <c r="E879">
        <v>72240670</v>
      </c>
      <c r="F879">
        <f>_xll.BDP("FNCB2422 Mtge","CPN")</f>
        <v>3</v>
      </c>
      <c r="G879">
        <f>_xll.BDP("FNCB2422 Mtge","MTG_FACTOR")</f>
        <v>0.70975012999999998</v>
      </c>
      <c r="H879">
        <f>_xll.BDP("FNCB2422 Mtge","MTG_WAL")</f>
        <v>8.423</v>
      </c>
      <c r="I879" t="str">
        <f>_xll.BDP("FNCB2422 Mtge","MTG_ORIG_WAL")</f>
        <v>#N/A N/A</v>
      </c>
    </row>
    <row r="880" spans="1:9" x14ac:dyDescent="0.25">
      <c r="A880" t="str">
        <f>_xll.BDP("FNCB2430 Mtge","ID_CUSIP")</f>
        <v>3140QMVY7</v>
      </c>
      <c r="B880" t="str">
        <f>_xll.BDP("FNCB2430 Mtge","SECURITY_NAME")</f>
        <v>FN CB2430</v>
      </c>
      <c r="C880" t="str">
        <f>_xll.BDP("FNCB2430 Mtge","GENERIC_TICKER_VINTAGE")</f>
        <v>FNCL 3 2021</v>
      </c>
      <c r="D880" t="str">
        <f>_xll.BDP("FNCB2430 Mtge","CRNCY")</f>
        <v>USD</v>
      </c>
      <c r="E880">
        <v>116211404</v>
      </c>
      <c r="F880">
        <f>_xll.BDP("FNCB2430 Mtge","CPN")</f>
        <v>3</v>
      </c>
      <c r="G880">
        <f>_xll.BDP("FNCB2430 Mtge","MTG_FACTOR")</f>
        <v>0.71990339000000003</v>
      </c>
      <c r="H880">
        <f>_xll.BDP("FNCB2430 Mtge","MTG_WAL")</f>
        <v>8.3973999999999993</v>
      </c>
      <c r="I880" t="str">
        <f>_xll.BDP("FNCB2430 Mtge","MTG_ORIG_WAL")</f>
        <v>#N/A N/A</v>
      </c>
    </row>
    <row r="881" spans="1:9" x14ac:dyDescent="0.25">
      <c r="A881" t="str">
        <f>_xll.BDP("FNCB2668 Mtge","ID_CUSIP")</f>
        <v>3140QM6E9</v>
      </c>
      <c r="B881" t="str">
        <f>_xll.BDP("FNCB2668 Mtge","SECURITY_NAME")</f>
        <v>FN CB2668</v>
      </c>
      <c r="C881" t="str">
        <f>_xll.BDP("FNCB2668 Mtge","GENERIC_TICKER_VINTAGE")</f>
        <v>FNCL 3 2021</v>
      </c>
      <c r="D881" t="str">
        <f>_xll.BDP("FNCB2668 Mtge","CRNCY")</f>
        <v>USD</v>
      </c>
      <c r="E881">
        <v>215079960</v>
      </c>
      <c r="F881">
        <f>_xll.BDP("FNCB2668 Mtge","CPN")</f>
        <v>3</v>
      </c>
      <c r="G881">
        <f>_xll.BDP("FNCB2668 Mtge","MTG_FACTOR")</f>
        <v>0.77360682999999997</v>
      </c>
      <c r="H881">
        <f>_xll.BDP("FNCB2668 Mtge","MTG_WAL")</f>
        <v>8.4031000000000002</v>
      </c>
      <c r="I881" t="str">
        <f>_xll.BDP("FNCB2668 Mtge","MTG_ORIG_WAL")</f>
        <v>#N/A N/A</v>
      </c>
    </row>
    <row r="882" spans="1:9" x14ac:dyDescent="0.25">
      <c r="A882" t="str">
        <f>_xll.BDP("FNCC0118 Mtge","ID_CUSIP")</f>
        <v>3140Y6DY3</v>
      </c>
      <c r="B882" t="str">
        <f>_xll.BDP("FNCC0118 Mtge","SECURITY_NAME")</f>
        <v>FN CC0118</v>
      </c>
      <c r="C882" t="str">
        <f>_xll.BDP("FNCC0118 Mtge","GENERIC_TICKER_VINTAGE")</f>
        <v>FNCL 6 2025</v>
      </c>
      <c r="D882" t="str">
        <f>_xll.BDP("FNCC0118 Mtge","CRNCY")</f>
        <v>USD</v>
      </c>
      <c r="E882">
        <v>118034306</v>
      </c>
      <c r="F882">
        <f>_xll.BDP("FNCC0118 Mtge","CPN")</f>
        <v>6</v>
      </c>
      <c r="G882">
        <f>_xll.BDP("FNCC0118 Mtge","MTG_FACTOR")</f>
        <v>0.88045225999999999</v>
      </c>
      <c r="H882">
        <f>_xll.BDP("FNCC0118 Mtge","MTG_WAL")</f>
        <v>3.1566000000000001</v>
      </c>
      <c r="I882" t="str">
        <f>_xll.BDP("FNCC0118 Mtge","MTG_ORIG_WAL")</f>
        <v>#N/A N/A</v>
      </c>
    </row>
    <row r="883" spans="1:9" x14ac:dyDescent="0.25">
      <c r="A883" t="str">
        <f>_xll.BDP("FNCC0217 Mtge","ID_CUSIP")</f>
        <v>3140Y6G38</v>
      </c>
      <c r="B883" t="str">
        <f>_xll.BDP("FNCC0217 Mtge","SECURITY_NAME")</f>
        <v>FN CC0217</v>
      </c>
      <c r="C883" t="str">
        <f>_xll.BDP("FNCC0217 Mtge","GENERIC_TICKER_VINTAGE")</f>
        <v>FNCL 6 2025</v>
      </c>
      <c r="D883" t="str">
        <f>_xll.BDP("FNCC0217 Mtge","CRNCY")</f>
        <v>USD</v>
      </c>
      <c r="E883">
        <v>69946130</v>
      </c>
      <c r="F883">
        <f>_xll.BDP("FNCC0217 Mtge","CPN")</f>
        <v>6</v>
      </c>
      <c r="G883">
        <f>_xll.BDP("FNCC0217 Mtge","MTG_FACTOR")</f>
        <v>0.89062229999999998</v>
      </c>
      <c r="H883">
        <f>_xll.BDP("FNCC0217 Mtge","MTG_WAL")</f>
        <v>3.1998000000000002</v>
      </c>
      <c r="I883" t="str">
        <f>_xll.BDP("FNCC0217 Mtge","MTG_ORIG_WAL")</f>
        <v>#N/A N/A</v>
      </c>
    </row>
    <row r="884" spans="1:9" x14ac:dyDescent="0.25">
      <c r="A884" t="str">
        <f>_xll.BDP("FNCC0255 Mtge","ID_CUSIP")</f>
        <v>3140Y6H94</v>
      </c>
      <c r="B884" t="str">
        <f>_xll.BDP("FNCC0255 Mtge","SECURITY_NAME")</f>
        <v>FN CC0255</v>
      </c>
      <c r="C884" t="str">
        <f>_xll.BDP("FNCC0255 Mtge","GENERIC_TICKER_VINTAGE")</f>
        <v>FNCL 6 2025</v>
      </c>
      <c r="D884" t="str">
        <f>_xll.BDP("FNCC0255 Mtge","CRNCY")</f>
        <v>USD</v>
      </c>
      <c r="E884">
        <v>36785721</v>
      </c>
      <c r="F884">
        <f>_xll.BDP("FNCC0255 Mtge","CPN")</f>
        <v>6</v>
      </c>
      <c r="G884">
        <f>_xll.BDP("FNCC0255 Mtge","MTG_FACTOR")</f>
        <v>0.93361300999999997</v>
      </c>
      <c r="H884">
        <f>_xll.BDP("FNCC0255 Mtge","MTG_WAL")</f>
        <v>3.1968999999999999</v>
      </c>
      <c r="I884" t="str">
        <f>_xll.BDP("FNCC0255 Mtge","MTG_ORIG_WAL")</f>
        <v>#N/A N/A</v>
      </c>
    </row>
    <row r="885" spans="1:9" x14ac:dyDescent="0.25">
      <c r="A885" t="str">
        <f>_xll.BDP("FNCC0265 Mtge","ID_CUSIP")</f>
        <v>3140Y6JK7</v>
      </c>
      <c r="B885" t="str">
        <f>_xll.BDP("FNCC0265 Mtge","SECURITY_NAME")</f>
        <v>FN CC0265</v>
      </c>
      <c r="C885" t="str">
        <f>_xll.BDP("FNCC0265 Mtge","GENERIC_TICKER_VINTAGE")</f>
        <v>FNCL 6 2025</v>
      </c>
      <c r="D885" t="str">
        <f>_xll.BDP("FNCC0265 Mtge","CRNCY")</f>
        <v>USD</v>
      </c>
      <c r="E885">
        <v>86358808</v>
      </c>
      <c r="F885">
        <f>_xll.BDP("FNCC0265 Mtge","CPN")</f>
        <v>6</v>
      </c>
      <c r="G885">
        <f>_xll.BDP("FNCC0265 Mtge","MTG_FACTOR")</f>
        <v>0.90790219000000005</v>
      </c>
      <c r="H885">
        <f>_xll.BDP("FNCC0265 Mtge","MTG_WAL")</f>
        <v>3.2002999999999999</v>
      </c>
      <c r="I885" t="str">
        <f>_xll.BDP("FNCC0265 Mtge","MTG_ORIG_WAL")</f>
        <v>#N/A N/A</v>
      </c>
    </row>
    <row r="886" spans="1:9" x14ac:dyDescent="0.25">
      <c r="A886" t="str">
        <f>_xll.BDP("FNCC0405 Mtge","ID_CUSIP")</f>
        <v>3140Y6NX4</v>
      </c>
      <c r="B886" t="str">
        <f>_xll.BDP("FNCC0405 Mtge","SECURITY_NAME")</f>
        <v>FN CC0405</v>
      </c>
      <c r="C886" t="str">
        <f>_xll.BDP("FNCC0405 Mtge","GENERIC_TICKER_VINTAGE")</f>
        <v>FNCL 6 2025</v>
      </c>
      <c r="D886" t="str">
        <f>_xll.BDP("FNCC0405 Mtge","CRNCY")</f>
        <v>USD</v>
      </c>
      <c r="E886">
        <v>151370920</v>
      </c>
      <c r="F886">
        <f>_xll.BDP("FNCC0405 Mtge","CPN")</f>
        <v>6</v>
      </c>
      <c r="G886">
        <f>_xll.BDP("FNCC0405 Mtge","MTG_FACTOR")</f>
        <v>0.91239661999999999</v>
      </c>
      <c r="H886">
        <f>_xll.BDP("FNCC0405 Mtge","MTG_WAL")</f>
        <v>3.2448999999999999</v>
      </c>
      <c r="I886" t="str">
        <f>_xll.BDP("FNCC0405 Mtge","MTG_ORIG_WAL")</f>
        <v>#N/A N/A</v>
      </c>
    </row>
    <row r="887" spans="1:9" x14ac:dyDescent="0.25">
      <c r="A887" t="str">
        <f>_xll.BDP("FNCC0438 Mtge","ID_CUSIP")</f>
        <v>3140Y6PY0</v>
      </c>
      <c r="B887" t="str">
        <f>_xll.BDP("FNCC0438 Mtge","SECURITY_NAME")</f>
        <v>FN CC0438</v>
      </c>
      <c r="C887" t="str">
        <f>_xll.BDP("FNCC0438 Mtge","GENERIC_TICKER_VINTAGE")</f>
        <v>FNCL 6 2025</v>
      </c>
      <c r="D887" t="str">
        <f>_xll.BDP("FNCC0438 Mtge","CRNCY")</f>
        <v>USD</v>
      </c>
      <c r="E887">
        <v>119843795</v>
      </c>
      <c r="F887">
        <f>_xll.BDP("FNCC0438 Mtge","CPN")</f>
        <v>6</v>
      </c>
      <c r="G887">
        <f>_xll.BDP("FNCC0438 Mtge","MTG_FACTOR")</f>
        <v>0.81480863999999997</v>
      </c>
      <c r="H887">
        <f>_xll.BDP("FNCC0438 Mtge","MTG_WAL")</f>
        <v>3.2473000000000001</v>
      </c>
      <c r="I887" t="str">
        <f>_xll.BDP("FNCC0438 Mtge","MTG_ORIG_WAL")</f>
        <v>#N/A N/A</v>
      </c>
    </row>
    <row r="888" spans="1:9" x14ac:dyDescent="0.25">
      <c r="A888" t="str">
        <f>_xll.BDP("FNCC0440 Mtge","ID_CUSIP")</f>
        <v>3140Y6P20</v>
      </c>
      <c r="B888" t="str">
        <f>_xll.BDP("FNCC0440 Mtge","SECURITY_NAME")</f>
        <v>FN CC0440</v>
      </c>
      <c r="C888" t="str">
        <f>_xll.BDP("FNCC0440 Mtge","GENERIC_TICKER_VINTAGE")</f>
        <v>FNCL 6 2025</v>
      </c>
      <c r="D888" t="str">
        <f>_xll.BDP("FNCC0440 Mtge","CRNCY")</f>
        <v>USD</v>
      </c>
      <c r="E888">
        <v>69047860</v>
      </c>
      <c r="F888">
        <f>_xll.BDP("FNCC0440 Mtge","CPN")</f>
        <v>6</v>
      </c>
      <c r="G888">
        <f>_xll.BDP("FNCC0440 Mtge","MTG_FACTOR")</f>
        <v>0.83263670999999995</v>
      </c>
      <c r="H888">
        <f>_xll.BDP("FNCC0440 Mtge","MTG_WAL")</f>
        <v>3.2433999999999998</v>
      </c>
      <c r="I888" t="str">
        <f>_xll.BDP("FNCC0440 Mtge","MTG_ORIG_WAL")</f>
        <v>#N/A N/A</v>
      </c>
    </row>
    <row r="889" spans="1:9" x14ac:dyDescent="0.25">
      <c r="A889" t="str">
        <f>_xll.BDP("FNCC0518 Mtge","ID_CUSIP")</f>
        <v>3140Y6SG6</v>
      </c>
      <c r="B889" t="str">
        <f>_xll.BDP("FNCC0518 Mtge","SECURITY_NAME")</f>
        <v>FN CC0518</v>
      </c>
      <c r="C889" t="str">
        <f>_xll.BDP("FNCC0518 Mtge","GENERIC_TICKER_VINTAGE")</f>
        <v>FNCL 6 2025</v>
      </c>
      <c r="D889" t="str">
        <f>_xll.BDP("FNCC0518 Mtge","CRNCY")</f>
        <v>USD</v>
      </c>
      <c r="E889">
        <v>2638974</v>
      </c>
      <c r="F889">
        <f>_xll.BDP("FNCC0518 Mtge","CPN")</f>
        <v>6</v>
      </c>
      <c r="G889">
        <f>_xll.BDP("FNCC0518 Mtge","MTG_FACTOR")</f>
        <v>0.98596744000000003</v>
      </c>
      <c r="H889">
        <f>_xll.BDP("FNCC0518 Mtge","MTG_WAL")</f>
        <v>3.2864</v>
      </c>
      <c r="I889" t="str">
        <f>_xll.BDP("FNCC0518 Mtge","MTG_ORIG_WAL")</f>
        <v>#N/A N/A</v>
      </c>
    </row>
    <row r="890" spans="1:9" x14ac:dyDescent="0.25">
      <c r="A890" t="str">
        <f>_xll.BDP("FNCC0624 Mtge","ID_CUSIP")</f>
        <v>3140Y6VS6</v>
      </c>
      <c r="B890" t="str">
        <f>_xll.BDP("FNCC0624 Mtge","SECURITY_NAME")</f>
        <v>FN CC0624</v>
      </c>
      <c r="C890" t="str">
        <f>_xll.BDP("FNCC0624 Mtge","GENERIC_TICKER_VINTAGE")</f>
        <v>FNCL 6 2025</v>
      </c>
      <c r="D890" t="str">
        <f>_xll.BDP("FNCC0624 Mtge","CRNCY")</f>
        <v>USD</v>
      </c>
      <c r="E890">
        <v>1067892</v>
      </c>
      <c r="F890">
        <f>_xll.BDP("FNCC0624 Mtge","CPN")</f>
        <v>6</v>
      </c>
      <c r="G890">
        <f>_xll.BDP("FNCC0624 Mtge","MTG_FACTOR")</f>
        <v>0.99142739999999996</v>
      </c>
      <c r="H890">
        <f>_xll.BDP("FNCC0624 Mtge","MTG_WAL")</f>
        <v>3.3445999999999998</v>
      </c>
      <c r="I890" t="str">
        <f>_xll.BDP("FNCC0624 Mtge","MTG_ORIG_WAL")</f>
        <v>#N/A N/A</v>
      </c>
    </row>
    <row r="891" spans="1:9" x14ac:dyDescent="0.25">
      <c r="A891" t="str">
        <f>_xll.BDP("FNCC0724 Mtge","ID_CUSIP")</f>
        <v>3140Y6YW4</v>
      </c>
      <c r="B891" t="str">
        <f>_xll.BDP("FNCC0724 Mtge","SECURITY_NAME")</f>
        <v>FN CC0724</v>
      </c>
      <c r="C891" t="str">
        <f>_xll.BDP("FNCC0724 Mtge","GENERIC_TICKER_VINTAGE")</f>
        <v>FNCL 6 2025</v>
      </c>
      <c r="D891" t="str">
        <f>_xll.BDP("FNCC0724 Mtge","CRNCY")</f>
        <v>USD</v>
      </c>
      <c r="E891">
        <v>27429263</v>
      </c>
      <c r="F891">
        <f>_xll.BDP("FNCC0724 Mtge","CPN")</f>
        <v>6</v>
      </c>
      <c r="G891">
        <f>_xll.BDP("FNCC0724 Mtge","MTG_FACTOR")</f>
        <v>0.87768908999999995</v>
      </c>
      <c r="H891">
        <f>_xll.BDP("FNCC0724 Mtge","MTG_WAL")</f>
        <v>3.3393999999999999</v>
      </c>
      <c r="I891" t="str">
        <f>_xll.BDP("FNCC0724 Mtge","MTG_ORIG_WAL")</f>
        <v>#N/A N/A</v>
      </c>
    </row>
    <row r="892" spans="1:9" x14ac:dyDescent="0.25">
      <c r="A892" t="str">
        <f>_xll.BDP("FNDB2910 Mtge","ID_CUSIP")</f>
        <v>3140ACGU1</v>
      </c>
      <c r="B892" t="str">
        <f>_xll.BDP("FNDB2910 Mtge","SECURITY_NAME")</f>
        <v>FN DB2910</v>
      </c>
      <c r="C892" t="str">
        <f>_xll.BDP("FNDB2910 Mtge","GENERIC_TICKER_VINTAGE")</f>
        <v>FNCL 6 2025</v>
      </c>
      <c r="D892" t="str">
        <f>_xll.BDP("FNDB2910 Mtge","CRNCY")</f>
        <v>USD</v>
      </c>
      <c r="E892">
        <v>9091366</v>
      </c>
      <c r="F892">
        <f>_xll.BDP("FNDB2910 Mtge","CPN")</f>
        <v>6</v>
      </c>
      <c r="G892">
        <f>_xll.BDP("FNDB2910 Mtge","MTG_FACTOR")</f>
        <v>0.90091160000000003</v>
      </c>
      <c r="H892">
        <f>_xll.BDP("FNDB2910 Mtge","MTG_WAL")</f>
        <v>3.3995000000000002</v>
      </c>
      <c r="I892" t="str">
        <f>_xll.BDP("FNDB2910 Mtge","MTG_ORIG_WAL")</f>
        <v>#N/A N/A</v>
      </c>
    </row>
    <row r="893" spans="1:9" x14ac:dyDescent="0.25">
      <c r="A893" t="str">
        <f>_xll.BDP("FNDC0761 Mtge","ID_CUSIP")</f>
        <v>3140AMZ38</v>
      </c>
      <c r="B893" t="str">
        <f>_xll.BDP("FNDC0761 Mtge","SECURITY_NAME")</f>
        <v>FN DC0761</v>
      </c>
      <c r="C893" t="str">
        <f>_xll.BDP("FNDC0761 Mtge","GENERIC_TICKER_VINTAGE")</f>
        <v>FNCL 6 2025</v>
      </c>
      <c r="D893" t="str">
        <f>_xll.BDP("FNDC0761 Mtge","CRNCY")</f>
        <v>USD</v>
      </c>
      <c r="E893">
        <v>2038110</v>
      </c>
      <c r="F893">
        <f>_xll.BDP("FNDC0761 Mtge","CPN")</f>
        <v>6</v>
      </c>
      <c r="G893">
        <f>_xll.BDP("FNDC0761 Mtge","MTG_FACTOR")</f>
        <v>0.98849628</v>
      </c>
      <c r="H893">
        <f>_xll.BDP("FNDC0761 Mtge","MTG_WAL")</f>
        <v>3.1613000000000002</v>
      </c>
      <c r="I893" t="str">
        <f>_xll.BDP("FNDC0761 Mtge","MTG_ORIG_WAL")</f>
        <v>#N/A N/A</v>
      </c>
    </row>
    <row r="894" spans="1:9" x14ac:dyDescent="0.25">
      <c r="A894" t="str">
        <f>_xll.BDP("FNDC0881 Mtge","ID_CUSIP")</f>
        <v>3140AM6T3</v>
      </c>
      <c r="B894" t="str">
        <f>_xll.BDP("FNDC0881 Mtge","SECURITY_NAME")</f>
        <v>FN DC0881</v>
      </c>
      <c r="C894" t="str">
        <f>_xll.BDP("FNDC0881 Mtge","GENERIC_TICKER_VINTAGE")</f>
        <v>FNCL 6 2025</v>
      </c>
      <c r="D894" t="str">
        <f>_xll.BDP("FNDC0881 Mtge","CRNCY")</f>
        <v>USD</v>
      </c>
      <c r="E894">
        <v>4986825</v>
      </c>
      <c r="F894">
        <f>_xll.BDP("FNDC0881 Mtge","CPN")</f>
        <v>6</v>
      </c>
      <c r="G894">
        <f>_xll.BDP("FNDC0881 Mtge","MTG_FACTOR")</f>
        <v>0.89168477999999995</v>
      </c>
      <c r="H894">
        <f>_xll.BDP("FNDC0881 Mtge","MTG_WAL")</f>
        <v>3.1882000000000001</v>
      </c>
      <c r="I894" t="str">
        <f>_xll.BDP("FNDC0881 Mtge","MTG_ORIG_WAL")</f>
        <v>#N/A N/A</v>
      </c>
    </row>
    <row r="895" spans="1:9" x14ac:dyDescent="0.25">
      <c r="A895" t="str">
        <f>_xll.BDP("FNDC8180 Mtge","ID_CUSIP")</f>
        <v>3140AWCS6</v>
      </c>
      <c r="B895" t="str">
        <f>_xll.BDP("FNDC8180 Mtge","SECURITY_NAME")</f>
        <v>FN DC8180</v>
      </c>
      <c r="C895" t="str">
        <f>_xll.BDP("FNDC8180 Mtge","GENERIC_TICKER_VINTAGE")</f>
        <v>FNCL 6 2025</v>
      </c>
      <c r="D895" t="str">
        <f>_xll.BDP("FNDC8180 Mtge","CRNCY")</f>
        <v>USD</v>
      </c>
      <c r="E895">
        <v>6605670</v>
      </c>
      <c r="F895">
        <f>_xll.BDP("FNDC8180 Mtge","CPN")</f>
        <v>6</v>
      </c>
      <c r="G895">
        <f>_xll.BDP("FNDC8180 Mtge","MTG_FACTOR")</f>
        <v>0.89727087000000005</v>
      </c>
      <c r="H895">
        <f>_xll.BDP("FNDC8180 Mtge","MTG_WAL")</f>
        <v>3.2042000000000002</v>
      </c>
      <c r="I895" t="str">
        <f>_xll.BDP("FNDC8180 Mtge","MTG_ORIG_WAL")</f>
        <v>#N/A N/A</v>
      </c>
    </row>
    <row r="896" spans="1:9" x14ac:dyDescent="0.25">
      <c r="A896" t="str">
        <f>_xll.BDP("FNDC8193 Mtge","ID_CUSIP")</f>
        <v>3140AWC72</v>
      </c>
      <c r="B896" t="str">
        <f>_xll.BDP("FNDC8193 Mtge","SECURITY_NAME")</f>
        <v>FN DC8193</v>
      </c>
      <c r="C896" t="str">
        <f>_xll.BDP("FNDC8193 Mtge","GENERIC_TICKER_VINTAGE")</f>
        <v>FNCL 6 2025</v>
      </c>
      <c r="D896" t="str">
        <f>_xll.BDP("FNDC8193 Mtge","CRNCY")</f>
        <v>USD</v>
      </c>
      <c r="E896">
        <v>1425946</v>
      </c>
      <c r="F896">
        <f>_xll.BDP("FNDC8193 Mtge","CPN")</f>
        <v>6</v>
      </c>
      <c r="G896">
        <f>_xll.BDP("FNDC8193 Mtge","MTG_FACTOR")</f>
        <v>0.98959443999999996</v>
      </c>
      <c r="H896">
        <f>_xll.BDP("FNDC8193 Mtge","MTG_WAL")</f>
        <v>3.2012999999999998</v>
      </c>
      <c r="I896" t="str">
        <f>_xll.BDP("FNDC8193 Mtge","MTG_ORIG_WAL")</f>
        <v>#N/A N/A</v>
      </c>
    </row>
    <row r="897" spans="1:9" x14ac:dyDescent="0.25">
      <c r="A897" t="str">
        <f>_xll.BDP("FNDC8198 Mtge","ID_CUSIP")</f>
        <v>3140AWDC0</v>
      </c>
      <c r="B897" t="str">
        <f>_xll.BDP("FNDC8198 Mtge","SECURITY_NAME")</f>
        <v>FN DC8198</v>
      </c>
      <c r="C897" t="str">
        <f>_xll.BDP("FNDC8198 Mtge","GENERIC_TICKER_VINTAGE")</f>
        <v>FNCL 6 2025</v>
      </c>
      <c r="D897" t="str">
        <f>_xll.BDP("FNDC8198 Mtge","CRNCY")</f>
        <v>USD</v>
      </c>
      <c r="E897">
        <v>3515524</v>
      </c>
      <c r="F897">
        <f>_xll.BDP("FNDC8198 Mtge","CPN")</f>
        <v>6</v>
      </c>
      <c r="G897">
        <f>_xll.BDP("FNDC8198 Mtge","MTG_FACTOR")</f>
        <v>0.78704225000000005</v>
      </c>
      <c r="H897">
        <f>_xll.BDP("FNDC8198 Mtge","MTG_WAL")</f>
        <v>3.2507000000000001</v>
      </c>
      <c r="I897" t="str">
        <f>_xll.BDP("FNDC8198 Mtge","MTG_ORIG_WAL")</f>
        <v>#N/A N/A</v>
      </c>
    </row>
    <row r="898" spans="1:9" x14ac:dyDescent="0.25">
      <c r="A898" t="str">
        <f>_xll.BDP("FNDC8217 Mtge","ID_CUSIP")</f>
        <v>3140AWDX4</v>
      </c>
      <c r="B898" t="str">
        <f>_xll.BDP("FNDC8217 Mtge","SECURITY_NAME")</f>
        <v>FN DC8217</v>
      </c>
      <c r="C898" t="str">
        <f>_xll.BDP("FNDC8217 Mtge","GENERIC_TICKER_VINTAGE")</f>
        <v>FNCL 6 2025</v>
      </c>
      <c r="D898" t="str">
        <f>_xll.BDP("FNDC8217 Mtge","CRNCY")</f>
        <v>USD</v>
      </c>
      <c r="E898">
        <v>6807315</v>
      </c>
      <c r="F898">
        <f>_xll.BDP("FNDC8217 Mtge","CPN")</f>
        <v>6</v>
      </c>
      <c r="G898">
        <f>_xll.BDP("FNDC8217 Mtge","MTG_FACTOR")</f>
        <v>0.92362381000000005</v>
      </c>
      <c r="H898">
        <f>_xll.BDP("FNDC8217 Mtge","MTG_WAL")</f>
        <v>3.2858000000000001</v>
      </c>
      <c r="I898" t="str">
        <f>_xll.BDP("FNDC8217 Mtge","MTG_ORIG_WAL")</f>
        <v>#N/A N/A</v>
      </c>
    </row>
    <row r="899" spans="1:9" x14ac:dyDescent="0.25">
      <c r="A899" t="str">
        <f>_xll.BDP("FNDD0757 Mtge","ID_CUSIP")</f>
        <v>3140B0ZX9</v>
      </c>
      <c r="B899" t="str">
        <f>_xll.BDP("FNDD0757 Mtge","SECURITY_NAME")</f>
        <v>FN DD0757</v>
      </c>
      <c r="C899" t="str">
        <f>_xll.BDP("FNDD0757 Mtge","GENERIC_TICKER_VINTAGE")</f>
        <v>FNCL 6 2025</v>
      </c>
      <c r="D899" t="str">
        <f>_xll.BDP("FNDD0757 Mtge","CRNCY")</f>
        <v>USD</v>
      </c>
      <c r="E899">
        <v>1065847</v>
      </c>
      <c r="F899">
        <f>_xll.BDP("FNDD0757 Mtge","CPN")</f>
        <v>6</v>
      </c>
      <c r="G899">
        <f>_xll.BDP("FNDD0757 Mtge","MTG_FACTOR")</f>
        <v>0.62260641999999999</v>
      </c>
      <c r="H899">
        <f>_xll.BDP("FNDD0757 Mtge","MTG_WAL")</f>
        <v>3.1587000000000001</v>
      </c>
      <c r="I899" t="str">
        <f>_xll.BDP("FNDD0757 Mtge","MTG_ORIG_WAL")</f>
        <v>#N/A N/A</v>
      </c>
    </row>
    <row r="900" spans="1:9" x14ac:dyDescent="0.25">
      <c r="A900" t="str">
        <f>_xll.BDP("FNDD0790 Mtge","ID_CUSIP")</f>
        <v>3140B02Y3</v>
      </c>
      <c r="B900" t="str">
        <f>_xll.BDP("FNDD0790 Mtge","SECURITY_NAME")</f>
        <v>FN DD0790</v>
      </c>
      <c r="C900" t="str">
        <f>_xll.BDP("FNDD0790 Mtge","GENERIC_TICKER_VINTAGE")</f>
        <v>FNCL 6 2025</v>
      </c>
      <c r="D900" t="str">
        <f>_xll.BDP("FNDD0790 Mtge","CRNCY")</f>
        <v>USD</v>
      </c>
      <c r="E900">
        <v>3234501</v>
      </c>
      <c r="F900">
        <f>_xll.BDP("FNDD0790 Mtge","CPN")</f>
        <v>6</v>
      </c>
      <c r="G900">
        <f>_xll.BDP("FNDD0790 Mtge","MTG_FACTOR")</f>
        <v>0.93210999000000005</v>
      </c>
      <c r="H900">
        <f>_xll.BDP("FNDD0790 Mtge","MTG_WAL")</f>
        <v>3.1591999999999998</v>
      </c>
      <c r="I900" t="str">
        <f>_xll.BDP("FNDD0790 Mtge","MTG_ORIG_WAL")</f>
        <v>#N/A N/A</v>
      </c>
    </row>
    <row r="901" spans="1:9" x14ac:dyDescent="0.25">
      <c r="A901" t="str">
        <f>_xll.BDP("FNDD1171 Mtge","ID_CUSIP")</f>
        <v>3140B1JR8</v>
      </c>
      <c r="B901" t="str">
        <f>_xll.BDP("FNDD1171 Mtge","SECURITY_NAME")</f>
        <v>FN DD1171</v>
      </c>
      <c r="C901" t="str">
        <f>_xll.BDP("FNDD1171 Mtge","GENERIC_TICKER_VINTAGE")</f>
        <v>FNCL 6 2025</v>
      </c>
      <c r="D901" t="str">
        <f>_xll.BDP("FNDD1171 Mtge","CRNCY")</f>
        <v>USD</v>
      </c>
      <c r="E901">
        <v>1631218</v>
      </c>
      <c r="F901">
        <f>_xll.BDP("FNDD1171 Mtge","CPN")</f>
        <v>6</v>
      </c>
      <c r="G901">
        <f>_xll.BDP("FNDD1171 Mtge","MTG_FACTOR")</f>
        <v>0.89517800000000003</v>
      </c>
      <c r="H901">
        <f>_xll.BDP("FNDD1171 Mtge","MTG_WAL")</f>
        <v>3.1417999999999999</v>
      </c>
      <c r="I901" t="str">
        <f>_xll.BDP("FNDD1171 Mtge","MTG_ORIG_WAL")</f>
        <v>#N/A N/A</v>
      </c>
    </row>
    <row r="902" spans="1:9" x14ac:dyDescent="0.25">
      <c r="A902" t="str">
        <f>_xll.BDP("FNDD1929 Mtge","ID_CUSIP")</f>
        <v>3140B2EB6</v>
      </c>
      <c r="B902" t="str">
        <f>_xll.BDP("FNDD1929 Mtge","SECURITY_NAME")</f>
        <v>FN DD1929</v>
      </c>
      <c r="C902" t="str">
        <f>_xll.BDP("FNDD1929 Mtge","GENERIC_TICKER_VINTAGE")</f>
        <v>FNCL 6 2025</v>
      </c>
      <c r="D902" t="str">
        <f>_xll.BDP("FNDD1929 Mtge","CRNCY")</f>
        <v>USD</v>
      </c>
      <c r="E902">
        <v>11663212</v>
      </c>
      <c r="F902">
        <f>_xll.BDP("FNDD1929 Mtge","CPN")</f>
        <v>6</v>
      </c>
      <c r="G902">
        <f>_xll.BDP("FNDD1929 Mtge","MTG_FACTOR")</f>
        <v>0.76318361000000001</v>
      </c>
      <c r="H902">
        <f>_xll.BDP("FNDD1929 Mtge","MTG_WAL")</f>
        <v>3.1608999999999998</v>
      </c>
      <c r="I902" t="str">
        <f>_xll.BDP("FNDD1929 Mtge","MTG_ORIG_WAL")</f>
        <v>#N/A N/A</v>
      </c>
    </row>
    <row r="903" spans="1:9" x14ac:dyDescent="0.25">
      <c r="A903" t="str">
        <f>_xll.BDP("FNDD2703 Mtge","ID_CUSIP")</f>
        <v>3140B3AD4</v>
      </c>
      <c r="B903" t="str">
        <f>_xll.BDP("FNDD2703 Mtge","SECURITY_NAME")</f>
        <v>FN DD2703</v>
      </c>
      <c r="C903" t="str">
        <f>_xll.BDP("FNDD2703 Mtge","GENERIC_TICKER_VINTAGE")</f>
        <v>FNCL 6 2025</v>
      </c>
      <c r="D903" t="str">
        <f>_xll.BDP("FNDD2703 Mtge","CRNCY")</f>
        <v>USD</v>
      </c>
      <c r="E903">
        <v>6563674</v>
      </c>
      <c r="F903">
        <f>_xll.BDP("FNDD2703 Mtge","CPN")</f>
        <v>6</v>
      </c>
      <c r="G903">
        <f>_xll.BDP("FNDD2703 Mtge","MTG_FACTOR")</f>
        <v>0.93163742000000005</v>
      </c>
      <c r="H903">
        <f>_xll.BDP("FNDD2703 Mtge","MTG_WAL")</f>
        <v>3.2915000000000001</v>
      </c>
      <c r="I903" t="str">
        <f>_xll.BDP("FNDD2703 Mtge","MTG_ORIG_WAL")</f>
        <v>#N/A N/A</v>
      </c>
    </row>
    <row r="904" spans="1:9" x14ac:dyDescent="0.25">
      <c r="A904" t="str">
        <f>_xll.BDP("FNDD2989 Mtge","ID_CUSIP")</f>
        <v>3140B3KB7</v>
      </c>
      <c r="B904" t="str">
        <f>_xll.BDP("FNDD2989 Mtge","SECURITY_NAME")</f>
        <v>FN DD2989</v>
      </c>
      <c r="C904" t="str">
        <f>_xll.BDP("FNDD2989 Mtge","GENERIC_TICKER_VINTAGE")</f>
        <v>FNCL 6 2025</v>
      </c>
      <c r="D904" t="str">
        <f>_xll.BDP("FNDD2989 Mtge","CRNCY")</f>
        <v>USD</v>
      </c>
      <c r="E904">
        <v>4697102</v>
      </c>
      <c r="F904">
        <f>_xll.BDP("FNDD2989 Mtge","CPN")</f>
        <v>6</v>
      </c>
      <c r="G904">
        <f>_xll.BDP("FNDD2989 Mtge","MTG_FACTOR")</f>
        <v>0.81657294999999996</v>
      </c>
      <c r="H904">
        <f>_xll.BDP("FNDD2989 Mtge","MTG_WAL")</f>
        <v>3.1522000000000001</v>
      </c>
      <c r="I904" t="str">
        <f>_xll.BDP("FNDD2989 Mtge","MTG_ORIG_WAL")</f>
        <v>#N/A N/A</v>
      </c>
    </row>
    <row r="905" spans="1:9" x14ac:dyDescent="0.25">
      <c r="A905" t="str">
        <f>_xll.BDP("FNDD3049 Mtge","ID_CUSIP")</f>
        <v>3140B3L75</v>
      </c>
      <c r="B905" t="str">
        <f>_xll.BDP("FNDD3049 Mtge","SECURITY_NAME")</f>
        <v>FN DD3049</v>
      </c>
      <c r="C905" t="str">
        <f>_xll.BDP("FNDD3049 Mtge","GENERIC_TICKER_VINTAGE")</f>
        <v>FNCL 6 2025</v>
      </c>
      <c r="D905" t="str">
        <f>_xll.BDP("FNDD3049 Mtge","CRNCY")</f>
        <v>USD</v>
      </c>
      <c r="E905">
        <v>2368538</v>
      </c>
      <c r="F905">
        <f>_xll.BDP("FNDD3049 Mtge","CPN")</f>
        <v>6</v>
      </c>
      <c r="G905">
        <f>_xll.BDP("FNDD3049 Mtge","MTG_FACTOR")</f>
        <v>0.91145858999999996</v>
      </c>
      <c r="H905">
        <f>_xll.BDP("FNDD3049 Mtge","MTG_WAL")</f>
        <v>3.2017000000000002</v>
      </c>
      <c r="I905" t="str">
        <f>_xll.BDP("FNDD3049 Mtge","MTG_ORIG_WAL")</f>
        <v>#N/A N/A</v>
      </c>
    </row>
    <row r="906" spans="1:9" x14ac:dyDescent="0.25">
      <c r="A906" t="str">
        <f>_xll.BDP("FNDD3734 Mtge","ID_CUSIP")</f>
        <v>3140B4EG1</v>
      </c>
      <c r="B906" t="str">
        <f>_xll.BDP("FNDD3734 Mtge","SECURITY_NAME")</f>
        <v>FN DD3734</v>
      </c>
      <c r="C906" t="str">
        <f>_xll.BDP("FNDD3734 Mtge","GENERIC_TICKER_VINTAGE")</f>
        <v>FNCL 6 2025</v>
      </c>
      <c r="D906" t="str">
        <f>_xll.BDP("FNDD3734 Mtge","CRNCY")</f>
        <v>USD</v>
      </c>
      <c r="E906">
        <v>1926445</v>
      </c>
      <c r="F906">
        <f>_xll.BDP("FNDD3734 Mtge","CPN")</f>
        <v>6</v>
      </c>
      <c r="G906">
        <f>_xll.BDP("FNDD3734 Mtge","MTG_FACTOR")</f>
        <v>0.85895792999999998</v>
      </c>
      <c r="H906">
        <f>_xll.BDP("FNDD3734 Mtge","MTG_WAL")</f>
        <v>3.1541000000000001</v>
      </c>
      <c r="I906" t="str">
        <f>_xll.BDP("FNDD3734 Mtge","MTG_ORIG_WAL")</f>
        <v>#N/A N/A</v>
      </c>
    </row>
    <row r="907" spans="1:9" x14ac:dyDescent="0.25">
      <c r="A907" t="str">
        <f>_xll.BDP("FNDD3824 Mtge","ID_CUSIP")</f>
        <v>3140B4HA1</v>
      </c>
      <c r="B907" t="str">
        <f>_xll.BDP("FNDD3824 Mtge","SECURITY_NAME")</f>
        <v>FN DD3824</v>
      </c>
      <c r="C907" t="str">
        <f>_xll.BDP("FNDD3824 Mtge","GENERIC_TICKER_VINTAGE")</f>
        <v>FNCL 6 2025</v>
      </c>
      <c r="D907" t="str">
        <f>_xll.BDP("FNDD3824 Mtge","CRNCY")</f>
        <v>USD</v>
      </c>
      <c r="E907">
        <v>3680111</v>
      </c>
      <c r="F907">
        <f>_xll.BDP("FNDD3824 Mtge","CPN")</f>
        <v>6</v>
      </c>
      <c r="G907">
        <f>_xll.BDP("FNDD3824 Mtge","MTG_FACTOR")</f>
        <v>0.84886240999999996</v>
      </c>
      <c r="H907">
        <f>_xll.BDP("FNDD3824 Mtge","MTG_WAL")</f>
        <v>3.2040999999999999</v>
      </c>
      <c r="I907" t="str">
        <f>_xll.BDP("FNDD3824 Mtge","MTG_ORIG_WAL")</f>
        <v>#N/A N/A</v>
      </c>
    </row>
    <row r="908" spans="1:9" x14ac:dyDescent="0.25">
      <c r="A908" t="str">
        <f>_xll.BDP("FNDD4180 Mtge","ID_CUSIP")</f>
        <v>3140B4UE8</v>
      </c>
      <c r="B908" t="str">
        <f>_xll.BDP("FNDD4180 Mtge","SECURITY_NAME")</f>
        <v>FN DD4180</v>
      </c>
      <c r="C908" t="str">
        <f>_xll.BDP("FNDD4180 Mtge","GENERIC_TICKER_VINTAGE")</f>
        <v>FNCL 6 2025</v>
      </c>
      <c r="D908" t="str">
        <f>_xll.BDP("FNDD4180 Mtge","CRNCY")</f>
        <v>USD</v>
      </c>
      <c r="E908">
        <v>2291678</v>
      </c>
      <c r="F908">
        <f>_xll.BDP("FNDD4180 Mtge","CPN")</f>
        <v>6</v>
      </c>
      <c r="G908">
        <f>_xll.BDP("FNDD4180 Mtge","MTG_FACTOR")</f>
        <v>0.91061270000000005</v>
      </c>
      <c r="H908">
        <f>_xll.BDP("FNDD4180 Mtge","MTG_WAL")</f>
        <v>3.2462</v>
      </c>
      <c r="I908" t="str">
        <f>_xll.BDP("FNDD4180 Mtge","MTG_ORIG_WAL")</f>
        <v>#N/A N/A</v>
      </c>
    </row>
    <row r="909" spans="1:9" x14ac:dyDescent="0.25">
      <c r="A909" t="str">
        <f>_xll.BDP("FNDD4342 Mtge","ID_CUSIP")</f>
        <v>3140B4ZG8</v>
      </c>
      <c r="B909" t="str">
        <f>_xll.BDP("FNDD4342 Mtge","SECURITY_NAME")</f>
        <v>FN DD4342</v>
      </c>
      <c r="C909" t="str">
        <f>_xll.BDP("FNDD4342 Mtge","GENERIC_TICKER_VINTAGE")</f>
        <v>FNCL 6 2025</v>
      </c>
      <c r="D909" t="str">
        <f>_xll.BDP("FNDD4342 Mtge","CRNCY")</f>
        <v>USD</v>
      </c>
      <c r="E909">
        <v>7535362</v>
      </c>
      <c r="F909">
        <f>_xll.BDP("FNDD4342 Mtge","CPN")</f>
        <v>6</v>
      </c>
      <c r="G909">
        <f>_xll.BDP("FNDD4342 Mtge","MTG_FACTOR")</f>
        <v>0.91880320000000004</v>
      </c>
      <c r="H909">
        <f>_xll.BDP("FNDD4342 Mtge","MTG_WAL")</f>
        <v>3.2008999999999999</v>
      </c>
      <c r="I909" t="str">
        <f>_xll.BDP("FNDD4342 Mtge","MTG_ORIG_WAL")</f>
        <v>#N/A N/A</v>
      </c>
    </row>
    <row r="910" spans="1:9" x14ac:dyDescent="0.25">
      <c r="A910" t="str">
        <f>_xll.BDP("FNDD4369 Mtge","ID_CUSIP")</f>
        <v>3140B42B5</v>
      </c>
      <c r="B910" t="str">
        <f>_xll.BDP("FNDD4369 Mtge","SECURITY_NAME")</f>
        <v>FN DD4369</v>
      </c>
      <c r="C910" t="str">
        <f>_xll.BDP("FNDD4369 Mtge","GENERIC_TICKER_VINTAGE")</f>
        <v>FNCL 6 2025</v>
      </c>
      <c r="D910" t="str">
        <f>_xll.BDP("FNDD4369 Mtge","CRNCY")</f>
        <v>USD</v>
      </c>
      <c r="E910">
        <v>1790704</v>
      </c>
      <c r="F910">
        <f>_xll.BDP("FNDD4369 Mtge","CPN")</f>
        <v>6</v>
      </c>
      <c r="G910">
        <f>_xll.BDP("FNDD4369 Mtge","MTG_FACTOR")</f>
        <v>0.99005445000000003</v>
      </c>
      <c r="H910">
        <f>_xll.BDP("FNDD4369 Mtge","MTG_WAL")</f>
        <v>3.2069999999999999</v>
      </c>
      <c r="I910" t="str">
        <f>_xll.BDP("FNDD4369 Mtge","MTG_ORIG_WAL")</f>
        <v>#N/A N/A</v>
      </c>
    </row>
    <row r="911" spans="1:9" x14ac:dyDescent="0.25">
      <c r="A911" t="str">
        <f>_xll.BDP("FNDD4407 Mtge","ID_CUSIP")</f>
        <v>3140B43R9</v>
      </c>
      <c r="B911" t="str">
        <f>_xll.BDP("FNDD4407 Mtge","SECURITY_NAME")</f>
        <v>FN DD4407</v>
      </c>
      <c r="C911" t="str">
        <f>_xll.BDP("FNDD4407 Mtge","GENERIC_TICKER_VINTAGE")</f>
        <v>FNCL 6 2025</v>
      </c>
      <c r="D911" t="str">
        <f>_xll.BDP("FNDD4407 Mtge","CRNCY")</f>
        <v>USD</v>
      </c>
      <c r="E911">
        <v>33875548</v>
      </c>
      <c r="F911">
        <f>_xll.BDP("FNDD4407 Mtge","CPN")</f>
        <v>6</v>
      </c>
      <c r="G911">
        <f>_xll.BDP("FNDD4407 Mtge","MTG_FACTOR")</f>
        <v>0.81340570999999995</v>
      </c>
      <c r="H911">
        <f>_xll.BDP("FNDD4407 Mtge","MTG_WAL")</f>
        <v>3.2023000000000001</v>
      </c>
      <c r="I911" t="str">
        <f>_xll.BDP("FNDD4407 Mtge","MTG_ORIG_WAL")</f>
        <v>#N/A N/A</v>
      </c>
    </row>
    <row r="912" spans="1:9" x14ac:dyDescent="0.25">
      <c r="A912" t="str">
        <f>_xll.BDP("FNDD4434 Mtge","ID_CUSIP")</f>
        <v>3140B44U1</v>
      </c>
      <c r="B912" t="str">
        <f>_xll.BDP("FNDD4434 Mtge","SECURITY_NAME")</f>
        <v>FN DD4434</v>
      </c>
      <c r="C912" t="str">
        <f>_xll.BDP("FNDD4434 Mtge","GENERIC_TICKER_VINTAGE")</f>
        <v>FNCL 6 2025</v>
      </c>
      <c r="D912" t="str">
        <f>_xll.BDP("FNDD4434 Mtge","CRNCY")</f>
        <v>USD</v>
      </c>
      <c r="E912">
        <v>14980752</v>
      </c>
      <c r="F912">
        <f>_xll.BDP("FNDD4434 Mtge","CPN")</f>
        <v>6</v>
      </c>
      <c r="G912">
        <f>_xll.BDP("FNDD4434 Mtge","MTG_FACTOR")</f>
        <v>0.83831820000000001</v>
      </c>
      <c r="H912">
        <f>_xll.BDP("FNDD4434 Mtge","MTG_WAL")</f>
        <v>3.2027000000000001</v>
      </c>
      <c r="I912" t="str">
        <f>_xll.BDP("FNDD4434 Mtge","MTG_ORIG_WAL")</f>
        <v>#N/A N/A</v>
      </c>
    </row>
    <row r="913" spans="1:9" x14ac:dyDescent="0.25">
      <c r="A913" t="str">
        <f>_xll.BDP("FNDD4456 Mtge","ID_CUSIP")</f>
        <v>3140B45S5</v>
      </c>
      <c r="B913" t="str">
        <f>_xll.BDP("FNDD4456 Mtge","SECURITY_NAME")</f>
        <v>FN DD4456</v>
      </c>
      <c r="C913" t="str">
        <f>_xll.BDP("FNDD4456 Mtge","GENERIC_TICKER_VINTAGE")</f>
        <v>FNCL 6 2025</v>
      </c>
      <c r="D913" t="str">
        <f>_xll.BDP("FNDD4456 Mtge","CRNCY")</f>
        <v>USD</v>
      </c>
      <c r="E913">
        <v>31942858</v>
      </c>
      <c r="F913">
        <f>_xll.BDP("FNDD4456 Mtge","CPN")</f>
        <v>6</v>
      </c>
      <c r="G913">
        <f>_xll.BDP("FNDD4456 Mtge","MTG_FACTOR")</f>
        <v>0.79475746999999997</v>
      </c>
      <c r="H913">
        <f>_xll.BDP("FNDD4456 Mtge","MTG_WAL")</f>
        <v>3.2408000000000001</v>
      </c>
      <c r="I913" t="str">
        <f>_xll.BDP("FNDD4456 Mtge","MTG_ORIG_WAL")</f>
        <v>#N/A N/A</v>
      </c>
    </row>
    <row r="914" spans="1:9" x14ac:dyDescent="0.25">
      <c r="A914" t="str">
        <f>_xll.BDP("FNDD4678 Mtge","ID_CUSIP")</f>
        <v>3140B5FU6</v>
      </c>
      <c r="B914" t="str">
        <f>_xll.BDP("FNDD4678 Mtge","SECURITY_NAME")</f>
        <v>FN DD4678</v>
      </c>
      <c r="C914" t="str">
        <f>_xll.BDP("FNDD4678 Mtge","GENERIC_TICKER_VINTAGE")</f>
        <v>FNCL 6 2025</v>
      </c>
      <c r="D914" t="str">
        <f>_xll.BDP("FNDD4678 Mtge","CRNCY")</f>
        <v>USD</v>
      </c>
      <c r="E914">
        <v>5114773</v>
      </c>
      <c r="F914">
        <f>_xll.BDP("FNDD4678 Mtge","CPN")</f>
        <v>6</v>
      </c>
      <c r="G914">
        <f>_xll.BDP("FNDD4678 Mtge","MTG_FACTOR")</f>
        <v>0.96083616999999999</v>
      </c>
      <c r="H914">
        <f>_xll.BDP("FNDD4678 Mtge","MTG_WAL")</f>
        <v>3.2004000000000001</v>
      </c>
      <c r="I914" t="str">
        <f>_xll.BDP("FNDD4678 Mtge","MTG_ORIG_WAL")</f>
        <v>#N/A N/A</v>
      </c>
    </row>
    <row r="915" spans="1:9" x14ac:dyDescent="0.25">
      <c r="A915" t="str">
        <f>_xll.BDP("FNDD4905 Mtge","ID_CUSIP")</f>
        <v>3140B5NX1</v>
      </c>
      <c r="B915" t="str">
        <f>_xll.BDP("FNDD4905 Mtge","SECURITY_NAME")</f>
        <v>FN DD4905</v>
      </c>
      <c r="C915" t="str">
        <f>_xll.BDP("FNDD4905 Mtge","GENERIC_TICKER_VINTAGE")</f>
        <v>FNCL 6 2025</v>
      </c>
      <c r="D915" t="str">
        <f>_xll.BDP("FNDD4905 Mtge","CRNCY")</f>
        <v>USD</v>
      </c>
      <c r="E915">
        <v>3801125</v>
      </c>
      <c r="F915">
        <f>_xll.BDP("FNDD4905 Mtge","CPN")</f>
        <v>6</v>
      </c>
      <c r="G915">
        <f>_xll.BDP("FNDD4905 Mtge","MTG_FACTOR")</f>
        <v>0.98064203999999999</v>
      </c>
      <c r="H915">
        <f>_xll.BDP("FNDD4905 Mtge","MTG_WAL")</f>
        <v>3.1574</v>
      </c>
      <c r="I915" t="str">
        <f>_xll.BDP("FNDD4905 Mtge","MTG_ORIG_WAL")</f>
        <v>#N/A N/A</v>
      </c>
    </row>
    <row r="916" spans="1:9" x14ac:dyDescent="0.25">
      <c r="A916" t="str">
        <f>_xll.BDP("FNDD5162 Mtge","ID_CUSIP")</f>
        <v>3140B5WY9</v>
      </c>
      <c r="B916" t="str">
        <f>_xll.BDP("FNDD5162 Mtge","SECURITY_NAME")</f>
        <v>FN DD5162</v>
      </c>
      <c r="C916" t="str">
        <f>_xll.BDP("FNDD5162 Mtge","GENERIC_TICKER_VINTAGE")</f>
        <v>FNCL 6 2025</v>
      </c>
      <c r="D916" t="str">
        <f>_xll.BDP("FNDD5162 Mtge","CRNCY")</f>
        <v>USD</v>
      </c>
      <c r="E916">
        <v>29413967</v>
      </c>
      <c r="F916">
        <f>_xll.BDP("FNDD5162 Mtge","CPN")</f>
        <v>6</v>
      </c>
      <c r="G916">
        <f>_xll.BDP("FNDD5162 Mtge","MTG_FACTOR")</f>
        <v>0.92389175999999995</v>
      </c>
      <c r="H916">
        <f>_xll.BDP("FNDD5162 Mtge","MTG_WAL")</f>
        <v>3.2425000000000002</v>
      </c>
      <c r="I916" t="str">
        <f>_xll.BDP("FNDD5162 Mtge","MTG_ORIG_WAL")</f>
        <v>#N/A N/A</v>
      </c>
    </row>
    <row r="917" spans="1:9" x14ac:dyDescent="0.25">
      <c r="A917" t="str">
        <f>_xll.BDP("FNDD5175 Mtge","ID_CUSIP")</f>
        <v>3140B5XD4</v>
      </c>
      <c r="B917" t="str">
        <f>_xll.BDP("FNDD5175 Mtge","SECURITY_NAME")</f>
        <v>FN DD5175</v>
      </c>
      <c r="C917" t="str">
        <f>_xll.BDP("FNDD5175 Mtge","GENERIC_TICKER_VINTAGE")</f>
        <v>FNCL 6 2025</v>
      </c>
      <c r="D917" t="str">
        <f>_xll.BDP("FNDD5175 Mtge","CRNCY")</f>
        <v>USD</v>
      </c>
      <c r="E917">
        <v>6763295</v>
      </c>
      <c r="F917">
        <f>_xll.BDP("FNDD5175 Mtge","CPN")</f>
        <v>6</v>
      </c>
      <c r="G917">
        <f>_xll.BDP("FNDD5175 Mtge","MTG_FACTOR")</f>
        <v>0.93799600000000005</v>
      </c>
      <c r="H917">
        <f>_xll.BDP("FNDD5175 Mtge","MTG_WAL")</f>
        <v>3.2037</v>
      </c>
      <c r="I917" t="str">
        <f>_xll.BDP("FNDD5175 Mtge","MTG_ORIG_WAL")</f>
        <v>#N/A N/A</v>
      </c>
    </row>
    <row r="918" spans="1:9" x14ac:dyDescent="0.25">
      <c r="A918" t="str">
        <f>_xll.BDP("FNDD5342 Mtge","ID_CUSIP")</f>
        <v>3140B55C7</v>
      </c>
      <c r="B918" t="str">
        <f>_xll.BDP("FNDD5342 Mtge","SECURITY_NAME")</f>
        <v>FN DD5342</v>
      </c>
      <c r="C918" t="str">
        <f>_xll.BDP("FNDD5342 Mtge","GENERIC_TICKER_VINTAGE")</f>
        <v>FNCL 6 2025</v>
      </c>
      <c r="D918" t="str">
        <f>_xll.BDP("FNDD5342 Mtge","CRNCY")</f>
        <v>USD</v>
      </c>
      <c r="E918">
        <v>1575378</v>
      </c>
      <c r="F918">
        <f>_xll.BDP("FNDD5342 Mtge","CPN")</f>
        <v>6</v>
      </c>
      <c r="G918">
        <f>_xll.BDP("FNDD5342 Mtge","MTG_FACTOR")</f>
        <v>0.98963625</v>
      </c>
      <c r="H918">
        <f>_xll.BDP("FNDD5342 Mtge","MTG_WAL")</f>
        <v>3.2052999999999998</v>
      </c>
      <c r="I918" t="str">
        <f>_xll.BDP("FNDD5342 Mtge","MTG_ORIG_WAL")</f>
        <v>#N/A N/A</v>
      </c>
    </row>
    <row r="919" spans="1:9" x14ac:dyDescent="0.25">
      <c r="A919" t="str">
        <f>_xll.BDP("FNDD5481 Mtge","ID_CUSIP")</f>
        <v>3140B6CT0</v>
      </c>
      <c r="B919" t="str">
        <f>_xll.BDP("FNDD5481 Mtge","SECURITY_NAME")</f>
        <v>FN DD5481</v>
      </c>
      <c r="C919" t="str">
        <f>_xll.BDP("FNDD5481 Mtge","GENERIC_TICKER_VINTAGE")</f>
        <v>FNCL 6 2025</v>
      </c>
      <c r="D919" t="str">
        <f>_xll.BDP("FNDD5481 Mtge","CRNCY")</f>
        <v>USD</v>
      </c>
      <c r="E919">
        <v>17227351</v>
      </c>
      <c r="F919">
        <f>_xll.BDP("FNDD5481 Mtge","CPN")</f>
        <v>6</v>
      </c>
      <c r="G919">
        <f>_xll.BDP("FNDD5481 Mtge","MTG_FACTOR")</f>
        <v>0.93110002999999997</v>
      </c>
      <c r="H919">
        <f>_xll.BDP("FNDD5481 Mtge","MTG_WAL")</f>
        <v>3.2902</v>
      </c>
      <c r="I919" t="str">
        <f>_xll.BDP("FNDD5481 Mtge","MTG_ORIG_WAL")</f>
        <v>#N/A N/A</v>
      </c>
    </row>
    <row r="920" spans="1:9" x14ac:dyDescent="0.25">
      <c r="A920" t="str">
        <f>_xll.BDP("FNDD5559 Mtge","ID_CUSIP")</f>
        <v>3140B6E92</v>
      </c>
      <c r="B920" t="str">
        <f>_xll.BDP("FNDD5559 Mtge","SECURITY_NAME")</f>
        <v>FN DD5559</v>
      </c>
      <c r="C920" t="str">
        <f>_xll.BDP("FNDD5559 Mtge","GENERIC_TICKER_VINTAGE")</f>
        <v>FNCL 6 2025</v>
      </c>
      <c r="D920" t="str">
        <f>_xll.BDP("FNDD5559 Mtge","CRNCY")</f>
        <v>USD</v>
      </c>
      <c r="E920">
        <v>3796033</v>
      </c>
      <c r="F920">
        <f>_xll.BDP("FNDD5559 Mtge","CPN")</f>
        <v>6</v>
      </c>
      <c r="G920">
        <f>_xll.BDP("FNDD5559 Mtge","MTG_FACTOR")</f>
        <v>0.89708177</v>
      </c>
      <c r="H920">
        <f>_xll.BDP("FNDD5559 Mtge","MTG_WAL")</f>
        <v>3.1518999999999999</v>
      </c>
      <c r="I920" t="str">
        <f>_xll.BDP("FNDD5559 Mtge","MTG_ORIG_WAL")</f>
        <v>#N/A N/A</v>
      </c>
    </row>
    <row r="921" spans="1:9" x14ac:dyDescent="0.25">
      <c r="A921" t="str">
        <f>_xll.BDP("FNDD5843 Mtge","ID_CUSIP")</f>
        <v>3140B6P58</v>
      </c>
      <c r="B921" t="str">
        <f>_xll.BDP("FNDD5843 Mtge","SECURITY_NAME")</f>
        <v>FN DD5843</v>
      </c>
      <c r="C921" t="str">
        <f>_xll.BDP("FNDD5843 Mtge","GENERIC_TICKER_VINTAGE")</f>
        <v>FNCL 6 2025</v>
      </c>
      <c r="D921" t="str">
        <f>_xll.BDP("FNDD5843 Mtge","CRNCY")</f>
        <v>USD</v>
      </c>
      <c r="E921">
        <v>2954662</v>
      </c>
      <c r="F921">
        <f>_xll.BDP("FNDD5843 Mtge","CPN")</f>
        <v>6</v>
      </c>
      <c r="G921">
        <f>_xll.BDP("FNDD5843 Mtge","MTG_FACTOR")</f>
        <v>0.74343239999999999</v>
      </c>
      <c r="H921">
        <f>_xll.BDP("FNDD5843 Mtge","MTG_WAL")</f>
        <v>3.2463000000000002</v>
      </c>
      <c r="I921" t="str">
        <f>_xll.BDP("FNDD5843 Mtge","MTG_ORIG_WAL")</f>
        <v>#N/A N/A</v>
      </c>
    </row>
    <row r="922" spans="1:9" x14ac:dyDescent="0.25">
      <c r="A922" t="str">
        <f>_xll.BDP("FNDD5844 Mtge","ID_CUSIP")</f>
        <v>3140B6P66</v>
      </c>
      <c r="B922" t="str">
        <f>_xll.BDP("FNDD5844 Mtge","SECURITY_NAME")</f>
        <v>FN DD5844</v>
      </c>
      <c r="C922" t="str">
        <f>_xll.BDP("FNDD5844 Mtge","GENERIC_TICKER_VINTAGE")</f>
        <v>FNCL 6 2025</v>
      </c>
      <c r="D922" t="str">
        <f>_xll.BDP("FNDD5844 Mtge","CRNCY")</f>
        <v>USD</v>
      </c>
      <c r="E922">
        <v>1086765</v>
      </c>
      <c r="F922">
        <f>_xll.BDP("FNDD5844 Mtge","CPN")</f>
        <v>6</v>
      </c>
      <c r="G922">
        <f>_xll.BDP("FNDD5844 Mtge","MTG_FACTOR")</f>
        <v>0.62743853999999999</v>
      </c>
      <c r="H922">
        <f>_xll.BDP("FNDD5844 Mtge","MTG_WAL")</f>
        <v>3.2161</v>
      </c>
      <c r="I922" t="str">
        <f>_xll.BDP("FNDD5844 Mtge","MTG_ORIG_WAL")</f>
        <v>#N/A N/A</v>
      </c>
    </row>
    <row r="923" spans="1:9" x14ac:dyDescent="0.25">
      <c r="A923" t="str">
        <f>_xll.BDP("FNDD5902 Mtge","ID_CUSIP")</f>
        <v>3140B6RY3</v>
      </c>
      <c r="B923" t="str">
        <f>_xll.BDP("FNDD5902 Mtge","SECURITY_NAME")</f>
        <v>FN DD5902</v>
      </c>
      <c r="C923" t="str">
        <f>_xll.BDP("FNDD5902 Mtge","GENERIC_TICKER_VINTAGE")</f>
        <v>FNCL 6 2025</v>
      </c>
      <c r="D923" t="str">
        <f>_xll.BDP("FNDD5902 Mtge","CRNCY")</f>
        <v>USD</v>
      </c>
      <c r="E923">
        <v>1004650</v>
      </c>
      <c r="F923">
        <f>_xll.BDP("FNDD5902 Mtge","CPN")</f>
        <v>6</v>
      </c>
      <c r="G923">
        <f>_xll.BDP("FNDD5902 Mtge","MTG_FACTOR")</f>
        <v>0.98942810000000003</v>
      </c>
      <c r="H923">
        <f>_xll.BDP("FNDD5902 Mtge","MTG_WAL")</f>
        <v>3.202</v>
      </c>
      <c r="I923" t="str">
        <f>_xll.BDP("FNDD5902 Mtge","MTG_ORIG_WAL")</f>
        <v>#N/A N/A</v>
      </c>
    </row>
    <row r="924" spans="1:9" x14ac:dyDescent="0.25">
      <c r="A924" t="str">
        <f>_xll.BDP("FNDD5933 Mtge","ID_CUSIP")</f>
        <v>3140B6SX4</v>
      </c>
      <c r="B924" t="str">
        <f>_xll.BDP("FNDD5933 Mtge","SECURITY_NAME")</f>
        <v>FN DD5933</v>
      </c>
      <c r="C924" t="str">
        <f>_xll.BDP("FNDD5933 Mtge","GENERIC_TICKER_VINTAGE")</f>
        <v>FNCL 6 2025</v>
      </c>
      <c r="D924" t="str">
        <f>_xll.BDP("FNDD5933 Mtge","CRNCY")</f>
        <v>USD</v>
      </c>
      <c r="E924">
        <v>1152525</v>
      </c>
      <c r="F924">
        <f>_xll.BDP("FNDD5933 Mtge","CPN")</f>
        <v>6</v>
      </c>
      <c r="G924">
        <f>_xll.BDP("FNDD5933 Mtge","MTG_FACTOR")</f>
        <v>0.99035304999999996</v>
      </c>
      <c r="H924">
        <f>_xll.BDP("FNDD5933 Mtge","MTG_WAL")</f>
        <v>3.2482000000000002</v>
      </c>
      <c r="I924" t="str">
        <f>_xll.BDP("FNDD5933 Mtge","MTG_ORIG_WAL")</f>
        <v>#N/A N/A</v>
      </c>
    </row>
    <row r="925" spans="1:9" x14ac:dyDescent="0.25">
      <c r="A925" t="str">
        <f>_xll.BDP("FNDD5937 Mtge","ID_CUSIP")</f>
        <v>3140B6S30</v>
      </c>
      <c r="B925" t="str">
        <f>_xll.BDP("FNDD5937 Mtge","SECURITY_NAME")</f>
        <v>FN DD5937</v>
      </c>
      <c r="C925" t="str">
        <f>_xll.BDP("FNDD5937 Mtge","GENERIC_TICKER_VINTAGE")</f>
        <v>FNCL 6 2025</v>
      </c>
      <c r="D925" t="str">
        <f>_xll.BDP("FNDD5937 Mtge","CRNCY")</f>
        <v>USD</v>
      </c>
      <c r="E925">
        <v>1150306</v>
      </c>
      <c r="F925">
        <f>_xll.BDP("FNDD5937 Mtge","CPN")</f>
        <v>6</v>
      </c>
      <c r="G925">
        <f>_xll.BDP("FNDD5937 Mtge","MTG_FACTOR")</f>
        <v>0.99048926000000004</v>
      </c>
      <c r="H925">
        <f>_xll.BDP("FNDD5937 Mtge","MTG_WAL")</f>
        <v>3.2483</v>
      </c>
      <c r="I925" t="str">
        <f>_xll.BDP("FNDD5937 Mtge","MTG_ORIG_WAL")</f>
        <v>#N/A N/A</v>
      </c>
    </row>
    <row r="926" spans="1:9" x14ac:dyDescent="0.25">
      <c r="A926" t="str">
        <f>_xll.BDP("FNDD5993 Mtge","ID_CUSIP")</f>
        <v>3140B6UT0</v>
      </c>
      <c r="B926" t="str">
        <f>_xll.BDP("FNDD5993 Mtge","SECURITY_NAME")</f>
        <v>FN DD5993</v>
      </c>
      <c r="C926" t="str">
        <f>_xll.BDP("FNDD5993 Mtge","GENERIC_TICKER_VINTAGE")</f>
        <v>FNCL 6 2025</v>
      </c>
      <c r="D926" t="str">
        <f>_xll.BDP("FNDD5993 Mtge","CRNCY")</f>
        <v>USD</v>
      </c>
      <c r="E926">
        <v>2241450</v>
      </c>
      <c r="F926">
        <f>_xll.BDP("FNDD5993 Mtge","CPN")</f>
        <v>6</v>
      </c>
      <c r="G926">
        <f>_xll.BDP("FNDD5993 Mtge","MTG_FACTOR")</f>
        <v>0.99018253000000001</v>
      </c>
      <c r="H926">
        <f>_xll.BDP("FNDD5993 Mtge","MTG_WAL")</f>
        <v>3.2479</v>
      </c>
      <c r="I926" t="str">
        <f>_xll.BDP("FNDD5993 Mtge","MTG_ORIG_WAL")</f>
        <v>#N/A N/A</v>
      </c>
    </row>
    <row r="927" spans="1:9" x14ac:dyDescent="0.25">
      <c r="A927" t="str">
        <f>_xll.BDP("FNDD6114 Mtge","ID_CUSIP")</f>
        <v>3140B6YL3</v>
      </c>
      <c r="B927" t="str">
        <f>_xll.BDP("FNDD6114 Mtge","SECURITY_NAME")</f>
        <v>FN DD6114</v>
      </c>
      <c r="C927" t="str">
        <f>_xll.BDP("FNDD6114 Mtge","GENERIC_TICKER_VINTAGE")</f>
        <v>FNCL 6 2025</v>
      </c>
      <c r="D927" t="str">
        <f>_xll.BDP("FNDD6114 Mtge","CRNCY")</f>
        <v>USD</v>
      </c>
      <c r="E927">
        <v>11142548</v>
      </c>
      <c r="F927">
        <f>_xll.BDP("FNDD6114 Mtge","CPN")</f>
        <v>6</v>
      </c>
      <c r="G927">
        <f>_xll.BDP("FNDD6114 Mtge","MTG_FACTOR")</f>
        <v>0.89790071000000005</v>
      </c>
      <c r="H927">
        <f>_xll.BDP("FNDD6114 Mtge","MTG_WAL")</f>
        <v>3.2913000000000001</v>
      </c>
      <c r="I927" t="str">
        <f>_xll.BDP("FNDD6114 Mtge","MTG_ORIG_WAL")</f>
        <v>#N/A N/A</v>
      </c>
    </row>
    <row r="928" spans="1:9" x14ac:dyDescent="0.25">
      <c r="A928" t="str">
        <f>_xll.BDP("FNDD6125 Mtge","ID_CUSIP")</f>
        <v>3140B6YX7</v>
      </c>
      <c r="B928" t="str">
        <f>_xll.BDP("FNDD6125 Mtge","SECURITY_NAME")</f>
        <v>FN DD6125</v>
      </c>
      <c r="C928" t="str">
        <f>_xll.BDP("FNDD6125 Mtge","GENERIC_TICKER_VINTAGE")</f>
        <v>FNCL 6 2025</v>
      </c>
      <c r="D928" t="str">
        <f>_xll.BDP("FNDD6125 Mtge","CRNCY")</f>
        <v>USD</v>
      </c>
      <c r="E928">
        <v>3678845</v>
      </c>
      <c r="F928">
        <f>_xll.BDP("FNDD6125 Mtge","CPN")</f>
        <v>6</v>
      </c>
      <c r="G928">
        <f>_xll.BDP("FNDD6125 Mtge","MTG_FACTOR")</f>
        <v>0.67612468999999997</v>
      </c>
      <c r="H928">
        <f>_xll.BDP("FNDD6125 Mtge","MTG_WAL")</f>
        <v>3.2061000000000002</v>
      </c>
      <c r="I928" t="str">
        <f>_xll.BDP("FNDD6125 Mtge","MTG_ORIG_WAL")</f>
        <v>#N/A N/A</v>
      </c>
    </row>
    <row r="929" spans="1:9" x14ac:dyDescent="0.25">
      <c r="A929" t="str">
        <f>_xll.BDP("FNDD6596 Mtge","ID_CUSIP")</f>
        <v>3140B7KJ1</v>
      </c>
      <c r="B929" t="str">
        <f>_xll.BDP("FNDD6596 Mtge","SECURITY_NAME")</f>
        <v>FN DD6596</v>
      </c>
      <c r="C929" t="str">
        <f>_xll.BDP("FNDD6596 Mtge","GENERIC_TICKER_VINTAGE")</f>
        <v>FNCL 6 2025</v>
      </c>
      <c r="D929" t="str">
        <f>_xll.BDP("FNDD6596 Mtge","CRNCY")</f>
        <v>USD</v>
      </c>
      <c r="E929">
        <v>3094463</v>
      </c>
      <c r="F929">
        <f>_xll.BDP("FNDD6596 Mtge","CPN")</f>
        <v>6</v>
      </c>
      <c r="G929">
        <f>_xll.BDP("FNDD6596 Mtge","MTG_FACTOR")</f>
        <v>0.88762781000000002</v>
      </c>
      <c r="H929">
        <f>_xll.BDP("FNDD6596 Mtge","MTG_WAL")</f>
        <v>3.2896999999999998</v>
      </c>
      <c r="I929" t="str">
        <f>_xll.BDP("FNDD6596 Mtge","MTG_ORIG_WAL")</f>
        <v>#N/A N/A</v>
      </c>
    </row>
    <row r="930" spans="1:9" x14ac:dyDescent="0.25">
      <c r="A930" t="str">
        <f>_xll.BDP("FNDD6598 Mtge","ID_CUSIP")</f>
        <v>3140B7KL6</v>
      </c>
      <c r="B930" t="str">
        <f>_xll.BDP("FNDD6598 Mtge","SECURITY_NAME")</f>
        <v>FN DD6598</v>
      </c>
      <c r="C930" t="str">
        <f>_xll.BDP("FNDD6598 Mtge","GENERIC_TICKER_VINTAGE")</f>
        <v>FNCL 6 2025</v>
      </c>
      <c r="D930" t="str">
        <f>_xll.BDP("FNDD6598 Mtge","CRNCY")</f>
        <v>USD</v>
      </c>
      <c r="E930">
        <v>6103976</v>
      </c>
      <c r="F930">
        <f>_xll.BDP("FNDD6598 Mtge","CPN")</f>
        <v>6</v>
      </c>
      <c r="G930">
        <f>_xll.BDP("FNDD6598 Mtge","MTG_FACTOR")</f>
        <v>0.91220871000000003</v>
      </c>
      <c r="H930">
        <f>_xll.BDP("FNDD6598 Mtge","MTG_WAL")</f>
        <v>3.2930999999999999</v>
      </c>
      <c r="I930" t="str">
        <f>_xll.BDP("FNDD6598 Mtge","MTG_ORIG_WAL")</f>
        <v>#N/A N/A</v>
      </c>
    </row>
    <row r="931" spans="1:9" x14ac:dyDescent="0.25">
      <c r="A931" t="str">
        <f>_xll.BDP("FNDD7117 Mtge","ID_CUSIP")</f>
        <v>3140B74B6</v>
      </c>
      <c r="B931" t="str">
        <f>_xll.BDP("FNDD7117 Mtge","SECURITY_NAME")</f>
        <v>FN DD7117</v>
      </c>
      <c r="C931" t="str">
        <f>_xll.BDP("FNDD7117 Mtge","GENERIC_TICKER_VINTAGE")</f>
        <v>FNCL 6 2025</v>
      </c>
      <c r="D931" t="str">
        <f>_xll.BDP("FNDD7117 Mtge","CRNCY")</f>
        <v>USD</v>
      </c>
      <c r="E931">
        <v>6835888</v>
      </c>
      <c r="F931">
        <f>_xll.BDP("FNDD7117 Mtge","CPN")</f>
        <v>6</v>
      </c>
      <c r="G931">
        <f>_xll.BDP("FNDD7117 Mtge","MTG_FACTOR")</f>
        <v>0.93195766000000002</v>
      </c>
      <c r="H931">
        <f>_xll.BDP("FNDD7117 Mtge","MTG_WAL")</f>
        <v>3.3994</v>
      </c>
      <c r="I931" t="str">
        <f>_xll.BDP("FNDD7117 Mtge","MTG_ORIG_WAL")</f>
        <v>#N/A N/A</v>
      </c>
    </row>
    <row r="932" spans="1:9" x14ac:dyDescent="0.25">
      <c r="A932" t="str">
        <f>_xll.BDP("FNDD7237 Mtge","ID_CUSIP")</f>
        <v>3140B8BF7</v>
      </c>
      <c r="B932" t="str">
        <f>_xll.BDP("FNDD7237 Mtge","SECURITY_NAME")</f>
        <v>FN DD7237</v>
      </c>
      <c r="C932" t="str">
        <f>_xll.BDP("FNDD7237 Mtge","GENERIC_TICKER_VINTAGE")</f>
        <v>FNCL 6 2025</v>
      </c>
      <c r="D932" t="str">
        <f>_xll.BDP("FNDD7237 Mtge","CRNCY")</f>
        <v>USD</v>
      </c>
      <c r="E932">
        <v>5000908</v>
      </c>
      <c r="F932">
        <f>_xll.BDP("FNDD7237 Mtge","CPN")</f>
        <v>6</v>
      </c>
      <c r="G932">
        <f>_xll.BDP("FNDD7237 Mtge","MTG_FACTOR")</f>
        <v>0.79673117000000004</v>
      </c>
      <c r="H932">
        <f>_xll.BDP("FNDD7237 Mtge","MTG_WAL")</f>
        <v>3.2490000000000001</v>
      </c>
      <c r="I932" t="str">
        <f>_xll.BDP("FNDD7237 Mtge","MTG_ORIG_WAL")</f>
        <v>#N/A N/A</v>
      </c>
    </row>
    <row r="933" spans="1:9" x14ac:dyDescent="0.25">
      <c r="A933" t="str">
        <f>_xll.BDP("FNDD7315 Mtge","ID_CUSIP")</f>
        <v>3140B8DV0</v>
      </c>
      <c r="B933" t="str">
        <f>_xll.BDP("FNDD7315 Mtge","SECURITY_NAME")</f>
        <v>FN DD7315</v>
      </c>
      <c r="C933" t="str">
        <f>_xll.BDP("FNDD7315 Mtge","GENERIC_TICKER_VINTAGE")</f>
        <v>FNCL 6 2025</v>
      </c>
      <c r="D933" t="str">
        <f>_xll.BDP("FNDD7315 Mtge","CRNCY")</f>
        <v>USD</v>
      </c>
      <c r="E933">
        <v>1185332</v>
      </c>
      <c r="F933">
        <f>_xll.BDP("FNDD7315 Mtge","CPN")</f>
        <v>6</v>
      </c>
      <c r="G933">
        <f>_xll.BDP("FNDD7315 Mtge","MTG_FACTOR")</f>
        <v>0.99214000000000002</v>
      </c>
      <c r="H933">
        <f>_xll.BDP("FNDD7315 Mtge","MTG_WAL")</f>
        <v>3.3441000000000001</v>
      </c>
      <c r="I933" t="str">
        <f>_xll.BDP("FNDD7315 Mtge","MTG_ORIG_WAL")</f>
        <v>#N/A N/A</v>
      </c>
    </row>
    <row r="934" spans="1:9" x14ac:dyDescent="0.25">
      <c r="A934" t="str">
        <f>_xll.BDP("FNDD7318 Mtge","ID_CUSIP")</f>
        <v>3140B8DY4</v>
      </c>
      <c r="B934" t="str">
        <f>_xll.BDP("FNDD7318 Mtge","SECURITY_NAME")</f>
        <v>FN DD7318</v>
      </c>
      <c r="C934" t="str">
        <f>_xll.BDP("FNDD7318 Mtge","GENERIC_TICKER_VINTAGE")</f>
        <v>FNCL 6 2025</v>
      </c>
      <c r="D934" t="str">
        <f>_xll.BDP("FNDD7318 Mtge","CRNCY")</f>
        <v>USD</v>
      </c>
      <c r="E934">
        <v>9342622</v>
      </c>
      <c r="F934">
        <f>_xll.BDP("FNDD7318 Mtge","CPN")</f>
        <v>6</v>
      </c>
      <c r="G934">
        <f>_xll.BDP("FNDD7318 Mtge","MTG_FACTOR")</f>
        <v>0.91141446999999998</v>
      </c>
      <c r="H934">
        <f>_xll.BDP("FNDD7318 Mtge","MTG_WAL")</f>
        <v>3.2919</v>
      </c>
      <c r="I934" t="str">
        <f>_xll.BDP("FNDD7318 Mtge","MTG_ORIG_WAL")</f>
        <v>#N/A N/A</v>
      </c>
    </row>
    <row r="935" spans="1:9" x14ac:dyDescent="0.25">
      <c r="A935" t="str">
        <f>_xll.BDP("FNDD7457 Mtge","ID_CUSIP")</f>
        <v>3140B8JB8</v>
      </c>
      <c r="B935" t="str">
        <f>_xll.BDP("FNDD7457 Mtge","SECURITY_NAME")</f>
        <v>FN DD7457</v>
      </c>
      <c r="C935" t="str">
        <f>_xll.BDP("FNDD7457 Mtge","GENERIC_TICKER_VINTAGE")</f>
        <v>FNCL 6 2025</v>
      </c>
      <c r="D935" t="str">
        <f>_xll.BDP("FNDD7457 Mtge","CRNCY")</f>
        <v>USD</v>
      </c>
      <c r="E935">
        <v>1715643</v>
      </c>
      <c r="F935">
        <f>_xll.BDP("FNDD7457 Mtge","CPN")</f>
        <v>6</v>
      </c>
      <c r="G935">
        <f>_xll.BDP("FNDD7457 Mtge","MTG_FACTOR")</f>
        <v>0.98007909999999998</v>
      </c>
      <c r="H935">
        <f>_xll.BDP("FNDD7457 Mtge","MTG_WAL")</f>
        <v>3.2422</v>
      </c>
      <c r="I935" t="str">
        <f>_xll.BDP("FNDD7457 Mtge","MTG_ORIG_WAL")</f>
        <v>#N/A N/A</v>
      </c>
    </row>
    <row r="936" spans="1:9" x14ac:dyDescent="0.25">
      <c r="A936" t="str">
        <f>_xll.BDP("FNDD7663 Mtge","ID_CUSIP")</f>
        <v>3140B8QR5</v>
      </c>
      <c r="B936" t="str">
        <f>_xll.BDP("FNDD7663 Mtge","SECURITY_NAME")</f>
        <v>FN DD7663</v>
      </c>
      <c r="C936" t="str">
        <f>_xll.BDP("FNDD7663 Mtge","GENERIC_TICKER_VINTAGE")</f>
        <v>FNCL 6 2025</v>
      </c>
      <c r="D936" t="str">
        <f>_xll.BDP("FNDD7663 Mtge","CRNCY")</f>
        <v>USD</v>
      </c>
      <c r="E936">
        <v>1158843</v>
      </c>
      <c r="F936">
        <f>_xll.BDP("FNDD7663 Mtge","CPN")</f>
        <v>6</v>
      </c>
      <c r="G936">
        <f>_xll.BDP("FNDD7663 Mtge","MTG_FACTOR")</f>
        <v>0.74281423999999996</v>
      </c>
      <c r="H936">
        <f>_xll.BDP("FNDD7663 Mtge","MTG_WAL")</f>
        <v>3.2911000000000001</v>
      </c>
      <c r="I936" t="str">
        <f>_xll.BDP("FNDD7663 Mtge","MTG_ORIG_WAL")</f>
        <v>#N/A N/A</v>
      </c>
    </row>
    <row r="937" spans="1:9" x14ac:dyDescent="0.25">
      <c r="A937" t="str">
        <f>_xll.BDP("FNDD7685 Mtge","ID_CUSIP")</f>
        <v>3140B8RF0</v>
      </c>
      <c r="B937" t="str">
        <f>_xll.BDP("FNDD7685 Mtge","SECURITY_NAME")</f>
        <v>FN DD7685</v>
      </c>
      <c r="C937" t="str">
        <f>_xll.BDP("FNDD7685 Mtge","GENERIC_TICKER_VINTAGE")</f>
        <v>FNCL 6 2025</v>
      </c>
      <c r="D937" t="str">
        <f>_xll.BDP("FNDD7685 Mtge","CRNCY")</f>
        <v>USD</v>
      </c>
      <c r="E937">
        <v>3034953</v>
      </c>
      <c r="F937">
        <f>_xll.BDP("FNDD7685 Mtge","CPN")</f>
        <v>6</v>
      </c>
      <c r="G937">
        <f>_xll.BDP("FNDD7685 Mtge","MTG_FACTOR")</f>
        <v>0.79263097000000005</v>
      </c>
      <c r="H937">
        <f>_xll.BDP("FNDD7685 Mtge","MTG_WAL")</f>
        <v>3.2892000000000001</v>
      </c>
      <c r="I937" t="str">
        <f>_xll.BDP("FNDD7685 Mtge","MTG_ORIG_WAL")</f>
        <v>#N/A N/A</v>
      </c>
    </row>
    <row r="938" spans="1:9" x14ac:dyDescent="0.25">
      <c r="A938" t="str">
        <f>_xll.BDP("FNDD7686 Mtge","ID_CUSIP")</f>
        <v>3140B8RG8</v>
      </c>
      <c r="B938" t="str">
        <f>_xll.BDP("FNDD7686 Mtge","SECURITY_NAME")</f>
        <v>FN DD7686</v>
      </c>
      <c r="C938" t="str">
        <f>_xll.BDP("FNDD7686 Mtge","GENERIC_TICKER_VINTAGE")</f>
        <v>FNCL 6 2025</v>
      </c>
      <c r="D938" t="str">
        <f>_xll.BDP("FNDD7686 Mtge","CRNCY")</f>
        <v>USD</v>
      </c>
      <c r="E938">
        <v>1230574</v>
      </c>
      <c r="F938">
        <f>_xll.BDP("FNDD7686 Mtge","CPN")</f>
        <v>6</v>
      </c>
      <c r="G938">
        <f>_xll.BDP("FNDD7686 Mtge","MTG_FACTOR")</f>
        <v>0.79311085000000003</v>
      </c>
      <c r="H938">
        <f>_xll.BDP("FNDD7686 Mtge","MTG_WAL")</f>
        <v>3.3372000000000002</v>
      </c>
      <c r="I938" t="str">
        <f>_xll.BDP("FNDD7686 Mtge","MTG_ORIG_WAL")</f>
        <v>#N/A N/A</v>
      </c>
    </row>
    <row r="939" spans="1:9" x14ac:dyDescent="0.25">
      <c r="A939" t="str">
        <f>_xll.BDP("FNDD8083 Mtge","ID_CUSIP")</f>
        <v>3140B86V8</v>
      </c>
      <c r="B939" t="str">
        <f>_xll.BDP("FNDD8083 Mtge","SECURITY_NAME")</f>
        <v>FN DD8083</v>
      </c>
      <c r="C939" t="str">
        <f>_xll.BDP("FNDD8083 Mtge","GENERIC_TICKER_VINTAGE")</f>
        <v>FNCL 6 2025</v>
      </c>
      <c r="D939" t="str">
        <f>_xll.BDP("FNDD8083 Mtge","CRNCY")</f>
        <v>USD</v>
      </c>
      <c r="E939">
        <v>1169200</v>
      </c>
      <c r="F939">
        <f>_xll.BDP("FNDD8083 Mtge","CPN")</f>
        <v>6</v>
      </c>
      <c r="G939">
        <f>_xll.BDP("FNDD8083 Mtge","MTG_FACTOR")</f>
        <v>0.94667913999999997</v>
      </c>
      <c r="H939">
        <f>_xll.BDP("FNDD8083 Mtge","MTG_WAL")</f>
        <v>3.2185999999999999</v>
      </c>
      <c r="I939" t="str">
        <f>_xll.BDP("FNDD8083 Mtge","MTG_ORIG_WAL")</f>
        <v>#N/A N/A</v>
      </c>
    </row>
    <row r="940" spans="1:9" x14ac:dyDescent="0.25">
      <c r="A940" t="str">
        <f>_xll.BDP("FNDD8391 Mtge","ID_CUSIP")</f>
        <v>3140B9KD0</v>
      </c>
      <c r="B940" t="str">
        <f>_xll.BDP("FNDD8391 Mtge","SECURITY_NAME")</f>
        <v>FN DD8391</v>
      </c>
      <c r="C940" t="str">
        <f>_xll.BDP("FNDD8391 Mtge","GENERIC_TICKER_VINTAGE")</f>
        <v>FNCL 6 2025</v>
      </c>
      <c r="D940" t="str">
        <f>_xll.BDP("FNDD8391 Mtge","CRNCY")</f>
        <v>USD</v>
      </c>
      <c r="E940">
        <v>32097300</v>
      </c>
      <c r="F940">
        <f>_xll.BDP("FNDD8391 Mtge","CPN")</f>
        <v>6</v>
      </c>
      <c r="G940">
        <f>_xll.BDP("FNDD8391 Mtge","MTG_FACTOR")</f>
        <v>0.90549329000000001</v>
      </c>
      <c r="H940">
        <f>_xll.BDP("FNDD8391 Mtge","MTG_WAL")</f>
        <v>3.2887</v>
      </c>
      <c r="I940" t="str">
        <f>_xll.BDP("FNDD8391 Mtge","MTG_ORIG_WAL")</f>
        <v>#N/A N/A</v>
      </c>
    </row>
    <row r="941" spans="1:9" x14ac:dyDescent="0.25">
      <c r="A941" t="str">
        <f>_xll.BDP("FNDD8509 Mtge","ID_CUSIP")</f>
        <v>3140B9N39</v>
      </c>
      <c r="B941" t="str">
        <f>_xll.BDP("FNDD8509 Mtge","SECURITY_NAME")</f>
        <v>FN DD8509</v>
      </c>
      <c r="C941" t="str">
        <f>_xll.BDP("FNDD8509 Mtge","GENERIC_TICKER_VINTAGE")</f>
        <v>FNCL 6 2025</v>
      </c>
      <c r="D941" t="str">
        <f>_xll.BDP("FNDD8509 Mtge","CRNCY")</f>
        <v>USD</v>
      </c>
      <c r="E941">
        <v>2691756</v>
      </c>
      <c r="F941">
        <f>_xll.BDP("FNDD8509 Mtge","CPN")</f>
        <v>6</v>
      </c>
      <c r="G941">
        <f>_xll.BDP("FNDD8509 Mtge","MTG_FACTOR")</f>
        <v>0.89980831999999999</v>
      </c>
      <c r="H941">
        <f>_xll.BDP("FNDD8509 Mtge","MTG_WAL")</f>
        <v>3.2865000000000002</v>
      </c>
      <c r="I941" t="str">
        <f>_xll.BDP("FNDD8509 Mtge","MTG_ORIG_WAL")</f>
        <v>#N/A N/A</v>
      </c>
    </row>
    <row r="942" spans="1:9" x14ac:dyDescent="0.25">
      <c r="A942" t="str">
        <f>_xll.BDP("FNDD8610 Mtge","ID_CUSIP")</f>
        <v>3140B9R84</v>
      </c>
      <c r="B942" t="str">
        <f>_xll.BDP("FNDD8610 Mtge","SECURITY_NAME")</f>
        <v>FN DD8610</v>
      </c>
      <c r="C942" t="str">
        <f>_xll.BDP("FNDD8610 Mtge","GENERIC_TICKER_VINTAGE")</f>
        <v>FNCL 6 2025</v>
      </c>
      <c r="D942" t="str">
        <f>_xll.BDP("FNDD8610 Mtge","CRNCY")</f>
        <v>USD</v>
      </c>
      <c r="E942">
        <v>10278126</v>
      </c>
      <c r="F942">
        <f>_xll.BDP("FNDD8610 Mtge","CPN")</f>
        <v>6</v>
      </c>
      <c r="G942">
        <f>_xll.BDP("FNDD8610 Mtge","MTG_FACTOR")</f>
        <v>0.99141897000000001</v>
      </c>
      <c r="H942">
        <f>_xll.BDP("FNDD8610 Mtge","MTG_WAL")</f>
        <v>3.2972999999999999</v>
      </c>
      <c r="I942" t="str">
        <f>_xll.BDP("FNDD8610 Mtge","MTG_ORIG_WAL")</f>
        <v>#N/A N/A</v>
      </c>
    </row>
    <row r="943" spans="1:9" x14ac:dyDescent="0.25">
      <c r="A943" t="str">
        <f>_xll.BDP("FNDD9214 Mtge","ID_CUSIP")</f>
        <v>3140BAGY6</v>
      </c>
      <c r="B943" t="str">
        <f>_xll.BDP("FNDD9214 Mtge","SECURITY_NAME")</f>
        <v>FN DD9214</v>
      </c>
      <c r="C943" t="str">
        <f>_xll.BDP("FNDD9214 Mtge","GENERIC_TICKER_VINTAGE")</f>
        <v>FNCL 6 2025</v>
      </c>
      <c r="D943" t="str">
        <f>_xll.BDP("FNDD9214 Mtge","CRNCY")</f>
        <v>USD</v>
      </c>
      <c r="E943">
        <v>4898367</v>
      </c>
      <c r="F943">
        <f>_xll.BDP("FNDD9214 Mtge","CPN")</f>
        <v>6</v>
      </c>
      <c r="G943">
        <f>_xll.BDP("FNDD9214 Mtge","MTG_FACTOR")</f>
        <v>0.97797604999999999</v>
      </c>
      <c r="H943">
        <f>_xll.BDP("FNDD9214 Mtge","MTG_WAL")</f>
        <v>3.2823000000000002</v>
      </c>
      <c r="I943" t="str">
        <f>_xll.BDP("FNDD9214 Mtge","MTG_ORIG_WAL")</f>
        <v>#N/A N/A</v>
      </c>
    </row>
    <row r="944" spans="1:9" x14ac:dyDescent="0.25">
      <c r="A944" t="str">
        <f>_xll.BDP("FNDD9235 Mtge","ID_CUSIP")</f>
        <v>3140BAHM1</v>
      </c>
      <c r="B944" t="str">
        <f>_xll.BDP("FNDD9235 Mtge","SECURITY_NAME")</f>
        <v>FN DD9235</v>
      </c>
      <c r="C944" t="str">
        <f>_xll.BDP("FNDD9235 Mtge","GENERIC_TICKER_VINTAGE")</f>
        <v>FNCL 6 2025</v>
      </c>
      <c r="D944" t="str">
        <f>_xll.BDP("FNDD9235 Mtge","CRNCY")</f>
        <v>USD</v>
      </c>
      <c r="E944">
        <v>4393631</v>
      </c>
      <c r="F944">
        <f>_xll.BDP("FNDD9235 Mtge","CPN")</f>
        <v>6</v>
      </c>
      <c r="G944">
        <f>_xll.BDP("FNDD9235 Mtge","MTG_FACTOR")</f>
        <v>0.90762166</v>
      </c>
      <c r="H944">
        <f>_xll.BDP("FNDD9235 Mtge","MTG_WAL")</f>
        <v>3.2964000000000002</v>
      </c>
      <c r="I944" t="str">
        <f>_xll.BDP("FNDD9235 Mtge","MTG_ORIG_WAL")</f>
        <v>#N/A N/A</v>
      </c>
    </row>
    <row r="945" spans="1:9" x14ac:dyDescent="0.25">
      <c r="A945" t="str">
        <f>_xll.BDP("FNDD9650 Mtge","ID_CUSIP")</f>
        <v>3140BAWL6</v>
      </c>
      <c r="B945" t="str">
        <f>_xll.BDP("FNDD9650 Mtge","SECURITY_NAME")</f>
        <v>FN DD9650</v>
      </c>
      <c r="C945" t="str">
        <f>_xll.BDP("FNDD9650 Mtge","GENERIC_TICKER_VINTAGE")</f>
        <v>FNCL 6 2025</v>
      </c>
      <c r="D945" t="str">
        <f>_xll.BDP("FNDD9650 Mtge","CRNCY")</f>
        <v>USD</v>
      </c>
      <c r="E945">
        <v>3634861</v>
      </c>
      <c r="F945">
        <f>_xll.BDP("FNDD9650 Mtge","CPN")</f>
        <v>6</v>
      </c>
      <c r="G945">
        <f>_xll.BDP("FNDD9650 Mtge","MTG_FACTOR")</f>
        <v>0.98974501000000004</v>
      </c>
      <c r="H945">
        <f>_xll.BDP("FNDD9650 Mtge","MTG_WAL")</f>
        <v>3.2875000000000001</v>
      </c>
      <c r="I945" t="str">
        <f>_xll.BDP("FNDD9650 Mtge","MTG_ORIG_WAL")</f>
        <v>#N/A N/A</v>
      </c>
    </row>
    <row r="946" spans="1:9" x14ac:dyDescent="0.25">
      <c r="A946" t="str">
        <f>_xll.BDP("FNDD9716 Mtge","ID_CUSIP")</f>
        <v>3140BAYN0</v>
      </c>
      <c r="B946" t="str">
        <f>_xll.BDP("FNDD9716 Mtge","SECURITY_NAME")</f>
        <v>FN DD9716</v>
      </c>
      <c r="C946" t="str">
        <f>_xll.BDP("FNDD9716 Mtge","GENERIC_TICKER_VINTAGE")</f>
        <v>FNCL 6 2025</v>
      </c>
      <c r="D946" t="str">
        <f>_xll.BDP("FNDD9716 Mtge","CRNCY")</f>
        <v>USD</v>
      </c>
      <c r="E946">
        <v>7822522</v>
      </c>
      <c r="F946">
        <f>_xll.BDP("FNDD9716 Mtge","CPN")</f>
        <v>6</v>
      </c>
      <c r="G946">
        <f>_xll.BDP("FNDD9716 Mtge","MTG_FACTOR")</f>
        <v>0.95718844999999997</v>
      </c>
      <c r="H946">
        <f>_xll.BDP("FNDD9716 Mtge","MTG_WAL")</f>
        <v>3.2909000000000002</v>
      </c>
      <c r="I946" t="str">
        <f>_xll.BDP("FNDD9716 Mtge","MTG_ORIG_WAL")</f>
        <v>#N/A N/A</v>
      </c>
    </row>
    <row r="947" spans="1:9" x14ac:dyDescent="0.25">
      <c r="A947" t="str">
        <f>_xll.BDP("FNDD9737 Mtge","ID_CUSIP")</f>
        <v>3140BAZB5</v>
      </c>
      <c r="B947" t="str">
        <f>_xll.BDP("FNDD9737 Mtge","SECURITY_NAME")</f>
        <v>FN DD9737</v>
      </c>
      <c r="C947" t="str">
        <f>_xll.BDP("FNDD9737 Mtge","GENERIC_TICKER_VINTAGE")</f>
        <v>FNCL 6 2025</v>
      </c>
      <c r="D947" t="str">
        <f>_xll.BDP("FNDD9737 Mtge","CRNCY")</f>
        <v>USD</v>
      </c>
      <c r="E947">
        <v>5127761</v>
      </c>
      <c r="F947">
        <f>_xll.BDP("FNDD9737 Mtge","CPN")</f>
        <v>6</v>
      </c>
      <c r="G947">
        <f>_xll.BDP("FNDD9737 Mtge","MTG_FACTOR")</f>
        <v>0.95279937000000003</v>
      </c>
      <c r="H947">
        <f>_xll.BDP("FNDD9737 Mtge","MTG_WAL")</f>
        <v>3.3285999999999998</v>
      </c>
      <c r="I947" t="str">
        <f>_xll.BDP("FNDD9737 Mtge","MTG_ORIG_WAL")</f>
        <v>#N/A N/A</v>
      </c>
    </row>
    <row r="948" spans="1:9" x14ac:dyDescent="0.25">
      <c r="A948" t="str">
        <f>_xll.BDP("FNDE0098 Mtge","ID_CUSIP")</f>
        <v>3140BCDC3</v>
      </c>
      <c r="B948" t="str">
        <f>_xll.BDP("FNDE0098 Mtge","SECURITY_NAME")</f>
        <v>FN DE0098</v>
      </c>
      <c r="C948" t="str">
        <f>_xll.BDP("FNDE0098 Mtge","GENERIC_TICKER_VINTAGE")</f>
        <v>FNCL 6 2025</v>
      </c>
      <c r="D948" t="str">
        <f>_xll.BDP("FNDE0098 Mtge","CRNCY")</f>
        <v>USD</v>
      </c>
      <c r="E948">
        <v>9742136</v>
      </c>
      <c r="F948">
        <f>_xll.BDP("FNDE0098 Mtge","CPN")</f>
        <v>6</v>
      </c>
      <c r="G948">
        <f>_xll.BDP("FNDE0098 Mtge","MTG_FACTOR")</f>
        <v>0.95369068999999995</v>
      </c>
      <c r="H948">
        <f>_xll.BDP("FNDE0098 Mtge","MTG_WAL")</f>
        <v>3.2829999999999999</v>
      </c>
      <c r="I948" t="str">
        <f>_xll.BDP("FNDE0098 Mtge","MTG_ORIG_WAL")</f>
        <v>#N/A N/A</v>
      </c>
    </row>
    <row r="949" spans="1:9" x14ac:dyDescent="0.25">
      <c r="A949" t="str">
        <f>_xll.BDP("FNDE0099 Mtge","ID_CUSIP")</f>
        <v>3140BCDD1</v>
      </c>
      <c r="B949" t="str">
        <f>_xll.BDP("FNDE0099 Mtge","SECURITY_NAME")</f>
        <v>FN DE0099</v>
      </c>
      <c r="C949" t="str">
        <f>_xll.BDP("FNDE0099 Mtge","GENERIC_TICKER_VINTAGE")</f>
        <v>FNCL 6 2025</v>
      </c>
      <c r="D949" t="str">
        <f>_xll.BDP("FNDE0099 Mtge","CRNCY")</f>
        <v>USD</v>
      </c>
      <c r="E949">
        <v>9614398</v>
      </c>
      <c r="F949">
        <f>_xll.BDP("FNDE0099 Mtge","CPN")</f>
        <v>6</v>
      </c>
      <c r="G949">
        <f>_xll.BDP("FNDE0099 Mtge","MTG_FACTOR")</f>
        <v>0.99005600999999999</v>
      </c>
      <c r="H949">
        <f>_xll.BDP("FNDE0099 Mtge","MTG_WAL")</f>
        <v>3.3328000000000002</v>
      </c>
      <c r="I949" t="str">
        <f>_xll.BDP("FNDE0099 Mtge","MTG_ORIG_WAL")</f>
        <v>#N/A N/A</v>
      </c>
    </row>
    <row r="950" spans="1:9" x14ac:dyDescent="0.25">
      <c r="A950" t="str">
        <f>_xll.BDP("FNDE0518 Mtge","ID_CUSIP")</f>
        <v>3140BCSG8</v>
      </c>
      <c r="B950" t="str">
        <f>_xll.BDP("FNDE0518 Mtge","SECURITY_NAME")</f>
        <v>FN DE0518</v>
      </c>
      <c r="C950" t="str">
        <f>_xll.BDP("FNDE0518 Mtge","GENERIC_TICKER_VINTAGE")</f>
        <v>FNCL 6 2025</v>
      </c>
      <c r="D950" t="str">
        <f>_xll.BDP("FNDE0518 Mtge","CRNCY")</f>
        <v>USD</v>
      </c>
      <c r="E950">
        <v>1858400</v>
      </c>
      <c r="F950">
        <f>_xll.BDP("FNDE0518 Mtge","CPN")</f>
        <v>6</v>
      </c>
      <c r="G950">
        <f>_xll.BDP("FNDE0518 Mtge","MTG_FACTOR")</f>
        <v>0.98249470999999999</v>
      </c>
      <c r="H950">
        <f>_xll.BDP("FNDE0518 Mtge","MTG_WAL")</f>
        <v>3.3370000000000002</v>
      </c>
      <c r="I950" t="str">
        <f>_xll.BDP("FNDE0518 Mtge","MTG_ORIG_WAL")</f>
        <v>#N/A N/A</v>
      </c>
    </row>
    <row r="951" spans="1:9" x14ac:dyDescent="0.25">
      <c r="A951" t="str">
        <f>_xll.BDP("FNDE0693 Mtge","ID_CUSIP")</f>
        <v>3140BCXX5</v>
      </c>
      <c r="B951" t="str">
        <f>_xll.BDP("FNDE0693 Mtge","SECURITY_NAME")</f>
        <v>FN DE0693</v>
      </c>
      <c r="C951" t="str">
        <f>_xll.BDP("FNDE0693 Mtge","GENERIC_TICKER_VINTAGE")</f>
        <v>FNCL 6 2025</v>
      </c>
      <c r="D951" t="str">
        <f>_xll.BDP("FNDE0693 Mtge","CRNCY")</f>
        <v>USD</v>
      </c>
      <c r="E951">
        <v>1836060</v>
      </c>
      <c r="F951">
        <f>_xll.BDP("FNDE0693 Mtge","CPN")</f>
        <v>6</v>
      </c>
      <c r="G951">
        <f>_xll.BDP("FNDE0693 Mtge","MTG_FACTOR")</f>
        <v>0.99127162000000002</v>
      </c>
      <c r="H951">
        <f>_xll.BDP("FNDE0693 Mtge","MTG_WAL")</f>
        <v>3.2921</v>
      </c>
      <c r="I951" t="str">
        <f>_xll.BDP("FNDE0693 Mtge","MTG_ORIG_WAL")</f>
        <v>#N/A N/A</v>
      </c>
    </row>
    <row r="952" spans="1:9" x14ac:dyDescent="0.25">
      <c r="A952" t="str">
        <f>_xll.BDP("FNDE0759 Mtge","ID_CUSIP")</f>
        <v>3140BCZZ8</v>
      </c>
      <c r="B952" t="str">
        <f>_xll.BDP("FNDE0759 Mtge","SECURITY_NAME")</f>
        <v>FN DE0759</v>
      </c>
      <c r="C952" t="str">
        <f>_xll.BDP("FNDE0759 Mtge","GENERIC_TICKER_VINTAGE")</f>
        <v>FNCL 6 2025</v>
      </c>
      <c r="D952" t="str">
        <f>_xll.BDP("FNDE0759 Mtge","CRNCY")</f>
        <v>USD</v>
      </c>
      <c r="E952">
        <v>36020743</v>
      </c>
      <c r="F952">
        <f>_xll.BDP("FNDE0759 Mtge","CPN")</f>
        <v>6</v>
      </c>
      <c r="G952">
        <f>_xll.BDP("FNDE0759 Mtge","MTG_FACTOR")</f>
        <v>0.89512749999999996</v>
      </c>
      <c r="H952">
        <f>_xll.BDP("FNDE0759 Mtge","MTG_WAL")</f>
        <v>3.3380000000000001</v>
      </c>
      <c r="I952" t="str">
        <f>_xll.BDP("FNDE0759 Mtge","MTG_ORIG_WAL")</f>
        <v>#N/A N/A</v>
      </c>
    </row>
    <row r="953" spans="1:9" x14ac:dyDescent="0.25">
      <c r="A953" t="str">
        <f>_xll.BDP("FNDE0760 Mtge","ID_CUSIP")</f>
        <v>3140BCZ21</v>
      </c>
      <c r="B953" t="str">
        <f>_xll.BDP("FNDE0760 Mtge","SECURITY_NAME")</f>
        <v>FN DE0760</v>
      </c>
      <c r="C953" t="str">
        <f>_xll.BDP("FNDE0760 Mtge","GENERIC_TICKER_VINTAGE")</f>
        <v>FNCL 6 2025</v>
      </c>
      <c r="D953" t="str">
        <f>_xll.BDP("FNDE0760 Mtge","CRNCY")</f>
        <v>USD</v>
      </c>
      <c r="E953">
        <v>11490483</v>
      </c>
      <c r="F953">
        <f>_xll.BDP("FNDE0760 Mtge","CPN")</f>
        <v>6</v>
      </c>
      <c r="G953">
        <f>_xll.BDP("FNDE0760 Mtge","MTG_FACTOR")</f>
        <v>0.94086424000000002</v>
      </c>
      <c r="H953">
        <f>_xll.BDP("FNDE0760 Mtge","MTG_WAL")</f>
        <v>3.34</v>
      </c>
      <c r="I953" t="str">
        <f>_xll.BDP("FNDE0760 Mtge","MTG_ORIG_WAL")</f>
        <v>#N/A N/A</v>
      </c>
    </row>
    <row r="954" spans="1:9" x14ac:dyDescent="0.25">
      <c r="A954" t="str">
        <f>_xll.BDP("FNDE0936 Mtge","ID_CUSIP")</f>
        <v>3140BDBE9</v>
      </c>
      <c r="B954" t="str">
        <f>_xll.BDP("FNDE0936 Mtge","SECURITY_NAME")</f>
        <v>FN DE0936</v>
      </c>
      <c r="C954" t="str">
        <f>_xll.BDP("FNDE0936 Mtge","GENERIC_TICKER_VINTAGE")</f>
        <v>FNCL 6 2025</v>
      </c>
      <c r="D954" t="str">
        <f>_xll.BDP("FNDE0936 Mtge","CRNCY")</f>
        <v>USD</v>
      </c>
      <c r="E954">
        <v>11969203</v>
      </c>
      <c r="F954">
        <f>_xll.BDP("FNDE0936 Mtge","CPN")</f>
        <v>6</v>
      </c>
      <c r="G954">
        <f>_xll.BDP("FNDE0936 Mtge","MTG_FACTOR")</f>
        <v>0.91146914000000001</v>
      </c>
      <c r="H954">
        <f>_xll.BDP("FNDE0936 Mtge","MTG_WAL")</f>
        <v>3.3420000000000001</v>
      </c>
      <c r="I954" t="str">
        <f>_xll.BDP("FNDE0936 Mtge","MTG_ORIG_WAL")</f>
        <v>#N/A N/A</v>
      </c>
    </row>
    <row r="955" spans="1:9" x14ac:dyDescent="0.25">
      <c r="A955" t="str">
        <f>_xll.BDP("FNDE0939 Mtge","ID_CUSIP")</f>
        <v>3140BDBH2</v>
      </c>
      <c r="B955" t="str">
        <f>_xll.BDP("FNDE0939 Mtge","SECURITY_NAME")</f>
        <v>FN DE0939</v>
      </c>
      <c r="C955" t="str">
        <f>_xll.BDP("FNDE0939 Mtge","GENERIC_TICKER_VINTAGE")</f>
        <v>FNCL 6 2025</v>
      </c>
      <c r="D955" t="str">
        <f>_xll.BDP("FNDE0939 Mtge","CRNCY")</f>
        <v>USD</v>
      </c>
      <c r="E955">
        <v>21381113</v>
      </c>
      <c r="F955">
        <f>_xll.BDP("FNDE0939 Mtge","CPN")</f>
        <v>6</v>
      </c>
      <c r="G955">
        <f>_xll.BDP("FNDE0939 Mtge","MTG_FACTOR")</f>
        <v>0.94551461000000003</v>
      </c>
      <c r="H955">
        <f>_xll.BDP("FNDE0939 Mtge","MTG_WAL")</f>
        <v>3.3414000000000001</v>
      </c>
      <c r="I955" t="str">
        <f>_xll.BDP("FNDE0939 Mtge","MTG_ORIG_WAL")</f>
        <v>#N/A N/A</v>
      </c>
    </row>
    <row r="956" spans="1:9" x14ac:dyDescent="0.25">
      <c r="A956" t="str">
        <f>_xll.BDP("FNDE1233 Mtge","ID_CUSIP")</f>
        <v>3140BDLP3</v>
      </c>
      <c r="B956" t="str">
        <f>_xll.BDP("FNDE1233 Mtge","SECURITY_NAME")</f>
        <v>FN DE1233</v>
      </c>
      <c r="C956" t="str">
        <f>_xll.BDP("FNDE1233 Mtge","GENERIC_TICKER_VINTAGE")</f>
        <v>FNCL 6 2025</v>
      </c>
      <c r="D956" t="str">
        <f>_xll.BDP("FNDE1233 Mtge","CRNCY")</f>
        <v>USD</v>
      </c>
      <c r="E956">
        <v>1117850</v>
      </c>
      <c r="F956">
        <f>_xll.BDP("FNDE1233 Mtge","CPN")</f>
        <v>6</v>
      </c>
      <c r="G956">
        <f>_xll.BDP("FNDE1233 Mtge","MTG_FACTOR")</f>
        <v>0.99161131999999996</v>
      </c>
      <c r="H956">
        <f>_xll.BDP("FNDE1233 Mtge","MTG_WAL")</f>
        <v>3.3445</v>
      </c>
      <c r="I956" t="str">
        <f>_xll.BDP("FNDE1233 Mtge","MTG_ORIG_WAL")</f>
        <v>#N/A N/A</v>
      </c>
    </row>
    <row r="957" spans="1:9" x14ac:dyDescent="0.25">
      <c r="A957" t="str">
        <f>_xll.BDP("FNDE1252 Mtge","ID_CUSIP")</f>
        <v>3140BDMA5</v>
      </c>
      <c r="B957" t="str">
        <f>_xll.BDP("FNDE1252 Mtge","SECURITY_NAME")</f>
        <v>FN DE1252</v>
      </c>
      <c r="C957" t="str">
        <f>_xll.BDP("FNDE1252 Mtge","GENERIC_TICKER_VINTAGE")</f>
        <v>FNCL 6 2025</v>
      </c>
      <c r="D957" t="str">
        <f>_xll.BDP("FNDE1252 Mtge","CRNCY")</f>
        <v>USD</v>
      </c>
      <c r="E957">
        <v>2516950</v>
      </c>
      <c r="F957">
        <f>_xll.BDP("FNDE1252 Mtge","CPN")</f>
        <v>6</v>
      </c>
      <c r="G957">
        <f>_xll.BDP("FNDE1252 Mtge","MTG_FACTOR")</f>
        <v>0.97495129000000003</v>
      </c>
      <c r="H957">
        <f>_xll.BDP("FNDE1252 Mtge","MTG_WAL")</f>
        <v>3.3361999999999998</v>
      </c>
      <c r="I957" t="str">
        <f>_xll.BDP("FNDE1252 Mtge","MTG_ORIG_WAL")</f>
        <v>#N/A N/A</v>
      </c>
    </row>
    <row r="958" spans="1:9" x14ac:dyDescent="0.25">
      <c r="A958" t="str">
        <f>_xll.BDP("FNDE1253 Mtge","ID_CUSIP")</f>
        <v>3140BDMB3</v>
      </c>
      <c r="B958" t="str">
        <f>_xll.BDP("FNDE1253 Mtge","SECURITY_NAME")</f>
        <v>FN DE1253</v>
      </c>
      <c r="C958" t="str">
        <f>_xll.BDP("FNDE1253 Mtge","GENERIC_TICKER_VINTAGE")</f>
        <v>FNCL 6 2025</v>
      </c>
      <c r="D958" t="str">
        <f>_xll.BDP("FNDE1253 Mtge","CRNCY")</f>
        <v>USD</v>
      </c>
      <c r="E958">
        <v>1340049</v>
      </c>
      <c r="F958">
        <f>_xll.BDP("FNDE1253 Mtge","CPN")</f>
        <v>6</v>
      </c>
      <c r="G958">
        <f>_xll.BDP("FNDE1253 Mtge","MTG_FACTOR")</f>
        <v>0.99232706000000004</v>
      </c>
      <c r="H958">
        <f>_xll.BDP("FNDE1253 Mtge","MTG_WAL")</f>
        <v>3.3458999999999999</v>
      </c>
      <c r="I958" t="str">
        <f>_xll.BDP("FNDE1253 Mtge","MTG_ORIG_WAL")</f>
        <v>#N/A N/A</v>
      </c>
    </row>
    <row r="959" spans="1:9" x14ac:dyDescent="0.25">
      <c r="A959" t="str">
        <f>_xll.BDP("FNDE1255 Mtge","ID_CUSIP")</f>
        <v>3140BDMD9</v>
      </c>
      <c r="B959" t="str">
        <f>_xll.BDP("FNDE1255 Mtge","SECURITY_NAME")</f>
        <v>FN DE1255</v>
      </c>
      <c r="C959" t="str">
        <f>_xll.BDP("FNDE1255 Mtge","GENERIC_TICKER_VINTAGE")</f>
        <v>FNCL 6 2025</v>
      </c>
      <c r="D959" t="str">
        <f>_xll.BDP("FNDE1255 Mtge","CRNCY")</f>
        <v>USD</v>
      </c>
      <c r="E959">
        <v>2710915</v>
      </c>
      <c r="F959">
        <f>_xll.BDP("FNDE1255 Mtge","CPN")</f>
        <v>6</v>
      </c>
      <c r="G959">
        <f>_xll.BDP("FNDE1255 Mtge","MTG_FACTOR")</f>
        <v>0.99186965999999999</v>
      </c>
      <c r="H959">
        <f>_xll.BDP("FNDE1255 Mtge","MTG_WAL")</f>
        <v>3.3462000000000001</v>
      </c>
      <c r="I959" t="str">
        <f>_xll.BDP("FNDE1255 Mtge","MTG_ORIG_WAL")</f>
        <v>#N/A N/A</v>
      </c>
    </row>
    <row r="960" spans="1:9" x14ac:dyDescent="0.25">
      <c r="A960" t="str">
        <f>_xll.BDP("FNDE1257 Mtge","ID_CUSIP")</f>
        <v>3140BDMF4</v>
      </c>
      <c r="B960" t="str">
        <f>_xll.BDP("FNDE1257 Mtge","SECURITY_NAME")</f>
        <v>FN DE1257</v>
      </c>
      <c r="C960" t="str">
        <f>_xll.BDP("FNDE1257 Mtge","GENERIC_TICKER_VINTAGE")</f>
        <v>FNCL 6 2025</v>
      </c>
      <c r="D960" t="str">
        <f>_xll.BDP("FNDE1257 Mtge","CRNCY")</f>
        <v>USD</v>
      </c>
      <c r="E960">
        <v>1557800</v>
      </c>
      <c r="F960">
        <f>_xll.BDP("FNDE1257 Mtge","CPN")</f>
        <v>6</v>
      </c>
      <c r="G960">
        <f>_xll.BDP("FNDE1257 Mtge","MTG_FACTOR")</f>
        <v>0.99253197000000004</v>
      </c>
      <c r="H960">
        <f>_xll.BDP("FNDE1257 Mtge","MTG_WAL")</f>
        <v>3.3488000000000002</v>
      </c>
      <c r="I960" t="str">
        <f>_xll.BDP("FNDE1257 Mtge","MTG_ORIG_WAL")</f>
        <v>#N/A N/A</v>
      </c>
    </row>
    <row r="961" spans="1:9" x14ac:dyDescent="0.25">
      <c r="A961" t="str">
        <f>_xll.BDP("FNDE1306 Mtge","ID_CUSIP")</f>
        <v>3140BDNY2</v>
      </c>
      <c r="B961" t="str">
        <f>_xll.BDP("FNDE1306 Mtge","SECURITY_NAME")</f>
        <v>FN DE1306</v>
      </c>
      <c r="C961" t="str">
        <f>_xll.BDP("FNDE1306 Mtge","GENERIC_TICKER_VINTAGE")</f>
        <v>FNCL 6 2025</v>
      </c>
      <c r="D961" t="str">
        <f>_xll.BDP("FNDE1306 Mtge","CRNCY")</f>
        <v>USD</v>
      </c>
      <c r="E961">
        <v>5772695</v>
      </c>
      <c r="F961">
        <f>_xll.BDP("FNDE1306 Mtge","CPN")</f>
        <v>6</v>
      </c>
      <c r="G961">
        <f>_xll.BDP("FNDE1306 Mtge","MTG_FACTOR")</f>
        <v>0.99065968999999998</v>
      </c>
      <c r="H961">
        <f>_xll.BDP("FNDE1306 Mtge","MTG_WAL")</f>
        <v>3.3380000000000001</v>
      </c>
      <c r="I961" t="str">
        <f>_xll.BDP("FNDE1306 Mtge","MTG_ORIG_WAL")</f>
        <v>#N/A N/A</v>
      </c>
    </row>
    <row r="962" spans="1:9" x14ac:dyDescent="0.25">
      <c r="A962" t="str">
        <f>_xll.BDP("FNDE1403 Mtge","ID_CUSIP")</f>
        <v>3140BDRZ5</v>
      </c>
      <c r="B962" t="str">
        <f>_xll.BDP("FNDE1403 Mtge","SECURITY_NAME")</f>
        <v>FN DE1403</v>
      </c>
      <c r="C962" t="str">
        <f>_xll.BDP("FNDE1403 Mtge","GENERIC_TICKER_VINTAGE")</f>
        <v>FNCL 6 2025</v>
      </c>
      <c r="D962" t="str">
        <f>_xll.BDP("FNDE1403 Mtge","CRNCY")</f>
        <v>USD</v>
      </c>
      <c r="E962">
        <v>3899940</v>
      </c>
      <c r="F962">
        <f>_xll.BDP("FNDE1403 Mtge","CPN")</f>
        <v>6</v>
      </c>
      <c r="G962">
        <f>_xll.BDP("FNDE1403 Mtge","MTG_FACTOR")</f>
        <v>0.78702532999999997</v>
      </c>
      <c r="H962">
        <f>_xll.BDP("FNDE1403 Mtge","MTG_WAL")</f>
        <v>3.2967</v>
      </c>
      <c r="I962" t="str">
        <f>_xll.BDP("FNDE1403 Mtge","MTG_ORIG_WAL")</f>
        <v>#N/A N/A</v>
      </c>
    </row>
    <row r="963" spans="1:9" x14ac:dyDescent="0.25">
      <c r="A963" t="str">
        <f>_xll.BDP("FNDE1473 Mtge","ID_CUSIP")</f>
        <v>3140BDT75</v>
      </c>
      <c r="B963" t="str">
        <f>_xll.BDP("FNDE1473 Mtge","SECURITY_NAME")</f>
        <v>FN DE1473</v>
      </c>
      <c r="C963" t="str">
        <f>_xll.BDP("FNDE1473 Mtge","GENERIC_TICKER_VINTAGE")</f>
        <v>FNCL 6 2025</v>
      </c>
      <c r="D963" t="str">
        <f>_xll.BDP("FNDE1473 Mtge","CRNCY")</f>
        <v>USD</v>
      </c>
      <c r="E963">
        <v>2104400</v>
      </c>
      <c r="F963">
        <f>_xll.BDP("FNDE1473 Mtge","CPN")</f>
        <v>6</v>
      </c>
      <c r="G963">
        <f>_xll.BDP("FNDE1473 Mtge","MTG_FACTOR")</f>
        <v>0.84014071000000001</v>
      </c>
      <c r="H963">
        <f>_xll.BDP("FNDE1473 Mtge","MTG_WAL")</f>
        <v>3.3393999999999999</v>
      </c>
      <c r="I963" t="str">
        <f>_xll.BDP("FNDE1473 Mtge","MTG_ORIG_WAL")</f>
        <v>#N/A N/A</v>
      </c>
    </row>
    <row r="964" spans="1:9" x14ac:dyDescent="0.25">
      <c r="A964" t="str">
        <f>_xll.BDP("FNDE1501 Mtge","ID_CUSIP")</f>
        <v>3140BDU32</v>
      </c>
      <c r="B964" t="str">
        <f>_xll.BDP("FNDE1501 Mtge","SECURITY_NAME")</f>
        <v>FN DE1501</v>
      </c>
      <c r="C964" t="str">
        <f>_xll.BDP("FNDE1501 Mtge","GENERIC_TICKER_VINTAGE")</f>
        <v>FNCL 6 2025</v>
      </c>
      <c r="D964" t="str">
        <f>_xll.BDP("FNDE1501 Mtge","CRNCY")</f>
        <v>USD</v>
      </c>
      <c r="E964">
        <v>10130510</v>
      </c>
      <c r="F964">
        <f>_xll.BDP("FNDE1501 Mtge","CPN")</f>
        <v>6</v>
      </c>
      <c r="G964">
        <f>_xll.BDP("FNDE1501 Mtge","MTG_FACTOR")</f>
        <v>0.82736697999999997</v>
      </c>
      <c r="H964">
        <f>_xll.BDP("FNDE1501 Mtge","MTG_WAL")</f>
        <v>3.3397999999999999</v>
      </c>
      <c r="I964" t="str">
        <f>_xll.BDP("FNDE1501 Mtge","MTG_ORIG_WAL")</f>
        <v>#N/A N/A</v>
      </c>
    </row>
    <row r="965" spans="1:9" x14ac:dyDescent="0.25">
      <c r="A965" t="str">
        <f>_xll.BDP("FNDE1525 Mtge","ID_CUSIP")</f>
        <v>3140BDVT4</v>
      </c>
      <c r="B965" t="str">
        <f>_xll.BDP("FNDE1525 Mtge","SECURITY_NAME")</f>
        <v>FN DE1525</v>
      </c>
      <c r="C965" t="str">
        <f>_xll.BDP("FNDE1525 Mtge","GENERIC_TICKER_VINTAGE")</f>
        <v>FNCL 6 2025</v>
      </c>
      <c r="D965" t="str">
        <f>_xll.BDP("FNDE1525 Mtge","CRNCY")</f>
        <v>USD</v>
      </c>
      <c r="E965">
        <v>8013855</v>
      </c>
      <c r="F965">
        <f>_xll.BDP("FNDE1525 Mtge","CPN")</f>
        <v>6</v>
      </c>
      <c r="G965">
        <f>_xll.BDP("FNDE1525 Mtge","MTG_FACTOR")</f>
        <v>0.95589033999999995</v>
      </c>
      <c r="H965">
        <f>_xll.BDP("FNDE1525 Mtge","MTG_WAL")</f>
        <v>3.2907000000000002</v>
      </c>
      <c r="I965" t="str">
        <f>_xll.BDP("FNDE1525 Mtge","MTG_ORIG_WAL")</f>
        <v>#N/A N/A</v>
      </c>
    </row>
    <row r="966" spans="1:9" x14ac:dyDescent="0.25">
      <c r="A966" t="str">
        <f>_xll.BDP("FNDE1528 Mtge","ID_CUSIP")</f>
        <v>3140BDVW7</v>
      </c>
      <c r="B966" t="str">
        <f>_xll.BDP("FNDE1528 Mtge","SECURITY_NAME")</f>
        <v>FN DE1528</v>
      </c>
      <c r="C966" t="str">
        <f>_xll.BDP("FNDE1528 Mtge","GENERIC_TICKER_VINTAGE")</f>
        <v>FNCL 6 2025</v>
      </c>
      <c r="D966" t="str">
        <f>_xll.BDP("FNDE1528 Mtge","CRNCY")</f>
        <v>USD</v>
      </c>
      <c r="E966">
        <v>8012696</v>
      </c>
      <c r="F966">
        <f>_xll.BDP("FNDE1528 Mtge","CPN")</f>
        <v>6</v>
      </c>
      <c r="G966">
        <f>_xll.BDP("FNDE1528 Mtge","MTG_FACTOR")</f>
        <v>0.94380562000000001</v>
      </c>
      <c r="H966">
        <f>_xll.BDP("FNDE1528 Mtge","MTG_WAL")</f>
        <v>3.2900999999999998</v>
      </c>
      <c r="I966" t="str">
        <f>_xll.BDP("FNDE1528 Mtge","MTG_ORIG_WAL")</f>
        <v>#N/A N/A</v>
      </c>
    </row>
    <row r="967" spans="1:9" x14ac:dyDescent="0.25">
      <c r="A967" t="str">
        <f>_xll.BDP("FNDE1532 Mtge","ID_CUSIP")</f>
        <v>3140BDV23</v>
      </c>
      <c r="B967" t="str">
        <f>_xll.BDP("FNDE1532 Mtge","SECURITY_NAME")</f>
        <v>FN DE1532</v>
      </c>
      <c r="C967" t="str">
        <f>_xll.BDP("FNDE1532 Mtge","GENERIC_TICKER_VINTAGE")</f>
        <v>FNCL 6 2025</v>
      </c>
      <c r="D967" t="str">
        <f>_xll.BDP("FNDE1532 Mtge","CRNCY")</f>
        <v>USD</v>
      </c>
      <c r="E967">
        <v>4030967</v>
      </c>
      <c r="F967">
        <f>_xll.BDP("FNDE1532 Mtge","CPN")</f>
        <v>6</v>
      </c>
      <c r="G967">
        <f>_xll.BDP("FNDE1532 Mtge","MTG_FACTOR")</f>
        <v>0.99186021999999996</v>
      </c>
      <c r="H967">
        <f>_xll.BDP("FNDE1532 Mtge","MTG_WAL")</f>
        <v>3.2909999999999999</v>
      </c>
      <c r="I967" t="str">
        <f>_xll.BDP("FNDE1532 Mtge","MTG_ORIG_WAL")</f>
        <v>#N/A N/A</v>
      </c>
    </row>
    <row r="968" spans="1:9" x14ac:dyDescent="0.25">
      <c r="A968" t="str">
        <f>_xll.BDP("FNDE1552 Mtge","ID_CUSIP")</f>
        <v>3140BDWN6</v>
      </c>
      <c r="B968" t="str">
        <f>_xll.BDP("FNDE1552 Mtge","SECURITY_NAME")</f>
        <v>FN DE1552</v>
      </c>
      <c r="C968" t="str">
        <f>_xll.BDP("FNDE1552 Mtge","GENERIC_TICKER_VINTAGE")</f>
        <v>FNCL 6 2025</v>
      </c>
      <c r="D968" t="str">
        <f>_xll.BDP("FNDE1552 Mtge","CRNCY")</f>
        <v>USD</v>
      </c>
      <c r="E968">
        <v>1274778</v>
      </c>
      <c r="F968">
        <f>_xll.BDP("FNDE1552 Mtge","CPN")</f>
        <v>6</v>
      </c>
      <c r="G968">
        <f>_xll.BDP("FNDE1552 Mtge","MTG_FACTOR")</f>
        <v>0.99234929000000005</v>
      </c>
      <c r="H968">
        <f>_xll.BDP("FNDE1552 Mtge","MTG_WAL")</f>
        <v>3.3420000000000001</v>
      </c>
      <c r="I968" t="str">
        <f>_xll.BDP("FNDE1552 Mtge","MTG_ORIG_WAL")</f>
        <v>#N/A N/A</v>
      </c>
    </row>
    <row r="969" spans="1:9" x14ac:dyDescent="0.25">
      <c r="A969" t="str">
        <f>_xll.BDP("FNDE1629 Mtge","ID_CUSIP")</f>
        <v>3140BDY38</v>
      </c>
      <c r="B969" t="str">
        <f>_xll.BDP("FNDE1629 Mtge","SECURITY_NAME")</f>
        <v>FN DE1629</v>
      </c>
      <c r="C969" t="str">
        <f>_xll.BDP("FNDE1629 Mtge","GENERIC_TICKER_VINTAGE")</f>
        <v>FNCL 6 2025</v>
      </c>
      <c r="D969" t="str">
        <f>_xll.BDP("FNDE1629 Mtge","CRNCY")</f>
        <v>USD</v>
      </c>
      <c r="E969">
        <v>3477377</v>
      </c>
      <c r="F969">
        <f>_xll.BDP("FNDE1629 Mtge","CPN")</f>
        <v>6</v>
      </c>
      <c r="G969">
        <f>_xll.BDP("FNDE1629 Mtge","MTG_FACTOR")</f>
        <v>0.94037897999999998</v>
      </c>
      <c r="H969">
        <f>_xll.BDP("FNDE1629 Mtge","MTG_WAL")</f>
        <v>3.2865000000000002</v>
      </c>
      <c r="I969" t="str">
        <f>_xll.BDP("FNDE1629 Mtge","MTG_ORIG_WAL")</f>
        <v>#N/A N/A</v>
      </c>
    </row>
    <row r="970" spans="1:9" x14ac:dyDescent="0.25">
      <c r="A970" t="str">
        <f>_xll.BDP("FNDE1632 Mtge","ID_CUSIP")</f>
        <v>3140BDY61</v>
      </c>
      <c r="B970" t="str">
        <f>_xll.BDP("FNDE1632 Mtge","SECURITY_NAME")</f>
        <v>FN DE1632</v>
      </c>
      <c r="C970" t="str">
        <f>_xll.BDP("FNDE1632 Mtge","GENERIC_TICKER_VINTAGE")</f>
        <v>FNCL 6 2025</v>
      </c>
      <c r="D970" t="str">
        <f>_xll.BDP("FNDE1632 Mtge","CRNCY")</f>
        <v>USD</v>
      </c>
      <c r="E970">
        <v>3625106</v>
      </c>
      <c r="F970">
        <f>_xll.BDP("FNDE1632 Mtge","CPN")</f>
        <v>6</v>
      </c>
      <c r="G970">
        <f>_xll.BDP("FNDE1632 Mtge","MTG_FACTOR")</f>
        <v>0.98813594000000005</v>
      </c>
      <c r="H970">
        <f>_xll.BDP("FNDE1632 Mtge","MTG_WAL")</f>
        <v>3.2869999999999999</v>
      </c>
      <c r="I970" t="str">
        <f>_xll.BDP("FNDE1632 Mtge","MTG_ORIG_WAL")</f>
        <v>#N/A N/A</v>
      </c>
    </row>
    <row r="971" spans="1:9" x14ac:dyDescent="0.25">
      <c r="A971" t="str">
        <f>_xll.BDP("FNDE1697 Mtge","ID_CUSIP")</f>
        <v>3140BD3F5</v>
      </c>
      <c r="B971" t="str">
        <f>_xll.BDP("FNDE1697 Mtge","SECURITY_NAME")</f>
        <v>FN DE1697</v>
      </c>
      <c r="C971" t="str">
        <f>_xll.BDP("FNDE1697 Mtge","GENERIC_TICKER_VINTAGE")</f>
        <v>FNCL 6 2025</v>
      </c>
      <c r="D971" t="str">
        <f>_xll.BDP("FNDE1697 Mtge","CRNCY")</f>
        <v>USD</v>
      </c>
      <c r="E971">
        <v>1027474</v>
      </c>
      <c r="F971">
        <f>_xll.BDP("FNDE1697 Mtge","CPN")</f>
        <v>6</v>
      </c>
      <c r="G971">
        <f>_xll.BDP("FNDE1697 Mtge","MTG_FACTOR")</f>
        <v>0.98993534000000005</v>
      </c>
      <c r="H971">
        <f>_xll.BDP("FNDE1697 Mtge","MTG_WAL")</f>
        <v>3.2932999999999999</v>
      </c>
      <c r="I971" t="str">
        <f>_xll.BDP("FNDE1697 Mtge","MTG_ORIG_WAL")</f>
        <v>#N/A N/A</v>
      </c>
    </row>
    <row r="972" spans="1:9" x14ac:dyDescent="0.25">
      <c r="A972" t="str">
        <f>_xll.BDP("FNDE1795 Mtge","ID_CUSIP")</f>
        <v>3140BD7H7</v>
      </c>
      <c r="B972" t="str">
        <f>_xll.BDP("FNDE1795 Mtge","SECURITY_NAME")</f>
        <v>FN DE1795</v>
      </c>
      <c r="C972" t="str">
        <f>_xll.BDP("FNDE1795 Mtge","GENERIC_TICKER_VINTAGE")</f>
        <v>FNCL 6 2025</v>
      </c>
      <c r="D972" t="str">
        <f>_xll.BDP("FNDE1795 Mtge","CRNCY")</f>
        <v>USD</v>
      </c>
      <c r="E972">
        <v>1284873</v>
      </c>
      <c r="F972">
        <f>_xll.BDP("FNDE1795 Mtge","CPN")</f>
        <v>6</v>
      </c>
      <c r="G972">
        <f>_xll.BDP("FNDE1795 Mtge","MTG_FACTOR")</f>
        <v>0.64236459999999995</v>
      </c>
      <c r="H972">
        <f>_xll.BDP("FNDE1795 Mtge","MTG_WAL")</f>
        <v>3.2970000000000002</v>
      </c>
      <c r="I972" t="str">
        <f>_xll.BDP("FNDE1795 Mtge","MTG_ORIG_WAL")</f>
        <v>#N/A N/A</v>
      </c>
    </row>
    <row r="973" spans="1:9" x14ac:dyDescent="0.25">
      <c r="A973" t="str">
        <f>_xll.BDP("FNDE1818 Mtge","ID_CUSIP")</f>
        <v>3140BEAU2</v>
      </c>
      <c r="B973" t="str">
        <f>_xll.BDP("FNDE1818 Mtge","SECURITY_NAME")</f>
        <v>FN DE1818</v>
      </c>
      <c r="C973" t="str">
        <f>_xll.BDP("FNDE1818 Mtge","GENERIC_TICKER_VINTAGE")</f>
        <v>FNCL 6 2025</v>
      </c>
      <c r="D973" t="str">
        <f>_xll.BDP("FNDE1818 Mtge","CRNCY")</f>
        <v>USD</v>
      </c>
      <c r="E973">
        <v>4099977</v>
      </c>
      <c r="F973">
        <f>_xll.BDP("FNDE1818 Mtge","CPN")</f>
        <v>6</v>
      </c>
      <c r="G973">
        <f>_xll.BDP("FNDE1818 Mtge","MTG_FACTOR")</f>
        <v>0.89232891000000003</v>
      </c>
      <c r="H973">
        <f>_xll.BDP("FNDE1818 Mtge","MTG_WAL")</f>
        <v>3.2784</v>
      </c>
      <c r="I973" t="str">
        <f>_xll.BDP("FNDE1818 Mtge","MTG_ORIG_WAL")</f>
        <v>#N/A N/A</v>
      </c>
    </row>
    <row r="974" spans="1:9" x14ac:dyDescent="0.25">
      <c r="A974" t="str">
        <f>_xll.BDP("FNDE1915 Mtge","ID_CUSIP")</f>
        <v>3140BEDV7</v>
      </c>
      <c r="B974" t="str">
        <f>_xll.BDP("FNDE1915 Mtge","SECURITY_NAME")</f>
        <v>FN DE1915</v>
      </c>
      <c r="C974" t="str">
        <f>_xll.BDP("FNDE1915 Mtge","GENERIC_TICKER_VINTAGE")</f>
        <v>FNCL 6 2025</v>
      </c>
      <c r="D974" t="str">
        <f>_xll.BDP("FNDE1915 Mtge","CRNCY")</f>
        <v>USD</v>
      </c>
      <c r="E974">
        <v>12619361</v>
      </c>
      <c r="F974">
        <f>_xll.BDP("FNDE1915 Mtge","CPN")</f>
        <v>6</v>
      </c>
      <c r="G974">
        <f>_xll.BDP("FNDE1915 Mtge","MTG_FACTOR")</f>
        <v>0.71617368999999997</v>
      </c>
      <c r="H974">
        <f>_xll.BDP("FNDE1915 Mtge","MTG_WAL")</f>
        <v>3.2913000000000001</v>
      </c>
      <c r="I974" t="str">
        <f>_xll.BDP("FNDE1915 Mtge","MTG_ORIG_WAL")</f>
        <v>#N/A N/A</v>
      </c>
    </row>
    <row r="975" spans="1:9" x14ac:dyDescent="0.25">
      <c r="A975" t="str">
        <f>_xll.BDP("FNDE2076 Mtge","ID_CUSIP")</f>
        <v>3140BEJW9</v>
      </c>
      <c r="B975" t="str">
        <f>_xll.BDP("FNDE2076 Mtge","SECURITY_NAME")</f>
        <v>FN DE2076</v>
      </c>
      <c r="C975" t="str">
        <f>_xll.BDP("FNDE2076 Mtge","GENERIC_TICKER_VINTAGE")</f>
        <v>FNCL 6 2025</v>
      </c>
      <c r="D975" t="str">
        <f>_xll.BDP("FNDE2076 Mtge","CRNCY")</f>
        <v>USD</v>
      </c>
      <c r="E975">
        <v>8431808</v>
      </c>
      <c r="F975">
        <f>_xll.BDP("FNDE2076 Mtge","CPN")</f>
        <v>6</v>
      </c>
      <c r="G975">
        <f>_xll.BDP("FNDE2076 Mtge","MTG_FACTOR")</f>
        <v>0.81608179000000003</v>
      </c>
      <c r="H975">
        <f>_xll.BDP("FNDE2076 Mtge","MTG_WAL")</f>
        <v>3.3448000000000002</v>
      </c>
      <c r="I975" t="str">
        <f>_xll.BDP("FNDE2076 Mtge","MTG_ORIG_WAL")</f>
        <v>#N/A N/A</v>
      </c>
    </row>
    <row r="976" spans="1:9" x14ac:dyDescent="0.25">
      <c r="A976" t="str">
        <f>_xll.BDP("FNDE2096 Mtge","ID_CUSIP")</f>
        <v>3140BEKJ6</v>
      </c>
      <c r="B976" t="str">
        <f>_xll.BDP("FNDE2096 Mtge","SECURITY_NAME")</f>
        <v>FN DE2096</v>
      </c>
      <c r="C976" t="str">
        <f>_xll.BDP("FNDE2096 Mtge","GENERIC_TICKER_VINTAGE")</f>
        <v>FNCL 6 2025</v>
      </c>
      <c r="D976" t="str">
        <f>_xll.BDP("FNDE2096 Mtge","CRNCY")</f>
        <v>USD</v>
      </c>
      <c r="E976">
        <v>3411200</v>
      </c>
      <c r="F976">
        <f>_xll.BDP("FNDE2096 Mtge","CPN")</f>
        <v>6</v>
      </c>
      <c r="G976">
        <f>_xll.BDP("FNDE2096 Mtge","MTG_FACTOR")</f>
        <v>0.97731268000000004</v>
      </c>
      <c r="H976">
        <f>_xll.BDP("FNDE2096 Mtge","MTG_WAL")</f>
        <v>3.3380000000000001</v>
      </c>
      <c r="I976" t="str">
        <f>_xll.BDP("FNDE2096 Mtge","MTG_ORIG_WAL")</f>
        <v>#N/A N/A</v>
      </c>
    </row>
    <row r="977" spans="1:9" x14ac:dyDescent="0.25">
      <c r="A977" t="str">
        <f>_xll.BDP("FNDE2392 Mtge","ID_CUSIP")</f>
        <v>3140BEUS5</v>
      </c>
      <c r="B977" t="str">
        <f>_xll.BDP("FNDE2392 Mtge","SECURITY_NAME")</f>
        <v>FN DE2392</v>
      </c>
      <c r="C977" t="str">
        <f>_xll.BDP("FNDE2392 Mtge","GENERIC_TICKER_VINTAGE")</f>
        <v>FNCL 6 2025</v>
      </c>
      <c r="D977" t="str">
        <f>_xll.BDP("FNDE2392 Mtge","CRNCY")</f>
        <v>USD</v>
      </c>
      <c r="E977">
        <v>1552773</v>
      </c>
      <c r="F977">
        <f>_xll.BDP("FNDE2392 Mtge","CPN")</f>
        <v>6</v>
      </c>
      <c r="G977">
        <f>_xll.BDP("FNDE2392 Mtge","MTG_FACTOR")</f>
        <v>0.79716434000000003</v>
      </c>
      <c r="H977">
        <f>_xll.BDP("FNDE2392 Mtge","MTG_WAL")</f>
        <v>3.2984</v>
      </c>
      <c r="I977" t="str">
        <f>_xll.BDP("FNDE2392 Mtge","MTG_ORIG_WAL")</f>
        <v>#N/A N/A</v>
      </c>
    </row>
    <row r="978" spans="1:9" x14ac:dyDescent="0.25">
      <c r="A978" t="str">
        <f>_xll.BDP("FNDE2490 Mtge","ID_CUSIP")</f>
        <v>3140BEXU7</v>
      </c>
      <c r="B978" t="str">
        <f>_xll.BDP("FNDE2490 Mtge","SECURITY_NAME")</f>
        <v>FN DE2490</v>
      </c>
      <c r="C978" t="str">
        <f>_xll.BDP("FNDE2490 Mtge","GENERIC_TICKER_VINTAGE")</f>
        <v>FNCL 6 2025</v>
      </c>
      <c r="D978" t="str">
        <f>_xll.BDP("FNDE2490 Mtge","CRNCY")</f>
        <v>USD</v>
      </c>
      <c r="E978">
        <v>1122890</v>
      </c>
      <c r="F978">
        <f>_xll.BDP("FNDE2490 Mtge","CPN")</f>
        <v>6</v>
      </c>
      <c r="G978">
        <f>_xll.BDP("FNDE2490 Mtge","MTG_FACTOR")</f>
        <v>0.96291890999999996</v>
      </c>
      <c r="H978">
        <f>_xll.BDP("FNDE2490 Mtge","MTG_WAL")</f>
        <v>3.3374999999999999</v>
      </c>
      <c r="I978" t="str">
        <f>_xll.BDP("FNDE2490 Mtge","MTG_ORIG_WAL")</f>
        <v>#N/A N/A</v>
      </c>
    </row>
    <row r="979" spans="1:9" x14ac:dyDescent="0.25">
      <c r="A979" t="str">
        <f>_xll.BDP("FNDE2496 Mtge","ID_CUSIP")</f>
        <v>3140BEX29</v>
      </c>
      <c r="B979" t="str">
        <f>_xll.BDP("FNDE2496 Mtge","SECURITY_NAME")</f>
        <v>FN DE2496</v>
      </c>
      <c r="C979" t="str">
        <f>_xll.BDP("FNDE2496 Mtge","GENERIC_TICKER_VINTAGE")</f>
        <v>FNCL 6 2025</v>
      </c>
      <c r="D979" t="str">
        <f>_xll.BDP("FNDE2496 Mtge","CRNCY")</f>
        <v>USD</v>
      </c>
      <c r="E979">
        <v>1842615</v>
      </c>
      <c r="F979">
        <f>_xll.BDP("FNDE2496 Mtge","CPN")</f>
        <v>6</v>
      </c>
      <c r="G979">
        <f>_xll.BDP("FNDE2496 Mtge","MTG_FACTOR")</f>
        <v>0.99116685000000004</v>
      </c>
      <c r="H979">
        <f>_xll.BDP("FNDE2496 Mtge","MTG_WAL")</f>
        <v>3.3441000000000001</v>
      </c>
      <c r="I979" t="str">
        <f>_xll.BDP("FNDE2496 Mtge","MTG_ORIG_WAL")</f>
        <v>#N/A N/A</v>
      </c>
    </row>
    <row r="980" spans="1:9" x14ac:dyDescent="0.25">
      <c r="A980" t="str">
        <f>_xll.BDP("FNDE3003 Mtge","ID_CUSIP")</f>
        <v>3140BFKR5</v>
      </c>
      <c r="B980" t="str">
        <f>_xll.BDP("FNDE3003 Mtge","SECURITY_NAME")</f>
        <v>FN DE3003</v>
      </c>
      <c r="C980" t="str">
        <f>_xll.BDP("FNDE3003 Mtge","GENERIC_TICKER_VINTAGE")</f>
        <v>FNCL 6 2025</v>
      </c>
      <c r="D980" t="str">
        <f>_xll.BDP("FNDE3003 Mtge","CRNCY")</f>
        <v>USD</v>
      </c>
      <c r="E980">
        <v>3131440</v>
      </c>
      <c r="F980">
        <f>_xll.BDP("FNDE3003 Mtge","CPN")</f>
        <v>6</v>
      </c>
      <c r="G980">
        <f>_xll.BDP("FNDE3003 Mtge","MTG_FACTOR")</f>
        <v>0.98823740000000004</v>
      </c>
      <c r="H980">
        <f>_xll.BDP("FNDE3003 Mtge","MTG_WAL")</f>
        <v>3.2898999999999998</v>
      </c>
      <c r="I980" t="str">
        <f>_xll.BDP("FNDE3003 Mtge","MTG_ORIG_WAL")</f>
        <v>#N/A N/A</v>
      </c>
    </row>
    <row r="981" spans="1:9" x14ac:dyDescent="0.25">
      <c r="A981" t="str">
        <f>_xll.BDP("FNDE3112 Mtge","ID_CUSIP")</f>
        <v>3140BFN68</v>
      </c>
      <c r="B981" t="str">
        <f>_xll.BDP("FNDE3112 Mtge","SECURITY_NAME")</f>
        <v>FN DE3112</v>
      </c>
      <c r="C981" t="str">
        <f>_xll.BDP("FNDE3112 Mtge","GENERIC_TICKER_VINTAGE")</f>
        <v>FNCL 6 2025</v>
      </c>
      <c r="D981" t="str">
        <f>_xll.BDP("FNDE3112 Mtge","CRNCY")</f>
        <v>USD</v>
      </c>
      <c r="E981">
        <v>2977044</v>
      </c>
      <c r="F981">
        <f>_xll.BDP("FNDE3112 Mtge","CPN")</f>
        <v>6</v>
      </c>
      <c r="G981">
        <f>_xll.BDP("FNDE3112 Mtge","MTG_FACTOR")</f>
        <v>0.65029345000000005</v>
      </c>
      <c r="H981">
        <f>_xll.BDP("FNDE3112 Mtge","MTG_WAL")</f>
        <v>3.3973</v>
      </c>
      <c r="I981" t="str">
        <f>_xll.BDP("FNDE3112 Mtge","MTG_ORIG_WAL")</f>
        <v>#N/A N/A</v>
      </c>
    </row>
    <row r="982" spans="1:9" x14ac:dyDescent="0.25">
      <c r="A982" t="str">
        <f>_xll.BDP("FNDE3929 Mtge","ID_CUSIP")</f>
        <v>3140BGLK7</v>
      </c>
      <c r="B982" t="str">
        <f>_xll.BDP("FNDE3929 Mtge","SECURITY_NAME")</f>
        <v>FN DE3929</v>
      </c>
      <c r="C982" t="str">
        <f>_xll.BDP("FNDE3929 Mtge","GENERIC_TICKER_VINTAGE")</f>
        <v>FNCL 6 2025</v>
      </c>
      <c r="D982" t="str">
        <f>_xll.BDP("FNDE3929 Mtge","CRNCY")</f>
        <v>USD</v>
      </c>
      <c r="E982">
        <v>2206892</v>
      </c>
      <c r="F982">
        <f>_xll.BDP("FNDE3929 Mtge","CPN")</f>
        <v>6</v>
      </c>
      <c r="G982">
        <f>_xll.BDP("FNDE3929 Mtge","MTG_FACTOR")</f>
        <v>0.77801231999999998</v>
      </c>
      <c r="H982">
        <f>_xll.BDP("FNDE3929 Mtge","MTG_WAL")</f>
        <v>3.3233999999999999</v>
      </c>
      <c r="I982" t="str">
        <f>_xll.BDP("FNDE3929 Mtge","MTG_ORIG_WAL")</f>
        <v>#N/A N/A</v>
      </c>
    </row>
    <row r="983" spans="1:9" x14ac:dyDescent="0.25">
      <c r="A983" t="str">
        <f>_xll.BDP("FNDE3965 Mtge","ID_CUSIP")</f>
        <v>3140BGMP5</v>
      </c>
      <c r="B983" t="str">
        <f>_xll.BDP("FNDE3965 Mtge","SECURITY_NAME")</f>
        <v>FN DE3965</v>
      </c>
      <c r="C983" t="str">
        <f>_xll.BDP("FNDE3965 Mtge","GENERIC_TICKER_VINTAGE")</f>
        <v>FNCL 6 2025</v>
      </c>
      <c r="D983" t="str">
        <f>_xll.BDP("FNDE3965 Mtge","CRNCY")</f>
        <v>USD</v>
      </c>
      <c r="E983">
        <v>39566902</v>
      </c>
      <c r="F983">
        <f>_xll.BDP("FNDE3965 Mtge","CPN")</f>
        <v>6</v>
      </c>
      <c r="G983">
        <f>_xll.BDP("FNDE3965 Mtge","MTG_FACTOR")</f>
        <v>0.84973332000000001</v>
      </c>
      <c r="H983">
        <f>_xll.BDP("FNDE3965 Mtge","MTG_WAL")</f>
        <v>3.3938999999999999</v>
      </c>
      <c r="I983" t="str">
        <f>_xll.BDP("FNDE3965 Mtge","MTG_ORIG_WAL")</f>
        <v>#N/A N/A</v>
      </c>
    </row>
    <row r="984" spans="1:9" x14ac:dyDescent="0.25">
      <c r="A984" t="str">
        <f>_xll.BDP("FNDE3970 Mtge","ID_CUSIP")</f>
        <v>3140BGMU4</v>
      </c>
      <c r="B984" t="str">
        <f>_xll.BDP("FNDE3970 Mtge","SECURITY_NAME")</f>
        <v>FN DE3970</v>
      </c>
      <c r="C984" t="str">
        <f>_xll.BDP("FNDE3970 Mtge","GENERIC_TICKER_VINTAGE")</f>
        <v>FNCL 6 2025</v>
      </c>
      <c r="D984" t="str">
        <f>_xll.BDP("FNDE3970 Mtge","CRNCY")</f>
        <v>USD</v>
      </c>
      <c r="E984">
        <v>1736156</v>
      </c>
      <c r="F984">
        <f>_xll.BDP("FNDE3970 Mtge","CPN")</f>
        <v>6</v>
      </c>
      <c r="G984">
        <f>_xll.BDP("FNDE3970 Mtge","MTG_FACTOR")</f>
        <v>0.99413984</v>
      </c>
      <c r="H984">
        <f>_xll.BDP("FNDE3970 Mtge","MTG_WAL")</f>
        <v>3.4003000000000001</v>
      </c>
      <c r="I984" t="str">
        <f>_xll.BDP("FNDE3970 Mtge","MTG_ORIG_WAL")</f>
        <v>#N/A N/A</v>
      </c>
    </row>
    <row r="985" spans="1:9" x14ac:dyDescent="0.25">
      <c r="A985" t="str">
        <f>_xll.BDP("FNDE4132 Mtge","ID_CUSIP")</f>
        <v>3140BGSW4</v>
      </c>
      <c r="B985" t="str">
        <f>_xll.BDP("FNDE4132 Mtge","SECURITY_NAME")</f>
        <v>FN DE4132</v>
      </c>
      <c r="C985" t="str">
        <f>_xll.BDP("FNDE4132 Mtge","GENERIC_TICKER_VINTAGE")</f>
        <v>FNCL 6 2025</v>
      </c>
      <c r="D985" t="str">
        <f>_xll.BDP("FNDE4132 Mtge","CRNCY")</f>
        <v>USD</v>
      </c>
      <c r="E985">
        <v>1164372</v>
      </c>
      <c r="F985">
        <f>_xll.BDP("FNDE4132 Mtge","CPN")</f>
        <v>6</v>
      </c>
      <c r="G985">
        <f>_xll.BDP("FNDE4132 Mtge","MTG_FACTOR")</f>
        <v>0.9939983</v>
      </c>
      <c r="H985">
        <f>_xll.BDP("FNDE4132 Mtge","MTG_WAL")</f>
        <v>3.4533</v>
      </c>
      <c r="I985" t="str">
        <f>_xll.BDP("FNDE4132 Mtge","MTG_ORIG_WAL")</f>
        <v>#N/A N/A</v>
      </c>
    </row>
    <row r="986" spans="1:9" x14ac:dyDescent="0.25">
      <c r="A986" t="str">
        <f>_xll.BDP("FNDE4652 Mtge","ID_CUSIP")</f>
        <v>3140BHE23</v>
      </c>
      <c r="B986" t="str">
        <f>_xll.BDP("FNDE4652 Mtge","SECURITY_NAME")</f>
        <v>FN DE4652</v>
      </c>
      <c r="C986" t="str">
        <f>_xll.BDP("FNDE4652 Mtge","GENERIC_TICKER_VINTAGE")</f>
        <v>FNCL 6 2025</v>
      </c>
      <c r="D986" t="str">
        <f>_xll.BDP("FNDE4652 Mtge","CRNCY")</f>
        <v>USD</v>
      </c>
      <c r="E986">
        <v>35094871</v>
      </c>
      <c r="F986">
        <f>_xll.BDP("FNDE4652 Mtge","CPN")</f>
        <v>6</v>
      </c>
      <c r="G986">
        <f>_xll.BDP("FNDE4652 Mtge","MTG_FACTOR")</f>
        <v>0.81039143999999996</v>
      </c>
      <c r="H986">
        <f>_xll.BDP("FNDE4652 Mtge","MTG_WAL")</f>
        <v>3.3933</v>
      </c>
      <c r="I986" t="str">
        <f>_xll.BDP("FNDE4652 Mtge","MTG_ORIG_WAL")</f>
        <v>#N/A N/A</v>
      </c>
    </row>
    <row r="987" spans="1:9" x14ac:dyDescent="0.25">
      <c r="A987" t="str">
        <f>_xll.BDP("FNDE4827 Mtge","ID_CUSIP")</f>
        <v>3140BHLH2</v>
      </c>
      <c r="B987" t="str">
        <f>_xll.BDP("FNDE4827 Mtge","SECURITY_NAME")</f>
        <v>FN DE4827</v>
      </c>
      <c r="C987" t="str">
        <f>_xll.BDP("FNDE4827 Mtge","GENERIC_TICKER_VINTAGE")</f>
        <v>FNCL 6 2025</v>
      </c>
      <c r="D987" t="str">
        <f>_xll.BDP("FNDE4827 Mtge","CRNCY")</f>
        <v>USD</v>
      </c>
      <c r="E987">
        <v>21854347</v>
      </c>
      <c r="F987">
        <f>_xll.BDP("FNDE4827 Mtge","CPN")</f>
        <v>6</v>
      </c>
      <c r="G987">
        <f>_xll.BDP("FNDE4827 Mtge","MTG_FACTOR")</f>
        <v>0.73290882999999996</v>
      </c>
      <c r="H987">
        <f>_xll.BDP("FNDE4827 Mtge","MTG_WAL")</f>
        <v>3.3971</v>
      </c>
      <c r="I987" t="str">
        <f>_xll.BDP("FNDE4827 Mtge","MTG_ORIG_WAL")</f>
        <v>#N/A N/A</v>
      </c>
    </row>
    <row r="988" spans="1:9" x14ac:dyDescent="0.25">
      <c r="A988" t="str">
        <f>_xll.BDP("FNDE5599 Mtge","ID_CUSIP")</f>
        <v>3140BJGH4</v>
      </c>
      <c r="B988" t="str">
        <f>_xll.BDP("FNDE5599 Mtge","SECURITY_NAME")</f>
        <v>FN DE5599</v>
      </c>
      <c r="C988" t="str">
        <f>_xll.BDP("FNDE5599 Mtge","GENERIC_TICKER_VINTAGE")</f>
        <v>FNCL 6 2025</v>
      </c>
      <c r="D988" t="str">
        <f>_xll.BDP("FNDE5599 Mtge","CRNCY")</f>
        <v>USD</v>
      </c>
      <c r="E988">
        <v>32723104</v>
      </c>
      <c r="F988">
        <f>_xll.BDP("FNDE5599 Mtge","CPN")</f>
        <v>6</v>
      </c>
      <c r="G988">
        <f>_xll.BDP("FNDE5599 Mtge","MTG_FACTOR")</f>
        <v>0.87805522999999996</v>
      </c>
      <c r="H988">
        <f>_xll.BDP("FNDE5599 Mtge","MTG_WAL")</f>
        <v>3.3913000000000002</v>
      </c>
      <c r="I988" t="str">
        <f>_xll.BDP("FNDE5599 Mtge","MTG_ORIG_WAL")</f>
        <v>#N/A N/A</v>
      </c>
    </row>
    <row r="989" spans="1:9" x14ac:dyDescent="0.25">
      <c r="A989" t="str">
        <f>_xll.BDP("FNDE6441 Mtge","ID_CUSIP")</f>
        <v>3140BKEP5</v>
      </c>
      <c r="B989" t="str">
        <f>_xll.BDP("FNDE6441 Mtge","SECURITY_NAME")</f>
        <v>FN DE6441</v>
      </c>
      <c r="C989" t="str">
        <f>_xll.BDP("FNDE6441 Mtge","GENERIC_TICKER_VINTAGE")</f>
        <v>FNCL 6 2025</v>
      </c>
      <c r="D989" t="str">
        <f>_xll.BDP("FNDE6441 Mtge","CRNCY")</f>
        <v>USD</v>
      </c>
      <c r="E989">
        <v>1030000</v>
      </c>
      <c r="F989">
        <f>_xll.BDP("FNDE6441 Mtge","CPN")</f>
        <v>6</v>
      </c>
      <c r="G989">
        <f>_xll.BDP("FNDE6441 Mtge","MTG_FACTOR")</f>
        <v>0.98720805</v>
      </c>
      <c r="H989">
        <f>_xll.BDP("FNDE6441 Mtge","MTG_WAL")</f>
        <v>3.4449999999999998</v>
      </c>
      <c r="I989" t="str">
        <f>_xll.BDP("FNDE6441 Mtge","MTG_ORIG_WAL")</f>
        <v>#N/A N/A</v>
      </c>
    </row>
    <row r="990" spans="1:9" x14ac:dyDescent="0.25">
      <c r="A990" t="str">
        <f>_xll.BDP("FNDE7319 Mtge","ID_CUSIP")</f>
        <v>3140BLDZ2</v>
      </c>
      <c r="B990" t="str">
        <f>_xll.BDP("FNDE7319 Mtge","SECURITY_NAME")</f>
        <v>FN DE7319</v>
      </c>
      <c r="C990" t="str">
        <f>_xll.BDP("FNDE7319 Mtge","GENERIC_TICKER_VINTAGE")</f>
        <v>FNCL 6 2025</v>
      </c>
      <c r="D990" t="str">
        <f>_xll.BDP("FNDE7319 Mtge","CRNCY")</f>
        <v>USD</v>
      </c>
      <c r="E990">
        <v>993798</v>
      </c>
      <c r="F990">
        <f>_xll.BDP("FNDE7319 Mtge","CPN")</f>
        <v>6</v>
      </c>
      <c r="G990">
        <f>_xll.BDP("FNDE7319 Mtge","MTG_FACTOR")</f>
        <v>0.99385425999999999</v>
      </c>
      <c r="H990">
        <f>_xll.BDP("FNDE7319 Mtge","MTG_WAL")</f>
        <v>3.3437000000000001</v>
      </c>
      <c r="I990" t="str">
        <f>_xll.BDP("FNDE7319 Mtge","MTG_ORIG_WAL")</f>
        <v>#N/A N/A</v>
      </c>
    </row>
    <row r="991" spans="1:9" x14ac:dyDescent="0.25">
      <c r="A991" t="str">
        <f>_xll.BDP("FNDE7413 Mtge","ID_CUSIP")</f>
        <v>3140BLGX4</v>
      </c>
      <c r="B991" t="str">
        <f>_xll.BDP("FNDE7413 Mtge","SECURITY_NAME")</f>
        <v>FN DE7413</v>
      </c>
      <c r="C991" t="str">
        <f>_xll.BDP("FNDE7413 Mtge","GENERIC_TICKER_VINTAGE")</f>
        <v>FNCL 6 2025</v>
      </c>
      <c r="D991" t="str">
        <f>_xll.BDP("FNDE7413 Mtge","CRNCY")</f>
        <v>USD</v>
      </c>
      <c r="E991">
        <v>15501010</v>
      </c>
      <c r="F991">
        <f>_xll.BDP("FNDE7413 Mtge","CPN")</f>
        <v>6</v>
      </c>
      <c r="G991">
        <f>_xll.BDP("FNDE7413 Mtge","MTG_FACTOR")</f>
        <v>0.96348937000000001</v>
      </c>
      <c r="H991">
        <f>_xll.BDP("FNDE7413 Mtge","MTG_WAL")</f>
        <v>3.4493999999999998</v>
      </c>
      <c r="I991" t="str">
        <f>_xll.BDP("FNDE7413 Mtge","MTG_ORIG_WAL")</f>
        <v>#N/A N/A</v>
      </c>
    </row>
    <row r="992" spans="1:9" x14ac:dyDescent="0.25">
      <c r="A992" t="str">
        <f>_xll.BDP("FNFA1294 Mtge","ID_CUSIP")</f>
        <v>3140W1NL3</v>
      </c>
      <c r="B992" t="str">
        <f>_xll.BDP("FNFA1294 Mtge","SECURITY_NAME")</f>
        <v>FN FA1294</v>
      </c>
      <c r="C992" t="str">
        <f>_xll.BDP("FNFA1294 Mtge","GENERIC_TICKER_VINTAGE")</f>
        <v>FNCL 3 2021</v>
      </c>
      <c r="D992" t="str">
        <f>_xll.BDP("FNFA1294 Mtge","CRNCY")</f>
        <v>USD</v>
      </c>
      <c r="E992">
        <v>46258861</v>
      </c>
      <c r="F992">
        <f>_xll.BDP("FNFA1294 Mtge","CPN")</f>
        <v>3</v>
      </c>
      <c r="G992">
        <f>_xll.BDP("FNFA1294 Mtge","MTG_FACTOR")</f>
        <v>0.93326569000000004</v>
      </c>
      <c r="H992">
        <f>_xll.BDP("FNFA1294 Mtge","MTG_WAL")</f>
        <v>8.2989999999999995</v>
      </c>
      <c r="I992" t="str">
        <f>_xll.BDP("FNFA1294 Mtge","MTG_ORIG_WAL")</f>
        <v>#N/A N/A</v>
      </c>
    </row>
    <row r="993" spans="1:9" x14ac:dyDescent="0.25">
      <c r="A993" t="str">
        <f>_xll.BDP("FNFA1547 Mtge","ID_CUSIP")</f>
        <v>3140W1WH2</v>
      </c>
      <c r="B993" t="str">
        <f>_xll.BDP("FNFA1547 Mtge","SECURITY_NAME")</f>
        <v>FN FA1547</v>
      </c>
      <c r="C993" t="str">
        <f>_xll.BDP("FNFA1547 Mtge","GENERIC_TICKER_VINTAGE")</f>
        <v>FNCL 6 2025</v>
      </c>
      <c r="D993" t="str">
        <f>_xll.BDP("FNFA1547 Mtge","CRNCY")</f>
        <v>USD</v>
      </c>
      <c r="E993">
        <v>634060138</v>
      </c>
      <c r="F993">
        <f>_xll.BDP("FNFA1547 Mtge","CPN")</f>
        <v>6</v>
      </c>
      <c r="G993">
        <f>_xll.BDP("FNFA1547 Mtge","MTG_FACTOR")</f>
        <v>0.82528709</v>
      </c>
      <c r="H993">
        <f>_xll.BDP("FNFA1547 Mtge","MTG_WAL")</f>
        <v>3.1922999999999999</v>
      </c>
      <c r="I993" t="str">
        <f>_xll.BDP("FNFA1547 Mtge","MTG_ORIG_WAL")</f>
        <v>#N/A N/A</v>
      </c>
    </row>
    <row r="994" spans="1:9" x14ac:dyDescent="0.25">
      <c r="A994" t="str">
        <f>_xll.BDP("FNFM8104 Mtge","ID_CUSIP")</f>
        <v>3140XCAE8</v>
      </c>
      <c r="B994" t="str">
        <f>_xll.BDP("FNFM8104 Mtge","SECURITY_NAME")</f>
        <v>FN FM8104</v>
      </c>
      <c r="C994" t="str">
        <f>_xll.BDP("FNFM8104 Mtge","GENERIC_TICKER_VINTAGE")</f>
        <v>FNCL 3 2021</v>
      </c>
      <c r="D994" t="str">
        <f>_xll.BDP("FNFM8104 Mtge","CRNCY")</f>
        <v>USD</v>
      </c>
      <c r="E994">
        <v>271229814</v>
      </c>
      <c r="F994">
        <f>_xll.BDP("FNFM8104 Mtge","CPN")</f>
        <v>3</v>
      </c>
      <c r="G994">
        <f>_xll.BDP("FNFM8104 Mtge","MTG_FACTOR")</f>
        <v>0.65328987000000005</v>
      </c>
      <c r="H994">
        <f>_xll.BDP("FNFM8104 Mtge","MTG_WAL")</f>
        <v>8.3278999999999996</v>
      </c>
      <c r="I994" t="str">
        <f>_xll.BDP("FNFM8104 Mtge","MTG_ORIG_WAL")</f>
        <v>#N/A N/A</v>
      </c>
    </row>
    <row r="995" spans="1:9" x14ac:dyDescent="0.25">
      <c r="A995" t="str">
        <f>_xll.BDP("FNFS0332 Mtge","ID_CUSIP")</f>
        <v>3140XFLN9</v>
      </c>
      <c r="B995" t="str">
        <f>_xll.BDP("FNFS0332 Mtge","SECURITY_NAME")</f>
        <v>FN FS0332</v>
      </c>
      <c r="C995" t="str">
        <f>_xll.BDP("FNFS0332 Mtge","GENERIC_TICKER_VINTAGE")</f>
        <v>FNCL 3 2021</v>
      </c>
      <c r="D995" t="str">
        <f>_xll.BDP("FNFS0332 Mtge","CRNCY")</f>
        <v>USD</v>
      </c>
      <c r="E995">
        <v>115123266</v>
      </c>
      <c r="F995">
        <f>_xll.BDP("FNFS0332 Mtge","CPN")</f>
        <v>3</v>
      </c>
      <c r="G995">
        <f>_xll.BDP("FNFS0332 Mtge","MTG_FACTOR")</f>
        <v>0.67774562999999999</v>
      </c>
      <c r="H995">
        <f>_xll.BDP("FNFS0332 Mtge","MTG_WAL")</f>
        <v>8.2536000000000005</v>
      </c>
      <c r="I995" t="str">
        <f>_xll.BDP("FNFS0332 Mtge","MTG_ORIG_WAL")</f>
        <v>#N/A N/A</v>
      </c>
    </row>
    <row r="996" spans="1:9" x14ac:dyDescent="0.25">
      <c r="A996" t="str">
        <f>_xll.BDP("FNFS0894 Mtge","ID_CUSIP")</f>
        <v>3140XF7G0</v>
      </c>
      <c r="B996" t="str">
        <f>_xll.BDP("FNFS0894 Mtge","SECURITY_NAME")</f>
        <v>FN FS0894</v>
      </c>
      <c r="C996" t="str">
        <f>_xll.BDP("FNFS0894 Mtge","GENERIC_TICKER_VINTAGE")</f>
        <v>FNCL 3 2021</v>
      </c>
      <c r="D996" t="str">
        <f>_xll.BDP("FNFS0894 Mtge","CRNCY")</f>
        <v>USD</v>
      </c>
      <c r="E996">
        <v>169997784</v>
      </c>
      <c r="F996">
        <f>_xll.BDP("FNFS0894 Mtge","CPN")</f>
        <v>3</v>
      </c>
      <c r="G996">
        <f>_xll.BDP("FNFS0894 Mtge","MTG_FACTOR")</f>
        <v>0.71643458000000004</v>
      </c>
      <c r="H996">
        <f>_xll.BDP("FNFS0894 Mtge","MTG_WAL")</f>
        <v>8.2979000000000003</v>
      </c>
      <c r="I996" t="str">
        <f>_xll.BDP("FNFS0894 Mtge","MTG_ORIG_WAL")</f>
        <v>#N/A N/A</v>
      </c>
    </row>
    <row r="997" spans="1:9" x14ac:dyDescent="0.25">
      <c r="A997" t="str">
        <f>_xll.BDP("FNFS2461 Mtge","ID_CUSIP")</f>
        <v>3140XHWX1</v>
      </c>
      <c r="B997" t="str">
        <f>_xll.BDP("FNFS2461 Mtge","SECURITY_NAME")</f>
        <v>FN FS2461</v>
      </c>
      <c r="C997" t="str">
        <f>_xll.BDP("FNFS2461 Mtge","GENERIC_TICKER_VINTAGE")</f>
        <v>FNCL 3 2021</v>
      </c>
      <c r="D997" t="str">
        <f>_xll.BDP("FNFS2461 Mtge","CRNCY")</f>
        <v>USD</v>
      </c>
      <c r="E997">
        <v>154240308</v>
      </c>
      <c r="F997">
        <f>_xll.BDP("FNFS2461 Mtge","CPN")</f>
        <v>3</v>
      </c>
      <c r="G997">
        <f>_xll.BDP("FNFS2461 Mtge","MTG_FACTOR")</f>
        <v>0.70598649999999996</v>
      </c>
      <c r="H997">
        <f>_xll.BDP("FNFS2461 Mtge","MTG_WAL")</f>
        <v>8.1475000000000009</v>
      </c>
      <c r="I997" t="str">
        <f>_xll.BDP("FNFS2461 Mtge","MTG_ORIG_WAL")</f>
        <v>#N/A N/A</v>
      </c>
    </row>
    <row r="998" spans="1:9" x14ac:dyDescent="0.25">
      <c r="A998" t="str">
        <f>_xll.BDP("FNFS4018 Mtge","ID_CUSIP")</f>
        <v>3140XKPC8</v>
      </c>
      <c r="B998" t="str">
        <f>_xll.BDP("FNFS4018 Mtge","SECURITY_NAME")</f>
        <v>FN FS4018</v>
      </c>
      <c r="C998" t="str">
        <f>_xll.BDP("FNFS4018 Mtge","GENERIC_TICKER_VINTAGE")</f>
        <v>FNCL 3 2021</v>
      </c>
      <c r="D998" t="str">
        <f>_xll.BDP("FNFS4018 Mtge","CRNCY")</f>
        <v>USD</v>
      </c>
      <c r="E998">
        <v>69042041</v>
      </c>
      <c r="F998">
        <f>_xll.BDP("FNFS4018 Mtge","CPN")</f>
        <v>3</v>
      </c>
      <c r="G998">
        <f>_xll.BDP("FNFS4018 Mtge","MTG_FACTOR")</f>
        <v>0.79084882000000001</v>
      </c>
      <c r="H998">
        <f>_xll.BDP("FNFS4018 Mtge","MTG_WAL")</f>
        <v>8.3117999999999999</v>
      </c>
      <c r="I998" t="str">
        <f>_xll.BDP("FNFS4018 Mtge","MTG_ORIG_WAL")</f>
        <v>#N/A N/A</v>
      </c>
    </row>
    <row r="999" spans="1:9" x14ac:dyDescent="0.25">
      <c r="A999" t="str">
        <f>_xll.BDP("FNFS4421 Mtge","ID_CUSIP")</f>
        <v>3140XK4F4</v>
      </c>
      <c r="B999" t="str">
        <f>_xll.BDP("FNFS4421 Mtge","SECURITY_NAME")</f>
        <v>FN FS4421</v>
      </c>
      <c r="C999" t="str">
        <f>_xll.BDP("FNFS4421 Mtge","GENERIC_TICKER_VINTAGE")</f>
        <v>FNCL 3 2021</v>
      </c>
      <c r="D999" t="str">
        <f>_xll.BDP("FNFS4421 Mtge","CRNCY")</f>
        <v>USD</v>
      </c>
      <c r="E999">
        <v>21156478</v>
      </c>
      <c r="F999">
        <f>_xll.BDP("FNFS4421 Mtge","CPN")</f>
        <v>3</v>
      </c>
      <c r="G999">
        <f>_xll.BDP("FNFS4421 Mtge","MTG_FACTOR")</f>
        <v>0.77721585000000004</v>
      </c>
      <c r="H999">
        <f>_xll.BDP("FNFS4421 Mtge","MTG_WAL")</f>
        <v>8.3962000000000003</v>
      </c>
      <c r="I999" t="str">
        <f>_xll.BDP("FNFS4421 Mtge","MTG_ORIG_WAL")</f>
        <v>#N/A N/A</v>
      </c>
    </row>
    <row r="1000" spans="1:9" x14ac:dyDescent="0.25">
      <c r="A1000" t="str">
        <f>_xll.BDP("FNFS6121 Mtge","ID_CUSIP")</f>
        <v>3140XMYT7</v>
      </c>
      <c r="B1000" t="str">
        <f>_xll.BDP("FNFS6121 Mtge","SECURITY_NAME")</f>
        <v>FN FS6121</v>
      </c>
      <c r="C1000" t="str">
        <f>_xll.BDP("FNFS6121 Mtge","GENERIC_TICKER_VINTAGE")</f>
        <v>FNCL 3 2021</v>
      </c>
      <c r="D1000" t="str">
        <f>_xll.BDP("FNFS6121 Mtge","CRNCY")</f>
        <v>USD</v>
      </c>
      <c r="E1000">
        <v>19140637</v>
      </c>
      <c r="F1000">
        <f>_xll.BDP("FNFS6121 Mtge","CPN")</f>
        <v>3</v>
      </c>
      <c r="G1000">
        <f>_xll.BDP("FNFS6121 Mtge","MTG_FACTOR")</f>
        <v>0.86856217999999996</v>
      </c>
      <c r="H1000">
        <f>_xll.BDP("FNFS6121 Mtge","MTG_WAL")</f>
        <v>8.2570999999999994</v>
      </c>
      <c r="I1000" t="str">
        <f>_xll.BDP("FNFS6121 Mtge","MTG_ORIG_WAL")</f>
        <v>#N/A N/A</v>
      </c>
    </row>
    <row r="1001" spans="1:9" x14ac:dyDescent="0.25">
      <c r="A1001" t="str">
        <f>_xll.BDP("FNFS7657 Mtge","ID_CUSIP")</f>
        <v>3140XPQK8</v>
      </c>
      <c r="B1001" t="str">
        <f>_xll.BDP("FNFS7657 Mtge","SECURITY_NAME")</f>
        <v>FN FS7657</v>
      </c>
      <c r="C1001" t="str">
        <f>_xll.BDP("FNFS7657 Mtge","GENERIC_TICKER_VINTAGE")</f>
        <v>FNCL 3 2021</v>
      </c>
      <c r="D1001" t="str">
        <f>_xll.BDP("FNFS7657 Mtge","CRNCY")</f>
        <v>USD</v>
      </c>
      <c r="E1001">
        <v>17146046</v>
      </c>
      <c r="F1001">
        <f>_xll.BDP("FNFS7657 Mtge","CPN")</f>
        <v>3</v>
      </c>
      <c r="G1001">
        <f>_xll.BDP("FNFS7657 Mtge","MTG_FACTOR")</f>
        <v>0.87140450999999997</v>
      </c>
      <c r="H1001">
        <f>_xll.BDP("FNFS7657 Mtge","MTG_WAL")</f>
        <v>8.3091000000000008</v>
      </c>
      <c r="I1001" t="str">
        <f>_xll.BDP("FNFS7657 Mtge","MTG_ORIG_WAL")</f>
        <v>#N/A N/A</v>
      </c>
    </row>
    <row r="1002" spans="1:9" x14ac:dyDescent="0.25">
      <c r="A1002" t="str">
        <f>_xll.BDP("FNFS8873 Mtge","ID_CUSIP")</f>
        <v>3140XQ2F3</v>
      </c>
      <c r="B1002" t="str">
        <f>_xll.BDP("FNFS8873 Mtge","SECURITY_NAME")</f>
        <v>FN FS8873</v>
      </c>
      <c r="C1002" t="str">
        <f>_xll.BDP("FNFS8873 Mtge","GENERIC_TICKER_VINTAGE")</f>
        <v>FNCL 3 2021</v>
      </c>
      <c r="D1002" t="str">
        <f>_xll.BDP("FNFS8873 Mtge","CRNCY")</f>
        <v>USD</v>
      </c>
      <c r="E1002">
        <v>228133753</v>
      </c>
      <c r="F1002">
        <f>_xll.BDP("FNFS8873 Mtge","CPN")</f>
        <v>3</v>
      </c>
      <c r="G1002">
        <f>_xll.BDP("FNFS8873 Mtge","MTG_FACTOR")</f>
        <v>0.89682216000000003</v>
      </c>
      <c r="H1002">
        <f>_xll.BDP("FNFS8873 Mtge","MTG_WAL")</f>
        <v>8.4107000000000003</v>
      </c>
      <c r="I1002" t="str">
        <f>_xll.BDP("FNFS8873 Mtge","MTG_ORIG_WAL")</f>
        <v>#N/A N/A</v>
      </c>
    </row>
    <row r="1003" spans="1:9" x14ac:dyDescent="0.25">
      <c r="A1003" t="str">
        <f>_xll.BDP("FNFS9617 Mtge","ID_CUSIP")</f>
        <v>3140XRVK8</v>
      </c>
      <c r="B1003" t="str">
        <f>_xll.BDP("FNFS9617 Mtge","SECURITY_NAME")</f>
        <v>FN FS9617</v>
      </c>
      <c r="C1003" t="str">
        <f>_xll.BDP("FNFS9617 Mtge","GENERIC_TICKER_VINTAGE")</f>
        <v>FNCL 3 2021</v>
      </c>
      <c r="D1003" t="str">
        <f>_xll.BDP("FNFS9617 Mtge","CRNCY")</f>
        <v>USD</v>
      </c>
      <c r="E1003">
        <v>15240456</v>
      </c>
      <c r="F1003">
        <f>_xll.BDP("FNFS9617 Mtge","CPN")</f>
        <v>3</v>
      </c>
      <c r="G1003">
        <f>_xll.BDP("FNFS9617 Mtge","MTG_FACTOR")</f>
        <v>0.89981487000000004</v>
      </c>
      <c r="H1003">
        <f>_xll.BDP("FNFS9617 Mtge","MTG_WAL")</f>
        <v>8.3775999999999993</v>
      </c>
      <c r="I1003" t="str">
        <f>_xll.BDP("FNFS9617 Mtge","MTG_ORIG_WAL")</f>
        <v>#N/A N/A</v>
      </c>
    </row>
    <row r="1004" spans="1:9" x14ac:dyDescent="0.25">
      <c r="A1004" t="str">
        <f>_xll.BDP("FNFS9620 Mtge","ID_CUSIP")</f>
        <v>3140XRVN2</v>
      </c>
      <c r="B1004" t="str">
        <f>_xll.BDP("FNFS9620 Mtge","SECURITY_NAME")</f>
        <v>FN FS9620</v>
      </c>
      <c r="C1004" t="str">
        <f>_xll.BDP("FNFS9620 Mtge","GENERIC_TICKER_VINTAGE")</f>
        <v>FNCL 3 2021</v>
      </c>
      <c r="D1004" t="str">
        <f>_xll.BDP("FNFS9620 Mtge","CRNCY")</f>
        <v>USD</v>
      </c>
      <c r="E1004">
        <v>24651762</v>
      </c>
      <c r="F1004">
        <f>_xll.BDP("FNFS9620 Mtge","CPN")</f>
        <v>3</v>
      </c>
      <c r="G1004">
        <f>_xll.BDP("FNFS9620 Mtge","MTG_FACTOR")</f>
        <v>0.88632334000000002</v>
      </c>
      <c r="H1004">
        <f>_xll.BDP("FNFS9620 Mtge","MTG_WAL")</f>
        <v>8.3537999999999997</v>
      </c>
      <c r="I1004" t="str">
        <f>_xll.BDP("FNFS9620 Mtge","MTG_ORIG_WAL")</f>
        <v>#N/A N/A</v>
      </c>
    </row>
    <row r="1005" spans="1:9" x14ac:dyDescent="0.25">
      <c r="A1005" t="str">
        <f>_xll.BDP("FNFS9758 Mtge","ID_CUSIP")</f>
        <v>3140XRZY4</v>
      </c>
      <c r="B1005" t="str">
        <f>_xll.BDP("FNFS9758 Mtge","SECURITY_NAME")</f>
        <v>FN FS9758</v>
      </c>
      <c r="C1005" t="str">
        <f>_xll.BDP("FNFS9758 Mtge","GENERIC_TICKER_VINTAGE")</f>
        <v>FNCL 3 2021</v>
      </c>
      <c r="D1005" t="str">
        <f>_xll.BDP("FNFS9758 Mtge","CRNCY")</f>
        <v>USD</v>
      </c>
      <c r="E1005">
        <v>22935416</v>
      </c>
      <c r="F1005">
        <f>_xll.BDP("FNFS9758 Mtge","CPN")</f>
        <v>3</v>
      </c>
      <c r="G1005">
        <f>_xll.BDP("FNFS9758 Mtge","MTG_FACTOR")</f>
        <v>0.89369354000000001</v>
      </c>
      <c r="H1005">
        <f>_xll.BDP("FNFS9758 Mtge","MTG_WAL")</f>
        <v>8.2059999999999995</v>
      </c>
      <c r="I1005" t="str">
        <f>_xll.BDP("FNFS9758 Mtge","MTG_ORIG_WAL")</f>
        <v>#N/A N/A</v>
      </c>
    </row>
    <row r="1006" spans="1:9" x14ac:dyDescent="0.25">
      <c r="A1006" t="str">
        <f>_xll.BDP("FNMA4494 Mtge","ID_CUSIP")</f>
        <v>31418D7G1</v>
      </c>
      <c r="B1006" t="str">
        <f>_xll.BDP("FNMA4494 Mtge","SECURITY_NAME")</f>
        <v>FN MA4494</v>
      </c>
      <c r="C1006" t="str">
        <f>_xll.BDP("FNMA4494 Mtge","GENERIC_TICKER_VINTAGE")</f>
        <v>FNCL 3 2021</v>
      </c>
      <c r="D1006" t="str">
        <f>_xll.BDP("FNMA4494 Mtge","CRNCY")</f>
        <v>USD</v>
      </c>
      <c r="E1006">
        <v>582639547</v>
      </c>
      <c r="F1006">
        <f>_xll.BDP("FNMA4494 Mtge","CPN")</f>
        <v>3</v>
      </c>
      <c r="G1006">
        <f>_xll.BDP("FNMA4494 Mtge","MTG_FACTOR")</f>
        <v>0.64846735</v>
      </c>
      <c r="H1006">
        <f>_xll.BDP("FNMA4494 Mtge","MTG_WAL")</f>
        <v>8.3858999999999995</v>
      </c>
      <c r="I1006" t="str">
        <f>_xll.BDP("FNMA4494 Mtge","MTG_ORIG_WAL")</f>
        <v>#N/A N/A</v>
      </c>
    </row>
    <row r="1007" spans="1:9" x14ac:dyDescent="0.25">
      <c r="A1007" t="str">
        <f>_xll.BDP("FNMB0308 Mtge","ID_CUSIP")</f>
        <v>3138MTKW6</v>
      </c>
      <c r="B1007" t="str">
        <f>_xll.BDP("FNMB0308 Mtge","SECURITY_NAME")</f>
        <v>FN MB0308</v>
      </c>
      <c r="C1007" t="str">
        <f>_xll.BDP("FNMB0308 Mtge","GENERIC_TICKER_VINTAGE")</f>
        <v>FNCL 6 2025</v>
      </c>
      <c r="D1007" t="str">
        <f>_xll.BDP("FNMB0308 Mtge","CRNCY")</f>
        <v>USD</v>
      </c>
      <c r="E1007">
        <v>44170847</v>
      </c>
      <c r="F1007">
        <f>_xll.BDP("FNMB0308 Mtge","CPN")</f>
        <v>6</v>
      </c>
      <c r="G1007">
        <f>_xll.BDP("FNMB0308 Mtge","MTG_FACTOR")</f>
        <v>0.64811724000000004</v>
      </c>
      <c r="H1007">
        <f>_xll.BDP("FNMB0308 Mtge","MTG_WAL")</f>
        <v>3.1560999999999999</v>
      </c>
      <c r="I1007" t="str">
        <f>_xll.BDP("FNMB0308 Mtge","MTG_ORIG_WAL")</f>
        <v>#N/A N/A</v>
      </c>
    </row>
    <row r="1008" spans="1:9" x14ac:dyDescent="0.25">
      <c r="A1008" t="str">
        <f>_xll.BDP("FRQC1038 Mtge","ID_CUSIP")</f>
        <v>3133AKEK2</v>
      </c>
      <c r="B1008" t="str">
        <f>_xll.BDP("FRQC1038 Mtge","SECURITY_NAME")</f>
        <v>FR QC1038</v>
      </c>
      <c r="C1008" t="str">
        <f>_xll.BDP("FRQC1038 Mtge","GENERIC_TICKER_VINTAGE")</f>
        <v>FNCL 3 2021</v>
      </c>
      <c r="D1008" t="str">
        <f>_xll.BDP("FRQC1038 Mtge","CRNCY")</f>
        <v>USD</v>
      </c>
      <c r="E1008">
        <v>1277390</v>
      </c>
      <c r="F1008">
        <f>_xll.BDP("FRQC1038 Mtge","CPN")</f>
        <v>3</v>
      </c>
      <c r="G1008">
        <f>_xll.BDP("FRQC1038 Mtge","MTG_FACTOR")</f>
        <v>0.89053378999999999</v>
      </c>
      <c r="H1008">
        <f>_xll.BDP("FRQC1038 Mtge","MTG_WAL")</f>
        <v>8.3370999999999995</v>
      </c>
      <c r="I1008" t="str">
        <f>_xll.BDP("FRQC1038 Mtge","MTG_ORIG_WAL")</f>
        <v>#N/A N/A</v>
      </c>
    </row>
    <row r="1009" spans="1:9" x14ac:dyDescent="0.25">
      <c r="A1009" t="str">
        <f>_xll.BDP("FRQC4305 Mtge","ID_CUSIP")</f>
        <v>3133ANYA6</v>
      </c>
      <c r="B1009" t="str">
        <f>_xll.BDP("FRQC4305 Mtge","SECURITY_NAME")</f>
        <v>FR QC4305</v>
      </c>
      <c r="C1009" t="str">
        <f>_xll.BDP("FRQC4305 Mtge","GENERIC_TICKER_VINTAGE")</f>
        <v>FNCL 3 2021</v>
      </c>
      <c r="D1009" t="str">
        <f>_xll.BDP("FRQC4305 Mtge","CRNCY")</f>
        <v>USD</v>
      </c>
      <c r="E1009">
        <v>13581713</v>
      </c>
      <c r="F1009">
        <f>_xll.BDP("FRQC4305 Mtge","CPN")</f>
        <v>3</v>
      </c>
      <c r="G1009">
        <f>_xll.BDP("FRQC4305 Mtge","MTG_FACTOR")</f>
        <v>0.77276252999999995</v>
      </c>
      <c r="H1009">
        <f>_xll.BDP("FRQC4305 Mtge","MTG_WAL")</f>
        <v>8.2375000000000007</v>
      </c>
      <c r="I1009" t="str">
        <f>_xll.BDP("FRQC4305 Mtge","MTG_ORIG_WAL")</f>
        <v>#N/A N/A</v>
      </c>
    </row>
    <row r="1010" spans="1:9" x14ac:dyDescent="0.25">
      <c r="A1010" t="str">
        <f>_xll.BDP("FRQC5631 Mtge","ID_CUSIP")</f>
        <v>3133AQHG5</v>
      </c>
      <c r="B1010" t="str">
        <f>_xll.BDP("FRQC5631 Mtge","SECURITY_NAME")</f>
        <v>FR QC5631</v>
      </c>
      <c r="C1010" t="str">
        <f>_xll.BDP("FRQC5631 Mtge","GENERIC_TICKER_VINTAGE")</f>
        <v>FNCL 3 2021</v>
      </c>
      <c r="D1010" t="str">
        <f>_xll.BDP("FRQC5631 Mtge","CRNCY")</f>
        <v>USD</v>
      </c>
      <c r="E1010">
        <v>15543265</v>
      </c>
      <c r="F1010">
        <f>_xll.BDP("FRQC5631 Mtge","CPN")</f>
        <v>3</v>
      </c>
      <c r="G1010">
        <f>_xll.BDP("FRQC5631 Mtge","MTG_FACTOR")</f>
        <v>0.80162029999999995</v>
      </c>
      <c r="H1010">
        <f>_xll.BDP("FRQC5631 Mtge","MTG_WAL")</f>
        <v>8.1966000000000001</v>
      </c>
      <c r="I1010" t="str">
        <f>_xll.BDP("FRQC5631 Mtge","MTG_ORIG_WAL")</f>
        <v>#N/A N/A</v>
      </c>
    </row>
    <row r="1011" spans="1:9" x14ac:dyDescent="0.25">
      <c r="A1011" t="str">
        <f>_xll.BDP("FRQC5996 Mtge","ID_CUSIP")</f>
        <v>3133AQUV7</v>
      </c>
      <c r="B1011" t="str">
        <f>_xll.BDP("FRQC5996 Mtge","SECURITY_NAME")</f>
        <v>FR QC5996</v>
      </c>
      <c r="C1011" t="str">
        <f>_xll.BDP("FRQC5996 Mtge","GENERIC_TICKER_VINTAGE")</f>
        <v>FNCL 3 2021</v>
      </c>
      <c r="D1011" t="str">
        <f>_xll.BDP("FRQC5996 Mtge","CRNCY")</f>
        <v>USD</v>
      </c>
      <c r="E1011">
        <v>3092476</v>
      </c>
      <c r="F1011">
        <f>_xll.BDP("FRQC5996 Mtge","CPN")</f>
        <v>3</v>
      </c>
      <c r="G1011">
        <f>_xll.BDP("FRQC5996 Mtge","MTG_FACTOR")</f>
        <v>0.87665353999999995</v>
      </c>
      <c r="H1011">
        <f>_xll.BDP("FRQC5996 Mtge","MTG_WAL")</f>
        <v>8.0276999999999994</v>
      </c>
      <c r="I1011" t="str">
        <f>_xll.BDP("FRQC5996 Mtge","MTG_ORIG_WAL")</f>
        <v>#N/A N/A</v>
      </c>
    </row>
    <row r="1012" spans="1:9" x14ac:dyDescent="0.25">
      <c r="A1012" t="str">
        <f>_xll.BDP("FRQD0177 Mtge","ID_CUSIP")</f>
        <v>3133AWFS8</v>
      </c>
      <c r="B1012" t="str">
        <f>_xll.BDP("FRQD0177 Mtge","SECURITY_NAME")</f>
        <v>FR QD0177</v>
      </c>
      <c r="C1012" t="str">
        <f>_xll.BDP("FRQD0177 Mtge","GENERIC_TICKER_VINTAGE")</f>
        <v>FNCL 3 2021</v>
      </c>
      <c r="D1012" t="str">
        <f>_xll.BDP("FRQD0177 Mtge","CRNCY")</f>
        <v>USD</v>
      </c>
      <c r="E1012">
        <v>8100177</v>
      </c>
      <c r="F1012">
        <f>_xll.BDP("FRQD0177 Mtge","CPN")</f>
        <v>3</v>
      </c>
      <c r="G1012">
        <f>_xll.BDP("FRQD0177 Mtge","MTG_FACTOR")</f>
        <v>0.61774395000000004</v>
      </c>
      <c r="H1012">
        <f>_xll.BDP("FRQD0177 Mtge","MTG_WAL")</f>
        <v>8.3519000000000005</v>
      </c>
      <c r="I1012" t="str">
        <f>_xll.BDP("FRQD0177 Mtge","MTG_ORIG_WAL")</f>
        <v>#N/A N/A</v>
      </c>
    </row>
    <row r="1013" spans="1:9" x14ac:dyDescent="0.25">
      <c r="A1013" t="str">
        <f>_xll.BDP("FRQD2164 Mtge","ID_CUSIP")</f>
        <v>3133AYMM9</v>
      </c>
      <c r="B1013" t="str">
        <f>_xll.BDP("FRQD2164 Mtge","SECURITY_NAME")</f>
        <v>FR QD2164</v>
      </c>
      <c r="C1013" t="str">
        <f>_xll.BDP("FRQD2164 Mtge","GENERIC_TICKER_VINTAGE")</f>
        <v>FNCL 3 2021</v>
      </c>
      <c r="D1013" t="str">
        <f>_xll.BDP("FRQD2164 Mtge","CRNCY")</f>
        <v>USD</v>
      </c>
      <c r="E1013">
        <v>4943713</v>
      </c>
      <c r="F1013">
        <f>_xll.BDP("FRQD2164 Mtge","CPN")</f>
        <v>3</v>
      </c>
      <c r="G1013">
        <f>_xll.BDP("FRQD2164 Mtge","MTG_FACTOR")</f>
        <v>0.63267461999999997</v>
      </c>
      <c r="H1013">
        <f>_xll.BDP("FRQD2164 Mtge","MTG_WAL")</f>
        <v>8.3961000000000006</v>
      </c>
      <c r="I1013" t="str">
        <f>_xll.BDP("FRQD2164 Mtge","MTG_ORIG_WAL")</f>
        <v>#N/A N/A</v>
      </c>
    </row>
    <row r="1014" spans="1:9" x14ac:dyDescent="0.25">
      <c r="A1014" t="str">
        <f>_xll.BDP("FRQD5093 Mtge","ID_CUSIP")</f>
        <v>3133B2US6</v>
      </c>
      <c r="B1014" t="str">
        <f>_xll.BDP("FRQD5093 Mtge","SECURITY_NAME")</f>
        <v>FR QD5093</v>
      </c>
      <c r="C1014" t="str">
        <f>_xll.BDP("FRQD5093 Mtge","GENERIC_TICKER_VINTAGE")</f>
        <v>FNCL 3 2021</v>
      </c>
      <c r="D1014" t="str">
        <f>_xll.BDP("FRQD5093 Mtge","CRNCY")</f>
        <v>USD</v>
      </c>
      <c r="E1014">
        <v>2346215</v>
      </c>
      <c r="F1014">
        <f>_xll.BDP("FRQD5093 Mtge","CPN")</f>
        <v>3</v>
      </c>
      <c r="G1014">
        <f>_xll.BDP("FRQD5093 Mtge","MTG_FACTOR")</f>
        <v>0.91790574999999996</v>
      </c>
      <c r="H1014">
        <f>_xll.BDP("FRQD5093 Mtge","MTG_WAL")</f>
        <v>8.4847999999999999</v>
      </c>
      <c r="I1014" t="str">
        <f>_xll.BDP("FRQD5093 Mtge","MTG_ORIG_WAL")</f>
        <v>#N/A N/A</v>
      </c>
    </row>
    <row r="1015" spans="1:9" x14ac:dyDescent="0.25">
      <c r="A1015" t="str">
        <f>_xll.BDP("FRQD5839 Mtge","ID_CUSIP")</f>
        <v>3133B3PY7</v>
      </c>
      <c r="B1015" t="str">
        <f>_xll.BDP("FRQD5839 Mtge","SECURITY_NAME")</f>
        <v>FR QD5839</v>
      </c>
      <c r="C1015" t="str">
        <f>_xll.BDP("FRQD5839 Mtge","GENERIC_TICKER_VINTAGE")</f>
        <v>FNCL 3 2021</v>
      </c>
      <c r="D1015" t="str">
        <f>_xll.BDP("FRQD5839 Mtge","CRNCY")</f>
        <v>USD</v>
      </c>
      <c r="E1015">
        <v>9957046</v>
      </c>
      <c r="F1015">
        <f>_xll.BDP("FRQD5839 Mtge","CPN")</f>
        <v>3</v>
      </c>
      <c r="G1015">
        <f>_xll.BDP("FRQD5839 Mtge","MTG_FACTOR")</f>
        <v>0.73140088999999997</v>
      </c>
      <c r="H1015">
        <f>_xll.BDP("FRQD5839 Mtge","MTG_WAL")</f>
        <v>8.2592999999999996</v>
      </c>
      <c r="I1015" t="str">
        <f>_xll.BDP("FRQD5839 Mtge","MTG_ORIG_WAL")</f>
        <v>#N/A N/A</v>
      </c>
    </row>
    <row r="1016" spans="1:9" x14ac:dyDescent="0.25">
      <c r="A1016" t="str">
        <f>_xll.BDP("FRQX5931 Mtge","ID_CUSIP")</f>
        <v>31426BSV9</v>
      </c>
      <c r="B1016" t="str">
        <f>_xll.BDP("FRQX5931 Mtge","SECURITY_NAME")</f>
        <v>FR QX5931</v>
      </c>
      <c r="C1016" t="str">
        <f>_xll.BDP("FRQX5931 Mtge","GENERIC_TICKER_VINTAGE")</f>
        <v>FNCL 6 2025</v>
      </c>
      <c r="D1016" t="str">
        <f>_xll.BDP("FRQX5931 Mtge","CRNCY")</f>
        <v>USD</v>
      </c>
      <c r="E1016">
        <v>4304771</v>
      </c>
      <c r="F1016">
        <f>_xll.BDP("FRQX5931 Mtge","CPN")</f>
        <v>6</v>
      </c>
      <c r="G1016">
        <f>_xll.BDP("FRQX5931 Mtge","MTG_FACTOR")</f>
        <v>0.82662197999999998</v>
      </c>
      <c r="H1016">
        <f>_xll.BDP("FRQX5931 Mtge","MTG_WAL")</f>
        <v>3.1608000000000001</v>
      </c>
      <c r="I1016" t="str">
        <f>_xll.BDP("FRQX5931 Mtge","MTG_ORIG_WAL")</f>
        <v>#N/A N/A</v>
      </c>
    </row>
    <row r="1017" spans="1:9" x14ac:dyDescent="0.25">
      <c r="A1017" t="str">
        <f>_xll.BDP("FRQX6120 Mtge","ID_CUSIP")</f>
        <v>31426BYS9</v>
      </c>
      <c r="B1017" t="str">
        <f>_xll.BDP("FRQX6120 Mtge","SECURITY_NAME")</f>
        <v>FR QX6120</v>
      </c>
      <c r="C1017" t="str">
        <f>_xll.BDP("FRQX6120 Mtge","GENERIC_TICKER_VINTAGE")</f>
        <v>FNCL 6 2025</v>
      </c>
      <c r="D1017" t="str">
        <f>_xll.BDP("FRQX6120 Mtge","CRNCY")</f>
        <v>USD</v>
      </c>
      <c r="E1017">
        <v>1008164</v>
      </c>
      <c r="F1017">
        <f>_xll.BDP("FRQX6120 Mtge","CPN")</f>
        <v>6</v>
      </c>
      <c r="G1017">
        <f>_xll.BDP("FRQX6120 Mtge","MTG_FACTOR")</f>
        <v>0.89385597999999999</v>
      </c>
      <c r="H1017">
        <f>_xll.BDP("FRQX6120 Mtge","MTG_WAL")</f>
        <v>3.1600999999999999</v>
      </c>
      <c r="I1017" t="str">
        <f>_xll.BDP("FRQX6120 Mtge","MTG_ORIG_WAL")</f>
        <v>#N/A N/A</v>
      </c>
    </row>
    <row r="1018" spans="1:9" x14ac:dyDescent="0.25">
      <c r="A1018" t="str">
        <f>_xll.BDP("FRQX6424 Mtge","ID_CUSIP")</f>
        <v>31426CD68</v>
      </c>
      <c r="B1018" t="str">
        <f>_xll.BDP("FRQX6424 Mtge","SECURITY_NAME")</f>
        <v>FR QX6424</v>
      </c>
      <c r="C1018" t="str">
        <f>_xll.BDP("FRQX6424 Mtge","GENERIC_TICKER_VINTAGE")</f>
        <v>FNCL 6 2025</v>
      </c>
      <c r="D1018" t="str">
        <f>_xll.BDP("FRQX6424 Mtge","CRNCY")</f>
        <v>USD</v>
      </c>
      <c r="E1018">
        <v>1319350</v>
      </c>
      <c r="F1018">
        <f>_xll.BDP("FRQX6424 Mtge","CPN")</f>
        <v>6</v>
      </c>
      <c r="G1018">
        <f>_xll.BDP("FRQX6424 Mtge","MTG_FACTOR")</f>
        <v>0.98598279</v>
      </c>
      <c r="H1018">
        <f>_xll.BDP("FRQX6424 Mtge","MTG_WAL")</f>
        <v>3.1604000000000001</v>
      </c>
      <c r="I1018" t="str">
        <f>_xll.BDP("FRQX6424 Mtge","MTG_ORIG_WAL")</f>
        <v>#N/A N/A</v>
      </c>
    </row>
    <row r="1019" spans="1:9" x14ac:dyDescent="0.25">
      <c r="A1019" t="str">
        <f>_xll.BDP("FRQX7154 Mtge","ID_CUSIP")</f>
        <v>31426C5Q3</v>
      </c>
      <c r="B1019" t="str">
        <f>_xll.BDP("FRQX7154 Mtge","SECURITY_NAME")</f>
        <v>FR QX7154</v>
      </c>
      <c r="C1019" t="str">
        <f>_xll.BDP("FRQX7154 Mtge","GENERIC_TICKER_VINTAGE")</f>
        <v>FNCL 6 2025</v>
      </c>
      <c r="D1019" t="str">
        <f>_xll.BDP("FRQX7154 Mtge","CRNCY")</f>
        <v>USD</v>
      </c>
      <c r="E1019">
        <v>19797556</v>
      </c>
      <c r="F1019">
        <f>_xll.BDP("FRQX7154 Mtge","CPN")</f>
        <v>6</v>
      </c>
      <c r="G1019">
        <f>_xll.BDP("FRQX7154 Mtge","MTG_FACTOR")</f>
        <v>0.68030168000000002</v>
      </c>
      <c r="H1019">
        <f>_xll.BDP("FRQX7154 Mtge","MTG_WAL")</f>
        <v>3.1612</v>
      </c>
      <c r="I1019" t="str">
        <f>_xll.BDP("FRQX7154 Mtge","MTG_ORIG_WAL")</f>
        <v>#N/A N/A</v>
      </c>
    </row>
    <row r="1020" spans="1:9" x14ac:dyDescent="0.25">
      <c r="A1020" t="str">
        <f>_xll.BDP("FRQX7210 Mtge","ID_CUSIP")</f>
        <v>31426DAL6</v>
      </c>
      <c r="B1020" t="str">
        <f>_xll.BDP("FRQX7210 Mtge","SECURITY_NAME")</f>
        <v>FR QX7210</v>
      </c>
      <c r="C1020" t="str">
        <f>_xll.BDP("FRQX7210 Mtge","GENERIC_TICKER_VINTAGE")</f>
        <v>FNCL 6 2025</v>
      </c>
      <c r="D1020" t="str">
        <f>_xll.BDP("FRQX7210 Mtge","CRNCY")</f>
        <v>USD</v>
      </c>
      <c r="E1020">
        <v>1677160</v>
      </c>
      <c r="F1020">
        <f>_xll.BDP("FRQX7210 Mtge","CPN")</f>
        <v>6</v>
      </c>
      <c r="G1020">
        <f>_xll.BDP("FRQX7210 Mtge","MTG_FACTOR")</f>
        <v>0.86354229999999998</v>
      </c>
      <c r="H1020">
        <f>_xll.BDP("FRQX7210 Mtge","MTG_WAL")</f>
        <v>3.1583000000000001</v>
      </c>
      <c r="I1020" t="str">
        <f>_xll.BDP("FRQX7210 Mtge","MTG_ORIG_WAL")</f>
        <v>#N/A N/A</v>
      </c>
    </row>
    <row r="1021" spans="1:9" x14ac:dyDescent="0.25">
      <c r="A1021" t="str">
        <f>_xll.BDP("FRQX7289 Mtge","ID_CUSIP")</f>
        <v>31426DC34</v>
      </c>
      <c r="B1021" t="str">
        <f>_xll.BDP("FRQX7289 Mtge","SECURITY_NAME")</f>
        <v>FR QX7289</v>
      </c>
      <c r="C1021" t="str">
        <f>_xll.BDP("FRQX7289 Mtge","GENERIC_TICKER_VINTAGE")</f>
        <v>FNCL 6 2025</v>
      </c>
      <c r="D1021" t="str">
        <f>_xll.BDP("FRQX7289 Mtge","CRNCY")</f>
        <v>USD</v>
      </c>
      <c r="E1021">
        <v>1911100</v>
      </c>
      <c r="F1021">
        <f>_xll.BDP("FRQX7289 Mtge","CPN")</f>
        <v>6</v>
      </c>
      <c r="G1021">
        <f>_xll.BDP("FRQX7289 Mtge","MTG_FACTOR")</f>
        <v>0.91104258000000005</v>
      </c>
      <c r="H1021">
        <f>_xll.BDP("FRQX7289 Mtge","MTG_WAL")</f>
        <v>3.1993</v>
      </c>
      <c r="I1021" t="str">
        <f>_xll.BDP("FRQX7289 Mtge","MTG_ORIG_WAL")</f>
        <v>#N/A N/A</v>
      </c>
    </row>
    <row r="1022" spans="1:9" x14ac:dyDescent="0.25">
      <c r="A1022" t="str">
        <f>_xll.BDP("FRQX7302 Mtge","ID_CUSIP")</f>
        <v>31426DDG4</v>
      </c>
      <c r="B1022" t="str">
        <f>_xll.BDP("FRQX7302 Mtge","SECURITY_NAME")</f>
        <v>FR QX7302</v>
      </c>
      <c r="C1022" t="str">
        <f>_xll.BDP("FRQX7302 Mtge","GENERIC_TICKER_VINTAGE")</f>
        <v>FNCL 6 2025</v>
      </c>
      <c r="D1022" t="str">
        <f>_xll.BDP("FRQX7302 Mtge","CRNCY")</f>
        <v>USD</v>
      </c>
      <c r="E1022">
        <v>1890305</v>
      </c>
      <c r="F1022">
        <f>_xll.BDP("FRQX7302 Mtge","CPN")</f>
        <v>6</v>
      </c>
      <c r="G1022">
        <f>_xll.BDP("FRQX7302 Mtge","MTG_FACTOR")</f>
        <v>0.78684757999999999</v>
      </c>
      <c r="H1022">
        <f>_xll.BDP("FRQX7302 Mtge","MTG_WAL")</f>
        <v>3.2037</v>
      </c>
      <c r="I1022" t="str">
        <f>_xll.BDP("FRQX7302 Mtge","MTG_ORIG_WAL")</f>
        <v>#N/A N/A</v>
      </c>
    </row>
    <row r="1023" spans="1:9" x14ac:dyDescent="0.25">
      <c r="A1023" t="str">
        <f>_xll.BDP("FRQX7643 Mtge","ID_CUSIP")</f>
        <v>31426DP55</v>
      </c>
      <c r="B1023" t="str">
        <f>_xll.BDP("FRQX7643 Mtge","SECURITY_NAME")</f>
        <v>FR QX7643</v>
      </c>
      <c r="C1023" t="str">
        <f>_xll.BDP("FRQX7643 Mtge","GENERIC_TICKER_VINTAGE")</f>
        <v>FNCL 6 2025</v>
      </c>
      <c r="D1023" t="str">
        <f>_xll.BDP("FRQX7643 Mtge","CRNCY")</f>
        <v>USD</v>
      </c>
      <c r="E1023">
        <v>1658496</v>
      </c>
      <c r="F1023">
        <f>_xll.BDP("FRQX7643 Mtge","CPN")</f>
        <v>6</v>
      </c>
      <c r="G1023">
        <f>_xll.BDP("FRQX7643 Mtge","MTG_FACTOR")</f>
        <v>0.98979768000000001</v>
      </c>
      <c r="H1023">
        <f>_xll.BDP("FRQX7643 Mtge","MTG_WAL")</f>
        <v>3.2059000000000002</v>
      </c>
      <c r="I1023" t="str">
        <f>_xll.BDP("FRQX7643 Mtge","MTG_ORIG_WAL")</f>
        <v>#N/A N/A</v>
      </c>
    </row>
    <row r="1024" spans="1:9" x14ac:dyDescent="0.25">
      <c r="A1024" t="str">
        <f>_xll.BDP("FRQX7784 Mtge","ID_CUSIP")</f>
        <v>31426DUJ9</v>
      </c>
      <c r="B1024" t="str">
        <f>_xll.BDP("FRQX7784 Mtge","SECURITY_NAME")</f>
        <v>FR QX7784</v>
      </c>
      <c r="C1024" t="str">
        <f>_xll.BDP("FRQX7784 Mtge","GENERIC_TICKER_VINTAGE")</f>
        <v>FNCL 6 2025</v>
      </c>
      <c r="D1024" t="str">
        <f>_xll.BDP("FRQX7784 Mtge","CRNCY")</f>
        <v>USD</v>
      </c>
      <c r="E1024">
        <v>8155307</v>
      </c>
      <c r="F1024">
        <f>_xll.BDP("FRQX7784 Mtge","CPN")</f>
        <v>6</v>
      </c>
      <c r="G1024">
        <f>_xll.BDP("FRQX7784 Mtge","MTG_FACTOR")</f>
        <v>0.98319888</v>
      </c>
      <c r="H1024">
        <f>_xll.BDP("FRQX7784 Mtge","MTG_WAL")</f>
        <v>3.1995</v>
      </c>
      <c r="I1024" t="str">
        <f>_xll.BDP("FRQX7784 Mtge","MTG_ORIG_WAL")</f>
        <v>#N/A N/A</v>
      </c>
    </row>
    <row r="1025" spans="1:9" x14ac:dyDescent="0.25">
      <c r="A1025" t="str">
        <f>_xll.BDP("FRQX7812 Mtge","ID_CUSIP")</f>
        <v>31426DVE9</v>
      </c>
      <c r="B1025" t="str">
        <f>_xll.BDP("FRQX7812 Mtge","SECURITY_NAME")</f>
        <v>FR QX7812</v>
      </c>
      <c r="C1025" t="str">
        <f>_xll.BDP("FRQX7812 Mtge","GENERIC_TICKER_VINTAGE")</f>
        <v>FNCL 6 2025</v>
      </c>
      <c r="D1025" t="str">
        <f>_xll.BDP("FRQX7812 Mtge","CRNCY")</f>
        <v>USD</v>
      </c>
      <c r="E1025">
        <v>3409186</v>
      </c>
      <c r="F1025">
        <f>_xll.BDP("FRQX7812 Mtge","CPN")</f>
        <v>6</v>
      </c>
      <c r="G1025">
        <f>_xll.BDP("FRQX7812 Mtge","MTG_FACTOR")</f>
        <v>0.83295448000000005</v>
      </c>
      <c r="H1025">
        <f>_xll.BDP("FRQX7812 Mtge","MTG_WAL")</f>
        <v>3.1598000000000002</v>
      </c>
      <c r="I1025" t="str">
        <f>_xll.BDP("FRQX7812 Mtge","MTG_ORIG_WAL")</f>
        <v>#N/A N/A</v>
      </c>
    </row>
    <row r="1026" spans="1:9" x14ac:dyDescent="0.25">
      <c r="A1026" t="str">
        <f>_xll.BDP("FRQX8068 Mtge","ID_CUSIP")</f>
        <v>31426D6E7</v>
      </c>
      <c r="B1026" t="str">
        <f>_xll.BDP("FRQX8068 Mtge","SECURITY_NAME")</f>
        <v>FR QX8068</v>
      </c>
      <c r="C1026" t="str">
        <f>_xll.BDP("FRQX8068 Mtge","GENERIC_TICKER_VINTAGE")</f>
        <v>FNCL 6 2025</v>
      </c>
      <c r="D1026" t="str">
        <f>_xll.BDP("FRQX8068 Mtge","CRNCY")</f>
        <v>USD</v>
      </c>
      <c r="E1026">
        <v>33615375</v>
      </c>
      <c r="F1026">
        <f>_xll.BDP("FRQX8068 Mtge","CPN")</f>
        <v>6</v>
      </c>
      <c r="G1026">
        <f>_xll.BDP("FRQX8068 Mtge","MTG_FACTOR")</f>
        <v>0.63658720000000002</v>
      </c>
      <c r="H1026">
        <f>_xll.BDP("FRQX8068 Mtge","MTG_WAL")</f>
        <v>3.1621999999999999</v>
      </c>
      <c r="I1026" t="str">
        <f>_xll.BDP("FRQX8068 Mtge","MTG_ORIG_WAL")</f>
        <v>#N/A N/A</v>
      </c>
    </row>
    <row r="1027" spans="1:9" x14ac:dyDescent="0.25">
      <c r="A1027" t="str">
        <f>_xll.BDP("FRQX8256 Mtge","ID_CUSIP")</f>
        <v>31426FE60</v>
      </c>
      <c r="B1027" t="str">
        <f>_xll.BDP("FRQX8256 Mtge","SECURITY_NAME")</f>
        <v>FR QX8256</v>
      </c>
      <c r="C1027" t="str">
        <f>_xll.BDP("FRQX8256 Mtge","GENERIC_TICKER_VINTAGE")</f>
        <v>FNCL 6 2025</v>
      </c>
      <c r="D1027" t="str">
        <f>_xll.BDP("FRQX8256 Mtge","CRNCY")</f>
        <v>USD</v>
      </c>
      <c r="E1027">
        <v>3558972</v>
      </c>
      <c r="F1027">
        <f>_xll.BDP("FRQX8256 Mtge","CPN")</f>
        <v>6</v>
      </c>
      <c r="G1027">
        <f>_xll.BDP("FRQX8256 Mtge","MTG_FACTOR")</f>
        <v>0.80498961000000002</v>
      </c>
      <c r="H1027">
        <f>_xll.BDP("FRQX8256 Mtge","MTG_WAL")</f>
        <v>3.1473</v>
      </c>
      <c r="I1027" t="str">
        <f>_xll.BDP("FRQX8256 Mtge","MTG_ORIG_WAL")</f>
        <v>#N/A N/A</v>
      </c>
    </row>
    <row r="1028" spans="1:9" x14ac:dyDescent="0.25">
      <c r="A1028" t="str">
        <f>_xll.BDP("FRQX8427 Mtge","ID_CUSIP")</f>
        <v>31426FLH8</v>
      </c>
      <c r="B1028" t="str">
        <f>_xll.BDP("FRQX8427 Mtge","SECURITY_NAME")</f>
        <v>FR QX8427</v>
      </c>
      <c r="C1028" t="str">
        <f>_xll.BDP("FRQX8427 Mtge","GENERIC_TICKER_VINTAGE")</f>
        <v>FNCL 6 2025</v>
      </c>
      <c r="D1028" t="str">
        <f>_xll.BDP("FRQX8427 Mtge","CRNCY")</f>
        <v>USD</v>
      </c>
      <c r="E1028">
        <v>1368625</v>
      </c>
      <c r="F1028">
        <f>_xll.BDP("FRQX8427 Mtge","CPN")</f>
        <v>6</v>
      </c>
      <c r="G1028">
        <f>_xll.BDP("FRQX8427 Mtge","MTG_FACTOR")</f>
        <v>0.77409835000000005</v>
      </c>
      <c r="H1028">
        <f>_xll.BDP("FRQX8427 Mtge","MTG_WAL")</f>
        <v>3.1774</v>
      </c>
      <c r="I1028" t="str">
        <f>_xll.BDP("FRQX8427 Mtge","MTG_ORIG_WAL")</f>
        <v>#N/A N/A</v>
      </c>
    </row>
    <row r="1029" spans="1:9" x14ac:dyDescent="0.25">
      <c r="A1029" t="str">
        <f>_xll.BDP("FRQX8580 Mtge","ID_CUSIP")</f>
        <v>31426FRA7</v>
      </c>
      <c r="B1029" t="str">
        <f>_xll.BDP("FRQX8580 Mtge","SECURITY_NAME")</f>
        <v>FR QX8580</v>
      </c>
      <c r="C1029" t="str">
        <f>_xll.BDP("FRQX8580 Mtge","GENERIC_TICKER_VINTAGE")</f>
        <v>FNCL 6 2025</v>
      </c>
      <c r="D1029" t="str">
        <f>_xll.BDP("FRQX8580 Mtge","CRNCY")</f>
        <v>USD</v>
      </c>
      <c r="E1029">
        <v>1468188</v>
      </c>
      <c r="F1029">
        <f>_xll.BDP("FRQX8580 Mtge","CPN")</f>
        <v>6</v>
      </c>
      <c r="G1029">
        <f>_xll.BDP("FRQX8580 Mtge","MTG_FACTOR")</f>
        <v>0.98622885000000005</v>
      </c>
      <c r="H1029">
        <f>_xll.BDP("FRQX8580 Mtge","MTG_WAL")</f>
        <v>3.1583000000000001</v>
      </c>
      <c r="I1029" t="str">
        <f>_xll.BDP("FRQX8580 Mtge","MTG_ORIG_WAL")</f>
        <v>#N/A N/A</v>
      </c>
    </row>
    <row r="1030" spans="1:9" x14ac:dyDescent="0.25">
      <c r="A1030" t="str">
        <f>_xll.BDP("FRQX8592 Mtge","ID_CUSIP")</f>
        <v>31426FRN9</v>
      </c>
      <c r="B1030" t="str">
        <f>_xll.BDP("FRQX8592 Mtge","SECURITY_NAME")</f>
        <v>FR QX8592</v>
      </c>
      <c r="C1030" t="str">
        <f>_xll.BDP("FRQX8592 Mtge","GENERIC_TICKER_VINTAGE")</f>
        <v>FNCL 6 2025</v>
      </c>
      <c r="D1030" t="str">
        <f>_xll.BDP("FRQX8592 Mtge","CRNCY")</f>
        <v>USD</v>
      </c>
      <c r="E1030">
        <v>1474164</v>
      </c>
      <c r="F1030">
        <f>_xll.BDP("FRQX8592 Mtge","CPN")</f>
        <v>6</v>
      </c>
      <c r="G1030">
        <f>_xll.BDP("FRQX8592 Mtge","MTG_FACTOR")</f>
        <v>0.98619509000000005</v>
      </c>
      <c r="H1030">
        <f>_xll.BDP("FRQX8592 Mtge","MTG_WAL")</f>
        <v>3.1781999999999999</v>
      </c>
      <c r="I1030" t="str">
        <f>_xll.BDP("FRQX8592 Mtge","MTG_ORIG_WAL")</f>
        <v>#N/A N/A</v>
      </c>
    </row>
    <row r="1031" spans="1:9" x14ac:dyDescent="0.25">
      <c r="A1031" t="str">
        <f>_xll.BDP("FRQX8651 Mtge","ID_CUSIP")</f>
        <v>31426FTH0</v>
      </c>
      <c r="B1031" t="str">
        <f>_xll.BDP("FRQX8651 Mtge","SECURITY_NAME")</f>
        <v>FR QX8651</v>
      </c>
      <c r="C1031" t="str">
        <f>_xll.BDP("FRQX8651 Mtge","GENERIC_TICKER_VINTAGE")</f>
        <v>FNCL 6 2025</v>
      </c>
      <c r="D1031" t="str">
        <f>_xll.BDP("FRQX8651 Mtge","CRNCY")</f>
        <v>USD</v>
      </c>
      <c r="E1031">
        <v>3648329</v>
      </c>
      <c r="F1031">
        <f>_xll.BDP("FRQX8651 Mtge","CPN")</f>
        <v>6</v>
      </c>
      <c r="G1031">
        <f>_xll.BDP("FRQX8651 Mtge","MTG_FACTOR")</f>
        <v>0.98935404000000005</v>
      </c>
      <c r="H1031">
        <f>_xll.BDP("FRQX8651 Mtge","MTG_WAL")</f>
        <v>3.2044000000000001</v>
      </c>
      <c r="I1031" t="str">
        <f>_xll.BDP("FRQX8651 Mtge","MTG_ORIG_WAL")</f>
        <v>#N/A N/A</v>
      </c>
    </row>
    <row r="1032" spans="1:9" x14ac:dyDescent="0.25">
      <c r="A1032" t="str">
        <f>_xll.BDP("FRQX8680 Mtge","ID_CUSIP")</f>
        <v>31426FUE5</v>
      </c>
      <c r="B1032" t="str">
        <f>_xll.BDP("FRQX8680 Mtge","SECURITY_NAME")</f>
        <v>FR QX8680</v>
      </c>
      <c r="C1032" t="str">
        <f>_xll.BDP("FRQX8680 Mtge","GENERIC_TICKER_VINTAGE")</f>
        <v>FNCL 6 2025</v>
      </c>
      <c r="D1032" t="str">
        <f>_xll.BDP("FRQX8680 Mtge","CRNCY")</f>
        <v>USD</v>
      </c>
      <c r="E1032">
        <v>1050381</v>
      </c>
      <c r="F1032">
        <f>_xll.BDP("FRQX8680 Mtge","CPN")</f>
        <v>6</v>
      </c>
      <c r="G1032">
        <f>_xll.BDP("FRQX8680 Mtge","MTG_FACTOR")</f>
        <v>0.98188982000000002</v>
      </c>
      <c r="H1032">
        <f>_xll.BDP("FRQX8680 Mtge","MTG_WAL")</f>
        <v>3.1974</v>
      </c>
      <c r="I1032" t="str">
        <f>_xll.BDP("FRQX8680 Mtge","MTG_ORIG_WAL")</f>
        <v>#N/A N/A</v>
      </c>
    </row>
    <row r="1033" spans="1:9" x14ac:dyDescent="0.25">
      <c r="A1033" t="str">
        <f>_xll.BDP("FRQX8723 Mtge","ID_CUSIP")</f>
        <v>31426FVR5</v>
      </c>
      <c r="B1033" t="str">
        <f>_xll.BDP("FRQX8723 Mtge","SECURITY_NAME")</f>
        <v>FR QX8723</v>
      </c>
      <c r="C1033" t="str">
        <f>_xll.BDP("FRQX8723 Mtge","GENERIC_TICKER_VINTAGE")</f>
        <v>FNCL 6 2025</v>
      </c>
      <c r="D1033" t="str">
        <f>_xll.BDP("FRQX8723 Mtge","CRNCY")</f>
        <v>USD</v>
      </c>
      <c r="E1033">
        <v>1284792</v>
      </c>
      <c r="F1033">
        <f>_xll.BDP("FRQX8723 Mtge","CPN")</f>
        <v>6</v>
      </c>
      <c r="G1033">
        <f>_xll.BDP("FRQX8723 Mtge","MTG_FACTOR")</f>
        <v>0.86172163000000002</v>
      </c>
      <c r="H1033">
        <f>_xll.BDP("FRQX8723 Mtge","MTG_WAL")</f>
        <v>3.2046999999999999</v>
      </c>
      <c r="I1033" t="str">
        <f>_xll.BDP("FRQX8723 Mtge","MTG_ORIG_WAL")</f>
        <v>#N/A N/A</v>
      </c>
    </row>
    <row r="1034" spans="1:9" x14ac:dyDescent="0.25">
      <c r="A1034" t="str">
        <f>_xll.BDP("FRQX8734 Mtge","ID_CUSIP")</f>
        <v>31426FV46</v>
      </c>
      <c r="B1034" t="str">
        <f>_xll.BDP("FRQX8734 Mtge","SECURITY_NAME")</f>
        <v>FR QX8734</v>
      </c>
      <c r="C1034" t="str">
        <f>_xll.BDP("FRQX8734 Mtge","GENERIC_TICKER_VINTAGE")</f>
        <v>FNCL 6 2025</v>
      </c>
      <c r="D1034" t="str">
        <f>_xll.BDP("FRQX8734 Mtge","CRNCY")</f>
        <v>USD</v>
      </c>
      <c r="E1034">
        <v>1353525</v>
      </c>
      <c r="F1034">
        <f>_xll.BDP("FRQX8734 Mtge","CPN")</f>
        <v>6</v>
      </c>
      <c r="G1034">
        <f>_xll.BDP("FRQX8734 Mtge","MTG_FACTOR")</f>
        <v>0.98965082000000004</v>
      </c>
      <c r="H1034">
        <f>_xll.BDP("FRQX8734 Mtge","MTG_WAL")</f>
        <v>3.2042000000000002</v>
      </c>
      <c r="I1034" t="str">
        <f>_xll.BDP("FRQX8734 Mtge","MTG_ORIG_WAL")</f>
        <v>#N/A N/A</v>
      </c>
    </row>
    <row r="1035" spans="1:9" x14ac:dyDescent="0.25">
      <c r="A1035" t="str">
        <f>_xll.BDP("FRQX9060 Mtge","ID_CUSIP")</f>
        <v>31426GB61</v>
      </c>
      <c r="B1035" t="str">
        <f>_xll.BDP("FRQX9060 Mtge","SECURITY_NAME")</f>
        <v>FR QX9060</v>
      </c>
      <c r="C1035" t="str">
        <f>_xll.BDP("FRQX9060 Mtge","GENERIC_TICKER_VINTAGE")</f>
        <v>FNCL 6 2025</v>
      </c>
      <c r="D1035" t="str">
        <f>_xll.BDP("FRQX9060 Mtge","CRNCY")</f>
        <v>USD</v>
      </c>
      <c r="E1035">
        <v>1189405</v>
      </c>
      <c r="F1035">
        <f>_xll.BDP("FRQX9060 Mtge","CPN")</f>
        <v>6</v>
      </c>
      <c r="G1035">
        <f>_xll.BDP("FRQX9060 Mtge","MTG_FACTOR")</f>
        <v>0.97939251999999999</v>
      </c>
      <c r="H1035">
        <f>_xll.BDP("FRQX9060 Mtge","MTG_WAL")</f>
        <v>3.1941000000000002</v>
      </c>
      <c r="I1035" t="str">
        <f>_xll.BDP("FRQX9060 Mtge","MTG_ORIG_WAL")</f>
        <v>#N/A N/A</v>
      </c>
    </row>
    <row r="1036" spans="1:9" x14ac:dyDescent="0.25">
      <c r="A1036" t="str">
        <f>_xll.BDP("FRQX9078 Mtge","ID_CUSIP")</f>
        <v>31426GCQ6</v>
      </c>
      <c r="B1036" t="str">
        <f>_xll.BDP("FRQX9078 Mtge","SECURITY_NAME")</f>
        <v>FR QX9078</v>
      </c>
      <c r="C1036" t="str">
        <f>_xll.BDP("FRQX9078 Mtge","GENERIC_TICKER_VINTAGE")</f>
        <v>FNCL 6 2025</v>
      </c>
      <c r="D1036" t="str">
        <f>_xll.BDP("FRQX9078 Mtge","CRNCY")</f>
        <v>USD</v>
      </c>
      <c r="E1036">
        <v>1221400</v>
      </c>
      <c r="F1036">
        <f>_xll.BDP("FRQX9078 Mtge","CPN")</f>
        <v>6</v>
      </c>
      <c r="G1036">
        <f>_xll.BDP("FRQX9078 Mtge","MTG_FACTOR")</f>
        <v>0.98983922000000002</v>
      </c>
      <c r="H1036">
        <f>_xll.BDP("FRQX9078 Mtge","MTG_WAL")</f>
        <v>3.2061000000000002</v>
      </c>
      <c r="I1036" t="str">
        <f>_xll.BDP("FRQX9078 Mtge","MTG_ORIG_WAL")</f>
        <v>#N/A N/A</v>
      </c>
    </row>
    <row r="1037" spans="1:9" x14ac:dyDescent="0.25">
      <c r="A1037" t="str">
        <f>_xll.BDP("FRQX9114 Mtge","ID_CUSIP")</f>
        <v>31426GDU6</v>
      </c>
      <c r="B1037" t="str">
        <f>_xll.BDP("FRQX9114 Mtge","SECURITY_NAME")</f>
        <v>FR QX9114</v>
      </c>
      <c r="C1037" t="str">
        <f>_xll.BDP("FRQX9114 Mtge","GENERIC_TICKER_VINTAGE")</f>
        <v>FNCL 6 2025</v>
      </c>
      <c r="D1037" t="str">
        <f>_xll.BDP("FRQX9114 Mtge","CRNCY")</f>
        <v>USD</v>
      </c>
      <c r="E1037">
        <v>1265963</v>
      </c>
      <c r="F1037">
        <f>_xll.BDP("FRQX9114 Mtge","CPN")</f>
        <v>6</v>
      </c>
      <c r="G1037">
        <f>_xll.BDP("FRQX9114 Mtge","MTG_FACTOR")</f>
        <v>0.80063631000000002</v>
      </c>
      <c r="H1037">
        <f>_xll.BDP("FRQX9114 Mtge","MTG_WAL")</f>
        <v>3.1393</v>
      </c>
      <c r="I1037" t="str">
        <f>_xll.BDP("FRQX9114 Mtge","MTG_ORIG_WAL")</f>
        <v>#N/A N/A</v>
      </c>
    </row>
    <row r="1038" spans="1:9" x14ac:dyDescent="0.25">
      <c r="A1038" t="str">
        <f>_xll.BDP("FRQX9117 Mtge","ID_CUSIP")</f>
        <v>31426GDX0</v>
      </c>
      <c r="B1038" t="str">
        <f>_xll.BDP("FRQX9117 Mtge","SECURITY_NAME")</f>
        <v>FR QX9117</v>
      </c>
      <c r="C1038" t="str">
        <f>_xll.BDP("FRQX9117 Mtge","GENERIC_TICKER_VINTAGE")</f>
        <v>FNCL 6 2025</v>
      </c>
      <c r="D1038" t="str">
        <f>_xll.BDP("FRQX9117 Mtge","CRNCY")</f>
        <v>USD</v>
      </c>
      <c r="E1038">
        <v>1143060</v>
      </c>
      <c r="F1038">
        <f>_xll.BDP("FRQX9117 Mtge","CPN")</f>
        <v>6</v>
      </c>
      <c r="G1038">
        <f>_xll.BDP("FRQX9117 Mtge","MTG_FACTOR")</f>
        <v>0.65104072000000002</v>
      </c>
      <c r="H1038">
        <f>_xll.BDP("FRQX9117 Mtge","MTG_WAL")</f>
        <v>3.1636000000000002</v>
      </c>
      <c r="I1038" t="str">
        <f>_xll.BDP("FRQX9117 Mtge","MTG_ORIG_WAL")</f>
        <v>#N/A N/A</v>
      </c>
    </row>
    <row r="1039" spans="1:9" x14ac:dyDescent="0.25">
      <c r="A1039" t="str">
        <f>_xll.BDP("FRQX9146 Mtge","ID_CUSIP")</f>
        <v>31426GEU5</v>
      </c>
      <c r="B1039" t="str">
        <f>_xll.BDP("FRQX9146 Mtge","SECURITY_NAME")</f>
        <v>FR QX9146</v>
      </c>
      <c r="C1039" t="str">
        <f>_xll.BDP("FRQX9146 Mtge","GENERIC_TICKER_VINTAGE")</f>
        <v>FNCL 6 2025</v>
      </c>
      <c r="D1039" t="str">
        <f>_xll.BDP("FRQX9146 Mtge","CRNCY")</f>
        <v>USD</v>
      </c>
      <c r="E1039">
        <v>1339125</v>
      </c>
      <c r="F1039">
        <f>_xll.BDP("FRQX9146 Mtge","CPN")</f>
        <v>6</v>
      </c>
      <c r="G1039">
        <f>_xll.BDP("FRQX9146 Mtge","MTG_FACTOR")</f>
        <v>0.78584858000000002</v>
      </c>
      <c r="H1039">
        <f>_xll.BDP("FRQX9146 Mtge","MTG_WAL")</f>
        <v>3.2471000000000001</v>
      </c>
      <c r="I1039" t="str">
        <f>_xll.BDP("FRQX9146 Mtge","MTG_ORIG_WAL")</f>
        <v>#N/A N/A</v>
      </c>
    </row>
    <row r="1040" spans="1:9" x14ac:dyDescent="0.25">
      <c r="A1040" t="str">
        <f>_xll.BDP("FRQX9355 Mtge","ID_CUSIP")</f>
        <v>31426GMD4</v>
      </c>
      <c r="B1040" t="str">
        <f>_xll.BDP("FRQX9355 Mtge","SECURITY_NAME")</f>
        <v>FR QX9355</v>
      </c>
      <c r="C1040" t="str">
        <f>_xll.BDP("FRQX9355 Mtge","GENERIC_TICKER_VINTAGE")</f>
        <v>FNCL 6 2025</v>
      </c>
      <c r="D1040" t="str">
        <f>_xll.BDP("FRQX9355 Mtge","CRNCY")</f>
        <v>USD</v>
      </c>
      <c r="E1040">
        <v>1928463</v>
      </c>
      <c r="F1040">
        <f>_xll.BDP("FRQX9355 Mtge","CPN")</f>
        <v>6</v>
      </c>
      <c r="G1040">
        <f>_xll.BDP("FRQX9355 Mtge","MTG_FACTOR")</f>
        <v>0.90743529999999994</v>
      </c>
      <c r="H1040">
        <f>_xll.BDP("FRQX9355 Mtge","MTG_WAL")</f>
        <v>3.2016</v>
      </c>
      <c r="I1040" t="str">
        <f>_xll.BDP("FRQX9355 Mtge","MTG_ORIG_WAL")</f>
        <v>#N/A N/A</v>
      </c>
    </row>
    <row r="1041" spans="1:9" x14ac:dyDescent="0.25">
      <c r="A1041" t="str">
        <f>_xll.BDP("FRQX9364 Mtge","ID_CUSIP")</f>
        <v>31426GMN2</v>
      </c>
      <c r="B1041" t="str">
        <f>_xll.BDP("FRQX9364 Mtge","SECURITY_NAME")</f>
        <v>FR QX9364</v>
      </c>
      <c r="C1041" t="str">
        <f>_xll.BDP("FRQX9364 Mtge","GENERIC_TICKER_VINTAGE")</f>
        <v>FNCL 6 2025</v>
      </c>
      <c r="D1041" t="str">
        <f>_xll.BDP("FRQX9364 Mtge","CRNCY")</f>
        <v>USD</v>
      </c>
      <c r="E1041">
        <v>19821072</v>
      </c>
      <c r="F1041">
        <f>_xll.BDP("FRQX9364 Mtge","CPN")</f>
        <v>6</v>
      </c>
      <c r="G1041">
        <f>_xll.BDP("FRQX9364 Mtge","MTG_FACTOR")</f>
        <v>0.76273652000000003</v>
      </c>
      <c r="H1041">
        <f>_xll.BDP("FRQX9364 Mtge","MTG_WAL")</f>
        <v>3.1577000000000002</v>
      </c>
      <c r="I1041" t="str">
        <f>_xll.BDP("FRQX9364 Mtge","MTG_ORIG_WAL")</f>
        <v>#N/A N/A</v>
      </c>
    </row>
    <row r="1042" spans="1:9" x14ac:dyDescent="0.25">
      <c r="A1042" t="str">
        <f>_xll.BDP("FRQX9434 Mtge","ID_CUSIP")</f>
        <v>31426GPU3</v>
      </c>
      <c r="B1042" t="str">
        <f>_xll.BDP("FRQX9434 Mtge","SECURITY_NAME")</f>
        <v>FR QX9434</v>
      </c>
      <c r="C1042" t="str">
        <f>_xll.BDP("FRQX9434 Mtge","GENERIC_TICKER_VINTAGE")</f>
        <v>FNCL 6 2025</v>
      </c>
      <c r="D1042" t="str">
        <f>_xll.BDP("FRQX9434 Mtge","CRNCY")</f>
        <v>USD</v>
      </c>
      <c r="E1042">
        <v>1169035</v>
      </c>
      <c r="F1042">
        <f>_xll.BDP("FRQX9434 Mtge","CPN")</f>
        <v>6</v>
      </c>
      <c r="G1042">
        <f>_xll.BDP("FRQX9434 Mtge","MTG_FACTOR")</f>
        <v>0.84732238999999998</v>
      </c>
      <c r="H1042">
        <f>_xll.BDP("FRQX9434 Mtge","MTG_WAL")</f>
        <v>3.2039</v>
      </c>
      <c r="I1042" t="str">
        <f>_xll.BDP("FRQX9434 Mtge","MTG_ORIG_WAL")</f>
        <v>#N/A N/A</v>
      </c>
    </row>
    <row r="1043" spans="1:9" x14ac:dyDescent="0.25">
      <c r="A1043" t="str">
        <f>_xll.BDP("FRQX9471 Mtge","ID_CUSIP")</f>
        <v>31426GQZ1</v>
      </c>
      <c r="B1043" t="str">
        <f>_xll.BDP("FRQX9471 Mtge","SECURITY_NAME")</f>
        <v>FR QX9471</v>
      </c>
      <c r="C1043" t="str">
        <f>_xll.BDP("FRQX9471 Mtge","GENERIC_TICKER_VINTAGE")</f>
        <v>FNCL 6 2025</v>
      </c>
      <c r="D1043" t="str">
        <f>_xll.BDP("FRQX9471 Mtge","CRNCY")</f>
        <v>USD</v>
      </c>
      <c r="E1043">
        <v>3250691</v>
      </c>
      <c r="F1043">
        <f>_xll.BDP("FRQX9471 Mtge","CPN")</f>
        <v>6</v>
      </c>
      <c r="G1043">
        <f>_xll.BDP("FRQX9471 Mtge","MTG_FACTOR")</f>
        <v>0.88707385999999999</v>
      </c>
      <c r="H1043">
        <f>_xll.BDP("FRQX9471 Mtge","MTG_WAL")</f>
        <v>3.2021999999999999</v>
      </c>
      <c r="I1043" t="str">
        <f>_xll.BDP("FRQX9471 Mtge","MTG_ORIG_WAL")</f>
        <v>#N/A N/A</v>
      </c>
    </row>
    <row r="1044" spans="1:9" x14ac:dyDescent="0.25">
      <c r="A1044" t="str">
        <f>_xll.BDP("FRQX9478 Mtge","ID_CUSIP")</f>
        <v>31426GQ81</v>
      </c>
      <c r="B1044" t="str">
        <f>_xll.BDP("FRQX9478 Mtge","SECURITY_NAME")</f>
        <v>FR QX9478</v>
      </c>
      <c r="C1044" t="str">
        <f>_xll.BDP("FRQX9478 Mtge","GENERIC_TICKER_VINTAGE")</f>
        <v>FNCL 6 2025</v>
      </c>
      <c r="D1044" t="str">
        <f>_xll.BDP("FRQX9478 Mtge","CRNCY")</f>
        <v>USD</v>
      </c>
      <c r="E1044">
        <v>3769200</v>
      </c>
      <c r="F1044">
        <f>_xll.BDP("FRQX9478 Mtge","CPN")</f>
        <v>6</v>
      </c>
      <c r="G1044">
        <f>_xll.BDP("FRQX9478 Mtge","MTG_FACTOR")</f>
        <v>0.91063539000000004</v>
      </c>
      <c r="H1044">
        <f>_xll.BDP("FRQX9478 Mtge","MTG_WAL")</f>
        <v>3.1962000000000002</v>
      </c>
      <c r="I1044" t="str">
        <f>_xll.BDP("FRQX9478 Mtge","MTG_ORIG_WAL")</f>
        <v>#N/A N/A</v>
      </c>
    </row>
    <row r="1045" spans="1:9" x14ac:dyDescent="0.25">
      <c r="A1045" t="str">
        <f>_xll.BDP("FRQX9585 Mtge","ID_CUSIP")</f>
        <v>31426GUK9</v>
      </c>
      <c r="B1045" t="str">
        <f>_xll.BDP("FRQX9585 Mtge","SECURITY_NAME")</f>
        <v>FR QX9585</v>
      </c>
      <c r="C1045" t="str">
        <f>_xll.BDP("FRQX9585 Mtge","GENERIC_TICKER_VINTAGE")</f>
        <v>FNCL 6 2025</v>
      </c>
      <c r="D1045" t="str">
        <f>_xll.BDP("FRQX9585 Mtge","CRNCY")</f>
        <v>USD</v>
      </c>
      <c r="E1045">
        <v>20446288</v>
      </c>
      <c r="F1045">
        <f>_xll.BDP("FRQX9585 Mtge","CPN")</f>
        <v>6</v>
      </c>
      <c r="G1045">
        <f>_xll.BDP("FRQX9585 Mtge","MTG_FACTOR")</f>
        <v>0.83562108000000002</v>
      </c>
      <c r="H1045">
        <f>_xll.BDP("FRQX9585 Mtge","MTG_WAL")</f>
        <v>3.1943000000000001</v>
      </c>
      <c r="I1045" t="str">
        <f>_xll.BDP("FRQX9585 Mtge","MTG_ORIG_WAL")</f>
        <v>#N/A N/A</v>
      </c>
    </row>
    <row r="1046" spans="1:9" x14ac:dyDescent="0.25">
      <c r="A1046" t="str">
        <f>_xll.BDP("FRQX9632 Mtge","ID_CUSIP")</f>
        <v>31426GV28</v>
      </c>
      <c r="B1046" t="str">
        <f>_xll.BDP("FRQX9632 Mtge","SECURITY_NAME")</f>
        <v>FR QX9632</v>
      </c>
      <c r="C1046" t="str">
        <f>_xll.BDP("FRQX9632 Mtge","GENERIC_TICKER_VINTAGE")</f>
        <v>FNCL 6 2025</v>
      </c>
      <c r="D1046" t="str">
        <f>_xll.BDP("FRQX9632 Mtge","CRNCY")</f>
        <v>USD</v>
      </c>
      <c r="E1046">
        <v>2352550</v>
      </c>
      <c r="F1046">
        <f>_xll.BDP("FRQX9632 Mtge","CPN")</f>
        <v>6</v>
      </c>
      <c r="G1046">
        <f>_xll.BDP("FRQX9632 Mtge","MTG_FACTOR")</f>
        <v>0.92626649999999999</v>
      </c>
      <c r="H1046">
        <f>_xll.BDP("FRQX9632 Mtge","MTG_WAL")</f>
        <v>3.2484999999999999</v>
      </c>
      <c r="I1046" t="str">
        <f>_xll.BDP("FRQX9632 Mtge","MTG_ORIG_WAL")</f>
        <v>#N/A N/A</v>
      </c>
    </row>
    <row r="1047" spans="1:9" x14ac:dyDescent="0.25">
      <c r="A1047" t="str">
        <f>_xll.BDP("FRQY0057 Mtge","ID_CUSIP")</f>
        <v>31426JB32</v>
      </c>
      <c r="B1047" t="str">
        <f>_xll.BDP("FRQY0057 Mtge","SECURITY_NAME")</f>
        <v>FR QY0057</v>
      </c>
      <c r="C1047" t="str">
        <f>_xll.BDP("FRQY0057 Mtge","GENERIC_TICKER_VINTAGE")</f>
        <v>FNCL 6 2025</v>
      </c>
      <c r="D1047" t="str">
        <f>_xll.BDP("FRQY0057 Mtge","CRNCY")</f>
        <v>USD</v>
      </c>
      <c r="E1047">
        <v>15160987</v>
      </c>
      <c r="F1047">
        <f>_xll.BDP("FRQY0057 Mtge","CPN")</f>
        <v>6</v>
      </c>
      <c r="G1047">
        <f>_xll.BDP("FRQY0057 Mtge","MTG_FACTOR")</f>
        <v>0.90005517000000002</v>
      </c>
      <c r="H1047">
        <f>_xll.BDP("FRQY0057 Mtge","MTG_WAL")</f>
        <v>3.2002000000000002</v>
      </c>
      <c r="I1047" t="str">
        <f>_xll.BDP("FRQY0057 Mtge","MTG_ORIG_WAL")</f>
        <v>#N/A N/A</v>
      </c>
    </row>
    <row r="1048" spans="1:9" x14ac:dyDescent="0.25">
      <c r="A1048" t="str">
        <f>_xll.BDP("FRQY0241 Mtge","ID_CUSIP")</f>
        <v>31426JHT9</v>
      </c>
      <c r="B1048" t="str">
        <f>_xll.BDP("FRQY0241 Mtge","SECURITY_NAME")</f>
        <v>FR QY0241</v>
      </c>
      <c r="C1048" t="str">
        <f>_xll.BDP("FRQY0241 Mtge","GENERIC_TICKER_VINTAGE")</f>
        <v>FNCL 6 2025</v>
      </c>
      <c r="D1048" t="str">
        <f>_xll.BDP("FRQY0241 Mtge","CRNCY")</f>
        <v>USD</v>
      </c>
      <c r="E1048">
        <v>10697489</v>
      </c>
      <c r="F1048">
        <f>_xll.BDP("FRQY0241 Mtge","CPN")</f>
        <v>6</v>
      </c>
      <c r="G1048">
        <f>_xll.BDP("FRQY0241 Mtge","MTG_FACTOR")</f>
        <v>0.66271970999999996</v>
      </c>
      <c r="H1048">
        <f>_xll.BDP("FRQY0241 Mtge","MTG_WAL")</f>
        <v>3.2494000000000001</v>
      </c>
      <c r="I1048" t="str">
        <f>_xll.BDP("FRQY0241 Mtge","MTG_ORIG_WAL")</f>
        <v>#N/A N/A</v>
      </c>
    </row>
    <row r="1049" spans="1:9" x14ac:dyDescent="0.25">
      <c r="A1049" t="str">
        <f>_xll.BDP("FRQY0651 Mtge","ID_CUSIP")</f>
        <v>31426JWM7</v>
      </c>
      <c r="B1049" t="str">
        <f>_xll.BDP("FRQY0651 Mtge","SECURITY_NAME")</f>
        <v>FR QY0651</v>
      </c>
      <c r="C1049" t="str">
        <f>_xll.BDP("FRQY0651 Mtge","GENERIC_TICKER_VINTAGE")</f>
        <v>FNCL 6 2025</v>
      </c>
      <c r="D1049" t="str">
        <f>_xll.BDP("FRQY0651 Mtge","CRNCY")</f>
        <v>USD</v>
      </c>
      <c r="E1049">
        <v>1004809</v>
      </c>
      <c r="F1049">
        <f>_xll.BDP("FRQY0651 Mtge","CPN")</f>
        <v>6</v>
      </c>
      <c r="G1049">
        <f>_xll.BDP("FRQY0651 Mtge","MTG_FACTOR")</f>
        <v>0.98986032000000002</v>
      </c>
      <c r="H1049">
        <f>_xll.BDP("FRQY0651 Mtge","MTG_WAL")</f>
        <v>3.2025000000000001</v>
      </c>
      <c r="I1049" t="str">
        <f>_xll.BDP("FRQY0651 Mtge","MTG_ORIG_WAL")</f>
        <v>#N/A N/A</v>
      </c>
    </row>
    <row r="1050" spans="1:9" x14ac:dyDescent="0.25">
      <c r="A1050" t="str">
        <f>_xll.BDP("FRQY0695 Mtge","ID_CUSIP")</f>
        <v>31426JXZ7</v>
      </c>
      <c r="B1050" t="str">
        <f>_xll.BDP("FRQY0695 Mtge","SECURITY_NAME")</f>
        <v>FR QY0695</v>
      </c>
      <c r="C1050" t="str">
        <f>_xll.BDP("FRQY0695 Mtge","GENERIC_TICKER_VINTAGE")</f>
        <v>FNCL 6 2025</v>
      </c>
      <c r="D1050" t="str">
        <f>_xll.BDP("FRQY0695 Mtge","CRNCY")</f>
        <v>USD</v>
      </c>
      <c r="E1050">
        <v>1040375</v>
      </c>
      <c r="F1050">
        <f>_xll.BDP("FRQY0695 Mtge","CPN")</f>
        <v>6</v>
      </c>
      <c r="G1050">
        <f>_xll.BDP("FRQY0695 Mtge","MTG_FACTOR")</f>
        <v>0.97497562999999998</v>
      </c>
      <c r="H1050">
        <f>_xll.BDP("FRQY0695 Mtge","MTG_WAL")</f>
        <v>3.1749999999999998</v>
      </c>
      <c r="I1050" t="str">
        <f>_xll.BDP("FRQY0695 Mtge","MTG_ORIG_WAL")</f>
        <v>#N/A N/A</v>
      </c>
    </row>
    <row r="1051" spans="1:9" x14ac:dyDescent="0.25">
      <c r="A1051" t="str">
        <f>_xll.BDP("FRQY0926 Mtge","ID_CUSIP")</f>
        <v>31426KA48</v>
      </c>
      <c r="B1051" t="str">
        <f>_xll.BDP("FRQY0926 Mtge","SECURITY_NAME")</f>
        <v>FR QY0926</v>
      </c>
      <c r="C1051" t="str">
        <f>_xll.BDP("FRQY0926 Mtge","GENERIC_TICKER_VINTAGE")</f>
        <v>FNCL 6 2025</v>
      </c>
      <c r="D1051" t="str">
        <f>_xll.BDP("FRQY0926 Mtge","CRNCY")</f>
        <v>USD</v>
      </c>
      <c r="E1051">
        <v>24134532</v>
      </c>
      <c r="F1051">
        <f>_xll.BDP("FRQY0926 Mtge","CPN")</f>
        <v>6</v>
      </c>
      <c r="G1051">
        <f>_xll.BDP("FRQY0926 Mtge","MTG_FACTOR")</f>
        <v>0.94202750000000002</v>
      </c>
      <c r="H1051">
        <f>_xll.BDP("FRQY0926 Mtge","MTG_WAL")</f>
        <v>3.1890000000000001</v>
      </c>
      <c r="I1051" t="str">
        <f>_xll.BDP("FRQY0926 Mtge","MTG_ORIG_WAL")</f>
        <v>#N/A N/A</v>
      </c>
    </row>
    <row r="1052" spans="1:9" x14ac:dyDescent="0.25">
      <c r="A1052" t="str">
        <f>_xll.BDP("FRQY1029 Mtge","ID_CUSIP")</f>
        <v>31426KEB8</v>
      </c>
      <c r="B1052" t="str">
        <f>_xll.BDP("FRQY1029 Mtge","SECURITY_NAME")</f>
        <v>FR QY1029</v>
      </c>
      <c r="C1052" t="str">
        <f>_xll.BDP("FRQY1029 Mtge","GENERIC_TICKER_VINTAGE")</f>
        <v>FNCL 6 2025</v>
      </c>
      <c r="D1052" t="str">
        <f>_xll.BDP("FRQY1029 Mtge","CRNCY")</f>
        <v>USD</v>
      </c>
      <c r="E1052">
        <v>2617296</v>
      </c>
      <c r="F1052">
        <f>_xll.BDP("FRQY1029 Mtge","CPN")</f>
        <v>6</v>
      </c>
      <c r="G1052">
        <f>_xll.BDP("FRQY1029 Mtge","MTG_FACTOR")</f>
        <v>0.80071407000000006</v>
      </c>
      <c r="H1052">
        <f>_xll.BDP("FRQY1029 Mtge","MTG_WAL")</f>
        <v>3.2017000000000002</v>
      </c>
      <c r="I1052" t="str">
        <f>_xll.BDP("FRQY1029 Mtge","MTG_ORIG_WAL")</f>
        <v>#N/A N/A</v>
      </c>
    </row>
    <row r="1053" spans="1:9" x14ac:dyDescent="0.25">
      <c r="A1053" t="str">
        <f>_xll.BDP("FRQY1125 Mtge","ID_CUSIP")</f>
        <v>31426KHB5</v>
      </c>
      <c r="B1053" t="str">
        <f>_xll.BDP("FRQY1125 Mtge","SECURITY_NAME")</f>
        <v>FR QY1125</v>
      </c>
      <c r="C1053" t="str">
        <f>_xll.BDP("FRQY1125 Mtge","GENERIC_TICKER_VINTAGE")</f>
        <v>FNCL 6 2025</v>
      </c>
      <c r="D1053" t="str">
        <f>_xll.BDP("FRQY1125 Mtge","CRNCY")</f>
        <v>USD</v>
      </c>
      <c r="E1053">
        <v>2121486</v>
      </c>
      <c r="F1053">
        <f>_xll.BDP("FRQY1125 Mtge","CPN")</f>
        <v>6</v>
      </c>
      <c r="G1053">
        <f>_xll.BDP("FRQY1125 Mtge","MTG_FACTOR")</f>
        <v>0.98366726999999998</v>
      </c>
      <c r="H1053">
        <f>_xll.BDP("FRQY1125 Mtge","MTG_WAL")</f>
        <v>3.1979000000000002</v>
      </c>
      <c r="I1053" t="str">
        <f>_xll.BDP("FRQY1125 Mtge","MTG_ORIG_WAL")</f>
        <v>#N/A N/A</v>
      </c>
    </row>
    <row r="1054" spans="1:9" x14ac:dyDescent="0.25">
      <c r="A1054" t="str">
        <f>_xll.BDP("FRQY2032 Mtge","ID_CUSIP")</f>
        <v>31426LHJ6</v>
      </c>
      <c r="B1054" t="str">
        <f>_xll.BDP("FRQY2032 Mtge","SECURITY_NAME")</f>
        <v>FR QY2032</v>
      </c>
      <c r="C1054" t="str">
        <f>_xll.BDP("FRQY2032 Mtge","GENERIC_TICKER_VINTAGE")</f>
        <v>FNCL 6 2025</v>
      </c>
      <c r="D1054" t="str">
        <f>_xll.BDP("FRQY2032 Mtge","CRNCY")</f>
        <v>USD</v>
      </c>
      <c r="E1054">
        <v>4414790</v>
      </c>
      <c r="F1054">
        <f>_xll.BDP("FRQY2032 Mtge","CPN")</f>
        <v>6</v>
      </c>
      <c r="G1054">
        <f>_xll.BDP("FRQY2032 Mtge","MTG_FACTOR")</f>
        <v>0.83812396</v>
      </c>
      <c r="H1054">
        <f>_xll.BDP("FRQY2032 Mtge","MTG_WAL")</f>
        <v>3.2446000000000002</v>
      </c>
      <c r="I1054" t="str">
        <f>_xll.BDP("FRQY2032 Mtge","MTG_ORIG_WAL")</f>
        <v>#N/A N/A</v>
      </c>
    </row>
    <row r="1055" spans="1:9" x14ac:dyDescent="0.25">
      <c r="A1055" t="str">
        <f>_xll.BDP("FRQY2539 Mtge","ID_CUSIP")</f>
        <v>31426LZD9</v>
      </c>
      <c r="B1055" t="str">
        <f>_xll.BDP("FRQY2539 Mtge","SECURITY_NAME")</f>
        <v>FR QY2539</v>
      </c>
      <c r="C1055" t="str">
        <f>_xll.BDP("FRQY2539 Mtge","GENERIC_TICKER_VINTAGE")</f>
        <v>FNCL 6 2025</v>
      </c>
      <c r="D1055" t="str">
        <f>_xll.BDP("FRQY2539 Mtge","CRNCY")</f>
        <v>USD</v>
      </c>
      <c r="E1055">
        <v>2529954</v>
      </c>
      <c r="F1055">
        <f>_xll.BDP("FRQY2539 Mtge","CPN")</f>
        <v>6</v>
      </c>
      <c r="G1055">
        <f>_xll.BDP("FRQY2539 Mtge","MTG_FACTOR")</f>
        <v>0.99044021000000004</v>
      </c>
      <c r="H1055">
        <f>_xll.BDP("FRQY2539 Mtge","MTG_WAL")</f>
        <v>3.2483</v>
      </c>
      <c r="I1055" t="str">
        <f>_xll.BDP("FRQY2539 Mtge","MTG_ORIG_WAL")</f>
        <v>#N/A N/A</v>
      </c>
    </row>
    <row r="1056" spans="1:9" x14ac:dyDescent="0.25">
      <c r="A1056" t="str">
        <f>_xll.BDP("FRQY2606 Mtge","ID_CUSIP")</f>
        <v>31426L3Q5</v>
      </c>
      <c r="B1056" t="str">
        <f>_xll.BDP("FRQY2606 Mtge","SECURITY_NAME")</f>
        <v>FR QY2606</v>
      </c>
      <c r="C1056" t="str">
        <f>_xll.BDP("FRQY2606 Mtge","GENERIC_TICKER_VINTAGE")</f>
        <v>FNCL 6 2025</v>
      </c>
      <c r="D1056" t="str">
        <f>_xll.BDP("FRQY2606 Mtge","CRNCY")</f>
        <v>USD</v>
      </c>
      <c r="E1056">
        <v>1112086</v>
      </c>
      <c r="F1056">
        <f>_xll.BDP("FRQY2606 Mtge","CPN")</f>
        <v>6</v>
      </c>
      <c r="G1056">
        <f>_xll.BDP("FRQY2606 Mtge","MTG_FACTOR")</f>
        <v>0.98940775999999997</v>
      </c>
      <c r="H1056">
        <f>_xll.BDP("FRQY2606 Mtge","MTG_WAL")</f>
        <v>3.2448999999999999</v>
      </c>
      <c r="I1056" t="str">
        <f>_xll.BDP("FRQY2606 Mtge","MTG_ORIG_WAL")</f>
        <v>#N/A N/A</v>
      </c>
    </row>
    <row r="1057" spans="1:9" x14ac:dyDescent="0.25">
      <c r="A1057" t="str">
        <f>_xll.BDP("FRQY2613 Mtge","ID_CUSIP")</f>
        <v>31426L3X0</v>
      </c>
      <c r="B1057" t="str">
        <f>_xll.BDP("FRQY2613 Mtge","SECURITY_NAME")</f>
        <v>FR QY2613</v>
      </c>
      <c r="C1057" t="str">
        <f>_xll.BDP("FRQY2613 Mtge","GENERIC_TICKER_VINTAGE")</f>
        <v>FNCL 6 2025</v>
      </c>
      <c r="D1057" t="str">
        <f>_xll.BDP("FRQY2613 Mtge","CRNCY")</f>
        <v>USD</v>
      </c>
      <c r="E1057">
        <v>4890247</v>
      </c>
      <c r="F1057">
        <f>_xll.BDP("FRQY2613 Mtge","CPN")</f>
        <v>6</v>
      </c>
      <c r="G1057">
        <f>_xll.BDP("FRQY2613 Mtge","MTG_FACTOR")</f>
        <v>0.83324253999999998</v>
      </c>
      <c r="H1057">
        <f>_xll.BDP("FRQY2613 Mtge","MTG_WAL")</f>
        <v>3.2456</v>
      </c>
      <c r="I1057" t="str">
        <f>_xll.BDP("FRQY2613 Mtge","MTG_ORIG_WAL")</f>
        <v>#N/A N/A</v>
      </c>
    </row>
    <row r="1058" spans="1:9" x14ac:dyDescent="0.25">
      <c r="A1058" t="str">
        <f>_xll.BDP("FRQY2756 Mtge","ID_CUSIP")</f>
        <v>31426MB27</v>
      </c>
      <c r="B1058" t="str">
        <f>_xll.BDP("FRQY2756 Mtge","SECURITY_NAME")</f>
        <v>FR QY2756</v>
      </c>
      <c r="C1058" t="str">
        <f>_xll.BDP("FRQY2756 Mtge","GENERIC_TICKER_VINTAGE")</f>
        <v>FNCL 6 2025</v>
      </c>
      <c r="D1058" t="str">
        <f>_xll.BDP("FRQY2756 Mtge","CRNCY")</f>
        <v>USD</v>
      </c>
      <c r="E1058">
        <v>1099950</v>
      </c>
      <c r="F1058">
        <f>_xll.BDP("FRQY2756 Mtge","CPN")</f>
        <v>6</v>
      </c>
      <c r="G1058">
        <f>_xll.BDP("FRQY2756 Mtge","MTG_FACTOR")</f>
        <v>0.90665848000000004</v>
      </c>
      <c r="H1058">
        <f>_xll.BDP("FRQY2756 Mtge","MTG_WAL")</f>
        <v>3.2888999999999999</v>
      </c>
      <c r="I1058" t="str">
        <f>_xll.BDP("FRQY2756 Mtge","MTG_ORIG_WAL")</f>
        <v>#N/A N/A</v>
      </c>
    </row>
    <row r="1059" spans="1:9" x14ac:dyDescent="0.25">
      <c r="A1059" t="str">
        <f>_xll.BDP("FRQY3061 Mtge","ID_CUSIP")</f>
        <v>31426MMK5</v>
      </c>
      <c r="B1059" t="str">
        <f>_xll.BDP("FRQY3061 Mtge","SECURITY_NAME")</f>
        <v>FR QY3061</v>
      </c>
      <c r="C1059" t="str">
        <f>_xll.BDP("FRQY3061 Mtge","GENERIC_TICKER_VINTAGE")</f>
        <v>FNCL 6 2025</v>
      </c>
      <c r="D1059" t="str">
        <f>_xll.BDP("FRQY3061 Mtge","CRNCY")</f>
        <v>USD</v>
      </c>
      <c r="E1059">
        <v>20989321</v>
      </c>
      <c r="F1059">
        <f>_xll.BDP("FRQY3061 Mtge","CPN")</f>
        <v>6</v>
      </c>
      <c r="G1059">
        <f>_xll.BDP("FRQY3061 Mtge","MTG_FACTOR")</f>
        <v>0.76668508999999996</v>
      </c>
      <c r="H1059">
        <f>_xll.BDP("FRQY3061 Mtge","MTG_WAL")</f>
        <v>3.2907000000000002</v>
      </c>
      <c r="I1059" t="str">
        <f>_xll.BDP("FRQY3061 Mtge","MTG_ORIG_WAL")</f>
        <v>#N/A N/A</v>
      </c>
    </row>
    <row r="1060" spans="1:9" x14ac:dyDescent="0.25">
      <c r="A1060" t="str">
        <f>_xll.BDP("FRQY3446 Mtge","ID_CUSIP")</f>
        <v>31426MZL9</v>
      </c>
      <c r="B1060" t="str">
        <f>_xll.BDP("FRQY3446 Mtge","SECURITY_NAME")</f>
        <v>FR QY3446</v>
      </c>
      <c r="C1060" t="str">
        <f>_xll.BDP("FRQY3446 Mtge","GENERIC_TICKER_VINTAGE")</f>
        <v>FNCL 6 2025</v>
      </c>
      <c r="D1060" t="str">
        <f>_xll.BDP("FRQY3446 Mtge","CRNCY")</f>
        <v>USD</v>
      </c>
      <c r="E1060">
        <v>6787013</v>
      </c>
      <c r="F1060">
        <f>_xll.BDP("FRQY3446 Mtge","CPN")</f>
        <v>6</v>
      </c>
      <c r="G1060">
        <f>_xll.BDP("FRQY3446 Mtge","MTG_FACTOR")</f>
        <v>0.79759740999999995</v>
      </c>
      <c r="H1060">
        <f>_xll.BDP("FRQY3446 Mtge","MTG_WAL")</f>
        <v>3.2948</v>
      </c>
      <c r="I1060" t="str">
        <f>_xll.BDP("FRQY3446 Mtge","MTG_ORIG_WAL")</f>
        <v>#N/A N/A</v>
      </c>
    </row>
    <row r="1061" spans="1:9" x14ac:dyDescent="0.25">
      <c r="A1061" t="str">
        <f>_xll.BDP("FRQY3496 Mtge","ID_CUSIP")</f>
        <v>31426M3E0</v>
      </c>
      <c r="B1061" t="str">
        <f>_xll.BDP("FRQY3496 Mtge","SECURITY_NAME")</f>
        <v>FR QY3496</v>
      </c>
      <c r="C1061" t="str">
        <f>_xll.BDP("FRQY3496 Mtge","GENERIC_TICKER_VINTAGE")</f>
        <v>FNCL 6 2025</v>
      </c>
      <c r="D1061" t="str">
        <f>_xll.BDP("FRQY3496 Mtge","CRNCY")</f>
        <v>USD</v>
      </c>
      <c r="E1061">
        <v>11343274</v>
      </c>
      <c r="F1061">
        <f>_xll.BDP("FRQY3496 Mtge","CPN")</f>
        <v>6</v>
      </c>
      <c r="G1061">
        <f>_xll.BDP("FRQY3496 Mtge","MTG_FACTOR")</f>
        <v>0.78022996</v>
      </c>
      <c r="H1061">
        <f>_xll.BDP("FRQY3496 Mtge","MTG_WAL")</f>
        <v>3.2797999999999998</v>
      </c>
      <c r="I1061" t="str">
        <f>_xll.BDP("FRQY3496 Mtge","MTG_ORIG_WAL")</f>
        <v>#N/A N/A</v>
      </c>
    </row>
    <row r="1062" spans="1:9" x14ac:dyDescent="0.25">
      <c r="A1062" t="str">
        <f>_xll.BDP("FRQY3646 Mtge","ID_CUSIP")</f>
        <v>31426NBQ2</v>
      </c>
      <c r="B1062" t="str">
        <f>_xll.BDP("FRQY3646 Mtge","SECURITY_NAME")</f>
        <v>FR QY3646</v>
      </c>
      <c r="C1062" t="str">
        <f>_xll.BDP("FRQY3646 Mtge","GENERIC_TICKER_VINTAGE")</f>
        <v>FNCL 6 2025</v>
      </c>
      <c r="D1062" t="str">
        <f>_xll.BDP("FRQY3646 Mtge","CRNCY")</f>
        <v>USD</v>
      </c>
      <c r="E1062">
        <v>3158550</v>
      </c>
      <c r="F1062">
        <f>_xll.BDP("FRQY3646 Mtge","CPN")</f>
        <v>6</v>
      </c>
      <c r="G1062">
        <f>_xll.BDP("FRQY3646 Mtge","MTG_FACTOR")</f>
        <v>0.98977245000000003</v>
      </c>
      <c r="H1062">
        <f>_xll.BDP("FRQY3646 Mtge","MTG_WAL")</f>
        <v>3.2944</v>
      </c>
      <c r="I1062" t="str">
        <f>_xll.BDP("FRQY3646 Mtge","MTG_ORIG_WAL")</f>
        <v>#N/A N/A</v>
      </c>
    </row>
    <row r="1063" spans="1:9" x14ac:dyDescent="0.25">
      <c r="A1063" t="str">
        <f>_xll.BDP("FRQY4473 Mtge","ID_CUSIP")</f>
        <v>31426N6K1</v>
      </c>
      <c r="B1063" t="str">
        <f>_xll.BDP("FRQY4473 Mtge","SECURITY_NAME")</f>
        <v>FR QY4473</v>
      </c>
      <c r="C1063" t="str">
        <f>_xll.BDP("FRQY4473 Mtge","GENERIC_TICKER_VINTAGE")</f>
        <v>FNCL 6 2025</v>
      </c>
      <c r="D1063" t="str">
        <f>_xll.BDP("FRQY4473 Mtge","CRNCY")</f>
        <v>USD</v>
      </c>
      <c r="E1063">
        <v>20192460</v>
      </c>
      <c r="F1063">
        <f>_xll.BDP("FRQY4473 Mtge","CPN")</f>
        <v>6</v>
      </c>
      <c r="G1063">
        <f>_xll.BDP("FRQY4473 Mtge","MTG_FACTOR")</f>
        <v>0.94405178000000001</v>
      </c>
      <c r="H1063">
        <f>_xll.BDP("FRQY4473 Mtge","MTG_WAL")</f>
        <v>3.2886000000000002</v>
      </c>
      <c r="I1063" t="str">
        <f>_xll.BDP("FRQY4473 Mtge","MTG_ORIG_WAL")</f>
        <v>#N/A N/A</v>
      </c>
    </row>
    <row r="1064" spans="1:9" x14ac:dyDescent="0.25">
      <c r="A1064" t="str">
        <f>_xll.BDP("FRQY4480 Mtge","ID_CUSIP")</f>
        <v>31426N6S4</v>
      </c>
      <c r="B1064" t="str">
        <f>_xll.BDP("FRQY4480 Mtge","SECURITY_NAME")</f>
        <v>FR QY4480</v>
      </c>
      <c r="C1064" t="str">
        <f>_xll.BDP("FRQY4480 Mtge","GENERIC_TICKER_VINTAGE")</f>
        <v>FNCL 6 2025</v>
      </c>
      <c r="D1064" t="str">
        <f>_xll.BDP("FRQY4480 Mtge","CRNCY")</f>
        <v>USD</v>
      </c>
      <c r="E1064">
        <v>4320980</v>
      </c>
      <c r="F1064">
        <f>_xll.BDP("FRQY4480 Mtge","CPN")</f>
        <v>6</v>
      </c>
      <c r="G1064">
        <f>_xll.BDP("FRQY4480 Mtge","MTG_FACTOR")</f>
        <v>0.99155694999999999</v>
      </c>
      <c r="H1064">
        <f>_xll.BDP("FRQY4480 Mtge","MTG_WAL")</f>
        <v>3.2976000000000001</v>
      </c>
      <c r="I1064" t="str">
        <f>_xll.BDP("FRQY4480 Mtge","MTG_ORIG_WAL")</f>
        <v>#N/A N/A</v>
      </c>
    </row>
    <row r="1065" spans="1:9" x14ac:dyDescent="0.25">
      <c r="A1065" t="str">
        <f>_xll.BDP("FRQY4696 Mtge","ID_CUSIP")</f>
        <v>31426PGE9</v>
      </c>
      <c r="B1065" t="str">
        <f>_xll.BDP("FRQY4696 Mtge","SECURITY_NAME")</f>
        <v>FR QY4696</v>
      </c>
      <c r="C1065" t="str">
        <f>_xll.BDP("FRQY4696 Mtge","GENERIC_TICKER_VINTAGE")</f>
        <v>FNCL 6 2025</v>
      </c>
      <c r="D1065" t="str">
        <f>_xll.BDP("FRQY4696 Mtge","CRNCY")</f>
        <v>USD</v>
      </c>
      <c r="E1065">
        <v>3005100</v>
      </c>
      <c r="F1065">
        <f>_xll.BDP("FRQY4696 Mtge","CPN")</f>
        <v>6</v>
      </c>
      <c r="G1065">
        <f>_xll.BDP("FRQY4696 Mtge","MTG_FACTOR")</f>
        <v>0.80908347999999997</v>
      </c>
      <c r="H1065">
        <f>_xll.BDP("FRQY4696 Mtge","MTG_WAL")</f>
        <v>3.3397000000000001</v>
      </c>
      <c r="I1065" t="str">
        <f>_xll.BDP("FRQY4696 Mtge","MTG_ORIG_WAL")</f>
        <v>#N/A N/A</v>
      </c>
    </row>
    <row r="1066" spans="1:9" x14ac:dyDescent="0.25">
      <c r="A1066" t="str">
        <f>_xll.BDP("FRQY4745 Mtge","ID_CUSIP")</f>
        <v>31426PHX6</v>
      </c>
      <c r="B1066" t="str">
        <f>_xll.BDP("FRQY4745 Mtge","SECURITY_NAME")</f>
        <v>FR QY4745</v>
      </c>
      <c r="C1066" t="str">
        <f>_xll.BDP("FRQY4745 Mtge","GENERIC_TICKER_VINTAGE")</f>
        <v>FNCL 6 2025</v>
      </c>
      <c r="D1066" t="str">
        <f>_xll.BDP("FRQY4745 Mtge","CRNCY")</f>
        <v>USD</v>
      </c>
      <c r="E1066">
        <v>40118123</v>
      </c>
      <c r="F1066">
        <f>_xll.BDP("FRQY4745 Mtge","CPN")</f>
        <v>6</v>
      </c>
      <c r="G1066">
        <f>_xll.BDP("FRQY4745 Mtge","MTG_FACTOR")</f>
        <v>0.85484417999999995</v>
      </c>
      <c r="H1066">
        <f>_xll.BDP("FRQY4745 Mtge","MTG_WAL")</f>
        <v>3.2955000000000001</v>
      </c>
      <c r="I1066" t="str">
        <f>_xll.BDP("FRQY4745 Mtge","MTG_ORIG_WAL")</f>
        <v>#N/A N/A</v>
      </c>
    </row>
    <row r="1067" spans="1:9" x14ac:dyDescent="0.25">
      <c r="A1067" t="str">
        <f>_xll.BDP("FRQY5028 Mtge","ID_CUSIP")</f>
        <v>31426PSS5</v>
      </c>
      <c r="B1067" t="str">
        <f>_xll.BDP("FRQY5028 Mtge","SECURITY_NAME")</f>
        <v>FR QY5028</v>
      </c>
      <c r="C1067" t="str">
        <f>_xll.BDP("FRQY5028 Mtge","GENERIC_TICKER_VINTAGE")</f>
        <v>FNCL 6 2025</v>
      </c>
      <c r="D1067" t="str">
        <f>_xll.BDP("FRQY5028 Mtge","CRNCY")</f>
        <v>USD</v>
      </c>
      <c r="E1067">
        <v>139113388</v>
      </c>
      <c r="F1067">
        <f>_xll.BDP("FRQY5028 Mtge","CPN")</f>
        <v>6</v>
      </c>
      <c r="G1067">
        <f>_xll.BDP("FRQY5028 Mtge","MTG_FACTOR")</f>
        <v>0.86123722000000003</v>
      </c>
      <c r="H1067">
        <f>_xll.BDP("FRQY5028 Mtge","MTG_WAL")</f>
        <v>3.2896999999999998</v>
      </c>
      <c r="I1067" t="str">
        <f>_xll.BDP("FRQY5028 Mtge","MTG_ORIG_WAL")</f>
        <v>#N/A N/A</v>
      </c>
    </row>
    <row r="1068" spans="1:9" x14ac:dyDescent="0.25">
      <c r="A1068" t="str">
        <f>_xll.BDP("FRQY5108 Mtge","ID_CUSIP")</f>
        <v>31426PVA0</v>
      </c>
      <c r="B1068" t="str">
        <f>_xll.BDP("FRQY5108 Mtge","SECURITY_NAME")</f>
        <v>FR QY5108</v>
      </c>
      <c r="C1068" t="str">
        <f>_xll.BDP("FRQY5108 Mtge","GENERIC_TICKER_VINTAGE")</f>
        <v>FNCL 6 2025</v>
      </c>
      <c r="D1068" t="str">
        <f>_xll.BDP("FRQY5108 Mtge","CRNCY")</f>
        <v>USD</v>
      </c>
      <c r="E1068">
        <v>1473429</v>
      </c>
      <c r="F1068">
        <f>_xll.BDP("FRQY5108 Mtge","CPN")</f>
        <v>6</v>
      </c>
      <c r="G1068">
        <f>_xll.BDP("FRQY5108 Mtge","MTG_FACTOR")</f>
        <v>0.68488530000000003</v>
      </c>
      <c r="H1068">
        <f>_xll.BDP("FRQY5108 Mtge","MTG_WAL")</f>
        <v>3.2410999999999999</v>
      </c>
      <c r="I1068" t="str">
        <f>_xll.BDP("FRQY5108 Mtge","MTG_ORIG_WAL")</f>
        <v>#N/A N/A</v>
      </c>
    </row>
    <row r="1069" spans="1:9" x14ac:dyDescent="0.25">
      <c r="A1069" t="str">
        <f>_xll.BDP("FRQY5122 Mtge","ID_CUSIP")</f>
        <v>31426PVQ5</v>
      </c>
      <c r="B1069" t="str">
        <f>_xll.BDP("FRQY5122 Mtge","SECURITY_NAME")</f>
        <v>FR QY5122</v>
      </c>
      <c r="C1069" t="str">
        <f>_xll.BDP("FRQY5122 Mtge","GENERIC_TICKER_VINTAGE")</f>
        <v>FNCL 6 2025</v>
      </c>
      <c r="D1069" t="str">
        <f>_xll.BDP("FRQY5122 Mtge","CRNCY")</f>
        <v>USD</v>
      </c>
      <c r="E1069">
        <v>1117274</v>
      </c>
      <c r="F1069">
        <f>_xll.BDP("FRQY5122 Mtge","CPN")</f>
        <v>6</v>
      </c>
      <c r="G1069">
        <f>_xll.BDP("FRQY5122 Mtge","MTG_FACTOR")</f>
        <v>0.98950265000000004</v>
      </c>
      <c r="H1069">
        <f>_xll.BDP("FRQY5122 Mtge","MTG_WAL")</f>
        <v>3.2877000000000001</v>
      </c>
      <c r="I1069" t="str">
        <f>_xll.BDP("FRQY5122 Mtge","MTG_ORIG_WAL")</f>
        <v>#N/A N/A</v>
      </c>
    </row>
    <row r="1070" spans="1:9" x14ac:dyDescent="0.25">
      <c r="A1070" t="str">
        <f>_xll.BDP("FRQY5128 Mtge","ID_CUSIP")</f>
        <v>31426PVW2</v>
      </c>
      <c r="B1070" t="str">
        <f>_xll.BDP("FRQY5128 Mtge","SECURITY_NAME")</f>
        <v>FR QY5128</v>
      </c>
      <c r="C1070" t="str">
        <f>_xll.BDP("FRQY5128 Mtge","GENERIC_TICKER_VINTAGE")</f>
        <v>FNCL 6 2025</v>
      </c>
      <c r="D1070" t="str">
        <f>_xll.BDP("FRQY5128 Mtge","CRNCY")</f>
        <v>USD</v>
      </c>
      <c r="E1070">
        <v>1575279</v>
      </c>
      <c r="F1070">
        <f>_xll.BDP("FRQY5128 Mtge","CPN")</f>
        <v>6</v>
      </c>
      <c r="G1070">
        <f>_xll.BDP("FRQY5128 Mtge","MTG_FACTOR")</f>
        <v>0.98622567000000005</v>
      </c>
      <c r="H1070">
        <f>_xll.BDP("FRQY5128 Mtge","MTG_WAL")</f>
        <v>3.2843</v>
      </c>
      <c r="I1070" t="str">
        <f>_xll.BDP("FRQY5128 Mtge","MTG_ORIG_WAL")</f>
        <v>#N/A N/A</v>
      </c>
    </row>
    <row r="1071" spans="1:9" x14ac:dyDescent="0.25">
      <c r="A1071" t="str">
        <f>_xll.BDP("FRQY5195 Mtge","ID_CUSIP")</f>
        <v>31426PXZ3</v>
      </c>
      <c r="B1071" t="str">
        <f>_xll.BDP("FRQY5195 Mtge","SECURITY_NAME")</f>
        <v>FR QY5195</v>
      </c>
      <c r="C1071" t="str">
        <f>_xll.BDP("FRQY5195 Mtge","GENERIC_TICKER_VINTAGE")</f>
        <v>FNCL 6 2025</v>
      </c>
      <c r="D1071" t="str">
        <f>_xll.BDP("FRQY5195 Mtge","CRNCY")</f>
        <v>USD</v>
      </c>
      <c r="E1071">
        <v>1677084</v>
      </c>
      <c r="F1071">
        <f>_xll.BDP("FRQY5195 Mtge","CPN")</f>
        <v>6</v>
      </c>
      <c r="G1071">
        <f>_xll.BDP("FRQY5195 Mtge","MTG_FACTOR")</f>
        <v>0.59121573999999999</v>
      </c>
      <c r="H1071">
        <f>_xll.BDP("FRQY5195 Mtge","MTG_WAL")</f>
        <v>3.3412999999999999</v>
      </c>
      <c r="I1071" t="str">
        <f>_xll.BDP("FRQY5195 Mtge","MTG_ORIG_WAL")</f>
        <v>#N/A N/A</v>
      </c>
    </row>
    <row r="1072" spans="1:9" x14ac:dyDescent="0.25">
      <c r="A1072" t="str">
        <f>_xll.BDP("FRQY5238 Mtge","ID_CUSIP")</f>
        <v>31426PZC2</v>
      </c>
      <c r="B1072" t="str">
        <f>_xll.BDP("FRQY5238 Mtge","SECURITY_NAME")</f>
        <v>FR QY5238</v>
      </c>
      <c r="C1072" t="str">
        <f>_xll.BDP("FRQY5238 Mtge","GENERIC_TICKER_VINTAGE")</f>
        <v>FNCL 6 2025</v>
      </c>
      <c r="D1072" t="str">
        <f>_xll.BDP("FRQY5238 Mtge","CRNCY")</f>
        <v>USD</v>
      </c>
      <c r="E1072">
        <v>2981119</v>
      </c>
      <c r="F1072">
        <f>_xll.BDP("FRQY5238 Mtge","CPN")</f>
        <v>6</v>
      </c>
      <c r="G1072">
        <f>_xll.BDP("FRQY5238 Mtge","MTG_FACTOR")</f>
        <v>0.99094660000000001</v>
      </c>
      <c r="H1072">
        <f>_xll.BDP("FRQY5238 Mtge","MTG_WAL")</f>
        <v>3.2875999999999999</v>
      </c>
      <c r="I1072" t="str">
        <f>_xll.BDP("FRQY5238 Mtge","MTG_ORIG_WAL")</f>
        <v>#N/A N/A</v>
      </c>
    </row>
    <row r="1073" spans="1:9" x14ac:dyDescent="0.25">
      <c r="A1073" t="str">
        <f>_xll.BDP("FRQY5298 Mtge","ID_CUSIP")</f>
        <v>31426P3G8</v>
      </c>
      <c r="B1073" t="str">
        <f>_xll.BDP("FRQY5298 Mtge","SECURITY_NAME")</f>
        <v>FR QY5298</v>
      </c>
      <c r="C1073" t="str">
        <f>_xll.BDP("FRQY5298 Mtge","GENERIC_TICKER_VINTAGE")</f>
        <v>FNCL 6 2025</v>
      </c>
      <c r="D1073" t="str">
        <f>_xll.BDP("FRQY5298 Mtge","CRNCY")</f>
        <v>USD</v>
      </c>
      <c r="E1073">
        <v>18499786</v>
      </c>
      <c r="F1073">
        <f>_xll.BDP("FRQY5298 Mtge","CPN")</f>
        <v>6</v>
      </c>
      <c r="G1073">
        <f>_xll.BDP("FRQY5298 Mtge","MTG_FACTOR")</f>
        <v>0.84096404999999996</v>
      </c>
      <c r="H1073">
        <f>_xll.BDP("FRQY5298 Mtge","MTG_WAL")</f>
        <v>3.3365999999999998</v>
      </c>
      <c r="I1073" t="str">
        <f>_xll.BDP("FRQY5298 Mtge","MTG_ORIG_WAL")</f>
        <v>#N/A N/A</v>
      </c>
    </row>
    <row r="1074" spans="1:9" x14ac:dyDescent="0.25">
      <c r="A1074" t="str">
        <f>_xll.BDP("FRQY5341 Mtge","ID_CUSIP")</f>
        <v>31426P5B7</v>
      </c>
      <c r="B1074" t="str">
        <f>_xll.BDP("FRQY5341 Mtge","SECURITY_NAME")</f>
        <v>FR QY5341</v>
      </c>
      <c r="C1074" t="str">
        <f>_xll.BDP("FRQY5341 Mtge","GENERIC_TICKER_VINTAGE")</f>
        <v>FNCL 6 2025</v>
      </c>
      <c r="D1074" t="str">
        <f>_xll.BDP("FRQY5341 Mtge","CRNCY")</f>
        <v>USD</v>
      </c>
      <c r="E1074">
        <v>3733833</v>
      </c>
      <c r="F1074">
        <f>_xll.BDP("FRQY5341 Mtge","CPN")</f>
        <v>6</v>
      </c>
      <c r="G1074">
        <f>_xll.BDP("FRQY5341 Mtge","MTG_FACTOR")</f>
        <v>0.98725249999999998</v>
      </c>
      <c r="H1074">
        <f>_xll.BDP("FRQY5341 Mtge","MTG_WAL")</f>
        <v>3.2839999999999998</v>
      </c>
      <c r="I1074" t="str">
        <f>_xll.BDP("FRQY5341 Mtge","MTG_ORIG_WAL")</f>
        <v>#N/A N/A</v>
      </c>
    </row>
    <row r="1075" spans="1:9" x14ac:dyDescent="0.25">
      <c r="A1075" t="str">
        <f>_xll.BDP("FRQY5367 Mtge","ID_CUSIP")</f>
        <v>31426P6D2</v>
      </c>
      <c r="B1075" t="str">
        <f>_xll.BDP("FRQY5367 Mtge","SECURITY_NAME")</f>
        <v>FR QY5367</v>
      </c>
      <c r="C1075" t="str">
        <f>_xll.BDP("FRQY5367 Mtge","GENERIC_TICKER_VINTAGE")</f>
        <v>FNCL 6 2025</v>
      </c>
      <c r="D1075" t="str">
        <f>_xll.BDP("FRQY5367 Mtge","CRNCY")</f>
        <v>USD</v>
      </c>
      <c r="E1075">
        <v>20715987</v>
      </c>
      <c r="F1075">
        <f>_xll.BDP("FRQY5367 Mtge","CPN")</f>
        <v>6</v>
      </c>
      <c r="G1075">
        <f>_xll.BDP("FRQY5367 Mtge","MTG_FACTOR")</f>
        <v>0.95980728000000004</v>
      </c>
      <c r="H1075">
        <f>_xll.BDP("FRQY5367 Mtge","MTG_WAL")</f>
        <v>3.3416000000000001</v>
      </c>
      <c r="I1075" t="str">
        <f>_xll.BDP("FRQY5367 Mtge","MTG_ORIG_WAL")</f>
        <v>#N/A N/A</v>
      </c>
    </row>
    <row r="1076" spans="1:9" x14ac:dyDescent="0.25">
      <c r="A1076" t="str">
        <f>_xll.BDP("FRQY5422 Mtge","ID_CUSIP")</f>
        <v>31426QAY9</v>
      </c>
      <c r="B1076" t="str">
        <f>_xll.BDP("FRQY5422 Mtge","SECURITY_NAME")</f>
        <v>FR QY5422</v>
      </c>
      <c r="C1076" t="str">
        <f>_xll.BDP("FRQY5422 Mtge","GENERIC_TICKER_VINTAGE")</f>
        <v>FNCL 6 2025</v>
      </c>
      <c r="D1076" t="str">
        <f>_xll.BDP("FRQY5422 Mtge","CRNCY")</f>
        <v>USD</v>
      </c>
      <c r="E1076">
        <v>14701357</v>
      </c>
      <c r="F1076">
        <f>_xll.BDP("FRQY5422 Mtge","CPN")</f>
        <v>6</v>
      </c>
      <c r="G1076">
        <f>_xll.BDP("FRQY5422 Mtge","MTG_FACTOR")</f>
        <v>0.80489926000000001</v>
      </c>
      <c r="H1076">
        <f>_xll.BDP("FRQY5422 Mtge","MTG_WAL")</f>
        <v>3.2957000000000001</v>
      </c>
      <c r="I1076" t="str">
        <f>_xll.BDP("FRQY5422 Mtge","MTG_ORIG_WAL")</f>
        <v>#N/A N/A</v>
      </c>
    </row>
    <row r="1077" spans="1:9" x14ac:dyDescent="0.25">
      <c r="A1077" t="str">
        <f>_xll.BDP("FRQY5568 Mtge","ID_CUSIP")</f>
        <v>31426QFJ7</v>
      </c>
      <c r="B1077" t="str">
        <f>_xll.BDP("FRQY5568 Mtge","SECURITY_NAME")</f>
        <v>FR QY5568</v>
      </c>
      <c r="C1077" t="str">
        <f>_xll.BDP("FRQY5568 Mtge","GENERIC_TICKER_VINTAGE")</f>
        <v>FNCL 6 2025</v>
      </c>
      <c r="D1077" t="str">
        <f>_xll.BDP("FRQY5568 Mtge","CRNCY")</f>
        <v>USD</v>
      </c>
      <c r="E1077">
        <v>7531522</v>
      </c>
      <c r="F1077">
        <f>_xll.BDP("FRQY5568 Mtge","CPN")</f>
        <v>6</v>
      </c>
      <c r="G1077">
        <f>_xll.BDP("FRQY5568 Mtge","MTG_FACTOR")</f>
        <v>0.98845578000000001</v>
      </c>
      <c r="H1077">
        <f>_xll.BDP("FRQY5568 Mtge","MTG_WAL")</f>
        <v>3.2924000000000002</v>
      </c>
      <c r="I1077" t="str">
        <f>_xll.BDP("FRQY5568 Mtge","MTG_ORIG_WAL")</f>
        <v>#N/A N/A</v>
      </c>
    </row>
    <row r="1078" spans="1:9" x14ac:dyDescent="0.25">
      <c r="A1078" t="str">
        <f>_xll.BDP("FRQY5615 Mtge","ID_CUSIP")</f>
        <v>31426QGZ0</v>
      </c>
      <c r="B1078" t="str">
        <f>_xll.BDP("FRQY5615 Mtge","SECURITY_NAME")</f>
        <v>FR QY5615</v>
      </c>
      <c r="C1078" t="str">
        <f>_xll.BDP("FRQY5615 Mtge","GENERIC_TICKER_VINTAGE")</f>
        <v>FNCL 6 2025</v>
      </c>
      <c r="D1078" t="str">
        <f>_xll.BDP("FRQY5615 Mtge","CRNCY")</f>
        <v>USD</v>
      </c>
      <c r="E1078">
        <v>1550756</v>
      </c>
      <c r="F1078">
        <f>_xll.BDP("FRQY5615 Mtge","CPN")</f>
        <v>6</v>
      </c>
      <c r="G1078">
        <f>_xll.BDP("FRQY5615 Mtge","MTG_FACTOR")</f>
        <v>0.98570356999999997</v>
      </c>
      <c r="H1078">
        <f>_xll.BDP("FRQY5615 Mtge","MTG_WAL")</f>
        <v>3.2869000000000002</v>
      </c>
      <c r="I1078" t="str">
        <f>_xll.BDP("FRQY5615 Mtge","MTG_ORIG_WAL")</f>
        <v>#N/A N/A</v>
      </c>
    </row>
    <row r="1079" spans="1:9" x14ac:dyDescent="0.25">
      <c r="A1079" t="str">
        <f>_xll.BDP("FRQY5633 Mtge","ID_CUSIP")</f>
        <v>31426QHK2</v>
      </c>
      <c r="B1079" t="str">
        <f>_xll.BDP("FRQY5633 Mtge","SECURITY_NAME")</f>
        <v>FR QY5633</v>
      </c>
      <c r="C1079" t="str">
        <f>_xll.BDP("FRQY5633 Mtge","GENERIC_TICKER_VINTAGE")</f>
        <v>FNCL 6 2025</v>
      </c>
      <c r="D1079" t="str">
        <f>_xll.BDP("FRQY5633 Mtge","CRNCY")</f>
        <v>USD</v>
      </c>
      <c r="E1079">
        <v>1153079</v>
      </c>
      <c r="F1079">
        <f>_xll.BDP("FRQY5633 Mtge","CPN")</f>
        <v>6</v>
      </c>
      <c r="G1079">
        <f>_xll.BDP("FRQY5633 Mtge","MTG_FACTOR")</f>
        <v>0.99206503999999995</v>
      </c>
      <c r="H1079">
        <f>_xll.BDP("FRQY5633 Mtge","MTG_WAL")</f>
        <v>3.2934999999999999</v>
      </c>
      <c r="I1079" t="str">
        <f>_xll.BDP("FRQY5633 Mtge","MTG_ORIG_WAL")</f>
        <v>#N/A N/A</v>
      </c>
    </row>
    <row r="1080" spans="1:9" x14ac:dyDescent="0.25">
      <c r="A1080" t="str">
        <f>_xll.BDP("FRQY5678 Mtge","ID_CUSIP")</f>
        <v>31426QJY0</v>
      </c>
      <c r="B1080" t="str">
        <f>_xll.BDP("FRQY5678 Mtge","SECURITY_NAME")</f>
        <v>FR QY5678</v>
      </c>
      <c r="C1080" t="str">
        <f>_xll.BDP("FRQY5678 Mtge","GENERIC_TICKER_VINTAGE")</f>
        <v>FNCL 6 2025</v>
      </c>
      <c r="D1080" t="str">
        <f>_xll.BDP("FRQY5678 Mtge","CRNCY")</f>
        <v>USD</v>
      </c>
      <c r="E1080">
        <v>1118462</v>
      </c>
      <c r="F1080">
        <f>_xll.BDP("FRQY5678 Mtge","CPN")</f>
        <v>6</v>
      </c>
      <c r="G1080">
        <f>_xll.BDP("FRQY5678 Mtge","MTG_FACTOR")</f>
        <v>0.64877845000000001</v>
      </c>
      <c r="H1080">
        <f>_xll.BDP("FRQY5678 Mtge","MTG_WAL")</f>
        <v>3.3386</v>
      </c>
      <c r="I1080" t="str">
        <f>_xll.BDP("FRQY5678 Mtge","MTG_ORIG_WAL")</f>
        <v>#N/A N/A</v>
      </c>
    </row>
    <row r="1081" spans="1:9" x14ac:dyDescent="0.25">
      <c r="A1081" t="str">
        <f>_xll.BDP("FRQY5757 Mtge","ID_CUSIP")</f>
        <v>31426QMF7</v>
      </c>
      <c r="B1081" t="str">
        <f>_xll.BDP("FRQY5757 Mtge","SECURITY_NAME")</f>
        <v>FR QY5757</v>
      </c>
      <c r="C1081" t="str">
        <f>_xll.BDP("FRQY5757 Mtge","GENERIC_TICKER_VINTAGE")</f>
        <v>FNCL 6 2025</v>
      </c>
      <c r="D1081" t="str">
        <f>_xll.BDP("FRQY5757 Mtge","CRNCY")</f>
        <v>USD</v>
      </c>
      <c r="E1081">
        <v>1550600</v>
      </c>
      <c r="F1081">
        <f>_xll.BDP("FRQY5757 Mtge","CPN")</f>
        <v>6</v>
      </c>
      <c r="G1081">
        <f>_xll.BDP("FRQY5757 Mtge","MTG_FACTOR")</f>
        <v>0.79309534000000004</v>
      </c>
      <c r="H1081">
        <f>_xll.BDP("FRQY5757 Mtge","MTG_WAL")</f>
        <v>3.2927</v>
      </c>
      <c r="I1081" t="str">
        <f>_xll.BDP("FRQY5757 Mtge","MTG_ORIG_WAL")</f>
        <v>#N/A N/A</v>
      </c>
    </row>
    <row r="1082" spans="1:9" x14ac:dyDescent="0.25">
      <c r="A1082" t="str">
        <f>_xll.BDP("FRQY5922 Mtge","ID_CUSIP")</f>
        <v>31426QSL8</v>
      </c>
      <c r="B1082" t="str">
        <f>_xll.BDP("FRQY5922 Mtge","SECURITY_NAME")</f>
        <v>FR QY5922</v>
      </c>
      <c r="C1082" t="str">
        <f>_xll.BDP("FRQY5922 Mtge","GENERIC_TICKER_VINTAGE")</f>
        <v>FNCL 6 2025</v>
      </c>
      <c r="D1082" t="str">
        <f>_xll.BDP("FRQY5922 Mtge","CRNCY")</f>
        <v>USD</v>
      </c>
      <c r="E1082">
        <v>25596987</v>
      </c>
      <c r="F1082">
        <f>_xll.BDP("FRQY5922 Mtge","CPN")</f>
        <v>6</v>
      </c>
      <c r="G1082">
        <f>_xll.BDP("FRQY5922 Mtge","MTG_FACTOR")</f>
        <v>0.97616192000000002</v>
      </c>
      <c r="H1082">
        <f>_xll.BDP("FRQY5922 Mtge","MTG_WAL")</f>
        <v>3.3433999999999999</v>
      </c>
      <c r="I1082" t="str">
        <f>_xll.BDP("FRQY5922 Mtge","MTG_ORIG_WAL")</f>
        <v>#N/A N/A</v>
      </c>
    </row>
    <row r="1083" spans="1:9" x14ac:dyDescent="0.25">
      <c r="A1083" t="str">
        <f>_xll.BDP("FRQY5924 Mtge","ID_CUSIP")</f>
        <v>31426QSN4</v>
      </c>
      <c r="B1083" t="str">
        <f>_xll.BDP("FRQY5924 Mtge","SECURITY_NAME")</f>
        <v>FR QY5924</v>
      </c>
      <c r="C1083" t="str">
        <f>_xll.BDP("FRQY5924 Mtge","GENERIC_TICKER_VINTAGE")</f>
        <v>FNCL 6 2025</v>
      </c>
      <c r="D1083" t="str">
        <f>_xll.BDP("FRQY5924 Mtge","CRNCY")</f>
        <v>USD</v>
      </c>
      <c r="E1083">
        <v>1376550</v>
      </c>
      <c r="F1083">
        <f>_xll.BDP("FRQY5924 Mtge","CPN")</f>
        <v>6</v>
      </c>
      <c r="G1083">
        <f>_xll.BDP("FRQY5924 Mtge","MTG_FACTOR")</f>
        <v>0.99234078000000003</v>
      </c>
      <c r="H1083">
        <f>_xll.BDP("FRQY5924 Mtge","MTG_WAL")</f>
        <v>3.3460999999999999</v>
      </c>
      <c r="I1083" t="str">
        <f>_xll.BDP("FRQY5924 Mtge","MTG_ORIG_WAL")</f>
        <v>#N/A N/A</v>
      </c>
    </row>
    <row r="1084" spans="1:9" x14ac:dyDescent="0.25">
      <c r="A1084" t="str">
        <f>_xll.BDP("FRQY5933 Mtge","ID_CUSIP")</f>
        <v>31426QSX2</v>
      </c>
      <c r="B1084" t="str">
        <f>_xll.BDP("FRQY5933 Mtge","SECURITY_NAME")</f>
        <v>FR QY5933</v>
      </c>
      <c r="C1084" t="str">
        <f>_xll.BDP("FRQY5933 Mtge","GENERIC_TICKER_VINTAGE")</f>
        <v>FNCL 6 2025</v>
      </c>
      <c r="D1084" t="str">
        <f>_xll.BDP("FRQY5933 Mtge","CRNCY")</f>
        <v>USD</v>
      </c>
      <c r="E1084">
        <v>1100400</v>
      </c>
      <c r="F1084">
        <f>_xll.BDP("FRQY5933 Mtge","CPN")</f>
        <v>6</v>
      </c>
      <c r="G1084">
        <f>_xll.BDP("FRQY5933 Mtge","MTG_FACTOR")</f>
        <v>0.73913125000000002</v>
      </c>
      <c r="H1084">
        <f>_xll.BDP("FRQY5933 Mtge","MTG_WAL")</f>
        <v>3.3123999999999998</v>
      </c>
      <c r="I1084" t="str">
        <f>_xll.BDP("FRQY5933 Mtge","MTG_ORIG_WAL")</f>
        <v>#N/A N/A</v>
      </c>
    </row>
    <row r="1085" spans="1:9" x14ac:dyDescent="0.25">
      <c r="A1085" t="str">
        <f>_xll.BDP("FRQY5936 Mtge","ID_CUSIP")</f>
        <v>31426QS20</v>
      </c>
      <c r="B1085" t="str">
        <f>_xll.BDP("FRQY5936 Mtge","SECURITY_NAME")</f>
        <v>FR QY5936</v>
      </c>
      <c r="C1085" t="str">
        <f>_xll.BDP("FRQY5936 Mtge","GENERIC_TICKER_VINTAGE")</f>
        <v>FNCL 6 2025</v>
      </c>
      <c r="D1085" t="str">
        <f>_xll.BDP("FRQY5936 Mtge","CRNCY")</f>
        <v>USD</v>
      </c>
      <c r="E1085">
        <v>1563179</v>
      </c>
      <c r="F1085">
        <f>_xll.BDP("FRQY5936 Mtge","CPN")</f>
        <v>6</v>
      </c>
      <c r="G1085">
        <f>_xll.BDP("FRQY5936 Mtge","MTG_FACTOR")</f>
        <v>0.98984793999999998</v>
      </c>
      <c r="H1085">
        <f>_xll.BDP("FRQY5936 Mtge","MTG_WAL")</f>
        <v>3.3386</v>
      </c>
      <c r="I1085" t="str">
        <f>_xll.BDP("FRQY5936 Mtge","MTG_ORIG_WAL")</f>
        <v>#N/A N/A</v>
      </c>
    </row>
    <row r="1086" spans="1:9" x14ac:dyDescent="0.25">
      <c r="A1086" t="str">
        <f>_xll.BDP("FRQY5985 Mtge","ID_CUSIP")</f>
        <v>31426QUK7</v>
      </c>
      <c r="B1086" t="str">
        <f>_xll.BDP("FRQY5985 Mtge","SECURITY_NAME")</f>
        <v>FR QY5985</v>
      </c>
      <c r="C1086" t="str">
        <f>_xll.BDP("FRQY5985 Mtge","GENERIC_TICKER_VINTAGE")</f>
        <v>FNCL 6 2025</v>
      </c>
      <c r="D1086" t="str">
        <f>_xll.BDP("FRQY5985 Mtge","CRNCY")</f>
        <v>USD</v>
      </c>
      <c r="E1086">
        <v>5570337</v>
      </c>
      <c r="F1086">
        <f>_xll.BDP("FRQY5985 Mtge","CPN")</f>
        <v>6</v>
      </c>
      <c r="G1086">
        <f>_xll.BDP("FRQY5985 Mtge","MTG_FACTOR")</f>
        <v>0.94808068000000001</v>
      </c>
      <c r="H1086">
        <f>_xll.BDP("FRQY5985 Mtge","MTG_WAL")</f>
        <v>3.3344</v>
      </c>
      <c r="I1086" t="str">
        <f>_xll.BDP("FRQY5985 Mtge","MTG_ORIG_WAL")</f>
        <v>#N/A N/A</v>
      </c>
    </row>
    <row r="1087" spans="1:9" x14ac:dyDescent="0.25">
      <c r="A1087" t="str">
        <f>_xll.BDP("FRQY6082 Mtge","ID_CUSIP")</f>
        <v>31426QXL2</v>
      </c>
      <c r="B1087" t="str">
        <f>_xll.BDP("FRQY6082 Mtge","SECURITY_NAME")</f>
        <v>FR QY6082</v>
      </c>
      <c r="C1087" t="str">
        <f>_xll.BDP("FRQY6082 Mtge","GENERIC_TICKER_VINTAGE")</f>
        <v>FNCL 6 2025</v>
      </c>
      <c r="D1087" t="str">
        <f>_xll.BDP("FRQY6082 Mtge","CRNCY")</f>
        <v>USD</v>
      </c>
      <c r="E1087">
        <v>1179450</v>
      </c>
      <c r="F1087">
        <f>_xll.BDP("FRQY6082 Mtge","CPN")</f>
        <v>6</v>
      </c>
      <c r="G1087">
        <f>_xll.BDP("FRQY6082 Mtge","MTG_FACTOR")</f>
        <v>0.99013300999999998</v>
      </c>
      <c r="H1087">
        <f>_xll.BDP("FRQY6082 Mtge","MTG_WAL")</f>
        <v>3.3422999999999998</v>
      </c>
      <c r="I1087" t="str">
        <f>_xll.BDP("FRQY6082 Mtge","MTG_ORIG_WAL")</f>
        <v>#N/A N/A</v>
      </c>
    </row>
    <row r="1088" spans="1:9" x14ac:dyDescent="0.25">
      <c r="A1088" t="str">
        <f>_xll.BDP("FRQY6119 Mtge","ID_CUSIP")</f>
        <v>31426QYR8</v>
      </c>
      <c r="B1088" t="str">
        <f>_xll.BDP("FRQY6119 Mtge","SECURITY_NAME")</f>
        <v>FR QY6119</v>
      </c>
      <c r="C1088" t="str">
        <f>_xll.BDP("FRQY6119 Mtge","GENERIC_TICKER_VINTAGE")</f>
        <v>FNCL 6 2025</v>
      </c>
      <c r="D1088" t="str">
        <f>_xll.BDP("FRQY6119 Mtge","CRNCY")</f>
        <v>USD</v>
      </c>
      <c r="E1088">
        <v>1342581</v>
      </c>
      <c r="F1088">
        <f>_xll.BDP("FRQY6119 Mtge","CPN")</f>
        <v>6</v>
      </c>
      <c r="G1088">
        <f>_xll.BDP("FRQY6119 Mtge","MTG_FACTOR")</f>
        <v>0.99134171999999998</v>
      </c>
      <c r="H1088">
        <f>_xll.BDP("FRQY6119 Mtge","MTG_WAL")</f>
        <v>3.3428</v>
      </c>
      <c r="I1088" t="str">
        <f>_xll.BDP("FRQY6119 Mtge","MTG_ORIG_WAL")</f>
        <v>#N/A N/A</v>
      </c>
    </row>
    <row r="1089" spans="1:9" x14ac:dyDescent="0.25">
      <c r="A1089" t="str">
        <f>_xll.BDP("FRQY6120 Mtge","ID_CUSIP")</f>
        <v>31426QYS6</v>
      </c>
      <c r="B1089" t="str">
        <f>_xll.BDP("FRQY6120 Mtge","SECURITY_NAME")</f>
        <v>FR QY6120</v>
      </c>
      <c r="C1089" t="str">
        <f>_xll.BDP("FRQY6120 Mtge","GENERIC_TICKER_VINTAGE")</f>
        <v>FNCL 6 2025</v>
      </c>
      <c r="D1089" t="str">
        <f>_xll.BDP("FRQY6120 Mtge","CRNCY")</f>
        <v>USD</v>
      </c>
      <c r="E1089">
        <v>3022164</v>
      </c>
      <c r="F1089">
        <f>_xll.BDP("FRQY6120 Mtge","CPN")</f>
        <v>6</v>
      </c>
      <c r="G1089">
        <f>_xll.BDP("FRQY6120 Mtge","MTG_FACTOR")</f>
        <v>0.99196103999999996</v>
      </c>
      <c r="H1089">
        <f>_xll.BDP("FRQY6120 Mtge","MTG_WAL")</f>
        <v>3.2917999999999998</v>
      </c>
      <c r="I1089" t="str">
        <f>_xll.BDP("FRQY6120 Mtge","MTG_ORIG_WAL")</f>
        <v>#N/A N/A</v>
      </c>
    </row>
    <row r="1090" spans="1:9" x14ac:dyDescent="0.25">
      <c r="A1090" t="str">
        <f>_xll.BDP("FRQY6134 Mtge","ID_CUSIP")</f>
        <v>31426QY80</v>
      </c>
      <c r="B1090" t="str">
        <f>_xll.BDP("FRQY6134 Mtge","SECURITY_NAME")</f>
        <v>FR QY6134</v>
      </c>
      <c r="C1090" t="str">
        <f>_xll.BDP("FRQY6134 Mtge","GENERIC_TICKER_VINTAGE")</f>
        <v>FNCL 6 2025</v>
      </c>
      <c r="D1090" t="str">
        <f>_xll.BDP("FRQY6134 Mtge","CRNCY")</f>
        <v>USD</v>
      </c>
      <c r="E1090">
        <v>1909854</v>
      </c>
      <c r="F1090">
        <f>_xll.BDP("FRQY6134 Mtge","CPN")</f>
        <v>6</v>
      </c>
      <c r="G1090">
        <f>_xll.BDP("FRQY6134 Mtge","MTG_FACTOR")</f>
        <v>0.99192113999999998</v>
      </c>
      <c r="H1090">
        <f>_xll.BDP("FRQY6134 Mtge","MTG_WAL")</f>
        <v>3.2946</v>
      </c>
      <c r="I1090" t="str">
        <f>_xll.BDP("FRQY6134 Mtge","MTG_ORIG_WAL")</f>
        <v>#N/A N/A</v>
      </c>
    </row>
    <row r="1091" spans="1:9" x14ac:dyDescent="0.25">
      <c r="A1091" t="str">
        <f>_xll.BDP("FRQY6214 Mtge","ID_CUSIP")</f>
        <v>31426Q3Y7</v>
      </c>
      <c r="B1091" t="str">
        <f>_xll.BDP("FRQY6214 Mtge","SECURITY_NAME")</f>
        <v>FR QY6214</v>
      </c>
      <c r="C1091" t="str">
        <f>_xll.BDP("FRQY6214 Mtge","GENERIC_TICKER_VINTAGE")</f>
        <v>FNCL 6 2025</v>
      </c>
      <c r="D1091" t="str">
        <f>_xll.BDP("FRQY6214 Mtge","CRNCY")</f>
        <v>USD</v>
      </c>
      <c r="E1091">
        <v>1260500</v>
      </c>
      <c r="F1091">
        <f>_xll.BDP("FRQY6214 Mtge","CPN")</f>
        <v>6</v>
      </c>
      <c r="G1091">
        <f>_xll.BDP("FRQY6214 Mtge","MTG_FACTOR")</f>
        <v>0.99200776999999996</v>
      </c>
      <c r="H1091">
        <f>_xll.BDP("FRQY6214 Mtge","MTG_WAL")</f>
        <v>3.3437999999999999</v>
      </c>
      <c r="I1091" t="str">
        <f>_xll.BDP("FRQY6214 Mtge","MTG_ORIG_WAL")</f>
        <v>#N/A N/A</v>
      </c>
    </row>
    <row r="1092" spans="1:9" x14ac:dyDescent="0.25">
      <c r="A1092" t="str">
        <f>_xll.BDP("FRQY6216 Mtge","ID_CUSIP")</f>
        <v>31426Q4A8</v>
      </c>
      <c r="B1092" t="str">
        <f>_xll.BDP("FRQY6216 Mtge","SECURITY_NAME")</f>
        <v>FR QY6216</v>
      </c>
      <c r="C1092" t="str">
        <f>_xll.BDP("FRQY6216 Mtge","GENERIC_TICKER_VINTAGE")</f>
        <v>FNCL 6 2025</v>
      </c>
      <c r="D1092" t="str">
        <f>_xll.BDP("FRQY6216 Mtge","CRNCY")</f>
        <v>USD</v>
      </c>
      <c r="E1092">
        <v>3824276</v>
      </c>
      <c r="F1092">
        <f>_xll.BDP("FRQY6216 Mtge","CPN")</f>
        <v>6</v>
      </c>
      <c r="G1092">
        <f>_xll.BDP("FRQY6216 Mtge","MTG_FACTOR")</f>
        <v>0.86794603000000004</v>
      </c>
      <c r="H1092">
        <f>_xll.BDP("FRQY6216 Mtge","MTG_WAL")</f>
        <v>3.3269000000000002</v>
      </c>
      <c r="I1092" t="str">
        <f>_xll.BDP("FRQY6216 Mtge","MTG_ORIG_WAL")</f>
        <v>#N/A N/A</v>
      </c>
    </row>
    <row r="1093" spans="1:9" x14ac:dyDescent="0.25">
      <c r="A1093" t="str">
        <f>_xll.BDP("FRQY6312 Mtge","ID_CUSIP")</f>
        <v>31426RAN1</v>
      </c>
      <c r="B1093" t="str">
        <f>_xll.BDP("FRQY6312 Mtge","SECURITY_NAME")</f>
        <v>FR QY6312</v>
      </c>
      <c r="C1093" t="str">
        <f>_xll.BDP("FRQY6312 Mtge","GENERIC_TICKER_VINTAGE")</f>
        <v>FNCL 6 2025</v>
      </c>
      <c r="D1093" t="str">
        <f>_xll.BDP("FRQY6312 Mtge","CRNCY")</f>
        <v>USD</v>
      </c>
      <c r="E1093">
        <v>1370931</v>
      </c>
      <c r="F1093">
        <f>_xll.BDP("FRQY6312 Mtge","CPN")</f>
        <v>6</v>
      </c>
      <c r="G1093">
        <f>_xll.BDP("FRQY6312 Mtge","MTG_FACTOR")</f>
        <v>0.79079263</v>
      </c>
      <c r="H1093">
        <f>_xll.BDP("FRQY6312 Mtge","MTG_WAL")</f>
        <v>3.3424999999999998</v>
      </c>
      <c r="I1093" t="str">
        <f>_xll.BDP("FRQY6312 Mtge","MTG_ORIG_WAL")</f>
        <v>#N/A N/A</v>
      </c>
    </row>
    <row r="1094" spans="1:9" x14ac:dyDescent="0.25">
      <c r="A1094" t="str">
        <f>_xll.BDP("FRQY6325 Mtge","ID_CUSIP")</f>
        <v>31426RA35</v>
      </c>
      <c r="B1094" t="str">
        <f>_xll.BDP("FRQY6325 Mtge","SECURITY_NAME")</f>
        <v>FR QY6325</v>
      </c>
      <c r="C1094" t="str">
        <f>_xll.BDP("FRQY6325 Mtge","GENERIC_TICKER_VINTAGE")</f>
        <v>FNCL 6 2025</v>
      </c>
      <c r="D1094" t="str">
        <f>_xll.BDP("FRQY6325 Mtge","CRNCY")</f>
        <v>USD</v>
      </c>
      <c r="E1094">
        <v>8287438</v>
      </c>
      <c r="F1094">
        <f>_xll.BDP("FRQY6325 Mtge","CPN")</f>
        <v>6</v>
      </c>
      <c r="G1094">
        <f>_xll.BDP("FRQY6325 Mtge","MTG_FACTOR")</f>
        <v>0.92356097999999998</v>
      </c>
      <c r="H1094">
        <f>_xll.BDP("FRQY6325 Mtge","MTG_WAL")</f>
        <v>3.3426</v>
      </c>
      <c r="I1094" t="str">
        <f>_xll.BDP("FRQY6325 Mtge","MTG_ORIG_WAL")</f>
        <v>#N/A N/A</v>
      </c>
    </row>
    <row r="1095" spans="1:9" x14ac:dyDescent="0.25">
      <c r="A1095" t="str">
        <f>_xll.BDP("FRQY6345 Mtge","ID_CUSIP")</f>
        <v>31426RBP5</v>
      </c>
      <c r="B1095" t="str">
        <f>_xll.BDP("FRQY6345 Mtge","SECURITY_NAME")</f>
        <v>FR QY6345</v>
      </c>
      <c r="C1095" t="str">
        <f>_xll.BDP("FRQY6345 Mtge","GENERIC_TICKER_VINTAGE")</f>
        <v>FNCL 6 2025</v>
      </c>
      <c r="D1095" t="str">
        <f>_xll.BDP("FRQY6345 Mtge","CRNCY")</f>
        <v>USD</v>
      </c>
      <c r="E1095">
        <v>2626568</v>
      </c>
      <c r="F1095">
        <f>_xll.BDP("FRQY6345 Mtge","CPN")</f>
        <v>6</v>
      </c>
      <c r="G1095">
        <f>_xll.BDP("FRQY6345 Mtge","MTG_FACTOR")</f>
        <v>0.97128972000000002</v>
      </c>
      <c r="H1095">
        <f>_xll.BDP("FRQY6345 Mtge","MTG_WAL")</f>
        <v>3.3279999999999998</v>
      </c>
      <c r="I1095" t="str">
        <f>_xll.BDP("FRQY6345 Mtge","MTG_ORIG_WAL")</f>
        <v>#N/A N/A</v>
      </c>
    </row>
    <row r="1096" spans="1:9" x14ac:dyDescent="0.25">
      <c r="A1096" t="str">
        <f>_xll.BDP("FRQY6391 Mtge","ID_CUSIP")</f>
        <v>31426RC58</v>
      </c>
      <c r="B1096" t="str">
        <f>_xll.BDP("FRQY6391 Mtge","SECURITY_NAME")</f>
        <v>FR QY6391</v>
      </c>
      <c r="C1096" t="str">
        <f>_xll.BDP("FRQY6391 Mtge","GENERIC_TICKER_VINTAGE")</f>
        <v>FNCL 6 2025</v>
      </c>
      <c r="D1096" t="str">
        <f>_xll.BDP("FRQY6391 Mtge","CRNCY")</f>
        <v>USD</v>
      </c>
      <c r="E1096">
        <v>1951031</v>
      </c>
      <c r="F1096">
        <f>_xll.BDP("FRQY6391 Mtge","CPN")</f>
        <v>6</v>
      </c>
      <c r="G1096">
        <f>_xll.BDP("FRQY6391 Mtge","MTG_FACTOR")</f>
        <v>0.99178200000000005</v>
      </c>
      <c r="H1096">
        <f>_xll.BDP("FRQY6391 Mtge","MTG_WAL")</f>
        <v>3.3403</v>
      </c>
      <c r="I1096" t="str">
        <f>_xll.BDP("FRQY6391 Mtge","MTG_ORIG_WAL")</f>
        <v>#N/A N/A</v>
      </c>
    </row>
    <row r="1097" spans="1:9" x14ac:dyDescent="0.25">
      <c r="A1097" t="str">
        <f>_xll.BDP("FRQY6478 Mtge","ID_CUSIP")</f>
        <v>31426RFU0</v>
      </c>
      <c r="B1097" t="str">
        <f>_xll.BDP("FRQY6478 Mtge","SECURITY_NAME")</f>
        <v>FR QY6478</v>
      </c>
      <c r="C1097" t="str">
        <f>_xll.BDP("FRQY6478 Mtge","GENERIC_TICKER_VINTAGE")</f>
        <v>FNCL 6 2025</v>
      </c>
      <c r="D1097" t="str">
        <f>_xll.BDP("FRQY6478 Mtge","CRNCY")</f>
        <v>USD</v>
      </c>
      <c r="E1097">
        <v>7636658</v>
      </c>
      <c r="F1097">
        <f>_xll.BDP("FRQY6478 Mtge","CPN")</f>
        <v>6</v>
      </c>
      <c r="G1097">
        <f>_xll.BDP("FRQY6478 Mtge","MTG_FACTOR")</f>
        <v>0.84885144000000001</v>
      </c>
      <c r="H1097">
        <f>_xll.BDP("FRQY6478 Mtge","MTG_WAL")</f>
        <v>3.3450000000000002</v>
      </c>
      <c r="I1097" t="str">
        <f>_xll.BDP("FRQY6478 Mtge","MTG_ORIG_WAL")</f>
        <v>#N/A N/A</v>
      </c>
    </row>
    <row r="1098" spans="1:9" x14ac:dyDescent="0.25">
      <c r="A1098" t="str">
        <f>_xll.BDP("FRQY6492 Mtge","ID_CUSIP")</f>
        <v>31426RGA3</v>
      </c>
      <c r="B1098" t="str">
        <f>_xll.BDP("FRQY6492 Mtge","SECURITY_NAME")</f>
        <v>FR QY6492</v>
      </c>
      <c r="C1098" t="str">
        <f>_xll.BDP("FRQY6492 Mtge","GENERIC_TICKER_VINTAGE")</f>
        <v>FNCL 6 2025</v>
      </c>
      <c r="D1098" t="str">
        <f>_xll.BDP("FRQY6492 Mtge","CRNCY")</f>
        <v>USD</v>
      </c>
      <c r="E1098">
        <v>1615625</v>
      </c>
      <c r="F1098">
        <f>_xll.BDP("FRQY6492 Mtge","CPN")</f>
        <v>6</v>
      </c>
      <c r="G1098">
        <f>_xll.BDP("FRQY6492 Mtge","MTG_FACTOR")</f>
        <v>0.99064050000000003</v>
      </c>
      <c r="H1098">
        <f>_xll.BDP("FRQY6492 Mtge","MTG_WAL")</f>
        <v>3.3420999999999998</v>
      </c>
      <c r="I1098" t="str">
        <f>_xll.BDP("FRQY6492 Mtge","MTG_ORIG_WAL")</f>
        <v>#N/A N/A</v>
      </c>
    </row>
    <row r="1099" spans="1:9" x14ac:dyDescent="0.25">
      <c r="A1099" t="str">
        <f>_xll.BDP("FRQY6507 Mtge","ID_CUSIP")</f>
        <v>31426RGR6</v>
      </c>
      <c r="B1099" t="str">
        <f>_xll.BDP("FRQY6507 Mtge","SECURITY_NAME")</f>
        <v>FR QY6507</v>
      </c>
      <c r="C1099" t="str">
        <f>_xll.BDP("FRQY6507 Mtge","GENERIC_TICKER_VINTAGE")</f>
        <v>FNCL 6 2025</v>
      </c>
      <c r="D1099" t="str">
        <f>_xll.BDP("FRQY6507 Mtge","CRNCY")</f>
        <v>USD</v>
      </c>
      <c r="E1099">
        <v>11348520</v>
      </c>
      <c r="F1099">
        <f>_xll.BDP("FRQY6507 Mtge","CPN")</f>
        <v>6</v>
      </c>
      <c r="G1099">
        <f>_xll.BDP("FRQY6507 Mtge","MTG_FACTOR")</f>
        <v>0.88105763999999998</v>
      </c>
      <c r="H1099">
        <f>_xll.BDP("FRQY6507 Mtge","MTG_WAL")</f>
        <v>3.3454999999999999</v>
      </c>
      <c r="I1099" t="str">
        <f>_xll.BDP("FRQY6507 Mtge","MTG_ORIG_WAL")</f>
        <v>#N/A N/A</v>
      </c>
    </row>
    <row r="1100" spans="1:9" x14ac:dyDescent="0.25">
      <c r="A1100" t="str">
        <f>_xll.BDP("FRQY6554 Mtge","ID_CUSIP")</f>
        <v>31426RH87</v>
      </c>
      <c r="B1100" t="str">
        <f>_xll.BDP("FRQY6554 Mtge","SECURITY_NAME")</f>
        <v>FR QY6554</v>
      </c>
      <c r="C1100" t="str">
        <f>_xll.BDP("FRQY6554 Mtge","GENERIC_TICKER_VINTAGE")</f>
        <v>FNCL 6 2025</v>
      </c>
      <c r="D1100" t="str">
        <f>_xll.BDP("FRQY6554 Mtge","CRNCY")</f>
        <v>USD</v>
      </c>
      <c r="E1100">
        <v>9620065</v>
      </c>
      <c r="F1100">
        <f>_xll.BDP("FRQY6554 Mtge","CPN")</f>
        <v>6</v>
      </c>
      <c r="G1100">
        <f>_xll.BDP("FRQY6554 Mtge","MTG_FACTOR")</f>
        <v>0.92547369000000002</v>
      </c>
      <c r="H1100">
        <f>_xll.BDP("FRQY6554 Mtge","MTG_WAL")</f>
        <v>3.3420999999999998</v>
      </c>
      <c r="I1100" t="str">
        <f>_xll.BDP("FRQY6554 Mtge","MTG_ORIG_WAL")</f>
        <v>#N/A N/A</v>
      </c>
    </row>
    <row r="1101" spans="1:9" x14ac:dyDescent="0.25">
      <c r="A1101" t="str">
        <f>_xll.BDP("FRQY6571 Mtge","ID_CUSIP")</f>
        <v>31426RJR3</v>
      </c>
      <c r="B1101" t="str">
        <f>_xll.BDP("FRQY6571 Mtge","SECURITY_NAME")</f>
        <v>FR QY6571</v>
      </c>
      <c r="C1101" t="str">
        <f>_xll.BDP("FRQY6571 Mtge","GENERIC_TICKER_VINTAGE")</f>
        <v>FNCL 6 2025</v>
      </c>
      <c r="D1101" t="str">
        <f>_xll.BDP("FRQY6571 Mtge","CRNCY")</f>
        <v>USD</v>
      </c>
      <c r="E1101">
        <v>12173087</v>
      </c>
      <c r="F1101">
        <f>_xll.BDP("FRQY6571 Mtge","CPN")</f>
        <v>6</v>
      </c>
      <c r="G1101">
        <f>_xll.BDP("FRQY6571 Mtge","MTG_FACTOR")</f>
        <v>0.98070000999999996</v>
      </c>
      <c r="H1101">
        <f>_xll.BDP("FRQY6571 Mtge","MTG_WAL")</f>
        <v>3.3449</v>
      </c>
      <c r="I1101" t="str">
        <f>_xll.BDP("FRQY6571 Mtge","MTG_ORIG_WAL")</f>
        <v>#N/A N/A</v>
      </c>
    </row>
    <row r="1102" spans="1:9" x14ac:dyDescent="0.25">
      <c r="A1102" t="str">
        <f>_xll.BDP("FRQY6590 Mtge","ID_CUSIP")</f>
        <v>31426RKC4</v>
      </c>
      <c r="B1102" t="str">
        <f>_xll.BDP("FRQY6590 Mtge","SECURITY_NAME")</f>
        <v>FR QY6590</v>
      </c>
      <c r="C1102" t="str">
        <f>_xll.BDP("FRQY6590 Mtge","GENERIC_TICKER_VINTAGE")</f>
        <v>FNCL 6 2025</v>
      </c>
      <c r="D1102" t="str">
        <f>_xll.BDP("FRQY6590 Mtge","CRNCY")</f>
        <v>USD</v>
      </c>
      <c r="E1102">
        <v>31000182</v>
      </c>
      <c r="F1102">
        <f>_xll.BDP("FRQY6590 Mtge","CPN")</f>
        <v>6</v>
      </c>
      <c r="G1102">
        <f>_xll.BDP("FRQY6590 Mtge","MTG_FACTOR")</f>
        <v>0.81084829999999997</v>
      </c>
      <c r="H1102">
        <f>_xll.BDP("FRQY6590 Mtge","MTG_WAL")</f>
        <v>3.3452000000000002</v>
      </c>
      <c r="I1102" t="str">
        <f>_xll.BDP("FRQY6590 Mtge","MTG_ORIG_WAL")</f>
        <v>#N/A N/A</v>
      </c>
    </row>
    <row r="1103" spans="1:9" x14ac:dyDescent="0.25">
      <c r="A1103" t="str">
        <f>_xll.BDP("FRQY6606 Mtge","ID_CUSIP")</f>
        <v>31426RKU4</v>
      </c>
      <c r="B1103" t="str">
        <f>_xll.BDP("FRQY6606 Mtge","SECURITY_NAME")</f>
        <v>FR QY6606</v>
      </c>
      <c r="C1103" t="str">
        <f>_xll.BDP("FRQY6606 Mtge","GENERIC_TICKER_VINTAGE")</f>
        <v>FNCL 6 2025</v>
      </c>
      <c r="D1103" t="str">
        <f>_xll.BDP("FRQY6606 Mtge","CRNCY")</f>
        <v>USD</v>
      </c>
      <c r="E1103">
        <v>1586437</v>
      </c>
      <c r="F1103">
        <f>_xll.BDP("FRQY6606 Mtge","CPN")</f>
        <v>6</v>
      </c>
      <c r="G1103">
        <f>_xll.BDP("FRQY6606 Mtge","MTG_FACTOR")</f>
        <v>0.99230457999999999</v>
      </c>
      <c r="H1103">
        <f>_xll.BDP("FRQY6606 Mtge","MTG_WAL")</f>
        <v>3.2965</v>
      </c>
      <c r="I1103" t="str">
        <f>_xll.BDP("FRQY6606 Mtge","MTG_ORIG_WAL")</f>
        <v>#N/A N/A</v>
      </c>
    </row>
    <row r="1104" spans="1:9" x14ac:dyDescent="0.25">
      <c r="A1104" t="str">
        <f>_xll.BDP("FRQY6608 Mtge","ID_CUSIP")</f>
        <v>31426RKW0</v>
      </c>
      <c r="B1104" t="str">
        <f>_xll.BDP("FRQY6608 Mtge","SECURITY_NAME")</f>
        <v>FR QY6608</v>
      </c>
      <c r="C1104" t="str">
        <f>_xll.BDP("FRQY6608 Mtge","GENERIC_TICKER_VINTAGE")</f>
        <v>FNCL 6 2025</v>
      </c>
      <c r="D1104" t="str">
        <f>_xll.BDP("FRQY6608 Mtge","CRNCY")</f>
        <v>USD</v>
      </c>
      <c r="E1104">
        <v>2721955</v>
      </c>
      <c r="F1104">
        <f>_xll.BDP("FRQY6608 Mtge","CPN")</f>
        <v>6</v>
      </c>
      <c r="G1104">
        <f>_xll.BDP("FRQY6608 Mtge","MTG_FACTOR")</f>
        <v>0.99213114999999996</v>
      </c>
      <c r="H1104">
        <f>_xll.BDP("FRQY6608 Mtge","MTG_WAL")</f>
        <v>3.2951000000000001</v>
      </c>
      <c r="I1104" t="str">
        <f>_xll.BDP("FRQY6608 Mtge","MTG_ORIG_WAL")</f>
        <v>#N/A N/A</v>
      </c>
    </row>
    <row r="1105" spans="1:9" x14ac:dyDescent="0.25">
      <c r="A1105" t="str">
        <f>_xll.BDP("FRQY6611 Mtge","ID_CUSIP")</f>
        <v>31426RKZ3</v>
      </c>
      <c r="B1105" t="str">
        <f>_xll.BDP("FRQY6611 Mtge","SECURITY_NAME")</f>
        <v>FR QY6611</v>
      </c>
      <c r="C1105" t="str">
        <f>_xll.BDP("FRQY6611 Mtge","GENERIC_TICKER_VINTAGE")</f>
        <v>FNCL 6 2025</v>
      </c>
      <c r="D1105" t="str">
        <f>_xll.BDP("FRQY6611 Mtge","CRNCY")</f>
        <v>USD</v>
      </c>
      <c r="E1105">
        <v>9405950</v>
      </c>
      <c r="F1105">
        <f>_xll.BDP("FRQY6611 Mtge","CPN")</f>
        <v>6</v>
      </c>
      <c r="G1105">
        <f>_xll.BDP("FRQY6611 Mtge","MTG_FACTOR")</f>
        <v>0.95104162000000003</v>
      </c>
      <c r="H1105">
        <f>_xll.BDP("FRQY6611 Mtge","MTG_WAL")</f>
        <v>3.3420999999999998</v>
      </c>
      <c r="I1105" t="str">
        <f>_xll.BDP("FRQY6611 Mtge","MTG_ORIG_WAL")</f>
        <v>#N/A N/A</v>
      </c>
    </row>
    <row r="1106" spans="1:9" x14ac:dyDescent="0.25">
      <c r="A1106" t="str">
        <f>_xll.BDP("FRQY6612 Mtge","ID_CUSIP")</f>
        <v>31426RK26</v>
      </c>
      <c r="B1106" t="str">
        <f>_xll.BDP("FRQY6612 Mtge","SECURITY_NAME")</f>
        <v>FR QY6612</v>
      </c>
      <c r="C1106" t="str">
        <f>_xll.BDP("FRQY6612 Mtge","GENERIC_TICKER_VINTAGE")</f>
        <v>FNCL 6 2025</v>
      </c>
      <c r="D1106" t="str">
        <f>_xll.BDP("FRQY6612 Mtge","CRNCY")</f>
        <v>USD</v>
      </c>
      <c r="E1106">
        <v>1831080</v>
      </c>
      <c r="F1106">
        <f>_xll.BDP("FRQY6612 Mtge","CPN")</f>
        <v>6</v>
      </c>
      <c r="G1106">
        <f>_xll.BDP("FRQY6612 Mtge","MTG_FACTOR")</f>
        <v>0.99092486000000002</v>
      </c>
      <c r="H1106">
        <f>_xll.BDP("FRQY6612 Mtge","MTG_WAL")</f>
        <v>3.3441000000000001</v>
      </c>
      <c r="I1106" t="str">
        <f>_xll.BDP("FRQY6612 Mtge","MTG_ORIG_WAL")</f>
        <v>#N/A N/A</v>
      </c>
    </row>
    <row r="1107" spans="1:9" x14ac:dyDescent="0.25">
      <c r="A1107" t="str">
        <f>_xll.BDP("FRQY6647 Mtge","ID_CUSIP")</f>
        <v>31426RL58</v>
      </c>
      <c r="B1107" t="str">
        <f>_xll.BDP("FRQY6647 Mtge","SECURITY_NAME")</f>
        <v>FR QY6647</v>
      </c>
      <c r="C1107" t="str">
        <f>_xll.BDP("FRQY6647 Mtge","GENERIC_TICKER_VINTAGE")</f>
        <v>FNCL 6 2025</v>
      </c>
      <c r="D1107" t="str">
        <f>_xll.BDP("FRQY6647 Mtge","CRNCY")</f>
        <v>USD</v>
      </c>
      <c r="E1107">
        <v>3108150</v>
      </c>
      <c r="F1107">
        <f>_xll.BDP("FRQY6647 Mtge","CPN")</f>
        <v>6</v>
      </c>
      <c r="G1107">
        <f>_xll.BDP("FRQY6647 Mtge","MTG_FACTOR")</f>
        <v>0.93862701999999998</v>
      </c>
      <c r="H1107">
        <f>_xll.BDP("FRQY6647 Mtge","MTG_WAL")</f>
        <v>3.3391000000000002</v>
      </c>
      <c r="I1107" t="str">
        <f>_xll.BDP("FRQY6647 Mtge","MTG_ORIG_WAL")</f>
        <v>#N/A N/A</v>
      </c>
    </row>
    <row r="1108" spans="1:9" x14ac:dyDescent="0.25">
      <c r="A1108" t="str">
        <f>_xll.BDP("FRQY6653 Mtge","ID_CUSIP")</f>
        <v>31426RMB4</v>
      </c>
      <c r="B1108" t="str">
        <f>_xll.BDP("FRQY6653 Mtge","SECURITY_NAME")</f>
        <v>FR QY6653</v>
      </c>
      <c r="C1108" t="str">
        <f>_xll.BDP("FRQY6653 Mtge","GENERIC_TICKER_VINTAGE")</f>
        <v>FNCL 6 2025</v>
      </c>
      <c r="D1108" t="str">
        <f>_xll.BDP("FRQY6653 Mtge","CRNCY")</f>
        <v>USD</v>
      </c>
      <c r="E1108">
        <v>20064332</v>
      </c>
      <c r="F1108">
        <f>_xll.BDP("FRQY6653 Mtge","CPN")</f>
        <v>6</v>
      </c>
      <c r="G1108">
        <f>_xll.BDP("FRQY6653 Mtge","MTG_FACTOR")</f>
        <v>0.91607455000000004</v>
      </c>
      <c r="H1108">
        <f>_xll.BDP("FRQY6653 Mtge","MTG_WAL")</f>
        <v>3.3382999999999998</v>
      </c>
      <c r="I1108" t="str">
        <f>_xll.BDP("FRQY6653 Mtge","MTG_ORIG_WAL")</f>
        <v>#N/A N/A</v>
      </c>
    </row>
    <row r="1109" spans="1:9" x14ac:dyDescent="0.25">
      <c r="A1109" t="str">
        <f>_xll.BDP("FRQY6659 Mtge","ID_CUSIP")</f>
        <v>31426RMH1</v>
      </c>
      <c r="B1109" t="str">
        <f>_xll.BDP("FRQY6659 Mtge","SECURITY_NAME")</f>
        <v>FR QY6659</v>
      </c>
      <c r="C1109" t="str">
        <f>_xll.BDP("FRQY6659 Mtge","GENERIC_TICKER_VINTAGE")</f>
        <v>FNCL 6 2025</v>
      </c>
      <c r="D1109" t="str">
        <f>_xll.BDP("FRQY6659 Mtge","CRNCY")</f>
        <v>USD</v>
      </c>
      <c r="E1109">
        <v>1273921</v>
      </c>
      <c r="F1109">
        <f>_xll.BDP("FRQY6659 Mtge","CPN")</f>
        <v>6</v>
      </c>
      <c r="G1109">
        <f>_xll.BDP("FRQY6659 Mtge","MTG_FACTOR")</f>
        <v>0.99210452999999998</v>
      </c>
      <c r="H1109">
        <f>_xll.BDP("FRQY6659 Mtge","MTG_WAL")</f>
        <v>3.2947000000000002</v>
      </c>
      <c r="I1109" t="str">
        <f>_xll.BDP("FRQY6659 Mtge","MTG_ORIG_WAL")</f>
        <v>#N/A N/A</v>
      </c>
    </row>
    <row r="1110" spans="1:9" x14ac:dyDescent="0.25">
      <c r="A1110" t="str">
        <f>_xll.BDP("FRQY6688 Mtge","ID_CUSIP")</f>
        <v>31426RNE7</v>
      </c>
      <c r="B1110" t="str">
        <f>_xll.BDP("FRQY6688 Mtge","SECURITY_NAME")</f>
        <v>FR QY6688</v>
      </c>
      <c r="C1110" t="str">
        <f>_xll.BDP("FRQY6688 Mtge","GENERIC_TICKER_VINTAGE")</f>
        <v>FNCL 6 2025</v>
      </c>
      <c r="D1110" t="str">
        <f>_xll.BDP("FRQY6688 Mtge","CRNCY")</f>
        <v>USD</v>
      </c>
      <c r="E1110">
        <v>1292305</v>
      </c>
      <c r="F1110">
        <f>_xll.BDP("FRQY6688 Mtge","CPN")</f>
        <v>6</v>
      </c>
      <c r="G1110">
        <f>_xll.BDP("FRQY6688 Mtge","MTG_FACTOR")</f>
        <v>0.98919396999999998</v>
      </c>
      <c r="H1110">
        <f>_xll.BDP("FRQY6688 Mtge","MTG_WAL")</f>
        <v>3.3437999999999999</v>
      </c>
      <c r="I1110" t="str">
        <f>_xll.BDP("FRQY6688 Mtge","MTG_ORIG_WAL")</f>
        <v>#N/A N/A</v>
      </c>
    </row>
    <row r="1111" spans="1:9" x14ac:dyDescent="0.25">
      <c r="A1111" t="str">
        <f>_xll.BDP("FRQY6695 Mtge","ID_CUSIP")</f>
        <v>31426RNM9</v>
      </c>
      <c r="B1111" t="str">
        <f>_xll.BDP("FRQY6695 Mtge","SECURITY_NAME")</f>
        <v>FR QY6695</v>
      </c>
      <c r="C1111" t="str">
        <f>_xll.BDP("FRQY6695 Mtge","GENERIC_TICKER_VINTAGE")</f>
        <v>FNCL 6 2025</v>
      </c>
      <c r="D1111" t="str">
        <f>_xll.BDP("FRQY6695 Mtge","CRNCY")</f>
        <v>USD</v>
      </c>
      <c r="E1111">
        <v>1204200</v>
      </c>
      <c r="F1111">
        <f>_xll.BDP("FRQY6695 Mtge","CPN")</f>
        <v>6</v>
      </c>
      <c r="G1111">
        <f>_xll.BDP("FRQY6695 Mtge","MTG_FACTOR")</f>
        <v>0.99148798999999999</v>
      </c>
      <c r="H1111">
        <f>_xll.BDP("FRQY6695 Mtge","MTG_WAL")</f>
        <v>3.3475999999999999</v>
      </c>
      <c r="I1111" t="str">
        <f>_xll.BDP("FRQY6695 Mtge","MTG_ORIG_WAL")</f>
        <v>#N/A N/A</v>
      </c>
    </row>
    <row r="1112" spans="1:9" x14ac:dyDescent="0.25">
      <c r="A1112" t="str">
        <f>_xll.BDP("FRQY6696 Mtge","ID_CUSIP")</f>
        <v>31426RNN7</v>
      </c>
      <c r="B1112" t="str">
        <f>_xll.BDP("FRQY6696 Mtge","SECURITY_NAME")</f>
        <v>FR QY6696</v>
      </c>
      <c r="C1112" t="str">
        <f>_xll.BDP("FRQY6696 Mtge","GENERIC_TICKER_VINTAGE")</f>
        <v>FNCL 6 2025</v>
      </c>
      <c r="D1112" t="str">
        <f>_xll.BDP("FRQY6696 Mtge","CRNCY")</f>
        <v>USD</v>
      </c>
      <c r="E1112">
        <v>1252924</v>
      </c>
      <c r="F1112">
        <f>_xll.BDP("FRQY6696 Mtge","CPN")</f>
        <v>6</v>
      </c>
      <c r="G1112">
        <f>_xll.BDP("FRQY6696 Mtge","MTG_FACTOR")</f>
        <v>0.98041962999999999</v>
      </c>
      <c r="H1112">
        <f>_xll.BDP("FRQY6696 Mtge","MTG_WAL")</f>
        <v>3.3275000000000001</v>
      </c>
      <c r="I1112" t="str">
        <f>_xll.BDP("FRQY6696 Mtge","MTG_ORIG_WAL")</f>
        <v>#N/A N/A</v>
      </c>
    </row>
    <row r="1113" spans="1:9" x14ac:dyDescent="0.25">
      <c r="A1113" t="str">
        <f>_xll.BDP("FRQY6728 Mtge","ID_CUSIP")</f>
        <v>31426RPN5</v>
      </c>
      <c r="B1113" t="str">
        <f>_xll.BDP("FRQY6728 Mtge","SECURITY_NAME")</f>
        <v>FR QY6728</v>
      </c>
      <c r="C1113" t="str">
        <f>_xll.BDP("FRQY6728 Mtge","GENERIC_TICKER_VINTAGE")</f>
        <v>FNCL 6 2025</v>
      </c>
      <c r="D1113" t="str">
        <f>_xll.BDP("FRQY6728 Mtge","CRNCY")</f>
        <v>USD</v>
      </c>
      <c r="E1113">
        <v>1040822</v>
      </c>
      <c r="F1113">
        <f>_xll.BDP("FRQY6728 Mtge","CPN")</f>
        <v>6</v>
      </c>
      <c r="G1113">
        <f>_xll.BDP("FRQY6728 Mtge","MTG_FACTOR")</f>
        <v>0.84666169000000002</v>
      </c>
      <c r="H1113">
        <f>_xll.BDP("FRQY6728 Mtge","MTG_WAL")</f>
        <v>3.3422000000000001</v>
      </c>
      <c r="I1113" t="str">
        <f>_xll.BDP("FRQY6728 Mtge","MTG_ORIG_WAL")</f>
        <v>#N/A N/A</v>
      </c>
    </row>
    <row r="1114" spans="1:9" x14ac:dyDescent="0.25">
      <c r="A1114" t="str">
        <f>_xll.BDP("FRQY6741 Mtge","ID_CUSIP")</f>
        <v>31426RP39</v>
      </c>
      <c r="B1114" t="str">
        <f>_xll.BDP("FRQY6741 Mtge","SECURITY_NAME")</f>
        <v>FR QY6741</v>
      </c>
      <c r="C1114" t="str">
        <f>_xll.BDP("FRQY6741 Mtge","GENERIC_TICKER_VINTAGE")</f>
        <v>FNCL 6 2025</v>
      </c>
      <c r="D1114" t="str">
        <f>_xll.BDP("FRQY6741 Mtge","CRNCY")</f>
        <v>USD</v>
      </c>
      <c r="E1114">
        <v>2954080</v>
      </c>
      <c r="F1114">
        <f>_xll.BDP("FRQY6741 Mtge","CPN")</f>
        <v>6</v>
      </c>
      <c r="G1114">
        <f>_xll.BDP("FRQY6741 Mtge","MTG_FACTOR")</f>
        <v>0.86759713999999999</v>
      </c>
      <c r="H1114">
        <f>_xll.BDP("FRQY6741 Mtge","MTG_WAL")</f>
        <v>3.3451</v>
      </c>
      <c r="I1114" t="str">
        <f>_xll.BDP("FRQY6741 Mtge","MTG_ORIG_WAL")</f>
        <v>#N/A N/A</v>
      </c>
    </row>
    <row r="1115" spans="1:9" x14ac:dyDescent="0.25">
      <c r="A1115" t="str">
        <f>_xll.BDP("FRQY6758 Mtge","ID_CUSIP")</f>
        <v>31426RQL8</v>
      </c>
      <c r="B1115" t="str">
        <f>_xll.BDP("FRQY6758 Mtge","SECURITY_NAME")</f>
        <v>FR QY6758</v>
      </c>
      <c r="C1115" t="str">
        <f>_xll.BDP("FRQY6758 Mtge","GENERIC_TICKER_VINTAGE")</f>
        <v>FNCL 6 2025</v>
      </c>
      <c r="D1115" t="str">
        <f>_xll.BDP("FRQY6758 Mtge","CRNCY")</f>
        <v>USD</v>
      </c>
      <c r="E1115">
        <v>3900685</v>
      </c>
      <c r="F1115">
        <f>_xll.BDP("FRQY6758 Mtge","CPN")</f>
        <v>6</v>
      </c>
      <c r="G1115">
        <f>_xll.BDP("FRQY6758 Mtge","MTG_FACTOR")</f>
        <v>0.67696091000000003</v>
      </c>
      <c r="H1115">
        <f>_xll.BDP("FRQY6758 Mtge","MTG_WAL")</f>
        <v>3.3102999999999998</v>
      </c>
      <c r="I1115" t="str">
        <f>_xll.BDP("FRQY6758 Mtge","MTG_ORIG_WAL")</f>
        <v>#N/A N/A</v>
      </c>
    </row>
    <row r="1116" spans="1:9" x14ac:dyDescent="0.25">
      <c r="A1116" t="str">
        <f>_xll.BDP("FRQY6766 Mtge","ID_CUSIP")</f>
        <v>31426RQU8</v>
      </c>
      <c r="B1116" t="str">
        <f>_xll.BDP("FRQY6766 Mtge","SECURITY_NAME")</f>
        <v>FR QY6766</v>
      </c>
      <c r="C1116" t="str">
        <f>_xll.BDP("FRQY6766 Mtge","GENERIC_TICKER_VINTAGE")</f>
        <v>FNCL 6 2025</v>
      </c>
      <c r="D1116" t="str">
        <f>_xll.BDP("FRQY6766 Mtge","CRNCY")</f>
        <v>USD</v>
      </c>
      <c r="E1116">
        <v>7323314</v>
      </c>
      <c r="F1116">
        <f>_xll.BDP("FRQY6766 Mtge","CPN")</f>
        <v>6</v>
      </c>
      <c r="G1116">
        <f>_xll.BDP("FRQY6766 Mtge","MTG_FACTOR")</f>
        <v>0.97322861999999999</v>
      </c>
      <c r="H1116">
        <f>_xll.BDP("FRQY6766 Mtge","MTG_WAL")</f>
        <v>3.3466</v>
      </c>
      <c r="I1116" t="str">
        <f>_xll.BDP("FRQY6766 Mtge","MTG_ORIG_WAL")</f>
        <v>#N/A N/A</v>
      </c>
    </row>
    <row r="1117" spans="1:9" x14ac:dyDescent="0.25">
      <c r="A1117" t="str">
        <f>_xll.BDP("FRQY6790 Mtge","ID_CUSIP")</f>
        <v>31426RRL7</v>
      </c>
      <c r="B1117" t="str">
        <f>_xll.BDP("FRQY6790 Mtge","SECURITY_NAME")</f>
        <v>FR QY6790</v>
      </c>
      <c r="C1117" t="str">
        <f>_xll.BDP("FRQY6790 Mtge","GENERIC_TICKER_VINTAGE")</f>
        <v>FNCL 6 2025</v>
      </c>
      <c r="D1117" t="str">
        <f>_xll.BDP("FRQY6790 Mtge","CRNCY")</f>
        <v>USD</v>
      </c>
      <c r="E1117">
        <v>15949368</v>
      </c>
      <c r="F1117">
        <f>_xll.BDP("FRQY6790 Mtge","CPN")</f>
        <v>6</v>
      </c>
      <c r="G1117">
        <f>_xll.BDP("FRQY6790 Mtge","MTG_FACTOR")</f>
        <v>0.97985741999999998</v>
      </c>
      <c r="H1117">
        <f>_xll.BDP("FRQY6790 Mtge","MTG_WAL")</f>
        <v>3.3416999999999999</v>
      </c>
      <c r="I1117" t="str">
        <f>_xll.BDP("FRQY6790 Mtge","MTG_ORIG_WAL")</f>
        <v>#N/A N/A</v>
      </c>
    </row>
    <row r="1118" spans="1:9" x14ac:dyDescent="0.25">
      <c r="A1118" t="str">
        <f>_xll.BDP("FRQY6900 Mtge","ID_CUSIP")</f>
        <v>31426RU25</v>
      </c>
      <c r="B1118" t="str">
        <f>_xll.BDP("FRQY6900 Mtge","SECURITY_NAME")</f>
        <v>FR QY6900</v>
      </c>
      <c r="C1118" t="str">
        <f>_xll.BDP("FRQY6900 Mtge","GENERIC_TICKER_VINTAGE")</f>
        <v>FNCL 6 2025</v>
      </c>
      <c r="D1118" t="str">
        <f>_xll.BDP("FRQY6900 Mtge","CRNCY")</f>
        <v>USD</v>
      </c>
      <c r="E1118">
        <v>3060588</v>
      </c>
      <c r="F1118">
        <f>_xll.BDP("FRQY6900 Mtge","CPN")</f>
        <v>6</v>
      </c>
      <c r="G1118">
        <f>_xll.BDP("FRQY6900 Mtge","MTG_FACTOR")</f>
        <v>0.82177681999999996</v>
      </c>
      <c r="H1118">
        <f>_xll.BDP("FRQY6900 Mtge","MTG_WAL")</f>
        <v>3.2835000000000001</v>
      </c>
      <c r="I1118" t="str">
        <f>_xll.BDP("FRQY6900 Mtge","MTG_ORIG_WAL")</f>
        <v>#N/A N/A</v>
      </c>
    </row>
    <row r="1119" spans="1:9" x14ac:dyDescent="0.25">
      <c r="A1119" t="str">
        <f>_xll.BDP("FRQY6948 Mtge","ID_CUSIP")</f>
        <v>31426RWJ6</v>
      </c>
      <c r="B1119" t="str">
        <f>_xll.BDP("FRQY6948 Mtge","SECURITY_NAME")</f>
        <v>FR QY6948</v>
      </c>
      <c r="C1119" t="str">
        <f>_xll.BDP("FRQY6948 Mtge","GENERIC_TICKER_VINTAGE")</f>
        <v>FNCL 6 2025</v>
      </c>
      <c r="D1119" t="str">
        <f>_xll.BDP("FRQY6948 Mtge","CRNCY")</f>
        <v>USD</v>
      </c>
      <c r="E1119">
        <v>10935538</v>
      </c>
      <c r="F1119">
        <f>_xll.BDP("FRQY6948 Mtge","CPN")</f>
        <v>6</v>
      </c>
      <c r="G1119">
        <f>_xll.BDP("FRQY6948 Mtge","MTG_FACTOR")</f>
        <v>0.96308145000000001</v>
      </c>
      <c r="H1119">
        <f>_xll.BDP("FRQY6948 Mtge","MTG_WAL")</f>
        <v>3.3386</v>
      </c>
      <c r="I1119" t="str">
        <f>_xll.BDP("FRQY6948 Mtge","MTG_ORIG_WAL")</f>
        <v>#N/A N/A</v>
      </c>
    </row>
    <row r="1120" spans="1:9" x14ac:dyDescent="0.25">
      <c r="A1120" t="str">
        <f>_xll.BDP("FRQY6957 Mtge","ID_CUSIP")</f>
        <v>31426RWT4</v>
      </c>
      <c r="B1120" t="str">
        <f>_xll.BDP("FRQY6957 Mtge","SECURITY_NAME")</f>
        <v>FR QY6957</v>
      </c>
      <c r="C1120" t="str">
        <f>_xll.BDP("FRQY6957 Mtge","GENERIC_TICKER_VINTAGE")</f>
        <v>FNCL 6 2025</v>
      </c>
      <c r="D1120" t="str">
        <f>_xll.BDP("FRQY6957 Mtge","CRNCY")</f>
        <v>USD</v>
      </c>
      <c r="E1120">
        <v>5377943</v>
      </c>
      <c r="F1120">
        <f>_xll.BDP("FRQY6957 Mtge","CPN")</f>
        <v>6</v>
      </c>
      <c r="G1120">
        <f>_xll.BDP("FRQY6957 Mtge","MTG_FACTOR")</f>
        <v>0.82776293000000001</v>
      </c>
      <c r="H1120">
        <f>_xll.BDP("FRQY6957 Mtge","MTG_WAL")</f>
        <v>3.3227000000000002</v>
      </c>
      <c r="I1120" t="str">
        <f>_xll.BDP("FRQY6957 Mtge","MTG_ORIG_WAL")</f>
        <v>#N/A N/A</v>
      </c>
    </row>
    <row r="1121" spans="1:9" x14ac:dyDescent="0.25">
      <c r="A1121" t="str">
        <f>_xll.BDP("FRQY6969 Mtge","ID_CUSIP")</f>
        <v>31426RW72</v>
      </c>
      <c r="B1121" t="str">
        <f>_xll.BDP("FRQY6969 Mtge","SECURITY_NAME")</f>
        <v>FR QY6969</v>
      </c>
      <c r="C1121" t="str">
        <f>_xll.BDP("FRQY6969 Mtge","GENERIC_TICKER_VINTAGE")</f>
        <v>FNCL 6 2025</v>
      </c>
      <c r="D1121" t="str">
        <f>_xll.BDP("FRQY6969 Mtge","CRNCY")</f>
        <v>USD</v>
      </c>
      <c r="E1121">
        <v>1266685</v>
      </c>
      <c r="F1121">
        <f>_xll.BDP("FRQY6969 Mtge","CPN")</f>
        <v>6</v>
      </c>
      <c r="G1121">
        <f>_xll.BDP("FRQY6969 Mtge","MTG_FACTOR")</f>
        <v>0.99089680999999996</v>
      </c>
      <c r="H1121">
        <f>_xll.BDP("FRQY6969 Mtge","MTG_WAL")</f>
        <v>3.2944</v>
      </c>
      <c r="I1121" t="str">
        <f>_xll.BDP("FRQY6969 Mtge","MTG_ORIG_WAL")</f>
        <v>#N/A N/A</v>
      </c>
    </row>
    <row r="1122" spans="1:9" x14ac:dyDescent="0.25">
      <c r="A1122" t="str">
        <f>_xll.BDP("FRQY6971 Mtge","ID_CUSIP")</f>
        <v>31426RW98</v>
      </c>
      <c r="B1122" t="str">
        <f>_xll.BDP("FRQY6971 Mtge","SECURITY_NAME")</f>
        <v>FR QY6971</v>
      </c>
      <c r="C1122" t="str">
        <f>_xll.BDP("FRQY6971 Mtge","GENERIC_TICKER_VINTAGE")</f>
        <v>FNCL 6 2025</v>
      </c>
      <c r="D1122" t="str">
        <f>_xll.BDP("FRQY6971 Mtge","CRNCY")</f>
        <v>USD</v>
      </c>
      <c r="E1122">
        <v>1846083</v>
      </c>
      <c r="F1122">
        <f>_xll.BDP("FRQY6971 Mtge","CPN")</f>
        <v>6</v>
      </c>
      <c r="G1122">
        <f>_xll.BDP("FRQY6971 Mtge","MTG_FACTOR")</f>
        <v>0.99241042000000002</v>
      </c>
      <c r="H1122">
        <f>_xll.BDP("FRQY6971 Mtge","MTG_WAL")</f>
        <v>3.3441000000000001</v>
      </c>
      <c r="I1122" t="str">
        <f>_xll.BDP("FRQY6971 Mtge","MTG_ORIG_WAL")</f>
        <v>#N/A N/A</v>
      </c>
    </row>
    <row r="1123" spans="1:9" x14ac:dyDescent="0.25">
      <c r="A1123" t="str">
        <f>_xll.BDP("FRQY6975 Mtge","ID_CUSIP")</f>
        <v>31426RXD8</v>
      </c>
      <c r="B1123" t="str">
        <f>_xll.BDP("FRQY6975 Mtge","SECURITY_NAME")</f>
        <v>FR QY6975</v>
      </c>
      <c r="C1123" t="str">
        <f>_xll.BDP("FRQY6975 Mtge","GENERIC_TICKER_VINTAGE")</f>
        <v>FNCL 6 2025</v>
      </c>
      <c r="D1123" t="str">
        <f>_xll.BDP("FRQY6975 Mtge","CRNCY")</f>
        <v>USD</v>
      </c>
      <c r="E1123">
        <v>2501296</v>
      </c>
      <c r="F1123">
        <f>_xll.BDP("FRQY6975 Mtge","CPN")</f>
        <v>6</v>
      </c>
      <c r="G1123">
        <f>_xll.BDP("FRQY6975 Mtge","MTG_FACTOR")</f>
        <v>0.98459262000000003</v>
      </c>
      <c r="H1123">
        <f>_xll.BDP("FRQY6975 Mtge","MTG_WAL")</f>
        <v>3.3380999999999998</v>
      </c>
      <c r="I1123" t="str">
        <f>_xll.BDP("FRQY6975 Mtge","MTG_ORIG_WAL")</f>
        <v>#N/A N/A</v>
      </c>
    </row>
    <row r="1124" spans="1:9" x14ac:dyDescent="0.25">
      <c r="A1124" t="str">
        <f>_xll.BDP("FRQY7041 Mtge","ID_CUSIP")</f>
        <v>31426RZF1</v>
      </c>
      <c r="B1124" t="str">
        <f>_xll.BDP("FRQY7041 Mtge","SECURITY_NAME")</f>
        <v>FR QY7041</v>
      </c>
      <c r="C1124" t="str">
        <f>_xll.BDP("FRQY7041 Mtge","GENERIC_TICKER_VINTAGE")</f>
        <v>FNCL 6 2025</v>
      </c>
      <c r="D1124" t="str">
        <f>_xll.BDP("FRQY7041 Mtge","CRNCY")</f>
        <v>USD</v>
      </c>
      <c r="E1124">
        <v>1264800</v>
      </c>
      <c r="F1124">
        <f>_xll.BDP("FRQY7041 Mtge","CPN")</f>
        <v>6</v>
      </c>
      <c r="G1124">
        <f>_xll.BDP("FRQY7041 Mtge","MTG_FACTOR")</f>
        <v>0.98987586000000005</v>
      </c>
      <c r="H1124">
        <f>_xll.BDP("FRQY7041 Mtge","MTG_WAL")</f>
        <v>3.3418999999999999</v>
      </c>
      <c r="I1124" t="str">
        <f>_xll.BDP("FRQY7041 Mtge","MTG_ORIG_WAL")</f>
        <v>#N/A N/A</v>
      </c>
    </row>
    <row r="1125" spans="1:9" x14ac:dyDescent="0.25">
      <c r="A1125" t="str">
        <f>_xll.BDP("FRQY7060 Mtge","ID_CUSIP")</f>
        <v>31426RZ20</v>
      </c>
      <c r="B1125" t="str">
        <f>_xll.BDP("FRQY7060 Mtge","SECURITY_NAME")</f>
        <v>FR QY7060</v>
      </c>
      <c r="C1125" t="str">
        <f>_xll.BDP("FRQY7060 Mtge","GENERIC_TICKER_VINTAGE")</f>
        <v>FNCL 6 2025</v>
      </c>
      <c r="D1125" t="str">
        <f>_xll.BDP("FRQY7060 Mtge","CRNCY")</f>
        <v>USD</v>
      </c>
      <c r="E1125">
        <v>1032533</v>
      </c>
      <c r="F1125">
        <f>_xll.BDP("FRQY7060 Mtge","CPN")</f>
        <v>6</v>
      </c>
      <c r="G1125">
        <f>_xll.BDP("FRQY7060 Mtge","MTG_FACTOR")</f>
        <v>0.99216331999999996</v>
      </c>
      <c r="H1125">
        <f>_xll.BDP("FRQY7060 Mtge","MTG_WAL")</f>
        <v>3.3466</v>
      </c>
      <c r="I1125" t="str">
        <f>_xll.BDP("FRQY7060 Mtge","MTG_ORIG_WAL")</f>
        <v>#N/A N/A</v>
      </c>
    </row>
    <row r="1126" spans="1:9" x14ac:dyDescent="0.25">
      <c r="A1126" t="str">
        <f>_xll.BDP("FRQY7116 Mtge","ID_CUSIP")</f>
        <v>31426R4A6</v>
      </c>
      <c r="B1126" t="str">
        <f>_xll.BDP("FRQY7116 Mtge","SECURITY_NAME")</f>
        <v>FR QY7116</v>
      </c>
      <c r="C1126" t="str">
        <f>_xll.BDP("FRQY7116 Mtge","GENERIC_TICKER_VINTAGE")</f>
        <v>FNCL 6 2025</v>
      </c>
      <c r="D1126" t="str">
        <f>_xll.BDP("FRQY7116 Mtge","CRNCY")</f>
        <v>USD</v>
      </c>
      <c r="E1126">
        <v>2089095</v>
      </c>
      <c r="F1126">
        <f>_xll.BDP("FRQY7116 Mtge","CPN")</f>
        <v>6</v>
      </c>
      <c r="G1126">
        <f>_xll.BDP("FRQY7116 Mtge","MTG_FACTOR")</f>
        <v>0.98986598999999997</v>
      </c>
      <c r="H1126">
        <f>_xll.BDP("FRQY7116 Mtge","MTG_WAL")</f>
        <v>3.3955000000000002</v>
      </c>
      <c r="I1126" t="str">
        <f>_xll.BDP("FRQY7116 Mtge","MTG_ORIG_WAL")</f>
        <v>#N/A N/A</v>
      </c>
    </row>
    <row r="1127" spans="1:9" x14ac:dyDescent="0.25">
      <c r="A1127" t="str">
        <f>_xll.BDP("FRRA4912 Mtge","ID_CUSIP")</f>
        <v>3133KLN52</v>
      </c>
      <c r="B1127" t="str">
        <f>_xll.BDP("FRRA4912 Mtge","SECURITY_NAME")</f>
        <v>FR RA4912</v>
      </c>
      <c r="C1127" t="str">
        <f>_xll.BDP("FRRA4912 Mtge","GENERIC_TICKER_VINTAGE")</f>
        <v>FNCL 3 2021</v>
      </c>
      <c r="D1127" t="str">
        <f>_xll.BDP("FRRA4912 Mtge","CRNCY")</f>
        <v>USD</v>
      </c>
      <c r="E1127">
        <v>200000585</v>
      </c>
      <c r="F1127">
        <f>_xll.BDP("FRRA4912 Mtge","CPN")</f>
        <v>3</v>
      </c>
      <c r="G1127">
        <f>_xll.BDP("FRRA4912 Mtge","MTG_FACTOR")</f>
        <v>0.68825046000000001</v>
      </c>
      <c r="H1127">
        <f>_xll.BDP("FRRA4912 Mtge","MTG_WAL")</f>
        <v>8.3204999999999991</v>
      </c>
      <c r="I1127" t="str">
        <f>_xll.BDP("FRRA4912 Mtge","MTG_ORIG_WAL")</f>
        <v>#N/A N/A</v>
      </c>
    </row>
    <row r="1128" spans="1:9" x14ac:dyDescent="0.25">
      <c r="A1128" t="str">
        <f>_xll.BDP("FRRA5422 Mtge","ID_CUSIP")</f>
        <v>3133KMAX3</v>
      </c>
      <c r="B1128" t="str">
        <f>_xll.BDP("FRRA5422 Mtge","SECURITY_NAME")</f>
        <v>FR RA5422</v>
      </c>
      <c r="C1128" t="str">
        <f>_xll.BDP("FRRA5422 Mtge","GENERIC_TICKER_VINTAGE")</f>
        <v>FNCL 3 2021</v>
      </c>
      <c r="D1128" t="str">
        <f>_xll.BDP("FRRA5422 Mtge","CRNCY")</f>
        <v>USD</v>
      </c>
      <c r="E1128">
        <v>86996361</v>
      </c>
      <c r="F1128">
        <f>_xll.BDP("FRRA5422 Mtge","CPN")</f>
        <v>3</v>
      </c>
      <c r="G1128">
        <f>_xll.BDP("FRRA5422 Mtge","MTG_FACTOR")</f>
        <v>0.62329270000000003</v>
      </c>
      <c r="H1128">
        <f>_xll.BDP("FRRA5422 Mtge","MTG_WAL")</f>
        <v>8.2555999999999994</v>
      </c>
      <c r="I1128" t="str">
        <f>_xll.BDP("FRRA5422 Mtge","MTG_ORIG_WAL")</f>
        <v>#N/A N/A</v>
      </c>
    </row>
    <row r="1129" spans="1:9" x14ac:dyDescent="0.25">
      <c r="A1129" t="str">
        <f>_xll.BDP("FRRA5557 Mtge","ID_CUSIP")</f>
        <v>3133KME68</v>
      </c>
      <c r="B1129" t="str">
        <f>_xll.BDP("FRRA5557 Mtge","SECURITY_NAME")</f>
        <v>FR RA5557</v>
      </c>
      <c r="C1129" t="str">
        <f>_xll.BDP("FRRA5557 Mtge","GENERIC_TICKER_VINTAGE")</f>
        <v>FNCL 3 2021</v>
      </c>
      <c r="D1129" t="str">
        <f>_xll.BDP("FRRA5557 Mtge","CRNCY")</f>
        <v>USD</v>
      </c>
      <c r="E1129">
        <v>125823966</v>
      </c>
      <c r="F1129">
        <f>_xll.BDP("FRRA5557 Mtge","CPN")</f>
        <v>3</v>
      </c>
      <c r="G1129">
        <f>_xll.BDP("FRRA5557 Mtge","MTG_FACTOR")</f>
        <v>0.64679414999999996</v>
      </c>
      <c r="H1129">
        <f>_xll.BDP("FRRA5557 Mtge","MTG_WAL")</f>
        <v>8.2413000000000007</v>
      </c>
      <c r="I1129" t="str">
        <f>_xll.BDP("FRRA5557 Mtge","MTG_ORIG_WAL")</f>
        <v>#N/A N/A</v>
      </c>
    </row>
    <row r="1130" spans="1:9" x14ac:dyDescent="0.25">
      <c r="A1130" t="str">
        <f>_xll.BDP("FRRJ3734 Mtge","ID_CUSIP")</f>
        <v>3142GUEG4</v>
      </c>
      <c r="B1130" t="str">
        <f>_xll.BDP("FRRJ3734 Mtge","SECURITY_NAME")</f>
        <v>FR RJ3734</v>
      </c>
      <c r="C1130" t="str">
        <f>_xll.BDP("FRRJ3734 Mtge","GENERIC_TICKER_VINTAGE")</f>
        <v>FNCL 6 2025</v>
      </c>
      <c r="D1130" t="str">
        <f>_xll.BDP("FRRJ3734 Mtge","CRNCY")</f>
        <v>USD</v>
      </c>
      <c r="E1130">
        <v>27966172</v>
      </c>
      <c r="F1130">
        <f>_xll.BDP("FRRJ3734 Mtge","CPN")</f>
        <v>6</v>
      </c>
      <c r="G1130">
        <f>_xll.BDP("FRRJ3734 Mtge","MTG_FACTOR")</f>
        <v>0.87266745000000001</v>
      </c>
      <c r="H1130">
        <f>_xll.BDP("FRRJ3734 Mtge","MTG_WAL")</f>
        <v>3.1545999999999998</v>
      </c>
      <c r="I1130" t="str">
        <f>_xll.BDP("FRRJ3734 Mtge","MTG_ORIG_WAL")</f>
        <v>#N/A N/A</v>
      </c>
    </row>
    <row r="1131" spans="1:9" x14ac:dyDescent="0.25">
      <c r="A1131" t="str">
        <f>_xll.BDP("FRRJ3892 Mtge","ID_CUSIP")</f>
        <v>3142GUKE2</v>
      </c>
      <c r="B1131" t="str">
        <f>_xll.BDP("FRRJ3892 Mtge","SECURITY_NAME")</f>
        <v>FR RJ3892</v>
      </c>
      <c r="C1131" t="str">
        <f>_xll.BDP("FRRJ3892 Mtge","GENERIC_TICKER_VINTAGE")</f>
        <v>FNCL 6 2025</v>
      </c>
      <c r="D1131" t="str">
        <f>_xll.BDP("FRRJ3892 Mtge","CRNCY")</f>
        <v>USD</v>
      </c>
      <c r="E1131">
        <v>59496083</v>
      </c>
      <c r="F1131">
        <f>_xll.BDP("FRRJ3892 Mtge","CPN")</f>
        <v>6</v>
      </c>
      <c r="G1131">
        <f>_xll.BDP("FRRJ3892 Mtge","MTG_FACTOR")</f>
        <v>0.90563294000000005</v>
      </c>
      <c r="H1131">
        <f>_xll.BDP("FRRJ3892 Mtge","MTG_WAL")</f>
        <v>3.2014</v>
      </c>
      <c r="I1131" t="str">
        <f>_xll.BDP("FRRJ3892 Mtge","MTG_ORIG_WAL")</f>
        <v>#N/A N/A</v>
      </c>
    </row>
    <row r="1132" spans="1:9" x14ac:dyDescent="0.25">
      <c r="A1132" t="str">
        <f>_xll.BDP("FRRJ4188 Mtge","ID_CUSIP")</f>
        <v>3142GUUN1</v>
      </c>
      <c r="B1132" t="str">
        <f>_xll.BDP("FRRJ4188 Mtge","SECURITY_NAME")</f>
        <v>FR RJ4188</v>
      </c>
      <c r="C1132" t="str">
        <f>_xll.BDP("FRRJ4188 Mtge","GENERIC_TICKER_VINTAGE")</f>
        <v>FNCL 6 2025</v>
      </c>
      <c r="D1132" t="str">
        <f>_xll.BDP("FRRJ4188 Mtge","CRNCY")</f>
        <v>USD</v>
      </c>
      <c r="E1132">
        <v>1644834</v>
      </c>
      <c r="F1132">
        <f>_xll.BDP("FRRJ4188 Mtge","CPN")</f>
        <v>6</v>
      </c>
      <c r="G1132">
        <f>_xll.BDP("FRRJ4188 Mtge","MTG_FACTOR")</f>
        <v>0.98760795000000001</v>
      </c>
      <c r="H1132">
        <f>_xll.BDP("FRRJ4188 Mtge","MTG_WAL")</f>
        <v>3.2456999999999998</v>
      </c>
      <c r="I1132" t="str">
        <f>_xll.BDP("FRRJ4188 Mtge","MTG_ORIG_WAL")</f>
        <v>#N/A N/A</v>
      </c>
    </row>
    <row r="1133" spans="1:9" x14ac:dyDescent="0.25">
      <c r="A1133" t="str">
        <f>_xll.BDP("FRRJ4190 Mtge","ID_CUSIP")</f>
        <v>3142GUUQ4</v>
      </c>
      <c r="B1133" t="str">
        <f>_xll.BDP("FRRJ4190 Mtge","SECURITY_NAME")</f>
        <v>FR RJ4190</v>
      </c>
      <c r="C1133" t="str">
        <f>_xll.BDP("FRRJ4190 Mtge","GENERIC_TICKER_VINTAGE")</f>
        <v>FNCL 6 2025</v>
      </c>
      <c r="D1133" t="str">
        <f>_xll.BDP("FRRJ4190 Mtge","CRNCY")</f>
        <v>USD</v>
      </c>
      <c r="E1133">
        <v>121970844</v>
      </c>
      <c r="F1133">
        <f>_xll.BDP("FRRJ4190 Mtge","CPN")</f>
        <v>6</v>
      </c>
      <c r="G1133">
        <f>_xll.BDP("FRRJ4190 Mtge","MTG_FACTOR")</f>
        <v>0.91224525999999995</v>
      </c>
      <c r="H1133">
        <f>_xll.BDP("FRRJ4190 Mtge","MTG_WAL")</f>
        <v>3.2484999999999999</v>
      </c>
      <c r="I1133" t="str">
        <f>_xll.BDP("FRRJ4190 Mtge","MTG_ORIG_WAL")</f>
        <v>#N/A N/A</v>
      </c>
    </row>
    <row r="1134" spans="1:9" x14ac:dyDescent="0.25">
      <c r="A1134" t="str">
        <f>_xll.BDP("FRRJ4381 Mtge","ID_CUSIP")</f>
        <v>3142GU2P7</v>
      </c>
      <c r="B1134" t="str">
        <f>_xll.BDP("FRRJ4381 Mtge","SECURITY_NAME")</f>
        <v>FR RJ4381</v>
      </c>
      <c r="C1134" t="str">
        <f>_xll.BDP("FRRJ4381 Mtge","GENERIC_TICKER_VINTAGE")</f>
        <v>FNCL 6 2025</v>
      </c>
      <c r="D1134" t="str">
        <f>_xll.BDP("FRRJ4381 Mtge","CRNCY")</f>
        <v>USD</v>
      </c>
      <c r="E1134">
        <v>144494243</v>
      </c>
      <c r="F1134">
        <f>_xll.BDP("FRRJ4381 Mtge","CPN")</f>
        <v>6</v>
      </c>
      <c r="G1134">
        <f>_xll.BDP("FRRJ4381 Mtge","MTG_FACTOR")</f>
        <v>0.93816127999999999</v>
      </c>
      <c r="H1134">
        <f>_xll.BDP("FRRJ4381 Mtge","MTG_WAL")</f>
        <v>3.2915000000000001</v>
      </c>
      <c r="I1134" t="str">
        <f>_xll.BDP("FRRJ4381 Mtge","MTG_ORIG_WAL")</f>
        <v>#N/A N/A</v>
      </c>
    </row>
    <row r="1135" spans="1:9" x14ac:dyDescent="0.25">
      <c r="A1135" t="str">
        <f>_xll.BDP("FRRJ4382 Mtge","ID_CUSIP")</f>
        <v>3142GU2Q5</v>
      </c>
      <c r="B1135" t="str">
        <f>_xll.BDP("FRRJ4382 Mtge","SECURITY_NAME")</f>
        <v>FR RJ4382</v>
      </c>
      <c r="C1135" t="str">
        <f>_xll.BDP("FRRJ4382 Mtge","GENERIC_TICKER_VINTAGE")</f>
        <v>FNCL 6 2025</v>
      </c>
      <c r="D1135" t="str">
        <f>_xll.BDP("FRRJ4382 Mtge","CRNCY")</f>
        <v>USD</v>
      </c>
      <c r="E1135">
        <v>133028774</v>
      </c>
      <c r="F1135">
        <f>_xll.BDP("FRRJ4382 Mtge","CPN")</f>
        <v>6</v>
      </c>
      <c r="G1135">
        <f>_xll.BDP("FRRJ4382 Mtge","MTG_FACTOR")</f>
        <v>0.93879773</v>
      </c>
      <c r="H1135">
        <f>_xll.BDP("FRRJ4382 Mtge","MTG_WAL")</f>
        <v>3.2917000000000001</v>
      </c>
      <c r="I1135" t="str">
        <f>_xll.BDP("FRRJ4382 Mtge","MTG_ORIG_WAL")</f>
        <v>#N/A N/A</v>
      </c>
    </row>
    <row r="1136" spans="1:9" x14ac:dyDescent="0.25">
      <c r="A1136" t="str">
        <f>_xll.BDP("FRRJ4385 Mtge","ID_CUSIP")</f>
        <v>3142GU2T9</v>
      </c>
      <c r="B1136" t="str">
        <f>_xll.BDP("FRRJ4385 Mtge","SECURITY_NAME")</f>
        <v>FR RJ4385</v>
      </c>
      <c r="C1136" t="str">
        <f>_xll.BDP("FRRJ4385 Mtge","GENERIC_TICKER_VINTAGE")</f>
        <v>FNCL 6 2025</v>
      </c>
      <c r="D1136" t="str">
        <f>_xll.BDP("FRRJ4385 Mtge","CRNCY")</f>
        <v>USD</v>
      </c>
      <c r="E1136">
        <v>166833312</v>
      </c>
      <c r="F1136">
        <f>_xll.BDP("FRRJ4385 Mtge","CPN")</f>
        <v>6</v>
      </c>
      <c r="G1136">
        <f>_xll.BDP("FRRJ4385 Mtge","MTG_FACTOR")</f>
        <v>0.90883966000000005</v>
      </c>
      <c r="H1136">
        <f>_xll.BDP("FRRJ4385 Mtge","MTG_WAL")</f>
        <v>3.2919999999999998</v>
      </c>
      <c r="I1136" t="str">
        <f>_xll.BDP("FRRJ4385 Mtge","MTG_ORIG_WAL")</f>
        <v>#N/A N/A</v>
      </c>
    </row>
    <row r="1137" spans="1:9" x14ac:dyDescent="0.25">
      <c r="A1137" t="str">
        <f>_xll.BDP("FRRJ4389 Mtge","ID_CUSIP")</f>
        <v>3142GU2X0</v>
      </c>
      <c r="B1137" t="str">
        <f>_xll.BDP("FRRJ4389 Mtge","SECURITY_NAME")</f>
        <v>FR RJ4389</v>
      </c>
      <c r="C1137" t="str">
        <f>_xll.BDP("FRRJ4389 Mtge","GENERIC_TICKER_VINTAGE")</f>
        <v>FNCL 6 2025</v>
      </c>
      <c r="D1137" t="str">
        <f>_xll.BDP("FRRJ4389 Mtge","CRNCY")</f>
        <v>USD</v>
      </c>
      <c r="E1137">
        <v>104763280</v>
      </c>
      <c r="F1137">
        <f>_xll.BDP("FRRJ4389 Mtge","CPN")</f>
        <v>6</v>
      </c>
      <c r="G1137">
        <f>_xll.BDP("FRRJ4389 Mtge","MTG_FACTOR")</f>
        <v>0.89953574999999997</v>
      </c>
      <c r="H1137">
        <f>_xll.BDP("FRRJ4389 Mtge","MTG_WAL")</f>
        <v>3.2930000000000001</v>
      </c>
      <c r="I1137" t="str">
        <f>_xll.BDP("FRRJ4389 Mtge","MTG_ORIG_WAL")</f>
        <v>#N/A N/A</v>
      </c>
    </row>
    <row r="1138" spans="1:9" x14ac:dyDescent="0.25">
      <c r="A1138" t="str">
        <f>_xll.BDP("FRRJ4426 Mtge","ID_CUSIP")</f>
        <v>3142GU4L4</v>
      </c>
      <c r="B1138" t="str">
        <f>_xll.BDP("FRRJ4426 Mtge","SECURITY_NAME")</f>
        <v>FR RJ4426</v>
      </c>
      <c r="C1138" t="str">
        <f>_xll.BDP("FRRJ4426 Mtge","GENERIC_TICKER_VINTAGE")</f>
        <v>FNCL 6 2025</v>
      </c>
      <c r="D1138" t="str">
        <f>_xll.BDP("FRRJ4426 Mtge","CRNCY")</f>
        <v>USD</v>
      </c>
      <c r="E1138">
        <v>449000</v>
      </c>
      <c r="F1138">
        <f>_xll.BDP("FRRJ4426 Mtge","CPN")</f>
        <v>6</v>
      </c>
      <c r="G1138">
        <f>_xll.BDP("FRRJ4426 Mtge","MTG_FACTOR")</f>
        <v>0.99233463</v>
      </c>
      <c r="H1138">
        <f>_xll.BDP("FRRJ4426 Mtge","MTG_WAL")</f>
        <v>3.3460000000000001</v>
      </c>
      <c r="I1138" t="str">
        <f>_xll.BDP("FRRJ4426 Mtge","MTG_ORIG_WAL")</f>
        <v>#N/A N/A</v>
      </c>
    </row>
    <row r="1139" spans="1:9" x14ac:dyDescent="0.25">
      <c r="A1139" t="str">
        <f>_xll.BDP("FRRQ0023 Mtge","ID_CUSIP")</f>
        <v>3142J6AZ6</v>
      </c>
      <c r="B1139" t="str">
        <f>_xll.BDP("FRRQ0023 Mtge","SECURITY_NAME")</f>
        <v>FR RQ0023</v>
      </c>
      <c r="C1139" t="str">
        <f>_xll.BDP("FRRQ0023 Mtge","GENERIC_TICKER_VINTAGE")</f>
        <v>FNCL 6 2025</v>
      </c>
      <c r="D1139" t="str">
        <f>_xll.BDP("FRRQ0023 Mtge","CRNCY")</f>
        <v>USD</v>
      </c>
      <c r="E1139">
        <v>43089401</v>
      </c>
      <c r="F1139">
        <f>_xll.BDP("FRRQ0023 Mtge","CPN")</f>
        <v>6</v>
      </c>
      <c r="G1139">
        <f>_xll.BDP("FRRQ0023 Mtge","MTG_FACTOR")</f>
        <v>0.71833488999999995</v>
      </c>
      <c r="H1139">
        <f>_xll.BDP("FRRQ0023 Mtge","MTG_WAL")</f>
        <v>3.2465000000000002</v>
      </c>
      <c r="I1139" t="str">
        <f>_xll.BDP("FRRQ0023 Mtge","MTG_ORIG_WAL")</f>
        <v>#N/A N/A</v>
      </c>
    </row>
    <row r="1140" spans="1:9" x14ac:dyDescent="0.25">
      <c r="A1140" t="str">
        <f>_xll.BDP("FRRQ0035 Mtge","ID_CUSIP")</f>
        <v>3142J6BD4</v>
      </c>
      <c r="B1140" t="str">
        <f>_xll.BDP("FRRQ0035 Mtge","SECURITY_NAME")</f>
        <v>FR RQ0035</v>
      </c>
      <c r="C1140" t="str">
        <f>_xll.BDP("FRRQ0035 Mtge","GENERIC_TICKER_VINTAGE")</f>
        <v>FNCL 6 2025</v>
      </c>
      <c r="D1140" t="str">
        <f>_xll.BDP("FRRQ0035 Mtge","CRNCY")</f>
        <v>USD</v>
      </c>
      <c r="E1140">
        <v>27452177</v>
      </c>
      <c r="F1140">
        <f>_xll.BDP("FRRQ0035 Mtge","CPN")</f>
        <v>6</v>
      </c>
      <c r="G1140">
        <f>_xll.BDP("FRRQ0035 Mtge","MTG_FACTOR")</f>
        <v>0.69698892000000001</v>
      </c>
      <c r="H1140">
        <f>_xll.BDP("FRRQ0035 Mtge","MTG_WAL")</f>
        <v>3.2926000000000002</v>
      </c>
      <c r="I1140" t="str">
        <f>_xll.BDP("FRRQ0035 Mtge","MTG_ORIG_WAL")</f>
        <v>#N/A N/A</v>
      </c>
    </row>
    <row r="1141" spans="1:9" x14ac:dyDescent="0.25">
      <c r="A1141" t="str">
        <f>_xll.BDP("FRSD0577 Mtge","ID_CUSIP")</f>
        <v>3132DMUA1</v>
      </c>
      <c r="B1141" t="str">
        <f>_xll.BDP("FRSD0577 Mtge","SECURITY_NAME")</f>
        <v>FR SD0577</v>
      </c>
      <c r="C1141" t="str">
        <f>_xll.BDP("FRSD0577 Mtge","GENERIC_TICKER_VINTAGE")</f>
        <v>FNCL 3 2021</v>
      </c>
      <c r="D1141" t="str">
        <f>_xll.BDP("FRSD0577 Mtge","CRNCY")</f>
        <v>USD</v>
      </c>
      <c r="E1141">
        <v>90681624</v>
      </c>
      <c r="F1141">
        <f>_xll.BDP("FRSD0577 Mtge","CPN")</f>
        <v>3</v>
      </c>
      <c r="G1141">
        <f>_xll.BDP("FRSD0577 Mtge","MTG_FACTOR")</f>
        <v>0.59958034000000004</v>
      </c>
      <c r="H1141">
        <f>_xll.BDP("FRSD0577 Mtge","MTG_WAL")</f>
        <v>8.2651000000000003</v>
      </c>
      <c r="I1141" t="str">
        <f>_xll.BDP("FRSD0577 Mtge","MTG_ORIG_WAL")</f>
        <v>#N/A N/A</v>
      </c>
    </row>
    <row r="1142" spans="1:9" x14ac:dyDescent="0.25">
      <c r="A1142" t="str">
        <f>_xll.BDP("FRSD0697 Mtge","ID_CUSIP")</f>
        <v>3132DMX26</v>
      </c>
      <c r="B1142" t="str">
        <f>_xll.BDP("FRSD0697 Mtge","SECURITY_NAME")</f>
        <v>FR SD0697</v>
      </c>
      <c r="C1142" t="str">
        <f>_xll.BDP("FRSD0697 Mtge","GENERIC_TICKER_VINTAGE")</f>
        <v>FNCL 3 2021</v>
      </c>
      <c r="D1142" t="str">
        <f>_xll.BDP("FRSD0697 Mtge","CRNCY")</f>
        <v>USD</v>
      </c>
      <c r="E1142">
        <v>43110345</v>
      </c>
      <c r="F1142">
        <f>_xll.BDP("FRSD0697 Mtge","CPN")</f>
        <v>3</v>
      </c>
      <c r="G1142">
        <f>_xll.BDP("FRSD0697 Mtge","MTG_FACTOR")</f>
        <v>0.72594294000000004</v>
      </c>
      <c r="H1142">
        <f>_xll.BDP("FRSD0697 Mtge","MTG_WAL")</f>
        <v>8.3759999999999994</v>
      </c>
      <c r="I1142" t="str">
        <f>_xll.BDP("FRSD0697 Mtge","MTG_ORIG_WAL")</f>
        <v>#N/A N/A</v>
      </c>
    </row>
    <row r="1143" spans="1:9" x14ac:dyDescent="0.25">
      <c r="A1143" t="str">
        <f>_xll.BDP("FRSD0781 Mtge","ID_CUSIP")</f>
        <v>3132DM2N4</v>
      </c>
      <c r="B1143" t="str">
        <f>_xll.BDP("FRSD0781 Mtge","SECURITY_NAME")</f>
        <v>FR SD0781</v>
      </c>
      <c r="C1143" t="str">
        <f>_xll.BDP("FRSD0781 Mtge","GENERIC_TICKER_VINTAGE")</f>
        <v>FNCL 3 2021</v>
      </c>
      <c r="D1143" t="str">
        <f>_xll.BDP("FRSD0781 Mtge","CRNCY")</f>
        <v>USD</v>
      </c>
      <c r="E1143">
        <v>136925859</v>
      </c>
      <c r="F1143">
        <f>_xll.BDP("FRSD0781 Mtge","CPN")</f>
        <v>3</v>
      </c>
      <c r="G1143">
        <f>_xll.BDP("FRSD0781 Mtge","MTG_FACTOR")</f>
        <v>0.62073807999999997</v>
      </c>
      <c r="H1143">
        <f>_xll.BDP("FRSD0781 Mtge","MTG_WAL")</f>
        <v>8.4025999999999996</v>
      </c>
      <c r="I1143" t="str">
        <f>_xll.BDP("FRSD0781 Mtge","MTG_ORIG_WAL")</f>
        <v>#N/A N/A</v>
      </c>
    </row>
    <row r="1144" spans="1:9" x14ac:dyDescent="0.25">
      <c r="A1144" t="str">
        <f>_xll.BDP("FRSD1064 Mtge","ID_CUSIP")</f>
        <v>3132DNFD0</v>
      </c>
      <c r="B1144" t="str">
        <f>_xll.BDP("FRSD1064 Mtge","SECURITY_NAME")</f>
        <v>FR SD1064</v>
      </c>
      <c r="C1144" t="str">
        <f>_xll.BDP("FRSD1064 Mtge","GENERIC_TICKER_VINTAGE")</f>
        <v>FNCL 3 2021</v>
      </c>
      <c r="D1144" t="str">
        <f>_xll.BDP("FRSD1064 Mtge","CRNCY")</f>
        <v>USD</v>
      </c>
      <c r="E1144">
        <v>106901556</v>
      </c>
      <c r="F1144">
        <f>_xll.BDP("FRSD1064 Mtge","CPN")</f>
        <v>3</v>
      </c>
      <c r="G1144">
        <f>_xll.BDP("FRSD1064 Mtge","MTG_FACTOR")</f>
        <v>0.73536807000000004</v>
      </c>
      <c r="H1144">
        <f>_xll.BDP("FRSD1064 Mtge","MTG_WAL")</f>
        <v>8.4396000000000004</v>
      </c>
      <c r="I1144" t="str">
        <f>_xll.BDP("FRSD1064 Mtge","MTG_ORIG_WAL")</f>
        <v>#N/A N/A</v>
      </c>
    </row>
    <row r="1145" spans="1:9" x14ac:dyDescent="0.25">
      <c r="A1145" t="str">
        <f>_xll.BDP("FRSD2221 Mtge","ID_CUSIP")</f>
        <v>3132DPPE2</v>
      </c>
      <c r="B1145" t="str">
        <f>_xll.BDP("FRSD2221 Mtge","SECURITY_NAME")</f>
        <v>FR SD2221</v>
      </c>
      <c r="C1145" t="str">
        <f>_xll.BDP("FRSD2221 Mtge","GENERIC_TICKER_VINTAGE")</f>
        <v>FNCL 3 2021</v>
      </c>
      <c r="D1145" t="str">
        <f>_xll.BDP("FRSD2221 Mtge","CRNCY")</f>
        <v>USD</v>
      </c>
      <c r="E1145">
        <v>135211801</v>
      </c>
      <c r="F1145">
        <f>_xll.BDP("FRSD2221 Mtge","CPN")</f>
        <v>3</v>
      </c>
      <c r="G1145">
        <f>_xll.BDP("FRSD2221 Mtge","MTG_FACTOR")</f>
        <v>0.78465125000000002</v>
      </c>
      <c r="H1145">
        <f>_xll.BDP("FRSD2221 Mtge","MTG_WAL")</f>
        <v>8.3103999999999996</v>
      </c>
      <c r="I1145" t="str">
        <f>_xll.BDP("FRSD2221 Mtge","MTG_ORIG_WAL")</f>
        <v>#N/A N/A</v>
      </c>
    </row>
    <row r="1146" spans="1:9" x14ac:dyDescent="0.25">
      <c r="A1146" t="str">
        <f>_xll.BDP("FRSD4086 Mtge","ID_CUSIP")</f>
        <v>3132E0RF1</v>
      </c>
      <c r="B1146" t="str">
        <f>_xll.BDP("FRSD4086 Mtge","SECURITY_NAME")</f>
        <v>FR SD4086</v>
      </c>
      <c r="C1146" t="str">
        <f>_xll.BDP("FRSD4086 Mtge","GENERIC_TICKER_VINTAGE")</f>
        <v>FNCL 3 2021</v>
      </c>
      <c r="D1146" t="str">
        <f>_xll.BDP("FRSD4086 Mtge","CRNCY")</f>
        <v>USD</v>
      </c>
      <c r="E1146">
        <v>11487677</v>
      </c>
      <c r="F1146">
        <f>_xll.BDP("FRSD4086 Mtge","CPN")</f>
        <v>3</v>
      </c>
      <c r="G1146">
        <f>_xll.BDP("FRSD4086 Mtge","MTG_FACTOR")</f>
        <v>0.80355244000000003</v>
      </c>
      <c r="H1146">
        <f>_xll.BDP("FRSD4086 Mtge","MTG_WAL")</f>
        <v>8.2617999999999991</v>
      </c>
      <c r="I1146" t="str">
        <f>_xll.BDP("FRSD4086 Mtge","MTG_ORIG_WAL")</f>
        <v>#N/A N/A</v>
      </c>
    </row>
    <row r="1147" spans="1:9" x14ac:dyDescent="0.25">
      <c r="A1147" t="str">
        <f>_xll.BDP("FRSD7556 Mtge","ID_CUSIP")</f>
        <v>3132DVMD4</v>
      </c>
      <c r="B1147" t="str">
        <f>_xll.BDP("FRSD7556 Mtge","SECURITY_NAME")</f>
        <v>FR SD7556</v>
      </c>
      <c r="C1147" t="str">
        <f>_xll.BDP("FRSD7556 Mtge","GENERIC_TICKER_VINTAGE")</f>
        <v>FNCL 3 2021</v>
      </c>
      <c r="D1147" t="str">
        <f>_xll.BDP("FRSD7556 Mtge","CRNCY")</f>
        <v>USD</v>
      </c>
      <c r="E1147">
        <v>1103486881</v>
      </c>
      <c r="F1147">
        <f>_xll.BDP("FRSD7556 Mtge","CPN")</f>
        <v>3</v>
      </c>
      <c r="G1147">
        <f>_xll.BDP("FRSD7556 Mtge","MTG_FACTOR")</f>
        <v>0.74029666999999999</v>
      </c>
      <c r="H1147">
        <f>_xll.BDP("FRSD7556 Mtge","MTG_WAL")</f>
        <v>8.3501999999999992</v>
      </c>
      <c r="I1147" t="str">
        <f>_xll.BDP("FRSD7556 Mtge","MTG_ORIG_WAL")</f>
        <v>#N/A N/A</v>
      </c>
    </row>
    <row r="1148" spans="1:9" x14ac:dyDescent="0.25">
      <c r="A1148" t="str">
        <f>_xll.BDP("FRSL0488 Mtge","ID_CUSIP")</f>
        <v>31427MRJ2</v>
      </c>
      <c r="B1148" t="str">
        <f>_xll.BDP("FRSL0488 Mtge","SECURITY_NAME")</f>
        <v>FR SL0488</v>
      </c>
      <c r="C1148" t="str">
        <f>_xll.BDP("FRSL0488 Mtge","GENERIC_TICKER_VINTAGE")</f>
        <v>FNCL 3 2021</v>
      </c>
      <c r="D1148" t="str">
        <f>_xll.BDP("FRSL0488 Mtge","CRNCY")</f>
        <v>USD</v>
      </c>
      <c r="E1148">
        <v>50797860</v>
      </c>
      <c r="F1148">
        <f>_xll.BDP("FRSL0488 Mtge","CPN")</f>
        <v>3</v>
      </c>
      <c r="G1148">
        <f>_xll.BDP("FRSL0488 Mtge","MTG_FACTOR")</f>
        <v>0.89017314999999997</v>
      </c>
      <c r="H1148">
        <f>_xll.BDP("FRSL0488 Mtge","MTG_WAL")</f>
        <v>8.3158999999999992</v>
      </c>
      <c r="I1148" t="str">
        <f>_xll.BDP("FRSL0488 Mtge","MTG_ORIG_WAL")</f>
        <v>#N/A N/A</v>
      </c>
    </row>
    <row r="1149" spans="1:9" x14ac:dyDescent="0.25">
      <c r="A1149" t="str">
        <f>_xll.BDP("FRSL0925 Mtge","ID_CUSIP")</f>
        <v>31427NA33</v>
      </c>
      <c r="B1149" t="str">
        <f>_xll.BDP("FRSL0925 Mtge","SECURITY_NAME")</f>
        <v>FR SL0925</v>
      </c>
      <c r="C1149" t="str">
        <f>_xll.BDP("FRSL0925 Mtge","GENERIC_TICKER_VINTAGE")</f>
        <v>FNCL 6 2025</v>
      </c>
      <c r="D1149" t="str">
        <f>_xll.BDP("FRSL0925 Mtge","CRNCY")</f>
        <v>USD</v>
      </c>
      <c r="E1149">
        <v>63601932</v>
      </c>
      <c r="F1149">
        <f>_xll.BDP("FRSL0925 Mtge","CPN")</f>
        <v>6</v>
      </c>
      <c r="G1149">
        <f>_xll.BDP("FRSL0925 Mtge","MTG_FACTOR")</f>
        <v>0.89479976000000006</v>
      </c>
      <c r="H1149">
        <f>_xll.BDP("FRSL0925 Mtge","MTG_WAL")</f>
        <v>3.1760000000000002</v>
      </c>
      <c r="I1149" t="str">
        <f>_xll.BDP("FRSL0925 Mtge","MTG_ORIG_WAL")</f>
        <v>#N/A N/A</v>
      </c>
    </row>
    <row r="1150" spans="1:9" x14ac:dyDescent="0.25">
      <c r="A1150" t="str">
        <f>_xll.BDP("FRSL1114 Mtge","ID_CUSIP")</f>
        <v>31427NGY9</v>
      </c>
      <c r="B1150" t="str">
        <f>_xll.BDP("FRSL1114 Mtge","SECURITY_NAME")</f>
        <v>FR SL1114</v>
      </c>
      <c r="C1150" t="str">
        <f>_xll.BDP("FRSL1114 Mtge","GENERIC_TICKER_VINTAGE")</f>
        <v>FNCL 6 2025</v>
      </c>
      <c r="D1150" t="str">
        <f>_xll.BDP("FRSL1114 Mtge","CRNCY")</f>
        <v>USD</v>
      </c>
      <c r="E1150">
        <v>120465224</v>
      </c>
      <c r="F1150">
        <f>_xll.BDP("FRSL1114 Mtge","CPN")</f>
        <v>6</v>
      </c>
      <c r="G1150">
        <f>_xll.BDP("FRSL1114 Mtge","MTG_FACTOR")</f>
        <v>0.78910071999999998</v>
      </c>
      <c r="H1150">
        <f>_xll.BDP("FRSL1114 Mtge","MTG_WAL")</f>
        <v>3.1758000000000002</v>
      </c>
      <c r="I1150" t="str">
        <f>_xll.BDP("FRSL1114 Mtge","MTG_ORIG_WAL")</f>
        <v>#N/A N/A</v>
      </c>
    </row>
    <row r="1151" spans="1:9" x14ac:dyDescent="0.25">
      <c r="A1151" t="str">
        <f>_xll.BDP("FRSL1415 Mtge","ID_CUSIP")</f>
        <v>31427NSD2</v>
      </c>
      <c r="B1151" t="str">
        <f>_xll.BDP("FRSL1415 Mtge","SECURITY_NAME")</f>
        <v>FR SL1415</v>
      </c>
      <c r="C1151" t="str">
        <f>_xll.BDP("FRSL1415 Mtge","GENERIC_TICKER_VINTAGE")</f>
        <v>FNCL 6 2025</v>
      </c>
      <c r="D1151" t="str">
        <f>_xll.BDP("FRSL1415 Mtge","CRNCY")</f>
        <v>USD</v>
      </c>
      <c r="E1151">
        <v>17807290</v>
      </c>
      <c r="F1151">
        <f>_xll.BDP("FRSL1415 Mtge","CPN")</f>
        <v>6</v>
      </c>
      <c r="G1151">
        <f>_xll.BDP("FRSL1415 Mtge","MTG_FACTOR")</f>
        <v>0.76779202999999996</v>
      </c>
      <c r="H1151">
        <f>_xll.BDP("FRSL1415 Mtge","MTG_WAL")</f>
        <v>3.1857000000000002</v>
      </c>
      <c r="I1151" t="str">
        <f>_xll.BDP("FRSL1415 Mtge","MTG_ORIG_WAL")</f>
        <v>#N/A N/A</v>
      </c>
    </row>
    <row r="1152" spans="1:9" x14ac:dyDescent="0.25">
      <c r="A1152" t="str">
        <f>_xll.BDP("FRSL1564 Mtge","ID_CUSIP")</f>
        <v>31427NW21</v>
      </c>
      <c r="B1152" t="str">
        <f>_xll.BDP("FRSL1564 Mtge","SECURITY_NAME")</f>
        <v>FR SL1564</v>
      </c>
      <c r="C1152" t="str">
        <f>_xll.BDP("FRSL1564 Mtge","GENERIC_TICKER_VINTAGE")</f>
        <v>FNCL 3 2021</v>
      </c>
      <c r="D1152" t="str">
        <f>_xll.BDP("FRSL1564 Mtge","CRNCY")</f>
        <v>USD</v>
      </c>
      <c r="E1152">
        <v>297593165</v>
      </c>
      <c r="F1152">
        <f>_xll.BDP("FRSL1564 Mtge","CPN")</f>
        <v>3</v>
      </c>
      <c r="G1152">
        <f>_xll.BDP("FRSL1564 Mtge","MTG_FACTOR")</f>
        <v>0.95586035999999996</v>
      </c>
      <c r="H1152">
        <f>_xll.BDP("FRSL1564 Mtge","MTG_WAL")</f>
        <v>8.3086000000000002</v>
      </c>
      <c r="I1152" t="str">
        <f>_xll.BDP("FRSL1564 Mtge","MTG_ORIG_WAL")</f>
        <v>#N/A N/A</v>
      </c>
    </row>
    <row r="1153" spans="1:9" x14ac:dyDescent="0.25">
      <c r="A1153" t="str">
        <f>_xll.BDP("!!02R6Y7 Mtge","ID_CUSIP")</f>
        <v>3137FXZP6</v>
      </c>
      <c r="B1153" t="str">
        <f>_xll.BDP("!!02R6Y7 Mtge","SECURITY_NAME")</f>
        <v>FHR 5095 N</v>
      </c>
      <c r="C1153" t="str">
        <f>_xll.BDP("!!02R6Y7 Mtge","GENERIC_TICKER_VINTAGE")</f>
        <v>FNCL 3 2021</v>
      </c>
      <c r="D1153" t="str">
        <f>_xll.BDP("!!02R6Y7 Mtge","CRNCY")</f>
        <v>USD</v>
      </c>
      <c r="E1153">
        <v>42000000</v>
      </c>
      <c r="F1153">
        <f>_xll.BDP("!!02R6Y7 Mtge","CPN")</f>
        <v>1.5</v>
      </c>
      <c r="G1153">
        <f>_xll.BDP("!!02R6Y7 Mtge","MTG_FACTOR")</f>
        <v>0.68294946999999995</v>
      </c>
      <c r="H1153">
        <f>_xll.BDP("!!02R6Y7 Mtge","MTG_WAL")</f>
        <v>6.0993000000000004</v>
      </c>
      <c r="I1153">
        <f>_xll.BDP("!!02R6Y7 Mtge","MTG_ORIG_WAL")</f>
        <v>5.4</v>
      </c>
    </row>
    <row r="1154" spans="1:9" x14ac:dyDescent="0.25">
      <c r="A1154" t="str">
        <f>_xll.BDP("!!02R6Y8 Mtge","ID_CUSIP")</f>
        <v>3137FXZQ4</v>
      </c>
      <c r="B1154" t="str">
        <f>_xll.BDP("!!02R6Y8 Mtge","SECURITY_NAME")</f>
        <v>FHR 5095 NA</v>
      </c>
      <c r="C1154" t="str">
        <f>_xll.BDP("!!02R6Y8 Mtge","GENERIC_TICKER_VINTAGE")</f>
        <v>FNCL 3 2021</v>
      </c>
      <c r="D1154" t="str">
        <f>_xll.BDP("!!02R6Y8 Mtge","CRNCY")</f>
        <v>USD</v>
      </c>
      <c r="E1154">
        <v>400342</v>
      </c>
      <c r="F1154">
        <f>_xll.BDP("!!02R6Y8 Mtge","CPN")</f>
        <v>1.5</v>
      </c>
      <c r="G1154">
        <f>_xll.BDP("!!02R6Y8 Mtge","MTG_FACTOR")</f>
        <v>0.77021097000000005</v>
      </c>
      <c r="H1154">
        <f>_xll.BDP("!!02R6Y8 Mtge","MTG_WAL")</f>
        <v>14.312799999999999</v>
      </c>
      <c r="I1154">
        <f>_xll.BDP("!!02R6Y8 Mtge","MTG_ORIG_WAL")</f>
        <v>2.9</v>
      </c>
    </row>
    <row r="1155" spans="1:9" x14ac:dyDescent="0.25">
      <c r="A1155" t="str">
        <f>_xll.BDP("!!02RCNT Mtge","ID_CUSIP")</f>
        <v>3136BFS53</v>
      </c>
      <c r="B1155" t="str">
        <f>_xll.BDP("!!02RCNT Mtge","SECURITY_NAME")</f>
        <v>FNR 2021-17 FD</v>
      </c>
      <c r="C1155" t="str">
        <f>_xll.BDP("!!02RCNT Mtge","GENERIC_TICKER_VINTAGE")</f>
        <v>FNCL 3 2021</v>
      </c>
      <c r="D1155" t="str">
        <f>_xll.BDP("!!02RCNT Mtge","CRNCY")</f>
        <v>USD</v>
      </c>
      <c r="E1155">
        <v>67904719</v>
      </c>
      <c r="F1155">
        <f>_xll.BDP("!!02RCNT Mtge","CPN")</f>
        <v>3</v>
      </c>
      <c r="G1155">
        <f>_xll.BDP("!!02RCNT Mtge","MTG_FACTOR")</f>
        <v>0.60935022000000005</v>
      </c>
      <c r="H1155">
        <f>_xll.BDP("!!02RCNT Mtge","MTG_WAL")</f>
        <v>8.1538000000000004</v>
      </c>
      <c r="I1155">
        <f>_xll.BDP("!!02RCNT Mtge","MTG_ORIG_WAL")</f>
        <v>5.3063700000000003</v>
      </c>
    </row>
    <row r="1156" spans="1:9" x14ac:dyDescent="0.25">
      <c r="A1156" t="str">
        <f>_xll.BDP("!!0302S4 Mtge","ID_CUSIP")</f>
        <v>3137H07F9</v>
      </c>
      <c r="B1156" t="str">
        <f>_xll.BDP("!!0302S4 Mtge","SECURITY_NAME")</f>
        <v>FHR 5105 KB</v>
      </c>
      <c r="C1156" t="str">
        <f>_xll.BDP("!!0302S4 Mtge","GENERIC_TICKER_VINTAGE")</f>
        <v>FNCL 3 2021</v>
      </c>
      <c r="D1156" t="str">
        <f>_xll.BDP("!!0302S4 Mtge","CRNCY")</f>
        <v>USD</v>
      </c>
      <c r="E1156">
        <v>24126000</v>
      </c>
      <c r="F1156">
        <f>_xll.BDP("!!0302S4 Mtge","CPN")</f>
        <v>1.25</v>
      </c>
      <c r="G1156">
        <f>_xll.BDP("!!0302S4 Mtge","MTG_FACTOR")</f>
        <v>0.64422351</v>
      </c>
      <c r="H1156">
        <f>_xll.BDP("!!0302S4 Mtge","MTG_WAL")</f>
        <v>4.6360999999999999</v>
      </c>
      <c r="I1156">
        <f>_xll.BDP("!!0302S4 Mtge","MTG_ORIG_WAL")</f>
        <v>5.8</v>
      </c>
    </row>
    <row r="1157" spans="1:9" x14ac:dyDescent="0.25">
      <c r="A1157" t="str">
        <f>_xll.BDP("!!0302S5 Mtge","ID_CUSIP")</f>
        <v>3137H07G7</v>
      </c>
      <c r="B1157" t="str">
        <f>_xll.BDP("!!0302S5 Mtge","SECURITY_NAME")</f>
        <v>FHR 5105 KC</v>
      </c>
      <c r="C1157" t="str">
        <f>_xll.BDP("!!0302S5 Mtge","GENERIC_TICKER_VINTAGE")</f>
        <v>FNCL 3 2021</v>
      </c>
      <c r="D1157" t="str">
        <f>_xll.BDP("!!0302S5 Mtge","CRNCY")</f>
        <v>USD</v>
      </c>
      <c r="E1157">
        <v>24126000</v>
      </c>
      <c r="F1157">
        <f>_xll.BDP("!!0302S5 Mtge","CPN")</f>
        <v>1.5</v>
      </c>
      <c r="G1157">
        <f>_xll.BDP("!!0302S5 Mtge","MTG_FACTOR")</f>
        <v>0.64422351</v>
      </c>
      <c r="H1157">
        <f>_xll.BDP("!!0302S5 Mtge","MTG_WAL")</f>
        <v>4.6360999999999999</v>
      </c>
      <c r="I1157">
        <f>_xll.BDP("!!0302S5 Mtge","MTG_ORIG_WAL")</f>
        <v>5.8</v>
      </c>
    </row>
    <row r="1158" spans="1:9" x14ac:dyDescent="0.25">
      <c r="A1158" t="str">
        <f>_xll.BDP("!!03062Y Mtge","ID_CUSIP")</f>
        <v>3137H0F60</v>
      </c>
      <c r="B1158" t="str">
        <f>_xll.BDP("!!03062Y Mtge","SECURITY_NAME")</f>
        <v>FHR 5110 FC</v>
      </c>
      <c r="C1158" t="str">
        <f>_xll.BDP("!!03062Y Mtge","GENERIC_TICKER_VINTAGE")</f>
        <v>FNCL 3 2021</v>
      </c>
      <c r="D1158" t="str">
        <f>_xll.BDP("!!03062Y Mtge","CRNCY")</f>
        <v>USD</v>
      </c>
      <c r="E1158">
        <v>25000000</v>
      </c>
      <c r="F1158">
        <f>_xll.BDP("!!03062Y Mtge","CPN")</f>
        <v>3</v>
      </c>
      <c r="G1158">
        <f>_xll.BDP("!!03062Y Mtge","MTG_FACTOR")</f>
        <v>0.60041500999999997</v>
      </c>
      <c r="H1158">
        <f>_xll.BDP("!!03062Y Mtge","MTG_WAL")</f>
        <v>8.1790000000000003</v>
      </c>
      <c r="I1158">
        <f>_xll.BDP("!!03062Y Mtge","MTG_ORIG_WAL")</f>
        <v>5.2</v>
      </c>
    </row>
    <row r="1159" spans="1:9" x14ac:dyDescent="0.25">
      <c r="A1159" t="str">
        <f>_xll.BDP("!!03062Z Mtge","ID_CUSIP")</f>
        <v>3137H0FF0</v>
      </c>
      <c r="B1159" t="str">
        <f>_xll.BDP("!!03062Z Mtge","SECURITY_NAME")</f>
        <v>FHR 5110 SC</v>
      </c>
      <c r="C1159" t="str">
        <f>_xll.BDP("!!03062Z Mtge","GENERIC_TICKER_VINTAGE")</f>
        <v>FNCL 3 2021</v>
      </c>
      <c r="D1159" t="str">
        <f>_xll.BDP("!!03062Z Mtge","CRNCY")</f>
        <v>USD</v>
      </c>
      <c r="E1159">
        <v>25000000</v>
      </c>
      <c r="F1159">
        <f>_xll.BDP("!!03062Z Mtge","CPN")</f>
        <v>0</v>
      </c>
      <c r="G1159">
        <f>_xll.BDP("!!03062Z Mtge","MTG_FACTOR")</f>
        <v>0.60041500999999997</v>
      </c>
      <c r="H1159">
        <f>_xll.BDP("!!03062Z Mtge","MTG_WAL")</f>
        <v>8.1790000000000003</v>
      </c>
      <c r="I1159">
        <f>_xll.BDP("!!03062Z Mtge","MTG_ORIG_WAL")</f>
        <v>5.2</v>
      </c>
    </row>
    <row r="1160" spans="1:9" x14ac:dyDescent="0.25">
      <c r="A1160" t="str">
        <f>_xll.BDP("!!03076P Mtge","ID_CUSIP")</f>
        <v>3136BF6W8</v>
      </c>
      <c r="B1160" t="str">
        <f>_xll.BDP("!!03076P Mtge","SECURITY_NAME")</f>
        <v>FNR 2021-32 AD</v>
      </c>
      <c r="C1160" t="str">
        <f>_xll.BDP("!!03076P Mtge","GENERIC_TICKER_VINTAGE")</f>
        <v>FNCL 3 2021</v>
      </c>
      <c r="D1160" t="str">
        <f>_xll.BDP("!!03076P Mtge","CRNCY")</f>
        <v>USD</v>
      </c>
      <c r="E1160">
        <v>125820000</v>
      </c>
      <c r="F1160">
        <f>_xll.BDP("!!03076P Mtge","CPN")</f>
        <v>1.5</v>
      </c>
      <c r="G1160">
        <f>_xll.BDP("!!03076P Mtge","MTG_FACTOR")</f>
        <v>0.58434854999999997</v>
      </c>
      <c r="H1160">
        <f>_xll.BDP("!!03076P Mtge","MTG_WAL")</f>
        <v>4.4634999999999998</v>
      </c>
      <c r="I1160">
        <f>_xll.BDP("!!03076P Mtge","MTG_ORIG_WAL")</f>
        <v>4.2</v>
      </c>
    </row>
    <row r="1161" spans="1:9" x14ac:dyDescent="0.25">
      <c r="A1161" t="str">
        <f>_xll.BDP("!!03076W Mtge","ID_CUSIP")</f>
        <v>3136BF7C1</v>
      </c>
      <c r="B1161" t="str">
        <f>_xll.BDP("!!03076W Mtge","SECURITY_NAME")</f>
        <v>FNR 2021-32 AI</v>
      </c>
      <c r="C1161" t="str">
        <f>_xll.BDP("!!03076W Mtge","GENERIC_TICKER_VINTAGE")</f>
        <v>FNCL 3 2021</v>
      </c>
      <c r="D1161" t="str">
        <f>_xll.BDP("!!03076W Mtge","CRNCY")</f>
        <v>USD</v>
      </c>
      <c r="E1161">
        <v>104850000</v>
      </c>
      <c r="F1161">
        <f>_xll.BDP("!!03076W Mtge","CPN")</f>
        <v>3</v>
      </c>
      <c r="G1161">
        <f>_xll.BDP("!!03076W Mtge","MTG_FACTOR")</f>
        <v>0.58434854999999997</v>
      </c>
      <c r="H1161">
        <f>_xll.BDP("!!03076W Mtge","MTG_WAL")</f>
        <v>4.4634999999999998</v>
      </c>
      <c r="I1161">
        <f>_xll.BDP("!!03076W Mtge","MTG_ORIG_WAL")</f>
        <v>4.2</v>
      </c>
    </row>
    <row r="1162" spans="1:9" x14ac:dyDescent="0.25">
      <c r="A1162" t="str">
        <f>_xll.BDP("!!03082C Mtge","ID_CUSIP")</f>
        <v>3136BHBT5</v>
      </c>
      <c r="B1162" t="str">
        <f>_xll.BDP("!!03082C Mtge","SECURITY_NAME")</f>
        <v>FNR 2021-32 LD</v>
      </c>
      <c r="C1162" t="str">
        <f>_xll.BDP("!!03082C Mtge","GENERIC_TICKER_VINTAGE")</f>
        <v>FNCL 3 2021</v>
      </c>
      <c r="D1162" t="str">
        <f>_xll.BDP("!!03082C Mtge","CRNCY")</f>
        <v>USD</v>
      </c>
      <c r="E1162">
        <v>15135000</v>
      </c>
      <c r="F1162">
        <f>_xll.BDP("!!03082C Mtge","CPN")</f>
        <v>1.75</v>
      </c>
      <c r="G1162">
        <f>_xll.BDP("!!03082C Mtge","MTG_FACTOR")</f>
        <v>1</v>
      </c>
      <c r="H1162">
        <f>_xll.BDP("!!03082C Mtge","MTG_WAL")</f>
        <v>8.6250999999999998</v>
      </c>
      <c r="I1162">
        <f>_xll.BDP("!!03082C Mtge","MTG_ORIG_WAL")</f>
        <v>8.5</v>
      </c>
    </row>
    <row r="1163" spans="1:9" x14ac:dyDescent="0.25">
      <c r="A1163" t="str">
        <f>_xll.BDP("!!030BHL Mtge","ID_CUSIP")</f>
        <v>3137H0R59</v>
      </c>
      <c r="B1163" t="str">
        <f>_xll.BDP("!!030BHL Mtge","SECURITY_NAME")</f>
        <v>FHR 5112 FA</v>
      </c>
      <c r="C1163" t="str">
        <f>_xll.BDP("!!030BHL Mtge","GENERIC_TICKER_VINTAGE")</f>
        <v>FNCL 3 2021</v>
      </c>
      <c r="D1163" t="str">
        <f>_xll.BDP("!!030BHL Mtge","CRNCY")</f>
        <v>USD</v>
      </c>
      <c r="E1163">
        <v>102200000</v>
      </c>
      <c r="F1163">
        <f>_xll.BDP("!!030BHL Mtge","CPN")</f>
        <v>3</v>
      </c>
      <c r="G1163">
        <f>_xll.BDP("!!030BHL Mtge","MTG_FACTOR")</f>
        <v>0.60052092999999995</v>
      </c>
      <c r="H1163">
        <f>_xll.BDP("!!030BHL Mtge","MTG_WAL")</f>
        <v>8.1813000000000002</v>
      </c>
      <c r="I1163">
        <f>_xll.BDP("!!030BHL Mtge","MTG_ORIG_WAL")</f>
        <v>5.0999999999999996</v>
      </c>
    </row>
    <row r="1164" spans="1:9" x14ac:dyDescent="0.25">
      <c r="A1164" t="str">
        <f>_xll.BDP("!!030JZ0 Mtge","ID_CUSIP")</f>
        <v>3136BHSA8</v>
      </c>
      <c r="B1164" t="str">
        <f>_xll.BDP("!!030JZ0 Mtge","SECURITY_NAME")</f>
        <v>FNR 2021-35 IK</v>
      </c>
      <c r="C1164" t="str">
        <f>_xll.BDP("!!030JZ0 Mtge","GENERIC_TICKER_VINTAGE")</f>
        <v>FNCL 3 2021</v>
      </c>
      <c r="D1164" t="str">
        <f>_xll.BDP("!!030JZ0 Mtge","CRNCY")</f>
        <v>USD</v>
      </c>
      <c r="E1164">
        <v>49571687</v>
      </c>
      <c r="F1164">
        <f>_xll.BDP("!!030JZ0 Mtge","CPN")</f>
        <v>3</v>
      </c>
      <c r="G1164">
        <f>_xll.BDP("!!030JZ0 Mtge","MTG_FACTOR")</f>
        <v>0.67822548999999999</v>
      </c>
      <c r="H1164">
        <f>_xll.BDP("!!030JZ0 Mtge","MTG_WAL")</f>
        <v>8.2878000000000007</v>
      </c>
      <c r="I1164">
        <f>_xll.BDP("!!030JZ0 Mtge","MTG_ORIG_WAL")</f>
        <v>6.2</v>
      </c>
    </row>
    <row r="1165" spans="1:9" x14ac:dyDescent="0.25">
      <c r="A1165" t="str">
        <f>_xll.BDP("!!030JZ7 Mtge","ID_CUSIP")</f>
        <v>3136BHTV1</v>
      </c>
      <c r="B1165" t="str">
        <f>_xll.BDP("!!030JZ7 Mtge","SECURITY_NAME")</f>
        <v>FNR 2021-35 KI</v>
      </c>
      <c r="C1165" t="str">
        <f>_xll.BDP("!!030JZ7 Mtge","GENERIC_TICKER_VINTAGE")</f>
        <v>FNCL 3 2021</v>
      </c>
      <c r="D1165" t="str">
        <f>_xll.BDP("!!030JZ7 Mtge","CRNCY")</f>
        <v>USD</v>
      </c>
      <c r="E1165">
        <v>41482666</v>
      </c>
      <c r="F1165">
        <f>_xll.BDP("!!030JZ7 Mtge","CPN")</f>
        <v>3</v>
      </c>
      <c r="G1165">
        <f>_xll.BDP("!!030JZ7 Mtge","MTG_FACTOR")</f>
        <v>0.59570659000000004</v>
      </c>
      <c r="H1165">
        <f>_xll.BDP("!!030JZ7 Mtge","MTG_WAL")</f>
        <v>4.6078999999999999</v>
      </c>
      <c r="I1165">
        <f>_xll.BDP("!!030JZ7 Mtge","MTG_ORIG_WAL")</f>
        <v>4.2</v>
      </c>
    </row>
    <row r="1166" spans="1:9" x14ac:dyDescent="0.25">
      <c r="A1166" t="str">
        <f>_xll.BDP("!!030LXY Mtge","ID_CUSIP")</f>
        <v>3137H0R67</v>
      </c>
      <c r="B1166" t="str">
        <f>_xll.BDP("!!030LXY Mtge","SECURITY_NAME")</f>
        <v>FHR 5112 FB</v>
      </c>
      <c r="C1166" t="str">
        <f>_xll.BDP("!!030LXY Mtge","GENERIC_TICKER_VINTAGE")</f>
        <v>FNCL 3 2021</v>
      </c>
      <c r="D1166" t="str">
        <f>_xll.BDP("!!030LXY Mtge","CRNCY")</f>
        <v>USD</v>
      </c>
      <c r="E1166">
        <v>25000000</v>
      </c>
      <c r="F1166">
        <f>_xll.BDP("!!030LXY Mtge","CPN")</f>
        <v>3</v>
      </c>
      <c r="G1166">
        <f>_xll.BDP("!!030LXY Mtge","MTG_FACTOR")</f>
        <v>0.60058889999999998</v>
      </c>
      <c r="H1166">
        <f>_xll.BDP("!!030LXY Mtge","MTG_WAL")</f>
        <v>8.1814999999999998</v>
      </c>
      <c r="I1166">
        <f>_xll.BDP("!!030LXY Mtge","MTG_ORIG_WAL")</f>
        <v>5.0999999999999996</v>
      </c>
    </row>
    <row r="1167" spans="1:9" x14ac:dyDescent="0.25">
      <c r="A1167" t="str">
        <f>_xll.BDP("!!030NP4 Mtge","ID_CUSIP")</f>
        <v>3136BHPW3</v>
      </c>
      <c r="B1167" t="str">
        <f>_xll.BDP("!!030NP4 Mtge","SECURITY_NAME")</f>
        <v>FNR 2021-40 BZ</v>
      </c>
      <c r="C1167" t="str">
        <f>_xll.BDP("!!030NP4 Mtge","GENERIC_TICKER_VINTAGE")</f>
        <v>FNCL 3 2021</v>
      </c>
      <c r="D1167" t="str">
        <f>_xll.BDP("!!030NP4 Mtge","CRNCY")</f>
        <v>USD</v>
      </c>
      <c r="E1167">
        <v>469000</v>
      </c>
      <c r="F1167">
        <f>_xll.BDP("!!030NP4 Mtge","CPN")</f>
        <v>3</v>
      </c>
      <c r="G1167">
        <f>_xll.BDP("!!030NP4 Mtge","MTG_FACTOR")</f>
        <v>1.1558304100000001</v>
      </c>
      <c r="H1167">
        <f>_xll.BDP("!!030NP4 Mtge","MTG_WAL")</f>
        <v>22.7591</v>
      </c>
      <c r="I1167">
        <f>_xll.BDP("!!030NP4 Mtge","MTG_ORIG_WAL")</f>
        <v>22.7</v>
      </c>
    </row>
    <row r="1168" spans="1:9" x14ac:dyDescent="0.25">
      <c r="A1168" t="str">
        <f>_xll.BDP("!!030R5J Mtge","ID_CUSIP")</f>
        <v>3137H0RN0</v>
      </c>
      <c r="B1168" t="str">
        <f>_xll.BDP("!!030R5J Mtge","SECURITY_NAME")</f>
        <v>FHR 5112 SC</v>
      </c>
      <c r="C1168" t="str">
        <f>_xll.BDP("!!030R5J Mtge","GENERIC_TICKER_VINTAGE")</f>
        <v>FNCL 3 2021</v>
      </c>
      <c r="D1168" t="str">
        <f>_xll.BDP("!!030R5J Mtge","CRNCY")</f>
        <v>USD</v>
      </c>
      <c r="E1168">
        <v>127200000</v>
      </c>
      <c r="F1168">
        <f>_xll.BDP("!!030R5J Mtge","CPN")</f>
        <v>0</v>
      </c>
      <c r="G1168">
        <f>_xll.BDP("!!030R5J Mtge","MTG_FACTOR")</f>
        <v>0.60053429000000003</v>
      </c>
      <c r="H1168">
        <f>_xll.BDP("!!030R5J Mtge","MTG_WAL")</f>
        <v>8.1814</v>
      </c>
      <c r="I1168">
        <f>_xll.BDP("!!030R5J Mtge","MTG_ORIG_WAL")</f>
        <v>5.0999999999999996</v>
      </c>
    </row>
    <row r="1169" spans="1:9" x14ac:dyDescent="0.25">
      <c r="A1169" t="str">
        <f>_xll.BDP("!!030RP3 Mtge","ID_CUSIP")</f>
        <v>3137H0JR0</v>
      </c>
      <c r="B1169" t="str">
        <f>_xll.BDP("!!030RP3 Mtge","SECURITY_NAME")</f>
        <v>FHR 5116 H</v>
      </c>
      <c r="C1169" t="str">
        <f>_xll.BDP("!!030RP3 Mtge","GENERIC_TICKER_VINTAGE")</f>
        <v>FNCL 3 2021</v>
      </c>
      <c r="D1169" t="str">
        <f>_xll.BDP("!!030RP3 Mtge","CRNCY")</f>
        <v>USD</v>
      </c>
      <c r="E1169">
        <v>20484127</v>
      </c>
      <c r="F1169">
        <f>_xll.BDP("!!030RP3 Mtge","CPN")</f>
        <v>2</v>
      </c>
      <c r="G1169">
        <f>_xll.BDP("!!030RP3 Mtge","MTG_FACTOR")</f>
        <v>0.61927810999999999</v>
      </c>
      <c r="H1169">
        <f>_xll.BDP("!!030RP3 Mtge","MTG_WAL")</f>
        <v>5.2363</v>
      </c>
      <c r="I1169">
        <f>_xll.BDP("!!030RP3 Mtge","MTG_ORIG_WAL")</f>
        <v>5.9</v>
      </c>
    </row>
    <row r="1170" spans="1:9" x14ac:dyDescent="0.25">
      <c r="A1170" t="str">
        <f>_xll.BDP("!!030RP4 Mtge","ID_CUSIP")</f>
        <v>3137H0K49</v>
      </c>
      <c r="B1170" t="str">
        <f>_xll.BDP("!!030RP4 Mtge","SECURITY_NAME")</f>
        <v>FHR 5116 HZ</v>
      </c>
      <c r="C1170" t="str">
        <f>_xll.BDP("!!030RP4 Mtge","GENERIC_TICKER_VINTAGE")</f>
        <v>FNCL 3 2021</v>
      </c>
      <c r="D1170" t="str">
        <f>_xll.BDP("!!030RP4 Mtge","CRNCY")</f>
        <v>USD</v>
      </c>
      <c r="E1170">
        <v>1312085</v>
      </c>
      <c r="F1170">
        <f>_xll.BDP("!!030RP4 Mtge","CPN")</f>
        <v>2</v>
      </c>
      <c r="G1170">
        <f>_xll.BDP("!!030RP4 Mtge","MTG_FACTOR")</f>
        <v>1.10140452</v>
      </c>
      <c r="H1170">
        <f>_xll.BDP("!!030RP4 Mtge","MTG_WAL")</f>
        <v>15.116199999999999</v>
      </c>
      <c r="I1170">
        <f>_xll.BDP("!!030RP4 Mtge","MTG_ORIG_WAL")</f>
        <v>19.100000000000001</v>
      </c>
    </row>
    <row r="1171" spans="1:9" x14ac:dyDescent="0.25">
      <c r="A1171" t="str">
        <f>_xll.BDP("!!030RP5 Mtge","ID_CUSIP")</f>
        <v>3137H0K31</v>
      </c>
      <c r="B1171" t="str">
        <f>_xll.BDP("!!030RP5 Mtge","SECURITY_NAME")</f>
        <v>FHR 5116 HW</v>
      </c>
      <c r="C1171" t="str">
        <f>_xll.BDP("!!030RP5 Mtge","GENERIC_TICKER_VINTAGE")</f>
        <v>FNCL 3 2021</v>
      </c>
      <c r="D1171" t="str">
        <f>_xll.BDP("!!030RP5 Mtge","CRNCY")</f>
        <v>USD</v>
      </c>
      <c r="E1171">
        <v>2205084</v>
      </c>
      <c r="F1171">
        <f>_xll.BDP("!!030RP5 Mtge","CPN")</f>
        <v>2</v>
      </c>
      <c r="G1171">
        <f>_xll.BDP("!!030RP5 Mtge","MTG_FACTOR")</f>
        <v>0.67402635</v>
      </c>
      <c r="H1171">
        <f>_xll.BDP("!!030RP5 Mtge","MTG_WAL")</f>
        <v>17.426300000000001</v>
      </c>
      <c r="I1171">
        <f>_xll.BDP("!!030RP5 Mtge","MTG_ORIG_WAL")</f>
        <v>3</v>
      </c>
    </row>
    <row r="1172" spans="1:9" x14ac:dyDescent="0.25">
      <c r="A1172" t="str">
        <f>_xll.BDP("!!030RP6 Mtge","ID_CUSIP")</f>
        <v>3137H0JZ2</v>
      </c>
      <c r="B1172" t="str">
        <f>_xll.BDP("!!030RP6 Mtge","SECURITY_NAME")</f>
        <v>FHR 5116 HJ</v>
      </c>
      <c r="C1172" t="str">
        <f>_xll.BDP("!!030RP6 Mtge","GENERIC_TICKER_VINTAGE")</f>
        <v>FNCL 3 2021</v>
      </c>
      <c r="D1172" t="str">
        <f>_xll.BDP("!!030RP6 Mtge","CRNCY")</f>
        <v>USD</v>
      </c>
      <c r="E1172">
        <v>2034179</v>
      </c>
      <c r="F1172">
        <f>_xll.BDP("!!030RP6 Mtge","CPN")</f>
        <v>2</v>
      </c>
      <c r="G1172">
        <f>_xll.BDP("!!030RP6 Mtge","MTG_FACTOR")</f>
        <v>0.42317027000000002</v>
      </c>
      <c r="H1172">
        <f>_xll.BDP("!!030RP6 Mtge","MTG_WAL")</f>
        <v>22.462499999999999</v>
      </c>
      <c r="I1172">
        <f>_xll.BDP("!!030RP6 Mtge","MTG_ORIG_WAL")</f>
        <v>16.2</v>
      </c>
    </row>
    <row r="1173" spans="1:9" x14ac:dyDescent="0.25">
      <c r="A1173" t="str">
        <f>_xll.BDP("!!030RP7 Mtge","ID_CUSIP")</f>
        <v>3137H0K23</v>
      </c>
      <c r="B1173" t="str">
        <f>_xll.BDP("!!030RP7 Mtge","SECURITY_NAME")</f>
        <v>FHR 5116 HT</v>
      </c>
      <c r="C1173" t="str">
        <f>_xll.BDP("!!030RP7 Mtge","GENERIC_TICKER_VINTAGE")</f>
        <v>FNCL 3 2021</v>
      </c>
      <c r="D1173" t="str">
        <f>_xll.BDP("!!030RP7 Mtge","CRNCY")</f>
        <v>USD</v>
      </c>
      <c r="E1173">
        <v>10414190</v>
      </c>
      <c r="F1173">
        <f>_xll.BDP("!!030RP7 Mtge","CPN")</f>
        <v>5.5</v>
      </c>
      <c r="G1173">
        <f>_xll.BDP("!!030RP7 Mtge","MTG_FACTOR")</f>
        <v>0.63289019000000002</v>
      </c>
      <c r="H1173">
        <f>_xll.BDP("!!030RP7 Mtge","MTG_WAL")</f>
        <v>8.3138000000000005</v>
      </c>
      <c r="I1173">
        <f>_xll.BDP("!!030RP7 Mtge","MTG_ORIG_WAL")</f>
        <v>7.3</v>
      </c>
    </row>
    <row r="1174" spans="1:9" x14ac:dyDescent="0.25">
      <c r="A1174" t="str">
        <f>_xll.BDP("!!030RPK Mtge","ID_CUSIP")</f>
        <v>3137H0ST6</v>
      </c>
      <c r="B1174" t="str">
        <f>_xll.BDP("!!030RPK Mtge","SECURITY_NAME")</f>
        <v>FHR 5119 QP</v>
      </c>
      <c r="C1174" t="str">
        <f>_xll.BDP("!!030RPK Mtge","GENERIC_TICKER_VINTAGE")</f>
        <v>FNCL 3 2021</v>
      </c>
      <c r="D1174" t="str">
        <f>_xll.BDP("!!030RPK Mtge","CRNCY")</f>
        <v>USD</v>
      </c>
      <c r="E1174">
        <v>128254000</v>
      </c>
      <c r="F1174">
        <f>_xll.BDP("!!030RPK Mtge","CPN")</f>
        <v>2</v>
      </c>
      <c r="G1174">
        <f>_xll.BDP("!!030RPK Mtge","MTG_FACTOR")</f>
        <v>0.68326317999999997</v>
      </c>
      <c r="H1174">
        <f>_xll.BDP("!!030RPK Mtge","MTG_WAL")</f>
        <v>5.6379999999999999</v>
      </c>
      <c r="I1174">
        <f>_xll.BDP("!!030RPK Mtge","MTG_ORIG_WAL")</f>
        <v>7</v>
      </c>
    </row>
    <row r="1175" spans="1:9" x14ac:dyDescent="0.25">
      <c r="A1175" t="str">
        <f>_xll.BDP("!!030RPL Mtge","ID_CUSIP")</f>
        <v>3137H0S82</v>
      </c>
      <c r="B1175" t="str">
        <f>_xll.BDP("!!030RPL Mtge","SECURITY_NAME")</f>
        <v>FHR 5119 FQ</v>
      </c>
      <c r="C1175" t="str">
        <f>_xll.BDP("!!030RPL Mtge","GENERIC_TICKER_VINTAGE")</f>
        <v>FNCL 3 2021</v>
      </c>
      <c r="D1175" t="str">
        <f>_xll.BDP("!!030RPL Mtge","CRNCY")</f>
        <v>USD</v>
      </c>
      <c r="E1175">
        <v>14003819</v>
      </c>
      <c r="F1175">
        <f>_xll.BDP("!!030RPL Mtge","CPN")</f>
        <v>4</v>
      </c>
      <c r="G1175">
        <f>_xll.BDP("!!030RPL Mtge","MTG_FACTOR")</f>
        <v>0.93233277999999997</v>
      </c>
      <c r="H1175">
        <f>_xll.BDP("!!030RPL Mtge","MTG_WAL")</f>
        <v>16.604099999999999</v>
      </c>
      <c r="I1175">
        <f>_xll.BDP("!!030RPL Mtge","MTG_ORIG_WAL")</f>
        <v>8.6</v>
      </c>
    </row>
    <row r="1176" spans="1:9" x14ac:dyDescent="0.25">
      <c r="A1176" t="str">
        <f>_xll.BDP("!!030RPP Mtge","ID_CUSIP")</f>
        <v>3137H0SS8</v>
      </c>
      <c r="B1176" t="str">
        <f>_xll.BDP("!!030RPP Mtge","SECURITY_NAME")</f>
        <v>FHR 5119 QF</v>
      </c>
      <c r="C1176" t="str">
        <f>_xll.BDP("!!030RPP Mtge","GENERIC_TICKER_VINTAGE")</f>
        <v>FNCL 3 2021</v>
      </c>
      <c r="D1176" t="str">
        <f>_xll.BDP("!!030RPP Mtge","CRNCY")</f>
        <v>USD</v>
      </c>
      <c r="E1176">
        <v>44646467</v>
      </c>
      <c r="F1176">
        <f>_xll.BDP("!!030RPP Mtge","CPN")</f>
        <v>3.86721</v>
      </c>
      <c r="G1176">
        <f>_xll.BDP("!!030RPP Mtge","MTG_FACTOR")</f>
        <v>0.72790769</v>
      </c>
      <c r="H1176">
        <f>_xll.BDP("!!030RPP Mtge","MTG_WAL")</f>
        <v>8.1358999999999995</v>
      </c>
      <c r="I1176">
        <f>_xll.BDP("!!030RPP Mtge","MTG_ORIG_WAL")</f>
        <v>7.3</v>
      </c>
    </row>
    <row r="1177" spans="1:9" x14ac:dyDescent="0.25">
      <c r="A1177" t="str">
        <f>_xll.BDP("!!030RPR Mtge","ID_CUSIP")</f>
        <v>3137H0SV1</v>
      </c>
      <c r="B1177" t="str">
        <f>_xll.BDP("!!030RPR Mtge","SECURITY_NAME")</f>
        <v>FHR 5119 QU</v>
      </c>
      <c r="C1177" t="str">
        <f>_xll.BDP("!!030RPR Mtge","GENERIC_TICKER_VINTAGE")</f>
        <v>FNCL 3 2021</v>
      </c>
      <c r="D1177" t="str">
        <f>_xll.BDP("!!030RPR Mtge","CRNCY")</f>
        <v>USD</v>
      </c>
      <c r="E1177">
        <v>28007637</v>
      </c>
      <c r="F1177">
        <f>_xll.BDP("!!030RPR Mtge","CPN")</f>
        <v>2</v>
      </c>
      <c r="G1177">
        <f>_xll.BDP("!!030RPR Mtge","MTG_FACTOR")</f>
        <v>0.93233277999999997</v>
      </c>
      <c r="H1177">
        <f>_xll.BDP("!!030RPR Mtge","MTG_WAL")</f>
        <v>16.604099999999999</v>
      </c>
      <c r="I1177">
        <f>_xll.BDP("!!030RPR Mtge","MTG_ORIG_WAL")</f>
        <v>8.6</v>
      </c>
    </row>
    <row r="1178" spans="1:9" x14ac:dyDescent="0.25">
      <c r="A1178" t="str">
        <f>_xll.BDP("!!030SP2 Mtge","ID_CUSIP")</f>
        <v>3136BHS59</v>
      </c>
      <c r="B1178" t="str">
        <f>_xll.BDP("!!030SP2 Mtge","SECURITY_NAME")</f>
        <v>FNR 2021-41 FA</v>
      </c>
      <c r="C1178" t="str">
        <f>_xll.BDP("!!030SP2 Mtge","GENERIC_TICKER_VINTAGE")</f>
        <v>FNCL 3 2021</v>
      </c>
      <c r="D1178" t="str">
        <f>_xll.BDP("!!030SP2 Mtge","CRNCY")</f>
        <v>USD</v>
      </c>
      <c r="E1178">
        <v>30000000</v>
      </c>
      <c r="F1178">
        <f>_xll.BDP("!!030SP2 Mtge","CPN")</f>
        <v>3</v>
      </c>
      <c r="G1178">
        <f>_xll.BDP("!!030SP2 Mtge","MTG_FACTOR")</f>
        <v>0.60027052000000003</v>
      </c>
      <c r="H1178">
        <f>_xll.BDP("!!030SP2 Mtge","MTG_WAL")</f>
        <v>8.0543999999999993</v>
      </c>
      <c r="I1178">
        <f>_xll.BDP("!!030SP2 Mtge","MTG_ORIG_WAL")</f>
        <v>5.0373999999999999</v>
      </c>
    </row>
    <row r="1179" spans="1:9" x14ac:dyDescent="0.25">
      <c r="A1179" t="str">
        <f>_xll.BDP("!!030Y52 Mtge","ID_CUSIP")</f>
        <v>3137H1GG5</v>
      </c>
      <c r="B1179" t="str">
        <f>_xll.BDP("!!030Y52 Mtge","SECURITY_NAME")</f>
        <v>FHR 5124 HP</v>
      </c>
      <c r="C1179" t="str">
        <f>_xll.BDP("!!030Y52 Mtge","GENERIC_TICKER_VINTAGE")</f>
        <v>FNCL 3 2021</v>
      </c>
      <c r="D1179" t="str">
        <f>_xll.BDP("!!030Y52 Mtge","CRNCY")</f>
        <v>USD</v>
      </c>
      <c r="E1179">
        <v>65339000</v>
      </c>
      <c r="F1179">
        <f>_xll.BDP("!!030Y52 Mtge","CPN")</f>
        <v>1.5</v>
      </c>
      <c r="G1179">
        <f>_xll.BDP("!!030Y52 Mtge","MTG_FACTOR")</f>
        <v>0.67453032000000002</v>
      </c>
      <c r="H1179">
        <f>_xll.BDP("!!030Y52 Mtge","MTG_WAL")</f>
        <v>8.2891999999999992</v>
      </c>
      <c r="I1179">
        <f>_xll.BDP("!!030Y52 Mtge","MTG_ORIG_WAL")</f>
        <v>6.1</v>
      </c>
    </row>
    <row r="1180" spans="1:9" x14ac:dyDescent="0.25">
      <c r="A1180" t="str">
        <f>_xll.BDP("!!0312LQ Mtge","ID_CUSIP")</f>
        <v>3136BH3T4</v>
      </c>
      <c r="B1180" t="str">
        <f>_xll.BDP("!!0312LQ Mtge","SECURITY_NAME")</f>
        <v>FNR 2021-46 AB</v>
      </c>
      <c r="C1180" t="str">
        <f>_xll.BDP("!!0312LQ Mtge","GENERIC_TICKER_VINTAGE")</f>
        <v>FNCL 3 2021</v>
      </c>
      <c r="D1180" t="str">
        <f>_xll.BDP("!!0312LQ Mtge","CRNCY")</f>
        <v>USD</v>
      </c>
      <c r="E1180">
        <v>81630294</v>
      </c>
      <c r="F1180">
        <f>_xll.BDP("!!0312LQ Mtge","CPN")</f>
        <v>1.5</v>
      </c>
      <c r="G1180">
        <f>_xll.BDP("!!0312LQ Mtge","MTG_FACTOR")</f>
        <v>0.68136487000000001</v>
      </c>
      <c r="H1180">
        <f>_xll.BDP("!!0312LQ Mtge","MTG_WAL")</f>
        <v>6.1393000000000004</v>
      </c>
      <c r="I1180">
        <f>_xll.BDP("!!0312LQ Mtge","MTG_ORIG_WAL")</f>
        <v>6.7</v>
      </c>
    </row>
    <row r="1181" spans="1:9" x14ac:dyDescent="0.25">
      <c r="A1181" t="str">
        <f>_xll.BDP("!!0312XM Mtge","ID_CUSIP")</f>
        <v>3136BHE70</v>
      </c>
      <c r="B1181" t="str">
        <f>_xll.BDP("!!0312XM Mtge","SECURITY_NAME")</f>
        <v>FNR 2021-44 FL</v>
      </c>
      <c r="C1181" t="str">
        <f>_xll.BDP("!!0312XM Mtge","GENERIC_TICKER_VINTAGE")</f>
        <v>FNCL 3 2021</v>
      </c>
      <c r="D1181" t="str">
        <f>_xll.BDP("!!0312XM Mtge","CRNCY")</f>
        <v>USD</v>
      </c>
      <c r="E1181">
        <v>3292103</v>
      </c>
      <c r="F1181">
        <f>_xll.BDP("!!0312XM Mtge","CPN")</f>
        <v>4</v>
      </c>
      <c r="G1181">
        <f>_xll.BDP("!!0312XM Mtge","MTG_FACTOR")</f>
        <v>0.64750255000000001</v>
      </c>
      <c r="H1181">
        <f>_xll.BDP("!!0312XM Mtge","MTG_WAL")</f>
        <v>21.198699999999999</v>
      </c>
      <c r="I1181">
        <f>_xll.BDP("!!0312XM Mtge","MTG_ORIG_WAL")</f>
        <v>8.9994999999999994</v>
      </c>
    </row>
    <row r="1182" spans="1:9" x14ac:dyDescent="0.25">
      <c r="A1182" t="str">
        <f>_xll.BDP("!!0312XN Mtge","ID_CUSIP")</f>
        <v>3136BHE88</v>
      </c>
      <c r="B1182" t="str">
        <f>_xll.BDP("!!0312XN Mtge","SECURITY_NAME")</f>
        <v>FNR 2021-44 SL</v>
      </c>
      <c r="C1182" t="str">
        <f>_xll.BDP("!!0312XN Mtge","GENERIC_TICKER_VINTAGE")</f>
        <v>FNCL 3 2021</v>
      </c>
      <c r="D1182" t="str">
        <f>_xll.BDP("!!0312XN Mtge","CRNCY")</f>
        <v>USD</v>
      </c>
      <c r="E1182">
        <v>3292102</v>
      </c>
      <c r="F1182">
        <f>_xll.BDP("!!0312XN Mtge","CPN")</f>
        <v>0</v>
      </c>
      <c r="G1182">
        <f>_xll.BDP("!!0312XN Mtge","MTG_FACTOR")</f>
        <v>0.64750255000000001</v>
      </c>
      <c r="H1182">
        <f>_xll.BDP("!!0312XN Mtge","MTG_WAL")</f>
        <v>21.198699999999999</v>
      </c>
      <c r="I1182">
        <f>_xll.BDP("!!0312XN Mtge","MTG_ORIG_WAL")</f>
        <v>8.9994999999999994</v>
      </c>
    </row>
    <row r="1183" spans="1:9" x14ac:dyDescent="0.25">
      <c r="A1183" t="str">
        <f>_xll.BDP("!!03171Q Mtge","ID_CUSIP")</f>
        <v>3136BH2Y4</v>
      </c>
      <c r="B1183" t="str">
        <f>_xll.BDP("!!03171Q Mtge","SECURITY_NAME")</f>
        <v>FNR 2021-47 AZ</v>
      </c>
      <c r="C1183" t="str">
        <f>_xll.BDP("!!03171Q Mtge","GENERIC_TICKER_VINTAGE")</f>
        <v>FNCL 3 2021</v>
      </c>
      <c r="D1183" t="str">
        <f>_xll.BDP("!!03171Q Mtge","CRNCY")</f>
        <v>USD</v>
      </c>
      <c r="E1183">
        <v>56740000</v>
      </c>
      <c r="F1183">
        <f>_xll.BDP("!!03171Q Mtge","CPN")</f>
        <v>3</v>
      </c>
      <c r="G1183">
        <f>_xll.BDP("!!03171Q Mtge","MTG_FACTOR")</f>
        <v>0.97235570999999998</v>
      </c>
      <c r="H1183">
        <f>_xll.BDP("!!03171Q Mtge","MTG_WAL")</f>
        <v>8.3003999999999998</v>
      </c>
      <c r="I1183">
        <f>_xll.BDP("!!03171Q Mtge","MTG_ORIG_WAL")</f>
        <v>7.3</v>
      </c>
    </row>
    <row r="1184" spans="1:9" x14ac:dyDescent="0.25">
      <c r="A1184" t="str">
        <f>_xll.BDP("!!0319TV Mtge","ID_CUSIP")</f>
        <v>3136BHF53</v>
      </c>
      <c r="B1184" t="str">
        <f>_xll.BDP("!!0319TV Mtge","SECURITY_NAME")</f>
        <v>FNR 2021-44 NU</v>
      </c>
      <c r="C1184" t="str">
        <f>_xll.BDP("!!0319TV Mtge","GENERIC_TICKER_VINTAGE")</f>
        <v>FNCL 3 2021</v>
      </c>
      <c r="D1184" t="str">
        <f>_xll.BDP("!!0319TV Mtge","CRNCY")</f>
        <v>USD</v>
      </c>
      <c r="E1184">
        <v>5526169</v>
      </c>
      <c r="F1184">
        <f>_xll.BDP("!!0319TV Mtge","CPN")</f>
        <v>2</v>
      </c>
      <c r="G1184">
        <f>_xll.BDP("!!0319TV Mtge","MTG_FACTOR")</f>
        <v>0.77358815999999997</v>
      </c>
      <c r="H1184">
        <f>_xll.BDP("!!0319TV Mtge","MTG_WAL")</f>
        <v>17.8505</v>
      </c>
      <c r="I1184">
        <f>_xll.BDP("!!0319TV Mtge","MTG_ORIG_WAL")</f>
        <v>5.9924200000000001</v>
      </c>
    </row>
    <row r="1185" spans="1:9" x14ac:dyDescent="0.25">
      <c r="A1185" t="str">
        <f>_xll.BDP("!!031G46 Mtge","ID_CUSIP")</f>
        <v>3136BHT90</v>
      </c>
      <c r="B1185" t="str">
        <f>_xll.BDP("!!031G46 Mtge","SECURITY_NAME")</f>
        <v>FNR 2021-41 SD</v>
      </c>
      <c r="C1185" t="str">
        <f>_xll.BDP("!!031G46 Mtge","GENERIC_TICKER_VINTAGE")</f>
        <v>FNCL 3 2021</v>
      </c>
      <c r="D1185" t="str">
        <f>_xll.BDP("!!031G46 Mtge","CRNCY")</f>
        <v>USD</v>
      </c>
      <c r="E1185">
        <v>57327054</v>
      </c>
      <c r="F1185">
        <f>_xll.BDP("!!031G46 Mtge","CPN")</f>
        <v>0</v>
      </c>
      <c r="G1185">
        <f>_xll.BDP("!!031G46 Mtge","MTG_FACTOR")</f>
        <v>0.61604411000000003</v>
      </c>
      <c r="H1185">
        <f>_xll.BDP("!!031G46 Mtge","MTG_WAL")</f>
        <v>8.0837000000000003</v>
      </c>
      <c r="I1185">
        <f>_xll.BDP("!!031G46 Mtge","MTG_ORIG_WAL")</f>
        <v>5.0644499999999999</v>
      </c>
    </row>
    <row r="1186" spans="1:9" x14ac:dyDescent="0.25">
      <c r="A1186" t="str">
        <f>_xll.BDP("!!031LC0 Mtge","ID_CUSIP")</f>
        <v>3136BGJK8</v>
      </c>
      <c r="B1186" t="str">
        <f>_xll.BDP("!!031LC0 Mtge","SECURITY_NAME")</f>
        <v>FNR 2021-54 NA</v>
      </c>
      <c r="C1186" t="str">
        <f>_xll.BDP("!!031LC0 Mtge","GENERIC_TICKER_VINTAGE")</f>
        <v>FNCL 3 2021</v>
      </c>
      <c r="D1186" t="str">
        <f>_xll.BDP("!!031LC0 Mtge","CRNCY")</f>
        <v>USD</v>
      </c>
      <c r="E1186">
        <v>82436035</v>
      </c>
      <c r="F1186">
        <f>_xll.BDP("!!031LC0 Mtge","CPN")</f>
        <v>2</v>
      </c>
      <c r="G1186">
        <f>_xll.BDP("!!031LC0 Mtge","MTG_FACTOR")</f>
        <v>0.68688870000000002</v>
      </c>
      <c r="H1186">
        <f>_xll.BDP("!!031LC0 Mtge","MTG_WAL")</f>
        <v>4.9729999999999999</v>
      </c>
      <c r="I1186">
        <f>_xll.BDP("!!031LC0 Mtge","MTG_ORIG_WAL")</f>
        <v>6</v>
      </c>
    </row>
    <row r="1187" spans="1:9" x14ac:dyDescent="0.25">
      <c r="A1187" t="str">
        <f>_xll.BDP("!!031LF6 Mtge","ID_CUSIP")</f>
        <v>3137H1NC6</v>
      </c>
      <c r="B1187" t="str">
        <f>_xll.BDP("!!031LF6 Mtge","SECURITY_NAME")</f>
        <v>FHR 5130 FA</v>
      </c>
      <c r="C1187" t="str">
        <f>_xll.BDP("!!031LF6 Mtge","GENERIC_TICKER_VINTAGE")</f>
        <v>FNCL 3 2021</v>
      </c>
      <c r="D1187" t="str">
        <f>_xll.BDP("!!031LF6 Mtge","CRNCY")</f>
        <v>USD</v>
      </c>
      <c r="E1187">
        <v>25000000</v>
      </c>
      <c r="F1187">
        <f>_xll.BDP("!!031LF6 Mtge","CPN")</f>
        <v>3</v>
      </c>
      <c r="G1187">
        <f>_xll.BDP("!!031LF6 Mtge","MTG_FACTOR")</f>
        <v>0.65830933000000003</v>
      </c>
      <c r="H1187">
        <f>_xll.BDP("!!031LF6 Mtge","MTG_WAL")</f>
        <v>8.2194000000000003</v>
      </c>
      <c r="I1187">
        <f>_xll.BDP("!!031LF6 Mtge","MTG_ORIG_WAL")</f>
        <v>5.0999999999999996</v>
      </c>
    </row>
    <row r="1188" spans="1:9" x14ac:dyDescent="0.25">
      <c r="A1188" t="str">
        <f>_xll.BDP("!!031LW7 Mtge","ID_CUSIP")</f>
        <v>3136BGMN8</v>
      </c>
      <c r="B1188" t="str">
        <f>_xll.BDP("!!031LW7 Mtge","SECURITY_NAME")</f>
        <v>FNR 2021-53 GC</v>
      </c>
      <c r="C1188" t="str">
        <f>_xll.BDP("!!031LW7 Mtge","GENERIC_TICKER_VINTAGE")</f>
        <v>FNCL 3 2021</v>
      </c>
      <c r="D1188" t="str">
        <f>_xll.BDP("!!031LW7 Mtge","CRNCY")</f>
        <v>USD</v>
      </c>
      <c r="E1188">
        <v>112497000</v>
      </c>
      <c r="F1188">
        <f>_xll.BDP("!!031LW7 Mtge","CPN")</f>
        <v>1.5</v>
      </c>
      <c r="G1188">
        <f>_xll.BDP("!!031LW7 Mtge","MTG_FACTOR")</f>
        <v>0.72412341999999996</v>
      </c>
      <c r="H1188">
        <f>_xll.BDP("!!031LW7 Mtge","MTG_WAL")</f>
        <v>5.6692999999999998</v>
      </c>
      <c r="I1188">
        <f>_xll.BDP("!!031LW7 Mtge","MTG_ORIG_WAL")</f>
        <v>5.5</v>
      </c>
    </row>
    <row r="1189" spans="1:9" x14ac:dyDescent="0.25">
      <c r="A1189" t="str">
        <f>_xll.BDP("!!031LWF Mtge","ID_CUSIP")</f>
        <v>3136BGMS7</v>
      </c>
      <c r="B1189" t="str">
        <f>_xll.BDP("!!031LWF Mtge","SECURITY_NAME")</f>
        <v>FNR 2021-53 GI</v>
      </c>
      <c r="C1189" t="str">
        <f>_xll.BDP("!!031LWF Mtge","GENERIC_TICKER_VINTAGE")</f>
        <v>FNCL 3 2021</v>
      </c>
      <c r="D1189" t="str">
        <f>_xll.BDP("!!031LWF Mtge","CRNCY")</f>
        <v>USD</v>
      </c>
      <c r="E1189">
        <v>56248500</v>
      </c>
      <c r="F1189">
        <f>_xll.BDP("!!031LWF Mtge","CPN")</f>
        <v>3</v>
      </c>
      <c r="G1189">
        <f>_xll.BDP("!!031LWF Mtge","MTG_FACTOR")</f>
        <v>0.72412341999999996</v>
      </c>
      <c r="H1189">
        <f>_xll.BDP("!!031LWF Mtge","MTG_WAL")</f>
        <v>5.6692999999999998</v>
      </c>
      <c r="I1189">
        <f>_xll.BDP("!!031LWF Mtge","MTG_ORIG_WAL")</f>
        <v>5.5</v>
      </c>
    </row>
    <row r="1190" spans="1:9" x14ac:dyDescent="0.25">
      <c r="A1190" t="str">
        <f>_xll.BDP("!!031MJN Mtge","ID_CUSIP")</f>
        <v>3137H1VD5</v>
      </c>
      <c r="B1190" t="str">
        <f>_xll.BDP("!!031MJN Mtge","SECURITY_NAME")</f>
        <v>FHR 5131 QZ</v>
      </c>
      <c r="C1190" t="str">
        <f>_xll.BDP("!!031MJN Mtge","GENERIC_TICKER_VINTAGE")</f>
        <v>FNCL 3 2021</v>
      </c>
      <c r="D1190" t="str">
        <f>_xll.BDP("!!031MJN Mtge","CRNCY")</f>
        <v>USD</v>
      </c>
      <c r="E1190">
        <v>11981354</v>
      </c>
      <c r="F1190">
        <f>_xll.BDP("!!031MJN Mtge","CPN")</f>
        <v>3</v>
      </c>
      <c r="G1190">
        <f>_xll.BDP("!!031MJN Mtge","MTG_FACTOR")</f>
        <v>0.29333062999999998</v>
      </c>
      <c r="H1190">
        <f>_xll.BDP("!!031MJN Mtge","MTG_WAL")</f>
        <v>18.558</v>
      </c>
      <c r="I1190">
        <f>_xll.BDP("!!031MJN Mtge","MTG_ORIG_WAL")</f>
        <v>10.5</v>
      </c>
    </row>
    <row r="1191" spans="1:9" x14ac:dyDescent="0.25">
      <c r="A1191" t="str">
        <f>_xll.BDP("!!031PKP Mtge","ID_CUSIP")</f>
        <v>3137H1ND4</v>
      </c>
      <c r="B1191" t="str">
        <f>_xll.BDP("!!031PKP Mtge","SECURITY_NAME")</f>
        <v>FHR 5130 FB</v>
      </c>
      <c r="C1191" t="str">
        <f>_xll.BDP("!!031PKP Mtge","GENERIC_TICKER_VINTAGE")</f>
        <v>FNCL 3 2021</v>
      </c>
      <c r="D1191" t="str">
        <f>_xll.BDP("!!031PKP Mtge","CRNCY")</f>
        <v>USD</v>
      </c>
      <c r="E1191">
        <v>50000000</v>
      </c>
      <c r="F1191">
        <f>_xll.BDP("!!031PKP Mtge","CPN")</f>
        <v>3</v>
      </c>
      <c r="G1191">
        <f>_xll.BDP("!!031PKP Mtge","MTG_FACTOR")</f>
        <v>0.66127004</v>
      </c>
      <c r="H1191">
        <f>_xll.BDP("!!031PKP Mtge","MTG_WAL")</f>
        <v>8.1724999999999994</v>
      </c>
      <c r="I1191">
        <f>_xll.BDP("!!031PKP Mtge","MTG_ORIG_WAL")</f>
        <v>5.0999999999999996</v>
      </c>
    </row>
    <row r="1192" spans="1:9" x14ac:dyDescent="0.25">
      <c r="A1192" t="str">
        <f>_xll.BDP("!!031R6N Mtge","ID_CUSIP")</f>
        <v>3136BGNS6</v>
      </c>
      <c r="B1192" t="str">
        <f>_xll.BDP("!!031R6N Mtge","SECURITY_NAME")</f>
        <v>FNR 2021-52 FL</v>
      </c>
      <c r="C1192" t="str">
        <f>_xll.BDP("!!031R6N Mtge","GENERIC_TICKER_VINTAGE")</f>
        <v>FNCL 3 2021</v>
      </c>
      <c r="D1192" t="str">
        <f>_xll.BDP("!!031R6N Mtge","CRNCY")</f>
        <v>USD</v>
      </c>
      <c r="E1192">
        <v>5300653</v>
      </c>
      <c r="F1192">
        <f>_xll.BDP("!!031R6N Mtge","CPN")</f>
        <v>4</v>
      </c>
      <c r="G1192">
        <f>_xll.BDP("!!031R6N Mtge","MTG_FACTOR")</f>
        <v>0.63229584000000005</v>
      </c>
      <c r="H1192">
        <f>_xll.BDP("!!031R6N Mtge","MTG_WAL")</f>
        <v>19.646000000000001</v>
      </c>
      <c r="I1192">
        <f>_xll.BDP("!!031R6N Mtge","MTG_ORIG_WAL")</f>
        <v>2</v>
      </c>
    </row>
    <row r="1193" spans="1:9" x14ac:dyDescent="0.25">
      <c r="A1193" t="str">
        <f>_xll.BDP("!!031R6P Mtge","ID_CUSIP")</f>
        <v>3136BGNT4</v>
      </c>
      <c r="B1193" t="str">
        <f>_xll.BDP("!!031R6P Mtge","SECURITY_NAME")</f>
        <v>FNR 2021-52 LS</v>
      </c>
      <c r="C1193" t="str">
        <f>_xll.BDP("!!031R6P Mtge","GENERIC_TICKER_VINTAGE")</f>
        <v>FNCL 3 2021</v>
      </c>
      <c r="D1193" t="str">
        <f>_xll.BDP("!!031R6P Mtge","CRNCY")</f>
        <v>USD</v>
      </c>
      <c r="E1193">
        <v>1855229</v>
      </c>
      <c r="F1193">
        <f>_xll.BDP("!!031R6P Mtge","CPN")</f>
        <v>0</v>
      </c>
      <c r="G1193">
        <f>_xll.BDP("!!031R6P Mtge","MTG_FACTOR")</f>
        <v>0.38715979</v>
      </c>
      <c r="H1193">
        <f>_xll.BDP("!!031R6P Mtge","MTG_WAL")</f>
        <v>16.271599999999999</v>
      </c>
      <c r="I1193">
        <f>_xll.BDP("!!031R6P Mtge","MTG_ORIG_WAL")</f>
        <v>1.4</v>
      </c>
    </row>
    <row r="1194" spans="1:9" x14ac:dyDescent="0.25">
      <c r="A1194" t="str">
        <f>_xll.BDP("!!031R6Q Mtge","ID_CUSIP")</f>
        <v>3136BGNU1</v>
      </c>
      <c r="B1194" t="str">
        <f>_xll.BDP("!!031R6Q Mtge","SECURITY_NAME")</f>
        <v>FNR 2021-52 SL</v>
      </c>
      <c r="C1194" t="str">
        <f>_xll.BDP("!!031R6Q Mtge","GENERIC_TICKER_VINTAGE")</f>
        <v>FNCL 3 2021</v>
      </c>
      <c r="D1194" t="str">
        <f>_xll.BDP("!!031R6Q Mtge","CRNCY")</f>
        <v>USD</v>
      </c>
      <c r="E1194">
        <v>1236819</v>
      </c>
      <c r="F1194">
        <f>_xll.BDP("!!031R6Q Mtge","CPN")</f>
        <v>0</v>
      </c>
      <c r="G1194">
        <f>_xll.BDP("!!031R6Q Mtge","MTG_FACTOR")</f>
        <v>1</v>
      </c>
      <c r="H1194">
        <f>_xll.BDP("!!031R6Q Mtge","MTG_WAL")</f>
        <v>21.605699999999999</v>
      </c>
      <c r="I1194">
        <f>_xll.BDP("!!031R6Q Mtge","MTG_ORIG_WAL")</f>
        <v>3</v>
      </c>
    </row>
    <row r="1195" spans="1:9" x14ac:dyDescent="0.25">
      <c r="A1195" t="str">
        <f>_xll.BDP("!!031R6R Mtge","ID_CUSIP")</f>
        <v>3136BGNV9</v>
      </c>
      <c r="B1195" t="str">
        <f>_xll.BDP("!!031R6R Mtge","SECURITY_NAME")</f>
        <v>FNR 2021-52 LT</v>
      </c>
      <c r="C1195" t="str">
        <f>_xll.BDP("!!031R6R Mtge","GENERIC_TICKER_VINTAGE")</f>
        <v>FNCL 3 2021</v>
      </c>
      <c r="D1195" t="str">
        <f>_xll.BDP("!!031R6R Mtge","CRNCY")</f>
        <v>USD</v>
      </c>
      <c r="E1195">
        <v>2208605</v>
      </c>
      <c r="F1195">
        <f>_xll.BDP("!!031R6R Mtge","CPN")</f>
        <v>0</v>
      </c>
      <c r="G1195">
        <f>_xll.BDP("!!031R6R Mtge","MTG_FACTOR")</f>
        <v>0.63229584000000005</v>
      </c>
      <c r="H1195">
        <f>_xll.BDP("!!031R6R Mtge","MTG_WAL")</f>
        <v>19.646000000000001</v>
      </c>
      <c r="I1195">
        <f>_xll.BDP("!!031R6R Mtge","MTG_ORIG_WAL")</f>
        <v>2</v>
      </c>
    </row>
    <row r="1196" spans="1:9" x14ac:dyDescent="0.25">
      <c r="A1196" t="str">
        <f>_xll.BDP("!!031T7S Mtge","ID_CUSIP")</f>
        <v>3137H1NE2</v>
      </c>
      <c r="B1196" t="str">
        <f>_xll.BDP("!!031T7S Mtge","SECURITY_NAME")</f>
        <v>FHR 5130 FE</v>
      </c>
      <c r="C1196" t="str">
        <f>_xll.BDP("!!031T7S Mtge","GENERIC_TICKER_VINTAGE")</f>
        <v>FNCL 3 2021</v>
      </c>
      <c r="D1196" t="str">
        <f>_xll.BDP("!!031T7S Mtge","CRNCY")</f>
        <v>USD</v>
      </c>
      <c r="E1196">
        <v>110000000</v>
      </c>
      <c r="F1196">
        <f>_xll.BDP("!!031T7S Mtge","CPN")</f>
        <v>3</v>
      </c>
      <c r="G1196">
        <f>_xll.BDP("!!031T7S Mtge","MTG_FACTOR")</f>
        <v>0.65871303000000003</v>
      </c>
      <c r="H1196">
        <f>_xll.BDP("!!031T7S Mtge","MTG_WAL")</f>
        <v>8.1760999999999999</v>
      </c>
      <c r="I1196">
        <f>_xll.BDP("!!031T7S Mtge","MTG_ORIG_WAL")</f>
        <v>5.0999999999999996</v>
      </c>
    </row>
    <row r="1197" spans="1:9" x14ac:dyDescent="0.25">
      <c r="A1197" t="str">
        <f>_xll.BDP("!!031Z0S Mtge","ID_CUSIP")</f>
        <v>3136BGXS5</v>
      </c>
      <c r="B1197" t="str">
        <f>_xll.BDP("!!031Z0S Mtge","SECURITY_NAME")</f>
        <v>FNR 2021-58 FA</v>
      </c>
      <c r="C1197" t="str">
        <f>_xll.BDP("!!031Z0S Mtge","GENERIC_TICKER_VINTAGE")</f>
        <v>FNCL 3 2021</v>
      </c>
      <c r="D1197" t="str">
        <f>_xll.BDP("!!031Z0S Mtge","CRNCY")</f>
        <v>USD</v>
      </c>
      <c r="E1197">
        <v>36500000</v>
      </c>
      <c r="F1197">
        <f>_xll.BDP("!!031Z0S Mtge","CPN")</f>
        <v>3</v>
      </c>
      <c r="G1197">
        <f>_xll.BDP("!!031Z0S Mtge","MTG_FACTOR")</f>
        <v>0.65795294999999998</v>
      </c>
      <c r="H1197">
        <f>_xll.BDP("!!031Z0S Mtge","MTG_WAL")</f>
        <v>8.1363000000000003</v>
      </c>
      <c r="I1197">
        <f>_xll.BDP("!!031Z0S Mtge","MTG_ORIG_WAL")</f>
        <v>4.7617399999999996</v>
      </c>
    </row>
    <row r="1198" spans="1:9" x14ac:dyDescent="0.25">
      <c r="A1198" t="str">
        <f>_xll.BDP("!!031Z0T Mtge","ID_CUSIP")</f>
        <v>3136BGXT3</v>
      </c>
      <c r="B1198" t="str">
        <f>_xll.BDP("!!031Z0T Mtge","SECURITY_NAME")</f>
        <v>FNR 2021-58 SA</v>
      </c>
      <c r="C1198" t="str">
        <f>_xll.BDP("!!031Z0T Mtge","GENERIC_TICKER_VINTAGE")</f>
        <v>FNCL 3 2021</v>
      </c>
      <c r="D1198" t="str">
        <f>_xll.BDP("!!031Z0T Mtge","CRNCY")</f>
        <v>USD</v>
      </c>
      <c r="E1198">
        <v>36500000</v>
      </c>
      <c r="F1198">
        <f>_xll.BDP("!!031Z0T Mtge","CPN")</f>
        <v>0</v>
      </c>
      <c r="G1198">
        <f>_xll.BDP("!!031Z0T Mtge","MTG_FACTOR")</f>
        <v>0.65795294999999998</v>
      </c>
      <c r="H1198">
        <f>_xll.BDP("!!031Z0T Mtge","MTG_WAL")</f>
        <v>8.1363000000000003</v>
      </c>
      <c r="I1198">
        <f>_xll.BDP("!!031Z0T Mtge","MTG_ORIG_WAL")</f>
        <v>4.7617399999999996</v>
      </c>
    </row>
    <row r="1199" spans="1:9" x14ac:dyDescent="0.25">
      <c r="A1199" t="str">
        <f>_xll.BDP("!!0322HC Mtge","ID_CUSIP")</f>
        <v>3136BGL33</v>
      </c>
      <c r="B1199" t="str">
        <f>_xll.BDP("!!0322HC Mtge","SECURITY_NAME")</f>
        <v>FNR 2021-56 GZ</v>
      </c>
      <c r="C1199" t="str">
        <f>_xll.BDP("!!0322HC Mtge","GENERIC_TICKER_VINTAGE")</f>
        <v>FNCL 3 2021</v>
      </c>
      <c r="D1199" t="str">
        <f>_xll.BDP("!!0322HC Mtge","CRNCY")</f>
        <v>USD</v>
      </c>
      <c r="E1199">
        <v>12961805</v>
      </c>
      <c r="F1199">
        <f>_xll.BDP("!!0322HC Mtge","CPN")</f>
        <v>3</v>
      </c>
      <c r="G1199">
        <f>_xll.BDP("!!0322HC Mtge","MTG_FACTOR")</f>
        <v>0.26460178000000001</v>
      </c>
      <c r="H1199">
        <f>_xll.BDP("!!0322HC Mtge","MTG_WAL")</f>
        <v>18.929300000000001</v>
      </c>
      <c r="I1199">
        <f>_xll.BDP("!!0322HC Mtge","MTG_ORIG_WAL")</f>
        <v>10.4</v>
      </c>
    </row>
    <row r="1200" spans="1:9" x14ac:dyDescent="0.25">
      <c r="A1200" t="str">
        <f>_xll.BDP("!!0322HL Mtge","ID_CUSIP")</f>
        <v>3136BGP47</v>
      </c>
      <c r="B1200" t="str">
        <f>_xll.BDP("!!0322HL Mtge","SECURITY_NAME")</f>
        <v>FNR 2021-56 GI</v>
      </c>
      <c r="C1200" t="str">
        <f>_xll.BDP("!!0322HL Mtge","GENERIC_TICKER_VINTAGE")</f>
        <v>FNCL 3 2021</v>
      </c>
      <c r="D1200" t="str">
        <f>_xll.BDP("!!0322HL Mtge","CRNCY")</f>
        <v>USD</v>
      </c>
      <c r="E1200">
        <v>21500000</v>
      </c>
      <c r="F1200">
        <f>_xll.BDP("!!0322HL Mtge","CPN")</f>
        <v>3</v>
      </c>
      <c r="G1200">
        <f>_xll.BDP("!!0322HL Mtge","MTG_FACTOR")</f>
        <v>0.65549122999999998</v>
      </c>
      <c r="H1200">
        <f>_xll.BDP("!!0322HL Mtge","MTG_WAL")</f>
        <v>6.2736000000000001</v>
      </c>
      <c r="I1200">
        <f>_xll.BDP("!!0322HL Mtge","MTG_ORIG_WAL")</f>
        <v>6.2</v>
      </c>
    </row>
    <row r="1201" spans="1:9" x14ac:dyDescent="0.25">
      <c r="A1201" t="str">
        <f>_xll.BDP("!!0323HQ Mtge","ID_CUSIP")</f>
        <v>3137H27J7</v>
      </c>
      <c r="B1201" t="str">
        <f>_xll.BDP("!!0323HQ Mtge","SECURITY_NAME")</f>
        <v>FHR 5145 FB</v>
      </c>
      <c r="C1201" t="str">
        <f>_xll.BDP("!!0323HQ Mtge","GENERIC_TICKER_VINTAGE")</f>
        <v>FNCL 3 2021</v>
      </c>
      <c r="D1201" t="str">
        <f>_xll.BDP("!!0323HQ Mtge","CRNCY")</f>
        <v>USD</v>
      </c>
      <c r="E1201">
        <v>155000000</v>
      </c>
      <c r="F1201">
        <f>_xll.BDP("!!0323HQ Mtge","CPN")</f>
        <v>3</v>
      </c>
      <c r="G1201">
        <f>_xll.BDP("!!0323HQ Mtge","MTG_FACTOR")</f>
        <v>0.64748174000000003</v>
      </c>
      <c r="H1201">
        <f>_xll.BDP("!!0323HQ Mtge","MTG_WAL")</f>
        <v>8.1820000000000004</v>
      </c>
      <c r="I1201">
        <f>_xll.BDP("!!0323HQ Mtge","MTG_ORIG_WAL")</f>
        <v>4.9000000000000004</v>
      </c>
    </row>
    <row r="1202" spans="1:9" x14ac:dyDescent="0.25">
      <c r="A1202" t="str">
        <f>_xll.BDP("!!0323HR Mtge","ID_CUSIP")</f>
        <v>3137H2A53</v>
      </c>
      <c r="B1202" t="str">
        <f>_xll.BDP("!!0323HR Mtge","SECURITY_NAME")</f>
        <v>FHR 5145 SB</v>
      </c>
      <c r="C1202" t="str">
        <f>_xll.BDP("!!0323HR Mtge","GENERIC_TICKER_VINTAGE")</f>
        <v>FNCL 3 2021</v>
      </c>
      <c r="D1202" t="str">
        <f>_xll.BDP("!!0323HR Mtge","CRNCY")</f>
        <v>USD</v>
      </c>
      <c r="E1202">
        <v>155000000</v>
      </c>
      <c r="F1202">
        <f>_xll.BDP("!!0323HR Mtge","CPN")</f>
        <v>0</v>
      </c>
      <c r="G1202">
        <f>_xll.BDP("!!0323HR Mtge","MTG_FACTOR")</f>
        <v>0.64748174000000003</v>
      </c>
      <c r="H1202">
        <f>_xll.BDP("!!0323HR Mtge","MTG_WAL")</f>
        <v>8.1820000000000004</v>
      </c>
      <c r="I1202">
        <f>_xll.BDP("!!0323HR Mtge","MTG_ORIG_WAL")</f>
        <v>4.9000000000000004</v>
      </c>
    </row>
    <row r="1203" spans="1:9" x14ac:dyDescent="0.25">
      <c r="A1203" t="str">
        <f>_xll.BDP("!!03251Q Mtge","ID_CUSIP")</f>
        <v>3137H2A87</v>
      </c>
      <c r="B1203" t="str">
        <f>_xll.BDP("!!03251Q Mtge","SECURITY_NAME")</f>
        <v>FHR 5145 YB</v>
      </c>
      <c r="C1203" t="str">
        <f>_xll.BDP("!!03251Q Mtge","GENERIC_TICKER_VINTAGE")</f>
        <v>FNCL 3 2021</v>
      </c>
      <c r="D1203" t="str">
        <f>_xll.BDP("!!03251Q Mtge","CRNCY")</f>
        <v>USD</v>
      </c>
      <c r="E1203">
        <v>27789062</v>
      </c>
      <c r="F1203">
        <f>_xll.BDP("!!03251Q Mtge","CPN")</f>
        <v>2</v>
      </c>
      <c r="G1203">
        <f>_xll.BDP("!!03251Q Mtge","MTG_FACTOR")</f>
        <v>0.70342210000000005</v>
      </c>
      <c r="H1203">
        <f>_xll.BDP("!!03251Q Mtge","MTG_WAL")</f>
        <v>5.2016999999999998</v>
      </c>
      <c r="I1203">
        <f>_xll.BDP("!!03251Q Mtge","MTG_ORIG_WAL")</f>
        <v>5.5</v>
      </c>
    </row>
    <row r="1204" spans="1:9" x14ac:dyDescent="0.25">
      <c r="A1204" t="str">
        <f>_xll.BDP("!!0325DD Mtge","ID_CUSIP")</f>
        <v>3137H27K4</v>
      </c>
      <c r="B1204" t="str">
        <f>_xll.BDP("!!0325DD Mtge","SECURITY_NAME")</f>
        <v>FHR 5145 IO</v>
      </c>
      <c r="C1204" t="str">
        <f>_xll.BDP("!!0325DD Mtge","GENERIC_TICKER_VINTAGE")</f>
        <v>FNCL 3 2021</v>
      </c>
      <c r="D1204" t="str">
        <f>_xll.BDP("!!0325DD Mtge","CRNCY")</f>
        <v>USD</v>
      </c>
      <c r="E1204">
        <v>22104161</v>
      </c>
      <c r="F1204">
        <f>_xll.BDP("!!0325DD Mtge","CPN")</f>
        <v>3</v>
      </c>
      <c r="G1204">
        <f>_xll.BDP("!!0325DD Mtge","MTG_FACTOR")</f>
        <v>0.73542357999999997</v>
      </c>
      <c r="H1204">
        <f>_xll.BDP("!!0325DD Mtge","MTG_WAL")</f>
        <v>6.9497</v>
      </c>
      <c r="I1204">
        <f>_xll.BDP("!!0325DD Mtge","MTG_ORIG_WAL")</f>
        <v>6.1</v>
      </c>
    </row>
    <row r="1205" spans="1:9" x14ac:dyDescent="0.25">
      <c r="A1205" t="str">
        <f>_xll.BDP("!!0326YQ Mtge","ID_CUSIP")</f>
        <v>3137H2EL4</v>
      </c>
      <c r="B1205" t="str">
        <f>_xll.BDP("!!0326YQ Mtge","SECURITY_NAME")</f>
        <v>FHR 5142 QI</v>
      </c>
      <c r="C1205" t="str">
        <f>_xll.BDP("!!0326YQ Mtge","GENERIC_TICKER_VINTAGE")</f>
        <v>FNCL 3 2021</v>
      </c>
      <c r="D1205" t="str">
        <f>_xll.BDP("!!0326YQ Mtge","CRNCY")</f>
        <v>USD</v>
      </c>
      <c r="E1205">
        <v>32457359</v>
      </c>
      <c r="F1205">
        <f>_xll.BDP("!!0326YQ Mtge","CPN")</f>
        <v>3</v>
      </c>
      <c r="G1205">
        <f>_xll.BDP("!!0326YQ Mtge","MTG_FACTOR")</f>
        <v>0.65254221000000001</v>
      </c>
      <c r="H1205">
        <f>_xll.BDP("!!0326YQ Mtge","MTG_WAL")</f>
        <v>8.2750000000000004</v>
      </c>
      <c r="I1205">
        <f>_xll.BDP("!!0326YQ Mtge","MTG_ORIG_WAL")</f>
        <v>6</v>
      </c>
    </row>
    <row r="1206" spans="1:9" x14ac:dyDescent="0.25">
      <c r="A1206" t="str">
        <f>_xll.BDP("!!0326Z3 Mtge","ID_CUSIP")</f>
        <v>3137H2D27</v>
      </c>
      <c r="B1206" t="str">
        <f>_xll.BDP("!!0326Z3 Mtge","SECURITY_NAME")</f>
        <v>FHR 5142 GC</v>
      </c>
      <c r="C1206" t="str">
        <f>_xll.BDP("!!0326Z3 Mtge","GENERIC_TICKER_VINTAGE")</f>
        <v>FNCL 3 2021</v>
      </c>
      <c r="D1206" t="str">
        <f>_xll.BDP("!!0326Z3 Mtge","CRNCY")</f>
        <v>USD</v>
      </c>
      <c r="E1206">
        <v>86447442</v>
      </c>
      <c r="F1206">
        <f>_xll.BDP("!!0326Z3 Mtge","CPN")</f>
        <v>1.5</v>
      </c>
      <c r="G1206">
        <f>_xll.BDP("!!0326Z3 Mtge","MTG_FACTOR")</f>
        <v>0.66647710000000004</v>
      </c>
      <c r="H1206">
        <f>_xll.BDP("!!0326Z3 Mtge","MTG_WAL")</f>
        <v>6.6032999999999999</v>
      </c>
      <c r="I1206">
        <f>_xll.BDP("!!0326Z3 Mtge","MTG_ORIG_WAL")</f>
        <v>5.6</v>
      </c>
    </row>
    <row r="1207" spans="1:9" x14ac:dyDescent="0.25">
      <c r="A1207" t="str">
        <f>_xll.BDP("!!0326Z5 Mtge","ID_CUSIP")</f>
        <v>3137H2CY8</v>
      </c>
      <c r="B1207" t="str">
        <f>_xll.BDP("!!0326Z5 Mtge","SECURITY_NAME")</f>
        <v>FHR 5142 GA</v>
      </c>
      <c r="C1207" t="str">
        <f>_xll.BDP("!!0326Z5 Mtge","GENERIC_TICKER_VINTAGE")</f>
        <v>FNCL 3 2021</v>
      </c>
      <c r="D1207" t="str">
        <f>_xll.BDP("!!0326Z5 Mtge","CRNCY")</f>
        <v>USD</v>
      </c>
      <c r="E1207">
        <v>86447442</v>
      </c>
      <c r="F1207">
        <f>_xll.BDP("!!0326Z5 Mtge","CPN")</f>
        <v>2</v>
      </c>
      <c r="G1207">
        <f>_xll.BDP("!!0326Z5 Mtge","MTG_FACTOR")</f>
        <v>0.66647710000000004</v>
      </c>
      <c r="H1207">
        <f>_xll.BDP("!!0326Z5 Mtge","MTG_WAL")</f>
        <v>6.6032999999999999</v>
      </c>
      <c r="I1207">
        <f>_xll.BDP("!!0326Z5 Mtge","MTG_ORIG_WAL")</f>
        <v>5.6</v>
      </c>
    </row>
    <row r="1208" spans="1:9" x14ac:dyDescent="0.25">
      <c r="A1208" t="str">
        <f>_xll.BDP("!!0328W7 Mtge","ID_CUSIP")</f>
        <v>3137H2A61</v>
      </c>
      <c r="B1208" t="str">
        <f>_xll.BDP("!!0328W7 Mtge","SECURITY_NAME")</f>
        <v>FHR 5139 TK</v>
      </c>
      <c r="C1208" t="str">
        <f>_xll.BDP("!!0328W7 Mtge","GENERIC_TICKER_VINTAGE")</f>
        <v>FNCL 3 2021</v>
      </c>
      <c r="D1208" t="str">
        <f>_xll.BDP("!!0328W7 Mtge","CRNCY")</f>
        <v>USD</v>
      </c>
      <c r="E1208">
        <v>3374000</v>
      </c>
      <c r="F1208">
        <f>_xll.BDP("!!0328W7 Mtge","CPN")</f>
        <v>1.5</v>
      </c>
      <c r="G1208">
        <f>_xll.BDP("!!0328W7 Mtge","MTG_FACTOR")</f>
        <v>0.95643624999999999</v>
      </c>
      <c r="H1208">
        <f>_xll.BDP("!!0328W7 Mtge","MTG_WAL")</f>
        <v>14.152200000000001</v>
      </c>
      <c r="I1208">
        <f>_xll.BDP("!!0328W7 Mtge","MTG_ORIG_WAL")</f>
        <v>3</v>
      </c>
    </row>
    <row r="1209" spans="1:9" x14ac:dyDescent="0.25">
      <c r="A1209" t="str">
        <f>_xll.BDP("!!0328W9 Mtge","ID_CUSIP")</f>
        <v>3137H2MQ4</v>
      </c>
      <c r="B1209" t="str">
        <f>_xll.BDP("!!0328W9 Mtge","SECURITY_NAME")</f>
        <v>FHR 5139 TU</v>
      </c>
      <c r="C1209" t="str">
        <f>_xll.BDP("!!0328W9 Mtge","GENERIC_TICKER_VINTAGE")</f>
        <v>FNCL 3 2021</v>
      </c>
      <c r="D1209" t="str">
        <f>_xll.BDP("!!0328W9 Mtge","CRNCY")</f>
        <v>USD</v>
      </c>
      <c r="E1209">
        <v>1954000</v>
      </c>
      <c r="F1209">
        <f>_xll.BDP("!!0328W9 Mtge","CPN")</f>
        <v>1.5</v>
      </c>
      <c r="G1209">
        <f>_xll.BDP("!!0328W9 Mtge","MTG_FACTOR")</f>
        <v>0.99996359999999995</v>
      </c>
      <c r="H1209">
        <f>_xll.BDP("!!0328W9 Mtge","MTG_WAL")</f>
        <v>20.970400000000001</v>
      </c>
      <c r="I1209">
        <f>_xll.BDP("!!0328W9 Mtge","MTG_ORIG_WAL")</f>
        <v>8.1999999999999993</v>
      </c>
    </row>
    <row r="1210" spans="1:9" x14ac:dyDescent="0.25">
      <c r="A1210" t="str">
        <f>_xll.BDP("!!0328WB Mtge","ID_CUSIP")</f>
        <v>3137H2MT8</v>
      </c>
      <c r="B1210" t="str">
        <f>_xll.BDP("!!0328WB Mtge","SECURITY_NAME")</f>
        <v>FHR 5139 ZT</v>
      </c>
      <c r="C1210" t="str">
        <f>_xll.BDP("!!0328WB Mtge","GENERIC_TICKER_VINTAGE")</f>
        <v>FNCL 3 2021</v>
      </c>
      <c r="D1210" t="str">
        <f>_xll.BDP("!!0328WB Mtge","CRNCY")</f>
        <v>USD</v>
      </c>
      <c r="E1210">
        <v>1000</v>
      </c>
      <c r="F1210">
        <f>_xll.BDP("!!0328WB Mtge","CPN")</f>
        <v>1.5</v>
      </c>
      <c r="G1210">
        <f>_xll.BDP("!!0328WB Mtge","MTG_FACTOR")</f>
        <v>1.0711223999999999</v>
      </c>
      <c r="H1210">
        <f>_xll.BDP("!!0328WB Mtge","MTG_WAL")</f>
        <v>25.355599999999999</v>
      </c>
      <c r="I1210">
        <f>_xll.BDP("!!0328WB Mtge","MTG_ORIG_WAL")</f>
        <v>29.7</v>
      </c>
    </row>
    <row r="1211" spans="1:9" x14ac:dyDescent="0.25">
      <c r="A1211" t="str">
        <f>_xll.BDP("!!032CGZ Mtge","ID_CUSIP")</f>
        <v>3137H2JG0</v>
      </c>
      <c r="B1211" t="str">
        <f>_xll.BDP("!!032CGZ Mtge","SECURITY_NAME")</f>
        <v>FHR 5138 IP</v>
      </c>
      <c r="C1211" t="str">
        <f>_xll.BDP("!!032CGZ Mtge","GENERIC_TICKER_VINTAGE")</f>
        <v>FNCL 3 2021</v>
      </c>
      <c r="D1211" t="str">
        <f>_xll.BDP("!!032CGZ Mtge","CRNCY")</f>
        <v>USD</v>
      </c>
      <c r="E1211">
        <v>21806666</v>
      </c>
      <c r="F1211">
        <f>_xll.BDP("!!032CGZ Mtge","CPN")</f>
        <v>3</v>
      </c>
      <c r="G1211">
        <f>_xll.BDP("!!032CGZ Mtge","MTG_FACTOR")</f>
        <v>0.66551517999999998</v>
      </c>
      <c r="H1211">
        <f>_xll.BDP("!!032CGZ Mtge","MTG_WAL")</f>
        <v>8.3193999999999999</v>
      </c>
      <c r="I1211">
        <f>_xll.BDP("!!032CGZ Mtge","MTG_ORIG_WAL")</f>
        <v>4.4000000000000004</v>
      </c>
    </row>
    <row r="1212" spans="1:9" x14ac:dyDescent="0.25">
      <c r="A1212" t="str">
        <f>_xll.BDP("!!032F4X Mtge","ID_CUSIP")</f>
        <v>3136BJCQ6</v>
      </c>
      <c r="B1212" t="str">
        <f>_xll.BDP("!!032F4X Mtge","SECURITY_NAME")</f>
        <v>FNR 2021-67 Z</v>
      </c>
      <c r="C1212" t="str">
        <f>_xll.BDP("!!032F4X Mtge","GENERIC_TICKER_VINTAGE")</f>
        <v>FNCL 3 2021</v>
      </c>
      <c r="D1212" t="str">
        <f>_xll.BDP("!!032F4X Mtge","CRNCY")</f>
        <v>USD</v>
      </c>
      <c r="E1212">
        <v>10000</v>
      </c>
      <c r="F1212">
        <f>_xll.BDP("!!032F4X Mtge","CPN")</f>
        <v>1.25</v>
      </c>
      <c r="G1212">
        <f>_xll.BDP("!!032F4X Mtge","MTG_FACTOR")</f>
        <v>1.0578311499999999</v>
      </c>
      <c r="H1212">
        <f>_xll.BDP("!!032F4X Mtge","MTG_WAL")</f>
        <v>23.333400000000001</v>
      </c>
      <c r="I1212">
        <f>_xll.BDP("!!032F4X Mtge","MTG_ORIG_WAL")</f>
        <v>27.797260000000001</v>
      </c>
    </row>
    <row r="1213" spans="1:9" x14ac:dyDescent="0.25">
      <c r="A1213" t="str">
        <f>_xll.BDP("!!032F4Y Mtge","ID_CUSIP")</f>
        <v>3136BJCN3</v>
      </c>
      <c r="B1213" t="str">
        <f>_xll.BDP("!!032F4Y Mtge","SECURITY_NAME")</f>
        <v>FNR 2021-67 PI</v>
      </c>
      <c r="C1213" t="str">
        <f>_xll.BDP("!!032F4Y Mtge","GENERIC_TICKER_VINTAGE")</f>
        <v>FNCL 3 2021</v>
      </c>
      <c r="D1213" t="str">
        <f>_xll.BDP("!!032F4Y Mtge","CRNCY")</f>
        <v>USD</v>
      </c>
      <c r="E1213">
        <v>17142909</v>
      </c>
      <c r="F1213">
        <f>_xll.BDP("!!032F4Y Mtge","CPN")</f>
        <v>3</v>
      </c>
      <c r="G1213">
        <f>_xll.BDP("!!032F4Y Mtge","MTG_FACTOR")</f>
        <v>0.72730083000000001</v>
      </c>
      <c r="H1213">
        <f>_xll.BDP("!!032F4Y Mtge","MTG_WAL")</f>
        <v>7.6307</v>
      </c>
      <c r="I1213">
        <f>_xll.BDP("!!032F4Y Mtge","MTG_ORIG_WAL")</f>
        <v>5.2046799999999998</v>
      </c>
    </row>
    <row r="1214" spans="1:9" x14ac:dyDescent="0.25">
      <c r="A1214" t="str">
        <f>_xll.BDP("!!032FFY Mtge","ID_CUSIP")</f>
        <v>3137H2RT3</v>
      </c>
      <c r="B1214" t="str">
        <f>_xll.BDP("!!032FFY Mtge","SECURITY_NAME")</f>
        <v>FHR 5149 BI</v>
      </c>
      <c r="C1214" t="str">
        <f>_xll.BDP("!!032FFY Mtge","GENERIC_TICKER_VINTAGE")</f>
        <v>FNCL 3 2021</v>
      </c>
      <c r="D1214" t="str">
        <f>_xll.BDP("!!032FFY Mtge","CRNCY")</f>
        <v>USD</v>
      </c>
      <c r="E1214">
        <v>39818336</v>
      </c>
      <c r="F1214">
        <f>_xll.BDP("!!032FFY Mtge","CPN")</f>
        <v>3</v>
      </c>
      <c r="G1214">
        <f>_xll.BDP("!!032FFY Mtge","MTG_FACTOR")</f>
        <v>0.60798772000000001</v>
      </c>
      <c r="H1214">
        <f>_xll.BDP("!!032FFY Mtge","MTG_WAL")</f>
        <v>5.4936999999999996</v>
      </c>
      <c r="I1214">
        <f>_xll.BDP("!!032FFY Mtge","MTG_ORIG_WAL")</f>
        <v>5.8</v>
      </c>
    </row>
    <row r="1215" spans="1:9" x14ac:dyDescent="0.25">
      <c r="A1215" t="str">
        <f>_xll.BDP("!!032FFZ Mtge","ID_CUSIP")</f>
        <v>3137H2RV8</v>
      </c>
      <c r="B1215" t="str">
        <f>_xll.BDP("!!032FFZ Mtge","SECURITY_NAME")</f>
        <v>FHR 5149 BZ</v>
      </c>
      <c r="C1215" t="str">
        <f>_xll.BDP("!!032FFZ Mtge","GENERIC_TICKER_VINTAGE")</f>
        <v>FNCL 3 2021</v>
      </c>
      <c r="D1215" t="str">
        <f>_xll.BDP("!!032FFZ Mtge","CRNCY")</f>
        <v>USD</v>
      </c>
      <c r="E1215">
        <v>521695</v>
      </c>
      <c r="F1215">
        <f>_xll.BDP("!!032FFZ Mtge","CPN")</f>
        <v>3</v>
      </c>
      <c r="G1215">
        <f>_xll.BDP("!!032FFZ Mtge","MTG_FACTOR")</f>
        <v>1.1443439799999999</v>
      </c>
      <c r="H1215">
        <f>_xll.BDP("!!032FFZ Mtge","MTG_WAL")</f>
        <v>18.308599999999998</v>
      </c>
      <c r="I1215">
        <f>_xll.BDP("!!032FFZ Mtge","MTG_ORIG_WAL")</f>
        <v>22.8</v>
      </c>
    </row>
    <row r="1216" spans="1:9" x14ac:dyDescent="0.25">
      <c r="A1216" t="str">
        <f>_xll.BDP("!!032GVK Mtge","ID_CUSIP")</f>
        <v>3137H2Y24</v>
      </c>
      <c r="B1216" t="str">
        <f>_xll.BDP("!!032GVK Mtge","SECURITY_NAME")</f>
        <v>FHR 5154 E</v>
      </c>
      <c r="C1216" t="str">
        <f>_xll.BDP("!!032GVK Mtge","GENERIC_TICKER_VINTAGE")</f>
        <v>FNCL 3 2021</v>
      </c>
      <c r="D1216" t="str">
        <f>_xll.BDP("!!032GVK Mtge","CRNCY")</f>
        <v>USD</v>
      </c>
      <c r="E1216">
        <v>100000000</v>
      </c>
      <c r="F1216">
        <f>_xll.BDP("!!032GVK Mtge","CPN")</f>
        <v>2.5</v>
      </c>
      <c r="G1216">
        <f>_xll.BDP("!!032GVK Mtge","MTG_FACTOR")</f>
        <v>0.72936040000000002</v>
      </c>
      <c r="H1216">
        <f>_xll.BDP("!!032GVK Mtge","MTG_WAL")</f>
        <v>6.2275999999999998</v>
      </c>
      <c r="I1216">
        <f>_xll.BDP("!!032GVK Mtge","MTG_ORIG_WAL")</f>
        <v>4.9000000000000004</v>
      </c>
    </row>
    <row r="1217" spans="1:9" x14ac:dyDescent="0.25">
      <c r="A1217" t="str">
        <f>_xll.BDP("!!032GVL Mtge","ID_CUSIP")</f>
        <v>3137H2YB4</v>
      </c>
      <c r="B1217" t="str">
        <f>_xll.BDP("!!032GVL Mtge","SECURITY_NAME")</f>
        <v>FHR 5154 EV</v>
      </c>
      <c r="C1217" t="str">
        <f>_xll.BDP("!!032GVL Mtge","GENERIC_TICKER_VINTAGE")</f>
        <v>FNCL 3 2021</v>
      </c>
      <c r="D1217" t="str">
        <f>_xll.BDP("!!032GVL Mtge","CRNCY")</f>
        <v>USD</v>
      </c>
      <c r="E1217">
        <v>3148000</v>
      </c>
      <c r="F1217">
        <f>_xll.BDP("!!032GVL Mtge","CPN")</f>
        <v>2.5</v>
      </c>
      <c r="G1217">
        <f>_xll.BDP("!!032GVL Mtge","MTG_FACTOR")</f>
        <v>0.63862666000000001</v>
      </c>
      <c r="H1217">
        <f>_xll.BDP("!!032GVL Mtge","MTG_WAL")</f>
        <v>3.6093000000000002</v>
      </c>
      <c r="I1217">
        <f>_xll.BDP("!!032GVL Mtge","MTG_ORIG_WAL")</f>
        <v>6</v>
      </c>
    </row>
    <row r="1218" spans="1:9" x14ac:dyDescent="0.25">
      <c r="A1218" t="str">
        <f>_xll.BDP("!!032GVM Mtge","ID_CUSIP")</f>
        <v>3137H2YC2</v>
      </c>
      <c r="B1218" t="str">
        <f>_xll.BDP("!!032GVM Mtge","SECURITY_NAME")</f>
        <v>FHR 5154 EZ</v>
      </c>
      <c r="C1218" t="str">
        <f>_xll.BDP("!!032GVM Mtge","GENERIC_TICKER_VINTAGE")</f>
        <v>FNCL 3 2021</v>
      </c>
      <c r="D1218" t="str">
        <f>_xll.BDP("!!032GVM Mtge","CRNCY")</f>
        <v>USD</v>
      </c>
      <c r="E1218">
        <v>9564409</v>
      </c>
      <c r="F1218">
        <f>_xll.BDP("!!032GVM Mtge","CPN")</f>
        <v>2.5</v>
      </c>
      <c r="G1218">
        <f>_xll.BDP("!!032GVM Mtge","MTG_FACTOR")</f>
        <v>1.1189413100000001</v>
      </c>
      <c r="H1218">
        <f>_xll.BDP("!!032GVM Mtge","MTG_WAL")</f>
        <v>19.751899999999999</v>
      </c>
      <c r="I1218">
        <f>_xll.BDP("!!032GVM Mtge","MTG_ORIG_WAL")</f>
        <v>16.8</v>
      </c>
    </row>
    <row r="1219" spans="1:9" x14ac:dyDescent="0.25">
      <c r="A1219" t="str">
        <f>_xll.BDP("!!032GVN Mtge","ID_CUSIP")</f>
        <v>3137H2YF5</v>
      </c>
      <c r="B1219" t="str">
        <f>_xll.BDP("!!032GVN Mtge","SECURITY_NAME")</f>
        <v>FHR 5154 IE</v>
      </c>
      <c r="C1219" t="str">
        <f>_xll.BDP("!!032GVN Mtge","GENERIC_TICKER_VINTAGE")</f>
        <v>FNCL 3 2021</v>
      </c>
      <c r="D1219" t="str">
        <f>_xll.BDP("!!032GVN Mtge","CRNCY")</f>
        <v>USD</v>
      </c>
      <c r="E1219">
        <v>18785401</v>
      </c>
      <c r="F1219">
        <f>_xll.BDP("!!032GVN Mtge","CPN")</f>
        <v>3</v>
      </c>
      <c r="G1219">
        <f>_xll.BDP("!!032GVN Mtge","MTG_FACTOR")</f>
        <v>0.75988482000000002</v>
      </c>
      <c r="H1219">
        <f>_xll.BDP("!!032GVN Mtge","MTG_WAL")</f>
        <v>8.2349999999999994</v>
      </c>
      <c r="I1219">
        <f>_xll.BDP("!!032GVN Mtge","MTG_ORIG_WAL")</f>
        <v>6.2</v>
      </c>
    </row>
    <row r="1220" spans="1:9" x14ac:dyDescent="0.25">
      <c r="A1220" t="str">
        <f>_xll.BDP("!!032GW1 Mtge","ID_CUSIP")</f>
        <v>3137H2Y57</v>
      </c>
      <c r="B1220" t="str">
        <f>_xll.BDP("!!032GW1 Mtge","SECURITY_NAME")</f>
        <v>FHR 5154 EC</v>
      </c>
      <c r="C1220" t="str">
        <f>_xll.BDP("!!032GW1 Mtge","GENERIC_TICKER_VINTAGE")</f>
        <v>FNCL 3 2021</v>
      </c>
      <c r="D1220" t="str">
        <f>_xll.BDP("!!032GW1 Mtge","CRNCY")</f>
        <v>USD</v>
      </c>
      <c r="E1220">
        <v>100000000</v>
      </c>
      <c r="F1220">
        <f>_xll.BDP("!!032GW1 Mtge","CPN")</f>
        <v>1.5</v>
      </c>
      <c r="G1220">
        <f>_xll.BDP("!!032GW1 Mtge","MTG_FACTOR")</f>
        <v>0.72936040000000002</v>
      </c>
      <c r="H1220">
        <f>_xll.BDP("!!032GW1 Mtge","MTG_WAL")</f>
        <v>6.2275999999999998</v>
      </c>
      <c r="I1220">
        <f>_xll.BDP("!!032GW1 Mtge","MTG_ORIG_WAL")</f>
        <v>4.9000000000000004</v>
      </c>
    </row>
    <row r="1221" spans="1:9" x14ac:dyDescent="0.25">
      <c r="A1221" t="str">
        <f>_xll.BDP("!!032GW5 Mtge","ID_CUSIP")</f>
        <v>3137H2Y99</v>
      </c>
      <c r="B1221" t="str">
        <f>_xll.BDP("!!032GW5 Mtge","SECURITY_NAME")</f>
        <v>FHR 5154 EI</v>
      </c>
      <c r="C1221" t="str">
        <f>_xll.BDP("!!032GW5 Mtge","GENERIC_TICKER_VINTAGE")</f>
        <v>FNCL 3 2021</v>
      </c>
      <c r="D1221" t="str">
        <f>_xll.BDP("!!032GW5 Mtge","CRNCY")</f>
        <v>USD</v>
      </c>
      <c r="E1221">
        <v>50000000</v>
      </c>
      <c r="F1221">
        <f>_xll.BDP("!!032GW5 Mtge","CPN")</f>
        <v>3</v>
      </c>
      <c r="G1221">
        <f>_xll.BDP("!!032GW5 Mtge","MTG_FACTOR")</f>
        <v>0.72936040000000002</v>
      </c>
      <c r="H1221">
        <f>_xll.BDP("!!032GW5 Mtge","MTG_WAL")</f>
        <v>6.2275999999999998</v>
      </c>
      <c r="I1221">
        <f>_xll.BDP("!!032GW5 Mtge","MTG_ORIG_WAL")</f>
        <v>4.9000000000000004</v>
      </c>
    </row>
    <row r="1222" spans="1:9" x14ac:dyDescent="0.25">
      <c r="A1222" t="str">
        <f>_xll.BDP("!!032KW7 Mtge","ID_CUSIP")</f>
        <v>3136BJQR9</v>
      </c>
      <c r="B1222" t="str">
        <f>_xll.BDP("!!032KW7 Mtge","SECURITY_NAME")</f>
        <v>FNR 2021-66 HU</v>
      </c>
      <c r="C1222" t="str">
        <f>_xll.BDP("!!032KW7 Mtge","GENERIC_TICKER_VINTAGE")</f>
        <v>FNCL 3 2021</v>
      </c>
      <c r="D1222" t="str">
        <f>_xll.BDP("!!032KW7 Mtge","CRNCY")</f>
        <v>USD</v>
      </c>
      <c r="E1222">
        <v>5352854</v>
      </c>
      <c r="F1222">
        <f>_xll.BDP("!!032KW7 Mtge","CPN")</f>
        <v>1.5</v>
      </c>
      <c r="G1222">
        <f>_xll.BDP("!!032KW7 Mtge","MTG_FACTOR")</f>
        <v>0.99998695999999998</v>
      </c>
      <c r="H1222">
        <f>_xll.BDP("!!032KW7 Mtge","MTG_WAL")</f>
        <v>20.999700000000001</v>
      </c>
      <c r="I1222">
        <f>_xll.BDP("!!032KW7 Mtge","MTG_ORIG_WAL")</f>
        <v>8.1999999999999993</v>
      </c>
    </row>
    <row r="1223" spans="1:9" x14ac:dyDescent="0.25">
      <c r="A1223" t="str">
        <f>_xll.BDP("!!032KW9 Mtge","ID_CUSIP")</f>
        <v>3136BJQG3</v>
      </c>
      <c r="B1223" t="str">
        <f>_xll.BDP("!!032KW9 Mtge","SECURITY_NAME")</f>
        <v>FNR 2021-66 HB</v>
      </c>
      <c r="C1223" t="str">
        <f>_xll.BDP("!!032KW9 Mtge","GENERIC_TICKER_VINTAGE")</f>
        <v>FNCL 3 2021</v>
      </c>
      <c r="D1223" t="str">
        <f>_xll.BDP("!!032KW9 Mtge","CRNCY")</f>
        <v>USD</v>
      </c>
      <c r="E1223">
        <v>6086000</v>
      </c>
      <c r="F1223">
        <f>_xll.BDP("!!032KW9 Mtge","CPN")</f>
        <v>2</v>
      </c>
      <c r="G1223">
        <f>_xll.BDP("!!032KW9 Mtge","MTG_FACTOR")</f>
        <v>0.93731812000000003</v>
      </c>
      <c r="H1223">
        <f>_xll.BDP("!!032KW9 Mtge","MTG_WAL")</f>
        <v>13.874599999999999</v>
      </c>
      <c r="I1223">
        <f>_xll.BDP("!!032KW9 Mtge","MTG_ORIG_WAL")</f>
        <v>2.9</v>
      </c>
    </row>
    <row r="1224" spans="1:9" x14ac:dyDescent="0.25">
      <c r="A1224" t="str">
        <f>_xll.BDP("!!032KWC Mtge","ID_CUSIP")</f>
        <v>3136BJQJ7</v>
      </c>
      <c r="B1224" t="str">
        <f>_xll.BDP("!!032KWC Mtge","SECURITY_NAME")</f>
        <v>FNR 2021-66 HY</v>
      </c>
      <c r="C1224" t="str">
        <f>_xll.BDP("!!032KWC Mtge","GENERIC_TICKER_VINTAGE")</f>
        <v>FNCL 3 2021</v>
      </c>
      <c r="D1224" t="str">
        <f>_xll.BDP("!!032KWC Mtge","CRNCY")</f>
        <v>USD</v>
      </c>
      <c r="E1224">
        <v>3209369</v>
      </c>
      <c r="F1224">
        <f>_xll.BDP("!!032KWC Mtge","CPN")</f>
        <v>2</v>
      </c>
      <c r="G1224">
        <f>_xll.BDP("!!032KWC Mtge","MTG_FACTOR")</f>
        <v>0.99997068</v>
      </c>
      <c r="H1224">
        <f>_xll.BDP("!!032KWC Mtge","MTG_WAL")</f>
        <v>20.997399999999999</v>
      </c>
      <c r="I1224">
        <f>_xll.BDP("!!032KWC Mtge","MTG_ORIG_WAL")</f>
        <v>8.1</v>
      </c>
    </row>
    <row r="1225" spans="1:9" x14ac:dyDescent="0.25">
      <c r="A1225" t="str">
        <f>_xll.BDP("!!032KWF Mtge","ID_CUSIP")</f>
        <v>3136BJRA5</v>
      </c>
      <c r="B1225" t="str">
        <f>_xll.BDP("!!032KWF Mtge","SECURITY_NAME")</f>
        <v>FNR 2021-66 HI</v>
      </c>
      <c r="C1225" t="str">
        <f>_xll.BDP("!!032KWF Mtge","GENERIC_TICKER_VINTAGE")</f>
        <v>FNCL 3 2021</v>
      </c>
      <c r="D1225" t="str">
        <f>_xll.BDP("!!032KWF Mtge","CRNCY")</f>
        <v>USD</v>
      </c>
      <c r="E1225">
        <v>54313049</v>
      </c>
      <c r="F1225">
        <f>_xll.BDP("!!032KWF Mtge","CPN")</f>
        <v>3</v>
      </c>
      <c r="G1225">
        <f>_xll.BDP("!!032KWF Mtge","MTG_FACTOR")</f>
        <v>0.77887256999999999</v>
      </c>
      <c r="H1225">
        <f>_xll.BDP("!!032KWF Mtge","MTG_WAL")</f>
        <v>7.9573999999999998</v>
      </c>
      <c r="I1225">
        <f>_xll.BDP("!!032KWF Mtge","MTG_ORIG_WAL")</f>
        <v>5.9</v>
      </c>
    </row>
    <row r="1226" spans="1:9" x14ac:dyDescent="0.25">
      <c r="A1226" t="str">
        <f>_xll.BDP("!!032L6H Mtge","ID_CUSIP")</f>
        <v>3136BJCV5</v>
      </c>
      <c r="B1226" t="str">
        <f>_xll.BDP("!!032L6H Mtge","SECURITY_NAME")</f>
        <v>FNR 2021-67 CI</v>
      </c>
      <c r="C1226" t="str">
        <f>_xll.BDP("!!032L6H Mtge","GENERIC_TICKER_VINTAGE")</f>
        <v>FNCL 3 2021</v>
      </c>
      <c r="D1226" t="str">
        <f>_xll.BDP("!!032L6H Mtge","CRNCY")</f>
        <v>USD</v>
      </c>
      <c r="E1226">
        <v>29145920</v>
      </c>
      <c r="F1226">
        <f>_xll.BDP("!!032L6H Mtge","CPN")</f>
        <v>3</v>
      </c>
      <c r="G1226">
        <f>_xll.BDP("!!032L6H Mtge","MTG_FACTOR")</f>
        <v>0.63285806</v>
      </c>
      <c r="H1226">
        <f>_xll.BDP("!!032L6H Mtge","MTG_WAL")</f>
        <v>5.5217999999999998</v>
      </c>
      <c r="I1226">
        <f>_xll.BDP("!!032L6H Mtge","MTG_ORIG_WAL")</f>
        <v>6.8154500000000002</v>
      </c>
    </row>
    <row r="1227" spans="1:9" x14ac:dyDescent="0.25">
      <c r="A1227" t="str">
        <f>_xll.BDP("!!032L6J Mtge","ID_CUSIP")</f>
        <v>3136BJCX1</v>
      </c>
      <c r="B1227" t="str">
        <f>_xll.BDP("!!032L6J Mtge","SECURITY_NAME")</f>
        <v>FNR 2021-67 CZ</v>
      </c>
      <c r="C1227" t="str">
        <f>_xll.BDP("!!032L6J Mtge","GENERIC_TICKER_VINTAGE")</f>
        <v>FNCL 3 2021</v>
      </c>
      <c r="D1227" t="str">
        <f>_xll.BDP("!!032L6J Mtge","CRNCY")</f>
        <v>USD</v>
      </c>
      <c r="E1227">
        <v>12539285</v>
      </c>
      <c r="F1227">
        <f>_xll.BDP("!!032L6J Mtge","CPN")</f>
        <v>3</v>
      </c>
      <c r="G1227">
        <f>_xll.BDP("!!032L6J Mtge","MTG_FACTOR")</f>
        <v>0.76705880000000004</v>
      </c>
      <c r="H1227">
        <f>_xll.BDP("!!032L6J Mtge","MTG_WAL")</f>
        <v>15.8645</v>
      </c>
      <c r="I1227">
        <f>_xll.BDP("!!032L6J Mtge","MTG_ORIG_WAL")</f>
        <v>15.014749999999999</v>
      </c>
    </row>
    <row r="1228" spans="1:9" x14ac:dyDescent="0.25">
      <c r="A1228" t="str">
        <f>_xll.BDP("!!032P9W Mtge","ID_CUSIP")</f>
        <v>3136BJDA0</v>
      </c>
      <c r="B1228" t="str">
        <f>_xll.BDP("!!032P9W Mtge","SECURITY_NAME")</f>
        <v>FNR 2021-67 ZP</v>
      </c>
      <c r="C1228" t="str">
        <f>_xll.BDP("!!032P9W Mtge","GENERIC_TICKER_VINTAGE")</f>
        <v>FNCL 3 2021</v>
      </c>
      <c r="D1228" t="str">
        <f>_xll.BDP("!!032P9W Mtge","CRNCY")</f>
        <v>USD</v>
      </c>
      <c r="E1228">
        <v>9529804</v>
      </c>
      <c r="F1228">
        <f>_xll.BDP("!!032P9W Mtge","CPN")</f>
        <v>3</v>
      </c>
      <c r="G1228">
        <f>_xll.BDP("!!032P9W Mtge","MTG_FACTOR")</f>
        <v>0.71410837999999999</v>
      </c>
      <c r="H1228">
        <f>_xll.BDP("!!032P9W Mtge","MTG_WAL")</f>
        <v>16.055499999999999</v>
      </c>
      <c r="I1228">
        <f>_xll.BDP("!!032P9W Mtge","MTG_ORIG_WAL")</f>
        <v>14.917479999999999</v>
      </c>
    </row>
    <row r="1229" spans="1:9" x14ac:dyDescent="0.25">
      <c r="A1229" t="str">
        <f>_xll.BDP("!!032P9Y Mtge","ID_CUSIP")</f>
        <v>3136BJGZ2</v>
      </c>
      <c r="B1229" t="str">
        <f>_xll.BDP("!!032P9Y Mtge","SECURITY_NAME")</f>
        <v>FNR 2021-69 JS</v>
      </c>
      <c r="C1229" t="str">
        <f>_xll.BDP("!!032P9Y Mtge","GENERIC_TICKER_VINTAGE")</f>
        <v>FNCL 3 2021</v>
      </c>
      <c r="D1229" t="str">
        <f>_xll.BDP("!!032P9Y Mtge","CRNCY")</f>
        <v>USD</v>
      </c>
      <c r="E1229">
        <v>25000000</v>
      </c>
      <c r="F1229">
        <f>_xll.BDP("!!032P9Y Mtge","CPN")</f>
        <v>0</v>
      </c>
      <c r="G1229">
        <f>_xll.BDP("!!032P9Y Mtge","MTG_FACTOR")</f>
        <v>0.70010978000000001</v>
      </c>
      <c r="H1229">
        <f>_xll.BDP("!!032P9Y Mtge","MTG_WAL")</f>
        <v>8.2311999999999994</v>
      </c>
      <c r="I1229">
        <f>_xll.BDP("!!032P9Y Mtge","MTG_ORIG_WAL")</f>
        <v>4.4901600000000004</v>
      </c>
    </row>
    <row r="1230" spans="1:9" x14ac:dyDescent="0.25">
      <c r="A1230" t="str">
        <f>_xll.BDP("!!032QQ5 Mtge","ID_CUSIP")</f>
        <v>3136BJDB8</v>
      </c>
      <c r="B1230" t="str">
        <f>_xll.BDP("!!032QQ5 Mtge","SECURITY_NAME")</f>
        <v>FNR 2021-67 FB</v>
      </c>
      <c r="C1230" t="str">
        <f>_xll.BDP("!!032QQ5 Mtge","GENERIC_TICKER_VINTAGE")</f>
        <v>FNCL 3 2021</v>
      </c>
      <c r="D1230" t="str">
        <f>_xll.BDP("!!032QQ5 Mtge","CRNCY")</f>
        <v>USD</v>
      </c>
      <c r="E1230">
        <v>25000000</v>
      </c>
      <c r="F1230">
        <f>_xll.BDP("!!032QQ5 Mtge","CPN")</f>
        <v>3</v>
      </c>
      <c r="G1230">
        <f>_xll.BDP("!!032QQ5 Mtge","MTG_FACTOR")</f>
        <v>0.65836439999999996</v>
      </c>
      <c r="H1230">
        <f>_xll.BDP("!!032QQ5 Mtge","MTG_WAL")</f>
        <v>8.1408000000000005</v>
      </c>
      <c r="I1230">
        <f>_xll.BDP("!!032QQ5 Mtge","MTG_ORIG_WAL")</f>
        <v>4.75488</v>
      </c>
    </row>
    <row r="1231" spans="1:9" x14ac:dyDescent="0.25">
      <c r="A1231" t="str">
        <f>_xll.BDP("!!032QQ6 Mtge","ID_CUSIP")</f>
        <v>3136BJDC6</v>
      </c>
      <c r="B1231" t="str">
        <f>_xll.BDP("!!032QQ6 Mtge","SECURITY_NAME")</f>
        <v>FNR 2021-67 SB</v>
      </c>
      <c r="C1231" t="str">
        <f>_xll.BDP("!!032QQ6 Mtge","GENERIC_TICKER_VINTAGE")</f>
        <v>FNCL 3 2021</v>
      </c>
      <c r="D1231" t="str">
        <f>_xll.BDP("!!032QQ6 Mtge","CRNCY")</f>
        <v>USD</v>
      </c>
      <c r="E1231">
        <v>25000000</v>
      </c>
      <c r="F1231">
        <f>_xll.BDP("!!032QQ6 Mtge","CPN")</f>
        <v>0</v>
      </c>
      <c r="G1231">
        <f>_xll.BDP("!!032QQ6 Mtge","MTG_FACTOR")</f>
        <v>0.65836439999999996</v>
      </c>
      <c r="H1231">
        <f>_xll.BDP("!!032QQ6 Mtge","MTG_WAL")</f>
        <v>8.1408000000000005</v>
      </c>
      <c r="I1231">
        <f>_xll.BDP("!!032QQ6 Mtge","MTG_ORIG_WAL")</f>
        <v>4.75488</v>
      </c>
    </row>
    <row r="1232" spans="1:9" x14ac:dyDescent="0.25">
      <c r="A1232" t="str">
        <f>_xll.BDP("!!032RHY Mtge","ID_CUSIP")</f>
        <v>3136BJBG9</v>
      </c>
      <c r="B1232" t="str">
        <f>_xll.BDP("!!032RHY Mtge","SECURITY_NAME")</f>
        <v>FNR 2021-72 IN</v>
      </c>
      <c r="C1232" t="str">
        <f>_xll.BDP("!!032RHY Mtge","GENERIC_TICKER_VINTAGE")</f>
        <v>FNCL 3 2021</v>
      </c>
      <c r="D1232" t="str">
        <f>_xll.BDP("!!032RHY Mtge","CRNCY")</f>
        <v>USD</v>
      </c>
      <c r="E1232">
        <v>33834500</v>
      </c>
      <c r="F1232">
        <f>_xll.BDP("!!032RHY Mtge","CPN")</f>
        <v>3</v>
      </c>
      <c r="G1232">
        <f>_xll.BDP("!!032RHY Mtge","MTG_FACTOR")</f>
        <v>0.78117101</v>
      </c>
      <c r="H1232">
        <f>_xll.BDP("!!032RHY Mtge","MTG_WAL")</f>
        <v>8.1666000000000007</v>
      </c>
      <c r="I1232">
        <f>_xll.BDP("!!032RHY Mtge","MTG_ORIG_WAL")</f>
        <v>6.1</v>
      </c>
    </row>
    <row r="1233" spans="1:9" x14ac:dyDescent="0.25">
      <c r="A1233" t="str">
        <f>_xll.BDP("!!032SWH Mtge","ID_CUSIP")</f>
        <v>3137H2UV4</v>
      </c>
      <c r="B1233" t="str">
        <f>_xll.BDP("!!032SWH Mtge","SECURITY_NAME")</f>
        <v>FHR 5148 G</v>
      </c>
      <c r="C1233" t="str">
        <f>_xll.BDP("!!032SWH Mtge","GENERIC_TICKER_VINTAGE")</f>
        <v>FNCL 3 2021</v>
      </c>
      <c r="D1233" t="str">
        <f>_xll.BDP("!!032SWH Mtge","CRNCY")</f>
        <v>USD</v>
      </c>
      <c r="E1233">
        <v>34134229</v>
      </c>
      <c r="F1233">
        <f>_xll.BDP("!!032SWH Mtge","CPN")</f>
        <v>1.5</v>
      </c>
      <c r="G1233">
        <f>_xll.BDP("!!032SWH Mtge","MTG_FACTOR")</f>
        <v>0.64497766999999995</v>
      </c>
      <c r="H1233">
        <f>_xll.BDP("!!032SWH Mtge","MTG_WAL")</f>
        <v>8.2384000000000004</v>
      </c>
      <c r="I1233">
        <f>_xll.BDP("!!032SWH Mtge","MTG_ORIG_WAL")</f>
        <v>8.6</v>
      </c>
    </row>
    <row r="1234" spans="1:9" x14ac:dyDescent="0.25">
      <c r="A1234" t="str">
        <f>_xll.BDP("!!032SWJ Mtge","ID_CUSIP")</f>
        <v>3137H2UW2</v>
      </c>
      <c r="B1234" t="str">
        <f>_xll.BDP("!!032SWJ Mtge","SECURITY_NAME")</f>
        <v>FHR 5148 GI</v>
      </c>
      <c r="C1234" t="str">
        <f>_xll.BDP("!!032SWJ Mtge","GENERIC_TICKER_VINTAGE")</f>
        <v>FNCL 3 2021</v>
      </c>
      <c r="D1234" t="str">
        <f>_xll.BDP("!!032SWJ Mtge","CRNCY")</f>
        <v>USD</v>
      </c>
      <c r="E1234">
        <v>17067114</v>
      </c>
      <c r="F1234">
        <f>_xll.BDP("!!032SWJ Mtge","CPN")</f>
        <v>3</v>
      </c>
      <c r="G1234">
        <f>_xll.BDP("!!032SWJ Mtge","MTG_FACTOR")</f>
        <v>0.64497766999999995</v>
      </c>
      <c r="H1234">
        <f>_xll.BDP("!!032SWJ Mtge","MTG_WAL")</f>
        <v>8.2384000000000004</v>
      </c>
      <c r="I1234">
        <f>_xll.BDP("!!032SWJ Mtge","MTG_ORIG_WAL")</f>
        <v>8.6</v>
      </c>
    </row>
    <row r="1235" spans="1:9" x14ac:dyDescent="0.25">
      <c r="A1235" t="str">
        <f>_xll.BDP("!!032VD6 Mtge","ID_CUSIP")</f>
        <v>3136BJG25</v>
      </c>
      <c r="B1235" t="str">
        <f>_xll.BDP("!!032VD6 Mtge","SECURITY_NAME")</f>
        <v>FNR 2021-73 FB</v>
      </c>
      <c r="C1235" t="str">
        <f>_xll.BDP("!!032VD6 Mtge","GENERIC_TICKER_VINTAGE")</f>
        <v>FNCL 3 2021</v>
      </c>
      <c r="D1235" t="str">
        <f>_xll.BDP("!!032VD6 Mtge","CRNCY")</f>
        <v>USD</v>
      </c>
      <c r="E1235">
        <v>31500000</v>
      </c>
      <c r="F1235">
        <f>_xll.BDP("!!032VD6 Mtge","CPN")</f>
        <v>3</v>
      </c>
      <c r="G1235">
        <f>_xll.BDP("!!032VD6 Mtge","MTG_FACTOR")</f>
        <v>0.68406887000000005</v>
      </c>
      <c r="H1235">
        <f>_xll.BDP("!!032VD6 Mtge","MTG_WAL")</f>
        <v>8.2506000000000004</v>
      </c>
      <c r="I1235">
        <f>_xll.BDP("!!032VD6 Mtge","MTG_ORIG_WAL")</f>
        <v>4.9000000000000004</v>
      </c>
    </row>
    <row r="1236" spans="1:9" x14ac:dyDescent="0.25">
      <c r="A1236" t="str">
        <f>_xll.BDP("!!032XSQ Mtge","ID_CUSIP")</f>
        <v>3137H3EQ1</v>
      </c>
      <c r="B1236" t="str">
        <f>_xll.BDP("!!032XSQ Mtge","SECURITY_NAME")</f>
        <v>FHR 5148 D</v>
      </c>
      <c r="C1236" t="str">
        <f>_xll.BDP("!!032XSQ Mtge","GENERIC_TICKER_VINTAGE")</f>
        <v>FNCL 3 2021</v>
      </c>
      <c r="D1236" t="str">
        <f>_xll.BDP("!!032XSQ Mtge","CRNCY")</f>
        <v>USD</v>
      </c>
      <c r="E1236">
        <v>92989387</v>
      </c>
      <c r="F1236">
        <f>_xll.BDP("!!032XSQ Mtge","CPN")</f>
        <v>1.75</v>
      </c>
      <c r="G1236">
        <f>_xll.BDP("!!032XSQ Mtge","MTG_FACTOR")</f>
        <v>0.67639733000000002</v>
      </c>
      <c r="H1236">
        <f>_xll.BDP("!!032XSQ Mtge","MTG_WAL")</f>
        <v>8.2780000000000005</v>
      </c>
      <c r="I1236">
        <f>_xll.BDP("!!032XSQ Mtge","MTG_ORIG_WAL")</f>
        <v>8.6999999999999993</v>
      </c>
    </row>
    <row r="1237" spans="1:9" x14ac:dyDescent="0.25">
      <c r="A1237" t="str">
        <f>_xll.BDP("!!032XSS Mtge","ID_CUSIP")</f>
        <v>3137H3JW3</v>
      </c>
      <c r="B1237" t="str">
        <f>_xll.BDP("!!032XSS Mtge","SECURITY_NAME")</f>
        <v>FHR 5148 EI</v>
      </c>
      <c r="C1237" t="str">
        <f>_xll.BDP("!!032XSS Mtge","GENERIC_TICKER_VINTAGE")</f>
        <v>FNCL 3 2021</v>
      </c>
      <c r="D1237" t="str">
        <f>_xll.BDP("!!032XSS Mtge","CRNCY")</f>
        <v>USD</v>
      </c>
      <c r="E1237">
        <v>55812691</v>
      </c>
      <c r="F1237">
        <f>_xll.BDP("!!032XSS Mtge","CPN")</f>
        <v>3</v>
      </c>
      <c r="G1237">
        <f>_xll.BDP("!!032XSS Mtge","MTG_FACTOR")</f>
        <v>0.66678941999999997</v>
      </c>
      <c r="H1237">
        <f>_xll.BDP("!!032XSS Mtge","MTG_WAL")</f>
        <v>8.2662999999999993</v>
      </c>
      <c r="I1237">
        <f>_xll.BDP("!!032XSS Mtge","MTG_ORIG_WAL")</f>
        <v>8.6999999999999993</v>
      </c>
    </row>
    <row r="1238" spans="1:9" x14ac:dyDescent="0.25">
      <c r="A1238" t="str">
        <f>_xll.BDP("!!0330VY Mtge","ID_CUSIP")</f>
        <v>3137H3MX7</v>
      </c>
      <c r="B1238" t="str">
        <f>_xll.BDP("!!0330VY Mtge","SECURITY_NAME")</f>
        <v>FHR 5166 BV</v>
      </c>
      <c r="C1238" t="str">
        <f>_xll.BDP("!!0330VY Mtge","GENERIC_TICKER_VINTAGE")</f>
        <v>FNCL 3 2021</v>
      </c>
      <c r="D1238" t="str">
        <f>_xll.BDP("!!0330VY Mtge","CRNCY")</f>
        <v>USD</v>
      </c>
      <c r="E1238">
        <v>1718000</v>
      </c>
      <c r="F1238">
        <f>_xll.BDP("!!0330VY Mtge","CPN")</f>
        <v>2.5</v>
      </c>
      <c r="G1238">
        <f>_xll.BDP("!!0330VY Mtge","MTG_FACTOR")</f>
        <v>0.64558521999999996</v>
      </c>
      <c r="H1238">
        <f>_xll.BDP("!!0330VY Mtge","MTG_WAL")</f>
        <v>3.6518000000000002</v>
      </c>
      <c r="I1238">
        <f>_xll.BDP("!!0330VY Mtge","MTG_ORIG_WAL")</f>
        <v>6</v>
      </c>
    </row>
    <row r="1239" spans="1:9" x14ac:dyDescent="0.25">
      <c r="A1239" t="str">
        <f>_xll.BDP("!!0330WD Mtge","ID_CUSIP")</f>
        <v>3137H3MR0</v>
      </c>
      <c r="B1239" t="str">
        <f>_xll.BDP("!!0330WD Mtge","SECURITY_NAME")</f>
        <v>FHR 5166 BD</v>
      </c>
      <c r="C1239" t="str">
        <f>_xll.BDP("!!0330WD Mtge","GENERIC_TICKER_VINTAGE")</f>
        <v>FNCL 3 2021</v>
      </c>
      <c r="D1239" t="str">
        <f>_xll.BDP("!!0330WD Mtge","CRNCY")</f>
        <v>USD</v>
      </c>
      <c r="E1239">
        <v>50923000</v>
      </c>
      <c r="F1239">
        <f>_xll.BDP("!!0330WD Mtge","CPN")</f>
        <v>1.5</v>
      </c>
      <c r="G1239">
        <f>_xll.BDP("!!0330WD Mtge","MTG_FACTOR")</f>
        <v>0.73056854000000004</v>
      </c>
      <c r="H1239">
        <f>_xll.BDP("!!0330WD Mtge","MTG_WAL")</f>
        <v>6.1288</v>
      </c>
      <c r="I1239">
        <f>_xll.BDP("!!0330WD Mtge","MTG_ORIG_WAL")</f>
        <v>5.5</v>
      </c>
    </row>
    <row r="1240" spans="1:9" x14ac:dyDescent="0.25">
      <c r="A1240" t="str">
        <f>_xll.BDP("!!0330WK Mtge","ID_CUSIP")</f>
        <v>3137H3MZ2</v>
      </c>
      <c r="B1240" t="str">
        <f>_xll.BDP("!!0330WK Mtge","SECURITY_NAME")</f>
        <v>FHR 5166 CD</v>
      </c>
      <c r="C1240" t="str">
        <f>_xll.BDP("!!0330WK Mtge","GENERIC_TICKER_VINTAGE")</f>
        <v>FNCL 3 2021</v>
      </c>
      <c r="D1240" t="str">
        <f>_xll.BDP("!!0330WK Mtge","CRNCY")</f>
        <v>USD</v>
      </c>
      <c r="E1240">
        <v>100000000</v>
      </c>
      <c r="F1240">
        <f>_xll.BDP("!!0330WK Mtge","CPN")</f>
        <v>1.5</v>
      </c>
      <c r="G1240">
        <f>_xll.BDP("!!0330WK Mtge","MTG_FACTOR")</f>
        <v>0.74470588000000004</v>
      </c>
      <c r="H1240">
        <f>_xll.BDP("!!0330WK Mtge","MTG_WAL")</f>
        <v>6.1688999999999998</v>
      </c>
      <c r="I1240">
        <f>_xll.BDP("!!0330WK Mtge","MTG_ORIG_WAL")</f>
        <v>5.6</v>
      </c>
    </row>
    <row r="1241" spans="1:9" x14ac:dyDescent="0.25">
      <c r="A1241" t="str">
        <f>_xll.BDP("!!0330ZC Mtge","ID_CUSIP")</f>
        <v>3136BJVN2</v>
      </c>
      <c r="B1241" t="str">
        <f>_xll.BDP("!!0330ZC Mtge","SECURITY_NAME")</f>
        <v>FNR 2021-78 FA</v>
      </c>
      <c r="C1241" t="str">
        <f>_xll.BDP("!!0330ZC Mtge","GENERIC_TICKER_VINTAGE")</f>
        <v>FNCL 3 2021</v>
      </c>
      <c r="D1241" t="str">
        <f>_xll.BDP("!!0330ZC Mtge","CRNCY")</f>
        <v>USD</v>
      </c>
      <c r="E1241">
        <v>28571639</v>
      </c>
      <c r="F1241">
        <f>_xll.BDP("!!0330ZC Mtge","CPN")</f>
        <v>3</v>
      </c>
      <c r="G1241">
        <f>_xll.BDP("!!0330ZC Mtge","MTG_FACTOR")</f>
        <v>0.76476675999999999</v>
      </c>
      <c r="H1241">
        <f>_xll.BDP("!!0330ZC Mtge","MTG_WAL")</f>
        <v>8.2523</v>
      </c>
      <c r="I1241">
        <f>_xll.BDP("!!0330ZC Mtge","MTG_ORIG_WAL")</f>
        <v>5.4</v>
      </c>
    </row>
    <row r="1242" spans="1:9" x14ac:dyDescent="0.25">
      <c r="A1242" t="str">
        <f>_xll.BDP("!!0332NN Mtge","ID_CUSIP")</f>
        <v>3137H3V58</v>
      </c>
      <c r="B1242" t="str">
        <f>_xll.BDP("!!0332NN Mtge","SECURITY_NAME")</f>
        <v>FHR 5159 ZT</v>
      </c>
      <c r="C1242" t="str">
        <f>_xll.BDP("!!0332NN Mtge","GENERIC_TICKER_VINTAGE")</f>
        <v>FNCL 3 2021</v>
      </c>
      <c r="D1242" t="str">
        <f>_xll.BDP("!!0332NN Mtge","CRNCY")</f>
        <v>USD</v>
      </c>
      <c r="E1242">
        <v>13688398</v>
      </c>
      <c r="F1242">
        <f>_xll.BDP("!!0332NN Mtge","CPN")</f>
        <v>3</v>
      </c>
      <c r="G1242">
        <f>_xll.BDP("!!0332NN Mtge","MTG_FACTOR")</f>
        <v>0.82076437000000002</v>
      </c>
      <c r="H1242">
        <f>_xll.BDP("!!0332NN Mtge","MTG_WAL")</f>
        <v>16.148599999999998</v>
      </c>
      <c r="I1242">
        <f>_xll.BDP("!!0332NN Mtge","MTG_ORIG_WAL")</f>
        <v>10.7</v>
      </c>
    </row>
    <row r="1243" spans="1:9" x14ac:dyDescent="0.25">
      <c r="A1243" t="str">
        <f>_xll.BDP("!!0332NY Mtge","ID_CUSIP")</f>
        <v>3137H3UQ3</v>
      </c>
      <c r="B1243" t="str">
        <f>_xll.BDP("!!0332NY Mtge","SECURITY_NAME")</f>
        <v>FHR 5159 TI</v>
      </c>
      <c r="C1243" t="str">
        <f>_xll.BDP("!!0332NY Mtge","GENERIC_TICKER_VINTAGE")</f>
        <v>FNCL 3 2021</v>
      </c>
      <c r="D1243" t="str">
        <f>_xll.BDP("!!0332NY Mtge","CRNCY")</f>
        <v>USD</v>
      </c>
      <c r="E1243">
        <v>33528302</v>
      </c>
      <c r="F1243">
        <f>_xll.BDP("!!0332NY Mtge","CPN")</f>
        <v>3</v>
      </c>
      <c r="G1243">
        <f>_xll.BDP("!!0332NY Mtge","MTG_FACTOR")</f>
        <v>0.62037608</v>
      </c>
      <c r="H1243">
        <f>_xll.BDP("!!0332NY Mtge","MTG_WAL")</f>
        <v>5.1204000000000001</v>
      </c>
      <c r="I1243">
        <f>_xll.BDP("!!0332NY Mtge","MTG_ORIG_WAL")</f>
        <v>6.2</v>
      </c>
    </row>
    <row r="1244" spans="1:9" x14ac:dyDescent="0.25">
      <c r="A1244" t="str">
        <f>_xll.BDP("!!0332VX Mtge","ID_CUSIP")</f>
        <v>3136BJF91</v>
      </c>
      <c r="B1244" t="str">
        <f>_xll.BDP("!!0332VX Mtge","SECURITY_NAME")</f>
        <v>FNR 2021-73 SD</v>
      </c>
      <c r="C1244" t="str">
        <f>_xll.BDP("!!0332VX Mtge","GENERIC_TICKER_VINTAGE")</f>
        <v>FNCL 3 2021</v>
      </c>
      <c r="D1244" t="str">
        <f>_xll.BDP("!!0332VX Mtge","CRNCY")</f>
        <v>USD</v>
      </c>
      <c r="E1244">
        <v>10000000</v>
      </c>
      <c r="F1244">
        <f>_xll.BDP("!!0332VX Mtge","CPN")</f>
        <v>0</v>
      </c>
      <c r="G1244">
        <f>_xll.BDP("!!0332VX Mtge","MTG_FACTOR")</f>
        <v>0.68461850000000002</v>
      </c>
      <c r="H1244">
        <f>_xll.BDP("!!0332VX Mtge","MTG_WAL")</f>
        <v>8.2531999999999996</v>
      </c>
      <c r="I1244">
        <f>_xll.BDP("!!0332VX Mtge","MTG_ORIG_WAL")</f>
        <v>4.9000000000000004</v>
      </c>
    </row>
    <row r="1245" spans="1:9" x14ac:dyDescent="0.25">
      <c r="A1245" t="str">
        <f>_xll.BDP("!!0334DG Mtge","ID_CUSIP")</f>
        <v>3137H46E5</v>
      </c>
      <c r="B1245" t="str">
        <f>_xll.BDP("!!0334DG Mtge","SECURITY_NAME")</f>
        <v>FHR 5162 FN</v>
      </c>
      <c r="C1245" t="str">
        <f>_xll.BDP("!!0334DG Mtge","GENERIC_TICKER_VINTAGE")</f>
        <v>FNCL 3 2021</v>
      </c>
      <c r="D1245" t="str">
        <f>_xll.BDP("!!0334DG Mtge","CRNCY")</f>
        <v>USD</v>
      </c>
      <c r="E1245">
        <v>25000000</v>
      </c>
      <c r="F1245">
        <f>_xll.BDP("!!0334DG Mtge","CPN")</f>
        <v>3</v>
      </c>
      <c r="G1245">
        <f>_xll.BDP("!!0334DG Mtge","MTG_FACTOR")</f>
        <v>0.63243194000000003</v>
      </c>
      <c r="H1245">
        <f>_xll.BDP("!!0334DG Mtge","MTG_WAL")</f>
        <v>8.2445000000000004</v>
      </c>
      <c r="I1245">
        <f>_xll.BDP("!!0334DG Mtge","MTG_ORIG_WAL")</f>
        <v>7.3</v>
      </c>
    </row>
    <row r="1246" spans="1:9" x14ac:dyDescent="0.25">
      <c r="A1246" t="str">
        <f>_xll.BDP("!!03368G Mtge","ID_CUSIP")</f>
        <v>3137H3U42</v>
      </c>
      <c r="B1246" t="str">
        <f>_xll.BDP("!!03368G Mtge","SECURITY_NAME")</f>
        <v>FHR 5159 P</v>
      </c>
      <c r="C1246" t="str">
        <f>_xll.BDP("!!03368G Mtge","GENERIC_TICKER_VINTAGE")</f>
        <v>FNCL 3 2021</v>
      </c>
      <c r="D1246" t="str">
        <f>_xll.BDP("!!03368G Mtge","CRNCY")</f>
        <v>USD</v>
      </c>
      <c r="E1246">
        <v>66551000</v>
      </c>
      <c r="F1246">
        <f>_xll.BDP("!!03368G Mtge","CPN")</f>
        <v>3</v>
      </c>
      <c r="G1246">
        <f>_xll.BDP("!!03368G Mtge","MTG_FACTOR")</f>
        <v>0.61704044999999996</v>
      </c>
      <c r="H1246">
        <f>_xll.BDP("!!03368G Mtge","MTG_WAL")</f>
        <v>6.0968</v>
      </c>
      <c r="I1246">
        <f>_xll.BDP("!!03368G Mtge","MTG_ORIG_WAL")</f>
        <v>3.4</v>
      </c>
    </row>
    <row r="1247" spans="1:9" x14ac:dyDescent="0.25">
      <c r="A1247" t="str">
        <f>_xll.BDP("!!03368J Mtge","ID_CUSIP")</f>
        <v>3137H3U83</v>
      </c>
      <c r="B1247" t="str">
        <f>_xll.BDP("!!03368J Mtge","SECURITY_NAME")</f>
        <v>FHR 5159 PA</v>
      </c>
      <c r="C1247" t="str">
        <f>_xll.BDP("!!03368J Mtge","GENERIC_TICKER_VINTAGE")</f>
        <v>FNCL 3 2021</v>
      </c>
      <c r="D1247" t="str">
        <f>_xll.BDP("!!03368J Mtge","CRNCY")</f>
        <v>USD</v>
      </c>
      <c r="E1247">
        <v>66551000</v>
      </c>
      <c r="F1247">
        <f>_xll.BDP("!!03368J Mtge","CPN")</f>
        <v>1</v>
      </c>
      <c r="G1247">
        <f>_xll.BDP("!!03368J Mtge","MTG_FACTOR")</f>
        <v>0.61704044999999996</v>
      </c>
      <c r="H1247">
        <f>_xll.BDP("!!03368J Mtge","MTG_WAL")</f>
        <v>6.0968</v>
      </c>
      <c r="I1247">
        <f>_xll.BDP("!!03368J Mtge","MTG_ORIG_WAL")</f>
        <v>3.4</v>
      </c>
    </row>
    <row r="1248" spans="1:9" x14ac:dyDescent="0.25">
      <c r="A1248" t="str">
        <f>_xll.BDP("!!03368K Mtge","ID_CUSIP")</f>
        <v>3137H3U91</v>
      </c>
      <c r="B1248" t="str">
        <f>_xll.BDP("!!03368K Mtge","SECURITY_NAME")</f>
        <v>FHR 5159 PB</v>
      </c>
      <c r="C1248" t="str">
        <f>_xll.BDP("!!03368K Mtge","GENERIC_TICKER_VINTAGE")</f>
        <v>FNCL 3 2021</v>
      </c>
      <c r="D1248" t="str">
        <f>_xll.BDP("!!03368K Mtge","CRNCY")</f>
        <v>USD</v>
      </c>
      <c r="E1248">
        <v>66551000</v>
      </c>
      <c r="F1248">
        <f>_xll.BDP("!!03368K Mtge","CPN")</f>
        <v>1.25</v>
      </c>
      <c r="G1248">
        <f>_xll.BDP("!!03368K Mtge","MTG_FACTOR")</f>
        <v>0.61704044999999996</v>
      </c>
      <c r="H1248">
        <f>_xll.BDP("!!03368K Mtge","MTG_WAL")</f>
        <v>6.0968</v>
      </c>
      <c r="I1248">
        <f>_xll.BDP("!!03368K Mtge","MTG_ORIG_WAL")</f>
        <v>3.4</v>
      </c>
    </row>
    <row r="1249" spans="1:9" x14ac:dyDescent="0.25">
      <c r="A1249" t="str">
        <f>_xll.BDP("!!03368L Mtge","ID_CUSIP")</f>
        <v>3137H3UA8</v>
      </c>
      <c r="B1249" t="str">
        <f>_xll.BDP("!!03368L Mtge","SECURITY_NAME")</f>
        <v>FHR 5159 PC</v>
      </c>
      <c r="C1249" t="str">
        <f>_xll.BDP("!!03368L Mtge","GENERIC_TICKER_VINTAGE")</f>
        <v>FNCL 3 2021</v>
      </c>
      <c r="D1249" t="str">
        <f>_xll.BDP("!!03368L Mtge","CRNCY")</f>
        <v>USD</v>
      </c>
      <c r="E1249">
        <v>66551000</v>
      </c>
      <c r="F1249">
        <f>_xll.BDP("!!03368L Mtge","CPN")</f>
        <v>1.5</v>
      </c>
      <c r="G1249">
        <f>_xll.BDP("!!03368L Mtge","MTG_FACTOR")</f>
        <v>0.61704044999999996</v>
      </c>
      <c r="H1249">
        <f>_xll.BDP("!!03368L Mtge","MTG_WAL")</f>
        <v>6.0968</v>
      </c>
      <c r="I1249">
        <f>_xll.BDP("!!03368L Mtge","MTG_ORIG_WAL")</f>
        <v>3.4</v>
      </c>
    </row>
    <row r="1250" spans="1:9" x14ac:dyDescent="0.25">
      <c r="A1250" t="str">
        <f>_xll.BDP("!!03368M Mtge","ID_CUSIP")</f>
        <v>3137H3UB6</v>
      </c>
      <c r="B1250" t="str">
        <f>_xll.BDP("!!03368M Mtge","SECURITY_NAME")</f>
        <v>FHR 5159 PI</v>
      </c>
      <c r="C1250" t="str">
        <f>_xll.BDP("!!03368M Mtge","GENERIC_TICKER_VINTAGE")</f>
        <v>FNCL 3 2021</v>
      </c>
      <c r="D1250" t="str">
        <f>_xll.BDP("!!03368M Mtge","CRNCY")</f>
        <v>USD</v>
      </c>
      <c r="E1250">
        <v>44367333</v>
      </c>
      <c r="F1250">
        <f>_xll.BDP("!!03368M Mtge","CPN")</f>
        <v>3</v>
      </c>
      <c r="G1250">
        <f>_xll.BDP("!!03368M Mtge","MTG_FACTOR")</f>
        <v>0.61704044999999996</v>
      </c>
      <c r="H1250">
        <f>_xll.BDP("!!03368M Mtge","MTG_WAL")</f>
        <v>6.0968</v>
      </c>
      <c r="I1250">
        <f>_xll.BDP("!!03368M Mtge","MTG_ORIG_WAL")</f>
        <v>3.4</v>
      </c>
    </row>
    <row r="1251" spans="1:9" x14ac:dyDescent="0.25">
      <c r="A1251" t="str">
        <f>_xll.BDP("!!0339FY Mtge","ID_CUSIP")</f>
        <v>3137H3LL4</v>
      </c>
      <c r="B1251" t="str">
        <f>_xll.BDP("!!0339FY Mtge","SECURITY_NAME")</f>
        <v>FHR 5162 AD</v>
      </c>
      <c r="C1251" t="str">
        <f>_xll.BDP("!!0339FY Mtge","GENERIC_TICKER_VINTAGE")</f>
        <v>FNCL 3 2021</v>
      </c>
      <c r="D1251" t="str">
        <f>_xll.BDP("!!0339FY Mtge","CRNCY")</f>
        <v>USD</v>
      </c>
      <c r="E1251">
        <v>52907375</v>
      </c>
      <c r="F1251">
        <f>_xll.BDP("!!0339FY Mtge","CPN")</f>
        <v>1.5</v>
      </c>
      <c r="G1251">
        <f>_xll.BDP("!!0339FY Mtge","MTG_FACTOR")</f>
        <v>0.72686434</v>
      </c>
      <c r="H1251">
        <f>_xll.BDP("!!0339FY Mtge","MTG_WAL")</f>
        <v>5.3948</v>
      </c>
      <c r="I1251">
        <f>_xll.BDP("!!0339FY Mtge","MTG_ORIG_WAL")</f>
        <v>5.6</v>
      </c>
    </row>
    <row r="1252" spans="1:9" x14ac:dyDescent="0.25">
      <c r="A1252" t="str">
        <f>_xll.BDP("!!0339G5 Mtge","ID_CUSIP")</f>
        <v>3137H44X5</v>
      </c>
      <c r="B1252" t="str">
        <f>_xll.BDP("!!0339G5 Mtge","SECURITY_NAME")</f>
        <v>FHR 5162 AP</v>
      </c>
      <c r="C1252" t="str">
        <f>_xll.BDP("!!0339G5 Mtge","GENERIC_TICKER_VINTAGE")</f>
        <v>FNCL 3 2021</v>
      </c>
      <c r="D1252" t="str">
        <f>_xll.BDP("!!0339G5 Mtge","CRNCY")</f>
        <v>USD</v>
      </c>
      <c r="E1252">
        <v>53577089</v>
      </c>
      <c r="F1252">
        <f>_xll.BDP("!!0339G5 Mtge","CPN")</f>
        <v>2</v>
      </c>
      <c r="G1252">
        <f>_xll.BDP("!!0339G5 Mtge","MTG_FACTOR")</f>
        <v>0.73027852999999998</v>
      </c>
      <c r="H1252">
        <f>_xll.BDP("!!0339G5 Mtge","MTG_WAL")</f>
        <v>5.6173000000000002</v>
      </c>
      <c r="I1252">
        <f>_xll.BDP("!!0339G5 Mtge","MTG_ORIG_WAL")</f>
        <v>5.8</v>
      </c>
    </row>
    <row r="1253" spans="1:9" x14ac:dyDescent="0.25">
      <c r="A1253" t="str">
        <f>_xll.BDP("!!0339GK Mtge","ID_CUSIP")</f>
        <v>3137H46D7</v>
      </c>
      <c r="B1253" t="str">
        <f>_xll.BDP("!!0339GK Mtge","SECURITY_NAME")</f>
        <v>FHR 5162 EP</v>
      </c>
      <c r="C1253" t="str">
        <f>_xll.BDP("!!0339GK Mtge","GENERIC_TICKER_VINTAGE")</f>
        <v>FNCL 3 2021</v>
      </c>
      <c r="D1253" t="str">
        <f>_xll.BDP("!!0339GK Mtge","CRNCY")</f>
        <v>USD</v>
      </c>
      <c r="E1253">
        <v>35371979</v>
      </c>
      <c r="F1253">
        <f>_xll.BDP("!!0339GK Mtge","CPN")</f>
        <v>2</v>
      </c>
      <c r="G1253">
        <f>_xll.BDP("!!0339GK Mtge","MTG_FACTOR")</f>
        <v>0.74357452000000002</v>
      </c>
      <c r="H1253">
        <f>_xll.BDP("!!0339GK Mtge","MTG_WAL")</f>
        <v>5.9983000000000004</v>
      </c>
      <c r="I1253">
        <f>_xll.BDP("!!0339GK Mtge","MTG_ORIG_WAL")</f>
        <v>5.5</v>
      </c>
    </row>
    <row r="1254" spans="1:9" x14ac:dyDescent="0.25">
      <c r="A1254" t="str">
        <f>_xll.BDP("!!033BLD Mtge","ID_CUSIP")</f>
        <v>3136BKAR3</v>
      </c>
      <c r="B1254" t="str">
        <f>_xll.BDP("!!033BLD Mtge","SECURITY_NAME")</f>
        <v>FNR 2021-81 FA</v>
      </c>
      <c r="C1254" t="str">
        <f>_xll.BDP("!!033BLD Mtge","GENERIC_TICKER_VINTAGE")</f>
        <v>FNCL 3 2021</v>
      </c>
      <c r="D1254" t="str">
        <f>_xll.BDP("!!033BLD Mtge","CRNCY")</f>
        <v>USD</v>
      </c>
      <c r="E1254">
        <v>105000000</v>
      </c>
      <c r="F1254">
        <f>_xll.BDP("!!033BLD Mtge","CPN")</f>
        <v>3</v>
      </c>
      <c r="G1254">
        <f>_xll.BDP("!!033BLD Mtge","MTG_FACTOR")</f>
        <v>0.68838029000000001</v>
      </c>
      <c r="H1254">
        <f>_xll.BDP("!!033BLD Mtge","MTG_WAL")</f>
        <v>8.2068999999999992</v>
      </c>
      <c r="I1254">
        <f>_xll.BDP("!!033BLD Mtge","MTG_ORIG_WAL")</f>
        <v>5.2861799999999999</v>
      </c>
    </row>
    <row r="1255" spans="1:9" x14ac:dyDescent="0.25">
      <c r="A1255" t="str">
        <f>_xll.BDP("!!033BLF Mtge","ID_CUSIP")</f>
        <v>3136BKAS1</v>
      </c>
      <c r="B1255" t="str">
        <f>_xll.BDP("!!033BLF Mtge","SECURITY_NAME")</f>
        <v>FNR 2021-81 SA</v>
      </c>
      <c r="C1255" t="str">
        <f>_xll.BDP("!!033BLF Mtge","GENERIC_TICKER_VINTAGE")</f>
        <v>FNCL 3 2021</v>
      </c>
      <c r="D1255" t="str">
        <f>_xll.BDP("!!033BLF Mtge","CRNCY")</f>
        <v>USD</v>
      </c>
      <c r="E1255">
        <v>105000000</v>
      </c>
      <c r="F1255">
        <f>_xll.BDP("!!033BLF Mtge","CPN")</f>
        <v>0</v>
      </c>
      <c r="G1255">
        <f>_xll.BDP("!!033BLF Mtge","MTG_FACTOR")</f>
        <v>0.68838029000000001</v>
      </c>
      <c r="H1255">
        <f>_xll.BDP("!!033BLF Mtge","MTG_WAL")</f>
        <v>8.2068999999999992</v>
      </c>
      <c r="I1255">
        <f>_xll.BDP("!!033BLF Mtge","MTG_ORIG_WAL")</f>
        <v>5.2861799999999999</v>
      </c>
    </row>
    <row r="1256" spans="1:9" x14ac:dyDescent="0.25">
      <c r="A1256" t="str">
        <f>_xll.BDP("!!033J2H Mtge","ID_CUSIP")</f>
        <v>3137H4HJ2</v>
      </c>
      <c r="B1256" t="str">
        <f>_xll.BDP("!!033J2H Mtge","SECURITY_NAME")</f>
        <v>FHR 5169 PW</v>
      </c>
      <c r="C1256" t="str">
        <f>_xll.BDP("!!033J2H Mtge","GENERIC_TICKER_VINTAGE")</f>
        <v>FNCL 3 2021</v>
      </c>
      <c r="D1256" t="str">
        <f>_xll.BDP("!!033J2H Mtge","CRNCY")</f>
        <v>USD</v>
      </c>
      <c r="E1256">
        <v>22487226</v>
      </c>
      <c r="F1256">
        <f>_xll.BDP("!!033J2H Mtge","CPN")</f>
        <v>2</v>
      </c>
      <c r="G1256">
        <f>_xll.BDP("!!033J2H Mtge","MTG_FACTOR")</f>
        <v>1</v>
      </c>
      <c r="H1256">
        <f>_xll.BDP("!!033J2H Mtge","MTG_WAL")</f>
        <v>13.3575</v>
      </c>
      <c r="I1256">
        <f>_xll.BDP("!!033J2H Mtge","MTG_ORIG_WAL")</f>
        <v>16.7</v>
      </c>
    </row>
    <row r="1257" spans="1:9" x14ac:dyDescent="0.25">
      <c r="A1257" t="str">
        <f>_xll.BDP("!!033J2Q Mtge","ID_CUSIP")</f>
        <v>3137H4HB9</v>
      </c>
      <c r="B1257" t="str">
        <f>_xll.BDP("!!033J2Q Mtge","SECURITY_NAME")</f>
        <v>FHR 5169 PE</v>
      </c>
      <c r="C1257" t="str">
        <f>_xll.BDP("!!033J2Q Mtge","GENERIC_TICKER_VINTAGE")</f>
        <v>FNCL 3 2021</v>
      </c>
      <c r="D1257" t="str">
        <f>_xll.BDP("!!033J2Q Mtge","CRNCY")</f>
        <v>USD</v>
      </c>
      <c r="E1257">
        <v>105537774</v>
      </c>
      <c r="F1257">
        <f>_xll.BDP("!!033J2Q Mtge","CPN")</f>
        <v>2</v>
      </c>
      <c r="G1257">
        <f>_xll.BDP("!!033J2Q Mtge","MTG_FACTOR")</f>
        <v>0.60747289000000004</v>
      </c>
      <c r="H1257">
        <f>_xll.BDP("!!033J2Q Mtge","MTG_WAL")</f>
        <v>4.1875</v>
      </c>
      <c r="I1257">
        <f>_xll.BDP("!!033J2Q Mtge","MTG_ORIG_WAL")</f>
        <v>5.2</v>
      </c>
    </row>
    <row r="1258" spans="1:9" x14ac:dyDescent="0.25">
      <c r="A1258" t="str">
        <f>_xll.BDP("!!033J2R Mtge","ID_CUSIP")</f>
        <v>3137H4HE3</v>
      </c>
      <c r="B1258" t="str">
        <f>_xll.BDP("!!033J2R Mtge","SECURITY_NAME")</f>
        <v>FHR 5169 PI</v>
      </c>
      <c r="C1258" t="str">
        <f>_xll.BDP("!!033J2R Mtge","GENERIC_TICKER_VINTAGE")</f>
        <v>FNCL 3 2021</v>
      </c>
      <c r="D1258" t="str">
        <f>_xll.BDP("!!033J2R Mtge","CRNCY")</f>
        <v>USD</v>
      </c>
      <c r="E1258">
        <v>43974072</v>
      </c>
      <c r="F1258">
        <f>_xll.BDP("!!033J2R Mtge","CPN")</f>
        <v>3</v>
      </c>
      <c r="G1258">
        <f>_xll.BDP("!!033J2R Mtge","MTG_FACTOR")</f>
        <v>0.60747289000000004</v>
      </c>
      <c r="H1258">
        <f>_xll.BDP("!!033J2R Mtge","MTG_WAL")</f>
        <v>4.1875</v>
      </c>
      <c r="I1258">
        <f>_xll.BDP("!!033J2R Mtge","MTG_ORIG_WAL")</f>
        <v>5.2</v>
      </c>
    </row>
    <row r="1259" spans="1:9" x14ac:dyDescent="0.25">
      <c r="A1259" t="str">
        <f>_xll.BDP("!!033K1M Mtge","ID_CUSIP")</f>
        <v>3137H4LV0</v>
      </c>
      <c r="B1259" t="str">
        <f>_xll.BDP("!!033K1M Mtge","SECURITY_NAME")</f>
        <v>FHR 5174 CJ</v>
      </c>
      <c r="C1259" t="str">
        <f>_xll.BDP("!!033K1M Mtge","GENERIC_TICKER_VINTAGE")</f>
        <v>FNCL 3 2021</v>
      </c>
      <c r="D1259" t="str">
        <f>_xll.BDP("!!033K1M Mtge","CRNCY")</f>
        <v>USD</v>
      </c>
      <c r="E1259">
        <v>47828114</v>
      </c>
      <c r="F1259">
        <f>_xll.BDP("!!033K1M Mtge","CPN")</f>
        <v>2</v>
      </c>
      <c r="G1259">
        <f>_xll.BDP("!!033K1M Mtge","MTG_FACTOR")</f>
        <v>0.67263574999999998</v>
      </c>
      <c r="H1259">
        <f>_xll.BDP("!!033K1M Mtge","MTG_WAL")</f>
        <v>5.9912999999999998</v>
      </c>
      <c r="I1259">
        <f>_xll.BDP("!!033K1M Mtge","MTG_ORIG_WAL")</f>
        <v>4</v>
      </c>
    </row>
    <row r="1260" spans="1:9" x14ac:dyDescent="0.25">
      <c r="A1260" t="str">
        <f>_xll.BDP("!!033K1W Mtge","ID_CUSIP")</f>
        <v>3137H4QM5</v>
      </c>
      <c r="B1260" t="str">
        <f>_xll.BDP("!!033K1W Mtge","SECURITY_NAME")</f>
        <v>FHR 5174 DG</v>
      </c>
      <c r="C1260" t="str">
        <f>_xll.BDP("!!033K1W Mtge","GENERIC_TICKER_VINTAGE")</f>
        <v>FNCL 3 2021</v>
      </c>
      <c r="D1260" t="str">
        <f>_xll.BDP("!!033K1W Mtge","CRNCY")</f>
        <v>USD</v>
      </c>
      <c r="E1260">
        <v>43430564</v>
      </c>
      <c r="F1260">
        <f>_xll.BDP("!!033K1W Mtge","CPN")</f>
        <v>2</v>
      </c>
      <c r="G1260">
        <f>_xll.BDP("!!033K1W Mtge","MTG_FACTOR")</f>
        <v>0.63948857000000003</v>
      </c>
      <c r="H1260">
        <f>_xll.BDP("!!033K1W Mtge","MTG_WAL")</f>
        <v>4.8620000000000001</v>
      </c>
      <c r="I1260">
        <f>_xll.BDP("!!033K1W Mtge","MTG_ORIG_WAL")</f>
        <v>3.5</v>
      </c>
    </row>
    <row r="1261" spans="1:9" x14ac:dyDescent="0.25">
      <c r="A1261" t="str">
        <f>_xll.BDP("!!033Q4C Mtge","ID_CUSIP")</f>
        <v>3137H4ES5</v>
      </c>
      <c r="B1261" t="str">
        <f>_xll.BDP("!!033Q4C Mtge","SECURITY_NAME")</f>
        <v>FHR 5176 QI</v>
      </c>
      <c r="C1261" t="str">
        <f>_xll.BDP("!!033Q4C Mtge","GENERIC_TICKER_VINTAGE")</f>
        <v>FNCL 3 2021</v>
      </c>
      <c r="D1261" t="str">
        <f>_xll.BDP("!!033Q4C Mtge","CRNCY")</f>
        <v>USD</v>
      </c>
      <c r="E1261">
        <v>25624666</v>
      </c>
      <c r="F1261">
        <f>_xll.BDP("!!033Q4C Mtge","CPN")</f>
        <v>3</v>
      </c>
      <c r="G1261">
        <f>_xll.BDP("!!033Q4C Mtge","MTG_FACTOR")</f>
        <v>0.62587791999999998</v>
      </c>
      <c r="H1261">
        <f>_xll.BDP("!!033Q4C Mtge","MTG_WAL")</f>
        <v>6.4516</v>
      </c>
      <c r="I1261">
        <f>_xll.BDP("!!033Q4C Mtge","MTG_ORIG_WAL")</f>
        <v>3.3</v>
      </c>
    </row>
    <row r="1262" spans="1:9" x14ac:dyDescent="0.25">
      <c r="A1262" t="str">
        <f>_xll.BDP("!!033Q6G Mtge","ID_CUSIP")</f>
        <v>3136BKAK8</v>
      </c>
      <c r="B1262" t="str">
        <f>_xll.BDP("!!033Q6G Mtge","SECURITY_NAME")</f>
        <v>FNR 2021-81 EA</v>
      </c>
      <c r="C1262" t="str">
        <f>_xll.BDP("!!033Q6G Mtge","GENERIC_TICKER_VINTAGE")</f>
        <v>FNCL 3 2021</v>
      </c>
      <c r="D1262" t="str">
        <f>_xll.BDP("!!033Q6G Mtge","CRNCY")</f>
        <v>USD</v>
      </c>
      <c r="E1262">
        <v>64425955</v>
      </c>
      <c r="F1262">
        <f>_xll.BDP("!!033Q6G Mtge","CPN")</f>
        <v>2.5</v>
      </c>
      <c r="G1262">
        <f>_xll.BDP("!!033Q6G Mtge","MTG_FACTOR")</f>
        <v>0.76033700999999998</v>
      </c>
      <c r="H1262">
        <f>_xll.BDP("!!033Q6G Mtge","MTG_WAL")</f>
        <v>5.6680999999999999</v>
      </c>
      <c r="I1262">
        <f>_xll.BDP("!!033Q6G Mtge","MTG_ORIG_WAL")</f>
        <v>5.6539599999999997</v>
      </c>
    </row>
    <row r="1263" spans="1:9" x14ac:dyDescent="0.25">
      <c r="A1263" t="str">
        <f>_xll.BDP("!!033T0P Mtge","ID_CUSIP")</f>
        <v>3137H4E89</v>
      </c>
      <c r="B1263" t="str">
        <f>_xll.BDP("!!033T0P Mtge","SECURITY_NAME")</f>
        <v>FHR 5176 P</v>
      </c>
      <c r="C1263" t="str">
        <f>_xll.BDP("!!033T0P Mtge","GENERIC_TICKER_VINTAGE")</f>
        <v>FNCL 3 2021</v>
      </c>
      <c r="D1263" t="str">
        <f>_xll.BDP("!!033T0P Mtge","CRNCY")</f>
        <v>USD</v>
      </c>
      <c r="E1263">
        <v>138366458</v>
      </c>
      <c r="F1263">
        <f>_xll.BDP("!!033T0P Mtge","CPN")</f>
        <v>3</v>
      </c>
      <c r="G1263">
        <f>_xll.BDP("!!033T0P Mtge","MTG_FACTOR")</f>
        <v>0.61648707000000003</v>
      </c>
      <c r="H1263">
        <f>_xll.BDP("!!033T0P Mtge","MTG_WAL")</f>
        <v>5.3506999999999998</v>
      </c>
      <c r="I1263">
        <f>_xll.BDP("!!033T0P Mtge","MTG_ORIG_WAL")</f>
        <v>3.4</v>
      </c>
    </row>
    <row r="1264" spans="1:9" x14ac:dyDescent="0.25">
      <c r="A1264" t="str">
        <f>_xll.BDP("!!033T0Q Mtge","ID_CUSIP")</f>
        <v>3137H4EX4</v>
      </c>
      <c r="B1264" t="str">
        <f>_xll.BDP("!!033T0Q Mtge","SECURITY_NAME")</f>
        <v>FHR 5176 Z</v>
      </c>
      <c r="C1264" t="str">
        <f>_xll.BDP("!!033T0Q Mtge","GENERIC_TICKER_VINTAGE")</f>
        <v>FNCL 3 2021</v>
      </c>
      <c r="D1264" t="str">
        <f>_xll.BDP("!!033T0Q Mtge","CRNCY")</f>
        <v>USD</v>
      </c>
      <c r="E1264">
        <v>34592222</v>
      </c>
      <c r="F1264">
        <f>_xll.BDP("!!033T0Q Mtge","CPN")</f>
        <v>3</v>
      </c>
      <c r="G1264">
        <f>_xll.BDP("!!033T0Q Mtge","MTG_FACTOR")</f>
        <v>0.51790574</v>
      </c>
      <c r="H1264">
        <f>_xll.BDP("!!033T0Q Mtge","MTG_WAL")</f>
        <v>17.485900000000001</v>
      </c>
      <c r="I1264">
        <f>_xll.BDP("!!033T0Q Mtge","MTG_ORIG_WAL")</f>
        <v>11.1</v>
      </c>
    </row>
    <row r="1265" spans="1:9" x14ac:dyDescent="0.25">
      <c r="A1265" t="str">
        <f>_xll.BDP("!!033T0S Mtge","ID_CUSIP")</f>
        <v>3137H4EA4</v>
      </c>
      <c r="B1265" t="str">
        <f>_xll.BDP("!!033T0S Mtge","SECURITY_NAME")</f>
        <v>FHR 5176 PB</v>
      </c>
      <c r="C1265" t="str">
        <f>_xll.BDP("!!033T0S Mtge","GENERIC_TICKER_VINTAGE")</f>
        <v>FNCL 3 2021</v>
      </c>
      <c r="D1265" t="str">
        <f>_xll.BDP("!!033T0S Mtge","CRNCY")</f>
        <v>USD</v>
      </c>
      <c r="E1265">
        <v>138366458</v>
      </c>
      <c r="F1265">
        <f>_xll.BDP("!!033T0S Mtge","CPN")</f>
        <v>1.25</v>
      </c>
      <c r="G1265">
        <f>_xll.BDP("!!033T0S Mtge","MTG_FACTOR")</f>
        <v>0.61648707000000003</v>
      </c>
      <c r="H1265">
        <f>_xll.BDP("!!033T0S Mtge","MTG_WAL")</f>
        <v>5.3506999999999998</v>
      </c>
      <c r="I1265">
        <f>_xll.BDP("!!033T0S Mtge","MTG_ORIG_WAL")</f>
        <v>3.4</v>
      </c>
    </row>
    <row r="1266" spans="1:9" x14ac:dyDescent="0.25">
      <c r="A1266" t="str">
        <f>_xll.BDP("!!033T0T Mtge","ID_CUSIP")</f>
        <v>3137H4EB2</v>
      </c>
      <c r="B1266" t="str">
        <f>_xll.BDP("!!033T0T Mtge","SECURITY_NAME")</f>
        <v>FHR 5176 PC</v>
      </c>
      <c r="C1266" t="str">
        <f>_xll.BDP("!!033T0T Mtge","GENERIC_TICKER_VINTAGE")</f>
        <v>FNCL 3 2021</v>
      </c>
      <c r="D1266" t="str">
        <f>_xll.BDP("!!033T0T Mtge","CRNCY")</f>
        <v>USD</v>
      </c>
      <c r="E1266">
        <v>138366458</v>
      </c>
      <c r="F1266">
        <f>_xll.BDP("!!033T0T Mtge","CPN")</f>
        <v>1.5</v>
      </c>
      <c r="G1266">
        <f>_xll.BDP("!!033T0T Mtge","MTG_FACTOR")</f>
        <v>0.61648707000000003</v>
      </c>
      <c r="H1266">
        <f>_xll.BDP("!!033T0T Mtge","MTG_WAL")</f>
        <v>5.3506999999999998</v>
      </c>
      <c r="I1266">
        <f>_xll.BDP("!!033T0T Mtge","MTG_ORIG_WAL")</f>
        <v>3.4</v>
      </c>
    </row>
    <row r="1267" spans="1:9" x14ac:dyDescent="0.25">
      <c r="A1267" t="str">
        <f>_xll.BDP("!!033T0W Mtge","ID_CUSIP")</f>
        <v>3137H4ED8</v>
      </c>
      <c r="B1267" t="str">
        <f>_xll.BDP("!!033T0W Mtge","SECURITY_NAME")</f>
        <v>FHR 5176 PE</v>
      </c>
      <c r="C1267" t="str">
        <f>_xll.BDP("!!033T0W Mtge","GENERIC_TICKER_VINTAGE")</f>
        <v>FNCL 3 2021</v>
      </c>
      <c r="D1267" t="str">
        <f>_xll.BDP("!!033T0W Mtge","CRNCY")</f>
        <v>USD</v>
      </c>
      <c r="E1267">
        <v>138366458</v>
      </c>
      <c r="F1267">
        <f>_xll.BDP("!!033T0W Mtge","CPN")</f>
        <v>2</v>
      </c>
      <c r="G1267">
        <f>_xll.BDP("!!033T0W Mtge","MTG_FACTOR")</f>
        <v>0.61648707000000003</v>
      </c>
      <c r="H1267">
        <f>_xll.BDP("!!033T0W Mtge","MTG_WAL")</f>
        <v>5.3506999999999998</v>
      </c>
      <c r="I1267">
        <f>_xll.BDP("!!033T0W Mtge","MTG_ORIG_WAL")</f>
        <v>3.4</v>
      </c>
    </row>
    <row r="1268" spans="1:9" x14ac:dyDescent="0.25">
      <c r="A1268" t="str">
        <f>_xll.BDP("!!033T10 Mtge","ID_CUSIP")</f>
        <v>3137H4EG1</v>
      </c>
      <c r="B1268" t="str">
        <f>_xll.BDP("!!033T10 Mtge","SECURITY_NAME")</f>
        <v>FHR 5176 PI</v>
      </c>
      <c r="C1268" t="str">
        <f>_xll.BDP("!!033T10 Mtge","GENERIC_TICKER_VINTAGE")</f>
        <v>FNCL 3 2021</v>
      </c>
      <c r="D1268" t="str">
        <f>_xll.BDP("!!033T10 Mtge","CRNCY")</f>
        <v>USD</v>
      </c>
      <c r="E1268">
        <v>92244305</v>
      </c>
      <c r="F1268">
        <f>_xll.BDP("!!033T10 Mtge","CPN")</f>
        <v>3</v>
      </c>
      <c r="G1268">
        <f>_xll.BDP("!!033T10 Mtge","MTG_FACTOR")</f>
        <v>0.61648707000000003</v>
      </c>
      <c r="H1268">
        <f>_xll.BDP("!!033T10 Mtge","MTG_WAL")</f>
        <v>5.3506999999999998</v>
      </c>
      <c r="I1268">
        <f>_xll.BDP("!!033T10 Mtge","MTG_ORIG_WAL")</f>
        <v>3.4</v>
      </c>
    </row>
    <row r="1269" spans="1:9" x14ac:dyDescent="0.25">
      <c r="A1269" t="str">
        <f>_xll.BDP("!!033TWY Mtge","ID_CUSIP")</f>
        <v>3137H4GG9</v>
      </c>
      <c r="B1269" t="str">
        <f>_xll.BDP("!!033TWY Mtge","SECURITY_NAME")</f>
        <v>FHR 5169 IO</v>
      </c>
      <c r="C1269" t="str">
        <f>_xll.BDP("!!033TWY Mtge","GENERIC_TICKER_VINTAGE")</f>
        <v>FNCL 3 2021</v>
      </c>
      <c r="D1269" t="str">
        <f>_xll.BDP("!!033TWY Mtge","CRNCY")</f>
        <v>USD</v>
      </c>
      <c r="E1269">
        <v>48839008</v>
      </c>
      <c r="F1269">
        <f>_xll.BDP("!!033TWY Mtge","CPN")</f>
        <v>3</v>
      </c>
      <c r="G1269">
        <f>_xll.BDP("!!033TWY Mtge","MTG_FACTOR")</f>
        <v>0.67781433999999996</v>
      </c>
      <c r="H1269">
        <f>_xll.BDP("!!033TWY Mtge","MTG_WAL")</f>
        <v>8.1173000000000002</v>
      </c>
      <c r="I1269">
        <f>_xll.BDP("!!033TWY Mtge","MTG_ORIG_WAL")</f>
        <v>7.5</v>
      </c>
    </row>
    <row r="1270" spans="1:9" x14ac:dyDescent="0.25">
      <c r="A1270" t="str">
        <f>_xll.BDP("!!033V4T Mtge","ID_CUSIP")</f>
        <v>3136BKCP5</v>
      </c>
      <c r="B1270" t="str">
        <f>_xll.BDP("!!033V4T Mtge","SECURITY_NAME")</f>
        <v>FNR 2021-84 MA</v>
      </c>
      <c r="C1270" t="str">
        <f>_xll.BDP("!!033V4T Mtge","GENERIC_TICKER_VINTAGE")</f>
        <v>FNCL 3 2021</v>
      </c>
      <c r="D1270" t="str">
        <f>_xll.BDP("!!033V4T Mtge","CRNCY")</f>
        <v>USD</v>
      </c>
      <c r="E1270">
        <v>20000000</v>
      </c>
      <c r="F1270">
        <f>_xll.BDP("!!033V4T Mtge","CPN")</f>
        <v>2</v>
      </c>
      <c r="G1270">
        <f>_xll.BDP("!!033V4T Mtge","MTG_FACTOR")</f>
        <v>0.76627619000000002</v>
      </c>
      <c r="H1270">
        <f>_xll.BDP("!!033V4T Mtge","MTG_WAL")</f>
        <v>6.8301999999999996</v>
      </c>
      <c r="I1270">
        <f>_xll.BDP("!!033V4T Mtge","MTG_ORIG_WAL")</f>
        <v>5.2</v>
      </c>
    </row>
    <row r="1271" spans="1:9" x14ac:dyDescent="0.25">
      <c r="A1271" t="str">
        <f>_xll.BDP("!!033VKJ Mtge","ID_CUSIP")</f>
        <v>3136BKCT7</v>
      </c>
      <c r="B1271" t="str">
        <f>_xll.BDP("!!033VKJ Mtge","SECURITY_NAME")</f>
        <v>FNR 2021-84 DA</v>
      </c>
      <c r="C1271" t="str">
        <f>_xll.BDP("!!033VKJ Mtge","GENERIC_TICKER_VINTAGE")</f>
        <v>FNCL 3 2021</v>
      </c>
      <c r="D1271" t="str">
        <f>_xll.BDP("!!033VKJ Mtge","CRNCY")</f>
        <v>USD</v>
      </c>
      <c r="E1271">
        <v>102000000</v>
      </c>
      <c r="F1271">
        <f>_xll.BDP("!!033VKJ Mtge","CPN")</f>
        <v>1.75</v>
      </c>
      <c r="G1271">
        <f>_xll.BDP("!!033VKJ Mtge","MTG_FACTOR")</f>
        <v>0.72890336</v>
      </c>
      <c r="H1271">
        <f>_xll.BDP("!!033VKJ Mtge","MTG_WAL")</f>
        <v>6.6271000000000004</v>
      </c>
      <c r="I1271">
        <f>_xll.BDP("!!033VKJ Mtge","MTG_ORIG_WAL")</f>
        <v>4.5999999999999996</v>
      </c>
    </row>
    <row r="1272" spans="1:9" x14ac:dyDescent="0.25">
      <c r="A1272" t="str">
        <f>_xll.BDP("!!033VKM Mtge","ID_CUSIP")</f>
        <v>3136BKDB5</v>
      </c>
      <c r="B1272" t="str">
        <f>_xll.BDP("!!033VKM Mtge","SECURITY_NAME")</f>
        <v>FNR 2021-84 EI</v>
      </c>
      <c r="C1272" t="str">
        <f>_xll.BDP("!!033VKM Mtge","GENERIC_TICKER_VINTAGE")</f>
        <v>FNCL 3 2021</v>
      </c>
      <c r="D1272" t="str">
        <f>_xll.BDP("!!033VKM Mtge","CRNCY")</f>
        <v>USD</v>
      </c>
      <c r="E1272">
        <v>20109425</v>
      </c>
      <c r="F1272">
        <f>_xll.BDP("!!033VKM Mtge","CPN")</f>
        <v>3</v>
      </c>
      <c r="G1272">
        <f>_xll.BDP("!!033VKM Mtge","MTG_FACTOR")</f>
        <v>0.69173342000000004</v>
      </c>
      <c r="H1272">
        <f>_xll.BDP("!!033VKM Mtge","MTG_WAL")</f>
        <v>8.2858000000000001</v>
      </c>
      <c r="I1272">
        <f>_xll.BDP("!!033VKM Mtge","MTG_ORIG_WAL")</f>
        <v>5.6</v>
      </c>
    </row>
    <row r="1273" spans="1:9" x14ac:dyDescent="0.25">
      <c r="A1273" t="str">
        <f>_xll.BDP("!!033VKN Mtge","ID_CUSIP")</f>
        <v>3136BKCY6</v>
      </c>
      <c r="B1273" t="str">
        <f>_xll.BDP("!!033VKN Mtge","SECURITY_NAME")</f>
        <v>FNR 2021-84 EA</v>
      </c>
      <c r="C1273" t="str">
        <f>_xll.BDP("!!033VKN Mtge","GENERIC_TICKER_VINTAGE")</f>
        <v>FNCL 3 2021</v>
      </c>
      <c r="D1273" t="str">
        <f>_xll.BDP("!!033VKN Mtge","CRNCY")</f>
        <v>USD</v>
      </c>
      <c r="E1273">
        <v>110000000</v>
      </c>
      <c r="F1273">
        <f>_xll.BDP("!!033VKN Mtge","CPN")</f>
        <v>1.75</v>
      </c>
      <c r="G1273">
        <f>_xll.BDP("!!033VKN Mtge","MTG_FACTOR")</f>
        <v>0.66186924999999996</v>
      </c>
      <c r="H1273">
        <f>_xll.BDP("!!033VKN Mtge","MTG_WAL")</f>
        <v>6.5094000000000003</v>
      </c>
      <c r="I1273">
        <f>_xll.BDP("!!033VKN Mtge","MTG_ORIG_WAL")</f>
        <v>4.5999999999999996</v>
      </c>
    </row>
    <row r="1274" spans="1:9" x14ac:dyDescent="0.25">
      <c r="A1274" t="str">
        <f>_xll.BDP("!!033VKP Mtge","ID_CUSIP")</f>
        <v>3136BKDC3</v>
      </c>
      <c r="B1274" t="str">
        <f>_xll.BDP("!!033VKP Mtge","SECURITY_NAME")</f>
        <v>FNR 2021-84 IE</v>
      </c>
      <c r="C1274" t="str">
        <f>_xll.BDP("!!033VKP Mtge","GENERIC_TICKER_VINTAGE")</f>
        <v>FNCL 3 2021</v>
      </c>
      <c r="D1274" t="str">
        <f>_xll.BDP("!!033VKP Mtge","CRNCY")</f>
        <v>USD</v>
      </c>
      <c r="E1274">
        <v>27500000</v>
      </c>
      <c r="F1274">
        <f>_xll.BDP("!!033VKP Mtge","CPN")</f>
        <v>3</v>
      </c>
      <c r="G1274">
        <f>_xll.BDP("!!033VKP Mtge","MTG_FACTOR")</f>
        <v>0.66186924999999996</v>
      </c>
      <c r="H1274">
        <f>_xll.BDP("!!033VKP Mtge","MTG_WAL")</f>
        <v>6.5094000000000003</v>
      </c>
      <c r="I1274">
        <f>_xll.BDP("!!033VKP Mtge","MTG_ORIG_WAL")</f>
        <v>4.5999999999999996</v>
      </c>
    </row>
    <row r="1275" spans="1:9" x14ac:dyDescent="0.25">
      <c r="A1275" t="str">
        <f>_xll.BDP("!!033WBS Mtge","ID_CUSIP")</f>
        <v>3137H4Q45</v>
      </c>
      <c r="B1275" t="str">
        <f>_xll.BDP("!!033WBS Mtge","SECURITY_NAME")</f>
        <v>FHR 5171 NP</v>
      </c>
      <c r="C1275" t="str">
        <f>_xll.BDP("!!033WBS Mtge","GENERIC_TICKER_VINTAGE")</f>
        <v>FNCL 3 2021</v>
      </c>
      <c r="D1275" t="str">
        <f>_xll.BDP("!!033WBS Mtge","CRNCY")</f>
        <v>USD</v>
      </c>
      <c r="E1275">
        <v>38474000</v>
      </c>
      <c r="F1275">
        <f>_xll.BDP("!!033WBS Mtge","CPN")</f>
        <v>1.75</v>
      </c>
      <c r="G1275">
        <f>_xll.BDP("!!033WBS Mtge","MTG_FACTOR")</f>
        <v>0.71881216000000003</v>
      </c>
      <c r="H1275">
        <f>_xll.BDP("!!033WBS Mtge","MTG_WAL")</f>
        <v>5.5717999999999996</v>
      </c>
      <c r="I1275">
        <f>_xll.BDP("!!033WBS Mtge","MTG_ORIG_WAL")</f>
        <v>4.2</v>
      </c>
    </row>
    <row r="1276" spans="1:9" x14ac:dyDescent="0.25">
      <c r="A1276" t="str">
        <f>_xll.BDP("!!033X5P Mtge","ID_CUSIP")</f>
        <v>3136BKDD1</v>
      </c>
      <c r="B1276" t="str">
        <f>_xll.BDP("!!033X5P Mtge","SECURITY_NAME")</f>
        <v>FNR 2021-84 L</v>
      </c>
      <c r="C1276" t="str">
        <f>_xll.BDP("!!033X5P Mtge","GENERIC_TICKER_VINTAGE")</f>
        <v>FNCL 3 2021</v>
      </c>
      <c r="D1276" t="str">
        <f>_xll.BDP("!!033X5P Mtge","CRNCY")</f>
        <v>USD</v>
      </c>
      <c r="E1276">
        <v>58880627</v>
      </c>
      <c r="F1276">
        <f>_xll.BDP("!!033X5P Mtge","CPN")</f>
        <v>2</v>
      </c>
      <c r="G1276">
        <f>_xll.BDP("!!033X5P Mtge","MTG_FACTOR")</f>
        <v>0.61222863000000005</v>
      </c>
      <c r="H1276">
        <f>_xll.BDP("!!033X5P Mtge","MTG_WAL")</f>
        <v>4.7308000000000003</v>
      </c>
      <c r="I1276">
        <f>_xll.BDP("!!033X5P Mtge","MTG_ORIG_WAL")</f>
        <v>4.7</v>
      </c>
    </row>
    <row r="1277" spans="1:9" x14ac:dyDescent="0.25">
      <c r="A1277" t="str">
        <f>_xll.BDP("!!033X5T Mtge","ID_CUSIP")</f>
        <v>3136BKDH2</v>
      </c>
      <c r="B1277" t="str">
        <f>_xll.BDP("!!033X5T Mtge","SECURITY_NAME")</f>
        <v>FNR 2021-84 LI</v>
      </c>
      <c r="C1277" t="str">
        <f>_xll.BDP("!!033X5T Mtge","GENERIC_TICKER_VINTAGE")</f>
        <v>FNCL 3 2021</v>
      </c>
      <c r="D1277" t="str">
        <f>_xll.BDP("!!033X5T Mtge","CRNCY")</f>
        <v>USD</v>
      </c>
      <c r="E1277">
        <v>25116578</v>
      </c>
      <c r="F1277">
        <f>_xll.BDP("!!033X5T Mtge","CPN")</f>
        <v>3</v>
      </c>
      <c r="G1277">
        <f>_xll.BDP("!!033X5T Mtge","MTG_FACTOR")</f>
        <v>0.66135907999999999</v>
      </c>
      <c r="H1277">
        <f>_xll.BDP("!!033X5T Mtge","MTG_WAL")</f>
        <v>8.2186000000000003</v>
      </c>
      <c r="I1277">
        <f>_xll.BDP("!!033X5T Mtge","MTG_ORIG_WAL")</f>
        <v>6.5</v>
      </c>
    </row>
    <row r="1278" spans="1:9" x14ac:dyDescent="0.25">
      <c r="A1278" t="str">
        <f>_xll.BDP("!!033XWS Mtge","ID_CUSIP")</f>
        <v>3136BKDM1</v>
      </c>
      <c r="B1278" t="str">
        <f>_xll.BDP("!!033XWS Mtge","SECURITY_NAME")</f>
        <v>FNR 2021-84 KI</v>
      </c>
      <c r="C1278" t="str">
        <f>_xll.BDP("!!033XWS Mtge","GENERIC_TICKER_VINTAGE")</f>
        <v>FNCL 3 2021</v>
      </c>
      <c r="D1278" t="str">
        <f>_xll.BDP("!!033XWS Mtge","CRNCY")</f>
        <v>USD</v>
      </c>
      <c r="E1278">
        <v>47609425</v>
      </c>
      <c r="F1278">
        <f>_xll.BDP("!!033XWS Mtge","CPN")</f>
        <v>3</v>
      </c>
      <c r="G1278">
        <f>_xll.BDP("!!033XWS Mtge","MTG_FACTOR")</f>
        <v>0.67448337000000003</v>
      </c>
      <c r="H1278">
        <f>_xll.BDP("!!033XWS Mtge","MTG_WAL")</f>
        <v>7.2789000000000001</v>
      </c>
      <c r="I1278">
        <f>_xll.BDP("!!033XWS Mtge","MTG_ORIG_WAL")</f>
        <v>5</v>
      </c>
    </row>
    <row r="1279" spans="1:9" x14ac:dyDescent="0.25">
      <c r="A1279" t="str">
        <f>_xll.BDP("!!033XWT Mtge","ID_CUSIP")</f>
        <v>3136BKDN9</v>
      </c>
      <c r="B1279" t="str">
        <f>_xll.BDP("!!033XWT Mtge","SECURITY_NAME")</f>
        <v>FNR 2021-84 GI</v>
      </c>
      <c r="C1279" t="str">
        <f>_xll.BDP("!!033XWT Mtge","GENERIC_TICKER_VINTAGE")</f>
        <v>FNCL 3 2021</v>
      </c>
      <c r="D1279" t="str">
        <f>_xll.BDP("!!033XWT Mtge","CRNCY")</f>
        <v>USD</v>
      </c>
      <c r="E1279">
        <v>50927961</v>
      </c>
      <c r="F1279">
        <f>_xll.BDP("!!033XWT Mtge","CPN")</f>
        <v>3</v>
      </c>
      <c r="G1279">
        <f>_xll.BDP("!!033XWT Mtge","MTG_FACTOR")</f>
        <v>0.74327390999999998</v>
      </c>
      <c r="H1279">
        <f>_xll.BDP("!!033XWT Mtge","MTG_WAL")</f>
        <v>7.3140000000000001</v>
      </c>
      <c r="I1279">
        <f>_xll.BDP("!!033XWT Mtge","MTG_ORIG_WAL")</f>
        <v>5.0999999999999996</v>
      </c>
    </row>
    <row r="1280" spans="1:9" x14ac:dyDescent="0.25">
      <c r="A1280" t="str">
        <f>_xll.BDP("!!033YNZ Mtge","ID_CUSIP")</f>
        <v>3136BK3M2</v>
      </c>
      <c r="B1280" t="str">
        <f>_xll.BDP("!!033YNZ Mtge","SECURITY_NAME")</f>
        <v>FNR 2021-91 SA</v>
      </c>
      <c r="C1280" t="str">
        <f>_xll.BDP("!!033YNZ Mtge","GENERIC_TICKER_VINTAGE")</f>
        <v>FNCL 3 2021</v>
      </c>
      <c r="D1280" t="str">
        <f>_xll.BDP("!!033YNZ Mtge","CRNCY")</f>
        <v>USD</v>
      </c>
      <c r="E1280">
        <v>50035000</v>
      </c>
      <c r="F1280">
        <f>_xll.BDP("!!033YNZ Mtge","CPN")</f>
        <v>0</v>
      </c>
      <c r="G1280">
        <f>_xll.BDP("!!033YNZ Mtge","MTG_FACTOR")</f>
        <v>0.68797470000000005</v>
      </c>
      <c r="H1280">
        <f>_xll.BDP("!!033YNZ Mtge","MTG_WAL")</f>
        <v>8.2562999999999995</v>
      </c>
      <c r="I1280">
        <f>_xll.BDP("!!033YNZ Mtge","MTG_ORIG_WAL")</f>
        <v>5.2900400000000003</v>
      </c>
    </row>
    <row r="1281" spans="1:9" x14ac:dyDescent="0.25">
      <c r="A1281" t="str">
        <f>_xll.BDP("!!033YP6 Mtge","ID_CUSIP")</f>
        <v>3137H4VM9</v>
      </c>
      <c r="B1281" t="str">
        <f>_xll.BDP("!!033YP6 Mtge","SECURITY_NAME")</f>
        <v>FHR 5180 NA</v>
      </c>
      <c r="C1281" t="str">
        <f>_xll.BDP("!!033YP6 Mtge","GENERIC_TICKER_VINTAGE")</f>
        <v>FNCL 3 2021</v>
      </c>
      <c r="D1281" t="str">
        <f>_xll.BDP("!!033YP6 Mtge","CRNCY")</f>
        <v>USD</v>
      </c>
      <c r="E1281">
        <v>96501000</v>
      </c>
      <c r="F1281">
        <f>_xll.BDP("!!033YP6 Mtge","CPN")</f>
        <v>2</v>
      </c>
      <c r="G1281">
        <f>_xll.BDP("!!033YP6 Mtge","MTG_FACTOR")</f>
        <v>0.65673205999999995</v>
      </c>
      <c r="H1281">
        <f>_xll.BDP("!!033YP6 Mtge","MTG_WAL")</f>
        <v>3.1957</v>
      </c>
      <c r="I1281">
        <f>_xll.BDP("!!033YP6 Mtge","MTG_ORIG_WAL")</f>
        <v>2.5</v>
      </c>
    </row>
    <row r="1282" spans="1:9" x14ac:dyDescent="0.25">
      <c r="A1282" t="str">
        <f>_xll.BDP("!!033YP7 Mtge","ID_CUSIP")</f>
        <v>3137H4VN7</v>
      </c>
      <c r="B1282" t="str">
        <f>_xll.BDP("!!033YP7 Mtge","SECURITY_NAME")</f>
        <v>FHR 5180 NB</v>
      </c>
      <c r="C1282" t="str">
        <f>_xll.BDP("!!033YP7 Mtge","GENERIC_TICKER_VINTAGE")</f>
        <v>FNCL 3 2021</v>
      </c>
      <c r="D1282" t="str">
        <f>_xll.BDP("!!033YP7 Mtge","CRNCY")</f>
        <v>USD</v>
      </c>
      <c r="E1282">
        <v>34242000</v>
      </c>
      <c r="F1282">
        <f>_xll.BDP("!!033YP7 Mtge","CPN")</f>
        <v>2</v>
      </c>
      <c r="G1282">
        <f>_xll.BDP("!!033YP7 Mtge","MTG_FACTOR")</f>
        <v>1</v>
      </c>
      <c r="H1282">
        <f>_xll.BDP("!!033YP7 Mtge","MTG_WAL")</f>
        <v>10.039400000000001</v>
      </c>
      <c r="I1282">
        <f>_xll.BDP("!!033YP7 Mtge","MTG_ORIG_WAL")</f>
        <v>6.7</v>
      </c>
    </row>
    <row r="1283" spans="1:9" x14ac:dyDescent="0.25">
      <c r="A1283" t="str">
        <f>_xll.BDP("!!033YP8 Mtge","ID_CUSIP")</f>
        <v>3137H4VQ0</v>
      </c>
      <c r="B1283" t="str">
        <f>_xll.BDP("!!033YP8 Mtge","SECURITY_NAME")</f>
        <v>FHR 5180 NV</v>
      </c>
      <c r="C1283" t="str">
        <f>_xll.BDP("!!033YP8 Mtge","GENERIC_TICKER_VINTAGE")</f>
        <v>FNCL 3 2021</v>
      </c>
      <c r="D1283" t="str">
        <f>_xll.BDP("!!033YP8 Mtge","CRNCY")</f>
        <v>USD</v>
      </c>
      <c r="E1283">
        <v>5828000</v>
      </c>
      <c r="F1283">
        <f>_xll.BDP("!!033YP8 Mtge","CPN")</f>
        <v>2</v>
      </c>
      <c r="G1283">
        <f>_xll.BDP("!!033YP8 Mtge","MTG_FACTOR")</f>
        <v>0.70986517000000005</v>
      </c>
      <c r="H1283">
        <f>_xll.BDP("!!033YP8 Mtge","MTG_WAL")</f>
        <v>4.7469000000000001</v>
      </c>
      <c r="I1283">
        <f>_xll.BDP("!!033YP8 Mtge","MTG_ORIG_WAL")</f>
        <v>6.2</v>
      </c>
    </row>
    <row r="1284" spans="1:9" x14ac:dyDescent="0.25">
      <c r="A1284" t="str">
        <f>_xll.BDP("!!033YP9 Mtge","ID_CUSIP")</f>
        <v>3137H4VR8</v>
      </c>
      <c r="B1284" t="str">
        <f>_xll.BDP("!!033YP9 Mtge","SECURITY_NAME")</f>
        <v>FHR 5180 NZ</v>
      </c>
      <c r="C1284" t="str">
        <f>_xll.BDP("!!033YP9 Mtge","GENERIC_TICKER_VINTAGE")</f>
        <v>FNCL 3 2021</v>
      </c>
      <c r="D1284" t="str">
        <f>_xll.BDP("!!033YP9 Mtge","CRNCY")</f>
        <v>USD</v>
      </c>
      <c r="E1284">
        <v>19076095</v>
      </c>
      <c r="F1284">
        <f>_xll.BDP("!!033YP9 Mtge","CPN")</f>
        <v>2</v>
      </c>
      <c r="G1284">
        <f>_xll.BDP("!!033YP9 Mtge","MTG_FACTOR")</f>
        <v>1.08864004</v>
      </c>
      <c r="H1284">
        <f>_xll.BDP("!!033YP9 Mtge","MTG_WAL")</f>
        <v>18.241199999999999</v>
      </c>
      <c r="I1284">
        <f>_xll.BDP("!!033YP9 Mtge","MTG_ORIG_WAL")</f>
        <v>13.3</v>
      </c>
    </row>
    <row r="1285" spans="1:9" x14ac:dyDescent="0.25">
      <c r="A1285" t="str">
        <f>_xll.BDP("!!033YPB Mtge","ID_CUSIP")</f>
        <v>3137H4VE7</v>
      </c>
      <c r="B1285" t="str">
        <f>_xll.BDP("!!033YPB Mtge","SECURITY_NAME")</f>
        <v>FHR 5180 IN</v>
      </c>
      <c r="C1285" t="str">
        <f>_xll.BDP("!!033YPB Mtge","GENERIC_TICKER_VINTAGE")</f>
        <v>FNCL 3 2021</v>
      </c>
      <c r="D1285" t="str">
        <f>_xll.BDP("!!033YPB Mtge","CRNCY")</f>
        <v>USD</v>
      </c>
      <c r="E1285">
        <v>51882365</v>
      </c>
      <c r="F1285">
        <f>_xll.BDP("!!033YPB Mtge","CPN")</f>
        <v>3</v>
      </c>
      <c r="G1285">
        <f>_xll.BDP("!!033YPB Mtge","MTG_FACTOR")</f>
        <v>0.78717431999999998</v>
      </c>
      <c r="H1285">
        <f>_xll.BDP("!!033YPB Mtge","MTG_WAL")</f>
        <v>8.1666000000000007</v>
      </c>
      <c r="I1285">
        <f>_xll.BDP("!!033YPB Mtge","MTG_ORIG_WAL")</f>
        <v>5.0999999999999996</v>
      </c>
    </row>
    <row r="1286" spans="1:9" x14ac:dyDescent="0.25">
      <c r="A1286" t="str">
        <f>_xll.BDP("!!033YQH Mtge","ID_CUSIP")</f>
        <v>3137H4QV5</v>
      </c>
      <c r="B1286" t="str">
        <f>_xll.BDP("!!033YQH Mtge","SECURITY_NAME")</f>
        <v>FHR 5174 V</v>
      </c>
      <c r="C1286" t="str">
        <f>_xll.BDP("!!033YQH Mtge","GENERIC_TICKER_VINTAGE")</f>
        <v>FNCL 3 2021</v>
      </c>
      <c r="D1286" t="str">
        <f>_xll.BDP("!!033YQH Mtge","CRNCY")</f>
        <v>USD</v>
      </c>
      <c r="E1286">
        <v>5219204</v>
      </c>
      <c r="F1286">
        <f>_xll.BDP("!!033YQH Mtge","CPN")</f>
        <v>3</v>
      </c>
      <c r="G1286">
        <f>_xll.BDP("!!033YQH Mtge","MTG_FACTOR")</f>
        <v>0.65579454000000004</v>
      </c>
      <c r="H1286">
        <f>_xll.BDP("!!033YQH Mtge","MTG_WAL")</f>
        <v>3.6663999999999999</v>
      </c>
      <c r="I1286">
        <f>_xll.BDP("!!033YQH Mtge","MTG_ORIG_WAL")</f>
        <v>5.6</v>
      </c>
    </row>
    <row r="1287" spans="1:9" x14ac:dyDescent="0.25">
      <c r="A1287" t="str">
        <f>_xll.BDP("!!033YQJ Mtge","ID_CUSIP")</f>
        <v>3137H4QW3</v>
      </c>
      <c r="B1287" t="str">
        <f>_xll.BDP("!!033YQJ Mtge","SECURITY_NAME")</f>
        <v>FHR 5174 Z</v>
      </c>
      <c r="C1287" t="str">
        <f>_xll.BDP("!!033YQJ Mtge","GENERIC_TICKER_VINTAGE")</f>
        <v>FNCL 3 2021</v>
      </c>
      <c r="D1287" t="str">
        <f>_xll.BDP("!!033YQJ Mtge","CRNCY")</f>
        <v>USD</v>
      </c>
      <c r="E1287">
        <v>12957525</v>
      </c>
      <c r="F1287">
        <f>_xll.BDP("!!033YQJ Mtge","CPN")</f>
        <v>3</v>
      </c>
      <c r="G1287">
        <f>_xll.BDP("!!033YQJ Mtge","MTG_FACTOR")</f>
        <v>1.1386436499999999</v>
      </c>
      <c r="H1287">
        <f>_xll.BDP("!!033YQJ Mtge","MTG_WAL")</f>
        <v>17.785900000000002</v>
      </c>
      <c r="I1287">
        <f>_xll.BDP("!!033YQJ Mtge","MTG_ORIG_WAL")</f>
        <v>12.6</v>
      </c>
    </row>
    <row r="1288" spans="1:9" x14ac:dyDescent="0.25">
      <c r="A1288" t="str">
        <f>_xll.BDP("!!033ZXQ Mtge","ID_CUSIP")</f>
        <v>3136BKG89</v>
      </c>
      <c r="B1288" t="str">
        <f>_xll.BDP("!!033ZXQ Mtge","SECURITY_NAME")</f>
        <v>FNR 2021-92 GI</v>
      </c>
      <c r="C1288" t="str">
        <f>_xll.BDP("!!033ZXQ Mtge","GENERIC_TICKER_VINTAGE")</f>
        <v>FNCL 3 2021</v>
      </c>
      <c r="D1288" t="str">
        <f>_xll.BDP("!!033ZXQ Mtge","CRNCY")</f>
        <v>USD</v>
      </c>
      <c r="E1288">
        <v>51221539</v>
      </c>
      <c r="F1288">
        <f>_xll.BDP("!!033ZXQ Mtge","CPN")</f>
        <v>3</v>
      </c>
      <c r="G1288">
        <f>_xll.BDP("!!033ZXQ Mtge","MTG_FACTOR")</f>
        <v>0.60484764000000002</v>
      </c>
      <c r="H1288">
        <f>_xll.BDP("!!033ZXQ Mtge","MTG_WAL")</f>
        <v>5.1375000000000002</v>
      </c>
      <c r="I1288">
        <f>_xll.BDP("!!033ZXQ Mtge","MTG_ORIG_WAL")</f>
        <v>3.3</v>
      </c>
    </row>
    <row r="1289" spans="1:9" x14ac:dyDescent="0.25">
      <c r="A1289" t="str">
        <f>_xll.BDP("!!0342KL Mtge","ID_CUSIP")</f>
        <v>3137H5DH7</v>
      </c>
      <c r="B1289" t="str">
        <f>_xll.BDP("!!0342KL Mtge","SECURITY_NAME")</f>
        <v>FHR 5179 HZ</v>
      </c>
      <c r="C1289" t="str">
        <f>_xll.BDP("!!0342KL Mtge","GENERIC_TICKER_VINTAGE")</f>
        <v>FNCL 3 2021</v>
      </c>
      <c r="D1289" t="str">
        <f>_xll.BDP("!!0342KL Mtge","CRNCY")</f>
        <v>USD</v>
      </c>
      <c r="E1289">
        <v>30398694</v>
      </c>
      <c r="F1289">
        <f>_xll.BDP("!!0342KL Mtge","CPN")</f>
        <v>3</v>
      </c>
      <c r="G1289">
        <f>_xll.BDP("!!0342KL Mtge","MTG_FACTOR")</f>
        <v>0.83414580000000005</v>
      </c>
      <c r="H1289">
        <f>_xll.BDP("!!0342KL Mtge","MTG_WAL")</f>
        <v>14.398999999999999</v>
      </c>
      <c r="I1289">
        <f>_xll.BDP("!!0342KL Mtge","MTG_ORIG_WAL")</f>
        <v>7.1</v>
      </c>
    </row>
    <row r="1290" spans="1:9" x14ac:dyDescent="0.25">
      <c r="A1290" t="str">
        <f>_xll.BDP("!!0342KV Mtge","ID_CUSIP")</f>
        <v>3137H5DD6</v>
      </c>
      <c r="B1290" t="str">
        <f>_xll.BDP("!!0342KV Mtge","SECURITY_NAME")</f>
        <v>FHR 5179 HI</v>
      </c>
      <c r="C1290" t="str">
        <f>_xll.BDP("!!0342KV Mtge","GENERIC_TICKER_VINTAGE")</f>
        <v>FNCL 3 2021</v>
      </c>
      <c r="D1290" t="str">
        <f>_xll.BDP("!!0342KV Mtge","CRNCY")</f>
        <v>USD</v>
      </c>
      <c r="E1290">
        <v>58914666</v>
      </c>
      <c r="F1290">
        <f>_xll.BDP("!!0342KV Mtge","CPN")</f>
        <v>3</v>
      </c>
      <c r="G1290">
        <f>_xll.BDP("!!0342KV Mtge","MTG_FACTOR")</f>
        <v>0.57865865000000005</v>
      </c>
      <c r="H1290">
        <f>_xll.BDP("!!0342KV Mtge","MTG_WAL")</f>
        <v>3.9723000000000002</v>
      </c>
      <c r="I1290">
        <f>_xll.BDP("!!0342KV Mtge","MTG_ORIG_WAL")</f>
        <v>4.7</v>
      </c>
    </row>
    <row r="1291" spans="1:9" x14ac:dyDescent="0.25">
      <c r="A1291" t="str">
        <f>_xll.BDP("!!0345DW Mtge","ID_CUSIP")</f>
        <v>3136BKD74</v>
      </c>
      <c r="B1291" t="str">
        <f>_xll.BDP("!!0345DW Mtge","SECURITY_NAME")</f>
        <v>FNR 2021-92 J</v>
      </c>
      <c r="C1291" t="str">
        <f>_xll.BDP("!!0345DW Mtge","GENERIC_TICKER_VINTAGE")</f>
        <v>FNCL 3 2021</v>
      </c>
      <c r="D1291" t="str">
        <f>_xll.BDP("!!0345DW Mtge","CRNCY")</f>
        <v>USD</v>
      </c>
      <c r="E1291">
        <v>85577000</v>
      </c>
      <c r="F1291">
        <f>_xll.BDP("!!0345DW Mtge","CPN")</f>
        <v>2.5</v>
      </c>
      <c r="G1291">
        <f>_xll.BDP("!!0345DW Mtge","MTG_FACTOR")</f>
        <v>0.73010094999999997</v>
      </c>
      <c r="H1291">
        <f>_xll.BDP("!!0345DW Mtge","MTG_WAL")</f>
        <v>6.1073000000000004</v>
      </c>
      <c r="I1291">
        <f>_xll.BDP("!!0345DW Mtge","MTG_ORIG_WAL")</f>
        <v>5.5</v>
      </c>
    </row>
    <row r="1292" spans="1:9" x14ac:dyDescent="0.25">
      <c r="A1292" t="str">
        <f>_xll.BDP("!!0345F9 Mtge","ID_CUSIP")</f>
        <v>3136BKL59</v>
      </c>
      <c r="B1292" t="str">
        <f>_xll.BDP("!!0345F9 Mtge","SECURITY_NAME")</f>
        <v>FNR 2021-92 JD</v>
      </c>
      <c r="C1292" t="str">
        <f>_xll.BDP("!!0345F9 Mtge","GENERIC_TICKER_VINTAGE")</f>
        <v>FNCL 3 2021</v>
      </c>
      <c r="D1292" t="str">
        <f>_xll.BDP("!!0345F9 Mtge","CRNCY")</f>
        <v>USD</v>
      </c>
      <c r="E1292">
        <v>85577000</v>
      </c>
      <c r="F1292">
        <f>_xll.BDP("!!0345F9 Mtge","CPN")</f>
        <v>1.75</v>
      </c>
      <c r="G1292">
        <f>_xll.BDP("!!0345F9 Mtge","MTG_FACTOR")</f>
        <v>0.73010094999999997</v>
      </c>
      <c r="H1292">
        <f>_xll.BDP("!!0345F9 Mtge","MTG_WAL")</f>
        <v>6.1073000000000004</v>
      </c>
      <c r="I1292">
        <f>_xll.BDP("!!0345F9 Mtge","MTG_ORIG_WAL")</f>
        <v>5.5</v>
      </c>
    </row>
    <row r="1293" spans="1:9" x14ac:dyDescent="0.25">
      <c r="A1293" t="str">
        <f>_xll.BDP("!!0345YT Mtge","ID_CUSIP")</f>
        <v>3137H4Z94</v>
      </c>
      <c r="B1293" t="str">
        <f>_xll.BDP("!!0345YT Mtge","SECURITY_NAME")</f>
        <v>FHR 5183 DL</v>
      </c>
      <c r="C1293" t="str">
        <f>_xll.BDP("!!0345YT Mtge","GENERIC_TICKER_VINTAGE")</f>
        <v>FNCL 3 2021</v>
      </c>
      <c r="D1293" t="str">
        <f>_xll.BDP("!!0345YT Mtge","CRNCY")</f>
        <v>USD</v>
      </c>
      <c r="E1293">
        <v>13652013</v>
      </c>
      <c r="F1293">
        <f>_xll.BDP("!!0345YT Mtge","CPN")</f>
        <v>2.5</v>
      </c>
      <c r="G1293">
        <f>_xll.BDP("!!0345YT Mtge","MTG_FACTOR")</f>
        <v>1</v>
      </c>
      <c r="H1293">
        <f>_xll.BDP("!!0345YT Mtge","MTG_WAL")</f>
        <v>20.572700000000001</v>
      </c>
      <c r="I1293">
        <f>_xll.BDP("!!0345YT Mtge","MTG_ORIG_WAL")</f>
        <v>20.100000000000001</v>
      </c>
    </row>
    <row r="1294" spans="1:9" x14ac:dyDescent="0.25">
      <c r="A1294" t="str">
        <f>_xll.BDP("!!0345YX Mtge","ID_CUSIP")</f>
        <v>3137H4ZH6</v>
      </c>
      <c r="B1294" t="str">
        <f>_xll.BDP("!!0345YX Mtge","SECURITY_NAME")</f>
        <v>FHR 5183 IC</v>
      </c>
      <c r="C1294" t="str">
        <f>_xll.BDP("!!0345YX Mtge","GENERIC_TICKER_VINTAGE")</f>
        <v>FNCL 3 2021</v>
      </c>
      <c r="D1294" t="str">
        <f>_xll.BDP("!!0345YX Mtge","CRNCY")</f>
        <v>USD</v>
      </c>
      <c r="E1294">
        <v>55045285</v>
      </c>
      <c r="F1294">
        <f>_xll.BDP("!!0345YX Mtge","CPN")</f>
        <v>3</v>
      </c>
      <c r="G1294">
        <f>_xll.BDP("!!0345YX Mtge","MTG_FACTOR")</f>
        <v>0.72793419000000004</v>
      </c>
      <c r="H1294">
        <f>_xll.BDP("!!0345YX Mtge","MTG_WAL")</f>
        <v>7.3509000000000002</v>
      </c>
      <c r="I1294">
        <f>_xll.BDP("!!0345YX Mtge","MTG_ORIG_WAL")</f>
        <v>6.5</v>
      </c>
    </row>
    <row r="1295" spans="1:9" x14ac:dyDescent="0.25">
      <c r="A1295" t="str">
        <f>_xll.BDP("!!0345Z0 Mtge","ID_CUSIP")</f>
        <v>3137H4ZP8</v>
      </c>
      <c r="B1295" t="str">
        <f>_xll.BDP("!!0345Z0 Mtge","SECURITY_NAME")</f>
        <v>FHR 5183 KL</v>
      </c>
      <c r="C1295" t="str">
        <f>_xll.BDP("!!0345Z0 Mtge","GENERIC_TICKER_VINTAGE")</f>
        <v>FNCL 3 2021</v>
      </c>
      <c r="D1295" t="str">
        <f>_xll.BDP("!!0345Z0 Mtge","CRNCY")</f>
        <v>USD</v>
      </c>
      <c r="E1295">
        <v>10393550</v>
      </c>
      <c r="F1295">
        <f>_xll.BDP("!!0345Z0 Mtge","CPN")</f>
        <v>2</v>
      </c>
      <c r="G1295">
        <f>_xll.BDP("!!0345Z0 Mtge","MTG_FACTOR")</f>
        <v>1</v>
      </c>
      <c r="H1295">
        <f>_xll.BDP("!!0345Z0 Mtge","MTG_WAL")</f>
        <v>13.8825</v>
      </c>
      <c r="I1295">
        <f>_xll.BDP("!!0345Z0 Mtge","MTG_ORIG_WAL")</f>
        <v>17.2</v>
      </c>
    </row>
    <row r="1296" spans="1:9" x14ac:dyDescent="0.25">
      <c r="A1296" t="str">
        <f>_xll.BDP("!!0345ZG Mtge","ID_CUSIP")</f>
        <v>3137H4ZW3</v>
      </c>
      <c r="B1296" t="str">
        <f>_xll.BDP("!!0345ZG Mtge","SECURITY_NAME")</f>
        <v>FHR 5183 MD</v>
      </c>
      <c r="C1296" t="str">
        <f>_xll.BDP("!!0345ZG Mtge","GENERIC_TICKER_VINTAGE")</f>
        <v>FNCL 3 2021</v>
      </c>
      <c r="D1296" t="str">
        <f>_xll.BDP("!!0345ZG Mtge","CRNCY")</f>
        <v>USD</v>
      </c>
      <c r="E1296">
        <v>73612093</v>
      </c>
      <c r="F1296">
        <f>_xll.BDP("!!0345ZG Mtge","CPN")</f>
        <v>1.75</v>
      </c>
      <c r="G1296">
        <f>_xll.BDP("!!0345ZG Mtge","MTG_FACTOR")</f>
        <v>0.623699</v>
      </c>
      <c r="H1296">
        <f>_xll.BDP("!!0345ZG Mtge","MTG_WAL")</f>
        <v>4.8132999999999999</v>
      </c>
      <c r="I1296">
        <f>_xll.BDP("!!0345ZG Mtge","MTG_ORIG_WAL")</f>
        <v>5.2</v>
      </c>
    </row>
    <row r="1297" spans="1:9" x14ac:dyDescent="0.25">
      <c r="A1297" t="str">
        <f>_xll.BDP("!!03461X Mtge","ID_CUSIP")</f>
        <v>3136BKF72</v>
      </c>
      <c r="B1297" t="str">
        <f>_xll.BDP("!!03461X Mtge","SECURITY_NAME")</f>
        <v>FNR 2021-92 Z</v>
      </c>
      <c r="C1297" t="str">
        <f>_xll.BDP("!!03461X Mtge","GENERIC_TICKER_VINTAGE")</f>
        <v>FNCL 3 2021</v>
      </c>
      <c r="D1297" t="str">
        <f>_xll.BDP("!!03461X Mtge","CRNCY")</f>
        <v>USD</v>
      </c>
      <c r="E1297">
        <v>25108258</v>
      </c>
      <c r="F1297">
        <f>_xll.BDP("!!03461X Mtge","CPN")</f>
        <v>3</v>
      </c>
      <c r="G1297">
        <f>_xll.BDP("!!03461X Mtge","MTG_FACTOR")</f>
        <v>0.56987372000000003</v>
      </c>
      <c r="H1297">
        <f>_xll.BDP("!!03461X Mtge","MTG_WAL")</f>
        <v>17.0303</v>
      </c>
      <c r="I1297">
        <f>_xll.BDP("!!03461X Mtge","MTG_ORIG_WAL")</f>
        <v>9.9</v>
      </c>
    </row>
    <row r="1298" spans="1:9" x14ac:dyDescent="0.25">
      <c r="A1298" t="str">
        <f>_xll.BDP("!!0347NN Mtge","ID_CUSIP")</f>
        <v>3136BKXL1</v>
      </c>
      <c r="B1298" t="str">
        <f>_xll.BDP("!!0347NN Mtge","SECURITY_NAME")</f>
        <v>FNR 2021-96 GA</v>
      </c>
      <c r="C1298" t="str">
        <f>_xll.BDP("!!0347NN Mtge","GENERIC_TICKER_VINTAGE")</f>
        <v>FNCL 3 2021</v>
      </c>
      <c r="D1298" t="str">
        <f>_xll.BDP("!!0347NN Mtge","CRNCY")</f>
        <v>USD</v>
      </c>
      <c r="E1298">
        <v>64991199</v>
      </c>
      <c r="F1298">
        <f>_xll.BDP("!!0347NN Mtge","CPN")</f>
        <v>2</v>
      </c>
      <c r="G1298">
        <f>_xll.BDP("!!0347NN Mtge","MTG_FACTOR")</f>
        <v>0.74023961000000005</v>
      </c>
      <c r="H1298">
        <f>_xll.BDP("!!0347NN Mtge","MTG_WAL")</f>
        <v>6.3118999999999996</v>
      </c>
      <c r="I1298">
        <f>_xll.BDP("!!0347NN Mtge","MTG_ORIG_WAL")</f>
        <v>6</v>
      </c>
    </row>
    <row r="1299" spans="1:9" x14ac:dyDescent="0.25">
      <c r="A1299" t="str">
        <f>_xll.BDP("!!0347NR Mtge","ID_CUSIP")</f>
        <v>3136BKXP2</v>
      </c>
      <c r="B1299" t="str">
        <f>_xll.BDP("!!0347NR Mtge","SECURITY_NAME")</f>
        <v>FNR 2021-96 GZ</v>
      </c>
      <c r="C1299" t="str">
        <f>_xll.BDP("!!0347NR Mtge","GENERIC_TICKER_VINTAGE")</f>
        <v>FNCL 3 2021</v>
      </c>
      <c r="D1299" t="str">
        <f>_xll.BDP("!!0347NR Mtge","CRNCY")</f>
        <v>USD</v>
      </c>
      <c r="E1299">
        <v>9500000</v>
      </c>
      <c r="F1299">
        <f>_xll.BDP("!!0347NR Mtge","CPN")</f>
        <v>2.5</v>
      </c>
      <c r="G1299">
        <f>_xll.BDP("!!0347NR Mtge","MTG_FACTOR")</f>
        <v>0.57171556000000001</v>
      </c>
      <c r="H1299">
        <f>_xll.BDP("!!0347NR Mtge","MTG_WAL")</f>
        <v>19.829699999999999</v>
      </c>
      <c r="I1299">
        <f>_xll.BDP("!!0347NR Mtge","MTG_ORIG_WAL")</f>
        <v>7.4</v>
      </c>
    </row>
    <row r="1300" spans="1:9" x14ac:dyDescent="0.25">
      <c r="A1300" t="str">
        <f>_xll.BDP("!!0347P6 Mtge","ID_CUSIP")</f>
        <v>3136BKYL0</v>
      </c>
      <c r="B1300" t="str">
        <f>_xll.BDP("!!0347P6 Mtge","SECURITY_NAME")</f>
        <v>FNR 2021-96 GI</v>
      </c>
      <c r="C1300" t="str">
        <f>_xll.BDP("!!0347P6 Mtge","GENERIC_TICKER_VINTAGE")</f>
        <v>FNCL 3 2021</v>
      </c>
      <c r="D1300" t="str">
        <f>_xll.BDP("!!0347P6 Mtge","CRNCY")</f>
        <v>USD</v>
      </c>
      <c r="E1300">
        <v>55651859</v>
      </c>
      <c r="F1300">
        <f>_xll.BDP("!!0347P6 Mtge","CPN")</f>
        <v>3</v>
      </c>
      <c r="G1300">
        <f>_xll.BDP("!!0347P6 Mtge","MTG_FACTOR")</f>
        <v>0.75097541999999995</v>
      </c>
      <c r="H1300">
        <f>_xll.BDP("!!0347P6 Mtge","MTG_WAL")</f>
        <v>7.4387999999999996</v>
      </c>
      <c r="I1300">
        <f>_xll.BDP("!!0347P6 Mtge","MTG_ORIG_WAL")</f>
        <v>6.2</v>
      </c>
    </row>
    <row r="1301" spans="1:9" x14ac:dyDescent="0.25">
      <c r="A1301" t="str">
        <f>_xll.BDP("!!0347ZZ Mtge","ID_CUSIP")</f>
        <v>3136BKE81</v>
      </c>
      <c r="B1301" t="str">
        <f>_xll.BDP("!!0347ZZ Mtge","SECURITY_NAME")</f>
        <v>FNR 2021-92 ZA</v>
      </c>
      <c r="C1301" t="str">
        <f>_xll.BDP("!!0347ZZ Mtge","GENERIC_TICKER_VINTAGE")</f>
        <v>FNCL 3 2021</v>
      </c>
      <c r="D1301" t="str">
        <f>_xll.BDP("!!0347ZZ Mtge","CRNCY")</f>
        <v>USD</v>
      </c>
      <c r="E1301">
        <v>20916529</v>
      </c>
      <c r="F1301">
        <f>_xll.BDP("!!0347ZZ Mtge","CPN")</f>
        <v>3</v>
      </c>
      <c r="G1301">
        <f>_xll.BDP("!!0347ZZ Mtge","MTG_FACTOR")</f>
        <v>0.58147028999999995</v>
      </c>
      <c r="H1301">
        <f>_xll.BDP("!!0347ZZ Mtge","MTG_WAL")</f>
        <v>16.8216</v>
      </c>
      <c r="I1301">
        <f>_xll.BDP("!!0347ZZ Mtge","MTG_ORIG_WAL")</f>
        <v>9.9</v>
      </c>
    </row>
    <row r="1302" spans="1:9" x14ac:dyDescent="0.25">
      <c r="A1302" t="str">
        <f>_xll.BDP("!!034802 Mtge","ID_CUSIP")</f>
        <v>3136BKQ21</v>
      </c>
      <c r="B1302" t="str">
        <f>_xll.BDP("!!034802 Mtge","SECURITY_NAME")</f>
        <v>FNR 2021-92 PC</v>
      </c>
      <c r="C1302" t="str">
        <f>_xll.BDP("!!034802 Mtge","GENERIC_TICKER_VINTAGE")</f>
        <v>FNCL 3 2021</v>
      </c>
      <c r="D1302" t="str">
        <f>_xll.BDP("!!034802 Mtge","CRNCY")</f>
        <v>USD</v>
      </c>
      <c r="E1302">
        <v>75250000</v>
      </c>
      <c r="F1302">
        <f>_xll.BDP("!!034802 Mtge","CPN")</f>
        <v>1.5</v>
      </c>
      <c r="G1302">
        <f>_xll.BDP("!!034802 Mtge","MTG_FACTOR")</f>
        <v>0.62379892999999997</v>
      </c>
      <c r="H1302">
        <f>_xll.BDP("!!034802 Mtge","MTG_WAL")</f>
        <v>4.9988999999999999</v>
      </c>
      <c r="I1302">
        <f>_xll.BDP("!!034802 Mtge","MTG_ORIG_WAL")</f>
        <v>3.2</v>
      </c>
    </row>
    <row r="1303" spans="1:9" x14ac:dyDescent="0.25">
      <c r="A1303" t="str">
        <f>_xll.BDP("!!03482N Mtge","ID_CUSIP")</f>
        <v>3136BLAB6</v>
      </c>
      <c r="B1303" t="str">
        <f>_xll.BDP("!!03482N Mtge","SECURITY_NAME")</f>
        <v>FNR 2021-97 BZ</v>
      </c>
      <c r="C1303" t="str">
        <f>_xll.BDP("!!03482N Mtge","GENERIC_TICKER_VINTAGE")</f>
        <v>FNCL 3 2021</v>
      </c>
      <c r="D1303" t="str">
        <f>_xll.BDP("!!03482N Mtge","CRNCY")</f>
        <v>USD</v>
      </c>
      <c r="E1303">
        <v>56739000</v>
      </c>
      <c r="F1303">
        <f>_xll.BDP("!!03482N Mtge","CPN")</f>
        <v>3</v>
      </c>
      <c r="G1303">
        <f>_xll.BDP("!!03482N Mtge","MTG_FACTOR")</f>
        <v>1.1358041400000001</v>
      </c>
      <c r="H1303">
        <f>_xll.BDP("!!03482N Mtge","MTG_WAL")</f>
        <v>8.7614000000000001</v>
      </c>
      <c r="I1303">
        <f>_xll.BDP("!!03482N Mtge","MTG_ORIG_WAL")</f>
        <v>7.7</v>
      </c>
    </row>
    <row r="1304" spans="1:9" x14ac:dyDescent="0.25">
      <c r="A1304" t="str">
        <f>_xll.BDP("!!0348BN Mtge","ID_CUSIP")</f>
        <v>3136BKUK6</v>
      </c>
      <c r="B1304" t="str">
        <f>_xll.BDP("!!0348BN Mtge","SECURITY_NAME")</f>
        <v>FNR 2021-95 GA</v>
      </c>
      <c r="C1304" t="str">
        <f>_xll.BDP("!!0348BN Mtge","GENERIC_TICKER_VINTAGE")</f>
        <v>FNCL 3 2021</v>
      </c>
      <c r="D1304" t="str">
        <f>_xll.BDP("!!0348BN Mtge","CRNCY")</f>
        <v>USD</v>
      </c>
      <c r="E1304">
        <v>122601521</v>
      </c>
      <c r="F1304">
        <f>_xll.BDP("!!0348BN Mtge","CPN")</f>
        <v>1.875</v>
      </c>
      <c r="G1304">
        <f>_xll.BDP("!!0348BN Mtge","MTG_FACTOR")</f>
        <v>0.66511883000000005</v>
      </c>
      <c r="H1304">
        <f>_xll.BDP("!!0348BN Mtge","MTG_WAL")</f>
        <v>7.0166000000000004</v>
      </c>
      <c r="I1304">
        <f>_xll.BDP("!!0348BN Mtge","MTG_ORIG_WAL")</f>
        <v>4.6024099999999999</v>
      </c>
    </row>
    <row r="1305" spans="1:9" x14ac:dyDescent="0.25">
      <c r="A1305" t="str">
        <f>_xll.BDP("!!0348BP Mtge","ID_CUSIP")</f>
        <v>3136BKUL4</v>
      </c>
      <c r="B1305" t="str">
        <f>_xll.BDP("!!0348BP Mtge","SECURITY_NAME")</f>
        <v>FNR 2021-95 IX</v>
      </c>
      <c r="C1305" t="str">
        <f>_xll.BDP("!!0348BP Mtge","GENERIC_TICKER_VINTAGE")</f>
        <v>FNCL 3 2021</v>
      </c>
      <c r="D1305" t="str">
        <f>_xll.BDP("!!0348BP Mtge","CRNCY")</f>
        <v>USD</v>
      </c>
      <c r="E1305">
        <v>25541983</v>
      </c>
      <c r="F1305">
        <f>_xll.BDP("!!0348BP Mtge","CPN")</f>
        <v>3</v>
      </c>
      <c r="G1305">
        <f>_xll.BDP("!!0348BP Mtge","MTG_FACTOR")</f>
        <v>0.66511883000000005</v>
      </c>
      <c r="H1305">
        <f>_xll.BDP("!!0348BP Mtge","MTG_WAL")</f>
        <v>7.0166000000000004</v>
      </c>
      <c r="I1305">
        <f>_xll.BDP("!!0348BP Mtge","MTG_ORIG_WAL")</f>
        <v>4.6024099999999999</v>
      </c>
    </row>
    <row r="1306" spans="1:9" x14ac:dyDescent="0.25">
      <c r="A1306" t="str">
        <f>_xll.BDP("!!0348BQ Mtge","ID_CUSIP")</f>
        <v>3136BKUM2</v>
      </c>
      <c r="B1306" t="str">
        <f>_xll.BDP("!!0348BQ Mtge","SECURITY_NAME")</f>
        <v>FNR 2021-95 GB</v>
      </c>
      <c r="C1306" t="str">
        <f>_xll.BDP("!!0348BQ Mtge","GENERIC_TICKER_VINTAGE")</f>
        <v>FNCL 3 2021</v>
      </c>
      <c r="D1306" t="str">
        <f>_xll.BDP("!!0348BQ Mtge","CRNCY")</f>
        <v>USD</v>
      </c>
      <c r="E1306">
        <v>7310102</v>
      </c>
      <c r="F1306">
        <f>_xll.BDP("!!0348BQ Mtge","CPN")</f>
        <v>2.5</v>
      </c>
      <c r="G1306">
        <f>_xll.BDP("!!0348BQ Mtge","MTG_FACTOR")</f>
        <v>1</v>
      </c>
      <c r="H1306">
        <f>_xll.BDP("!!0348BQ Mtge","MTG_WAL")</f>
        <v>21.5307</v>
      </c>
      <c r="I1306">
        <f>_xll.BDP("!!0348BQ Mtge","MTG_ORIG_WAL")</f>
        <v>17.19659</v>
      </c>
    </row>
    <row r="1307" spans="1:9" x14ac:dyDescent="0.25">
      <c r="A1307" t="str">
        <f>_xll.BDP("!!0348BS Mtge","ID_CUSIP")</f>
        <v>3136BKWG3</v>
      </c>
      <c r="B1307" t="str">
        <f>_xll.BDP("!!0348BS Mtge","SECURITY_NAME")</f>
        <v>FNR 2021-95 GI</v>
      </c>
      <c r="C1307" t="str">
        <f>_xll.BDP("!!0348BS Mtge","GENERIC_TICKER_VINTAGE")</f>
        <v>FNCL 3 2021</v>
      </c>
      <c r="D1307" t="str">
        <f>_xll.BDP("!!0348BS Mtge","CRNCY")</f>
        <v>USD</v>
      </c>
      <c r="E1307">
        <v>47193920</v>
      </c>
      <c r="F1307">
        <f>_xll.BDP("!!0348BS Mtge","CPN")</f>
        <v>3</v>
      </c>
      <c r="G1307">
        <f>_xll.BDP("!!0348BS Mtge","MTG_FACTOR")</f>
        <v>0.67376407000000005</v>
      </c>
      <c r="H1307">
        <f>_xll.BDP("!!0348BS Mtge","MTG_WAL")</f>
        <v>7.5727000000000002</v>
      </c>
      <c r="I1307">
        <f>_xll.BDP("!!0348BS Mtge","MTG_ORIG_WAL")</f>
        <v>4.9275399999999996</v>
      </c>
    </row>
    <row r="1308" spans="1:9" x14ac:dyDescent="0.25">
      <c r="A1308" t="str">
        <f>_xll.BDP("!!0348W2 Mtge","ID_CUSIP")</f>
        <v>3137H53M7</v>
      </c>
      <c r="B1308" t="str">
        <f>_xll.BDP("!!0348W2 Mtge","SECURITY_NAME")</f>
        <v>FHR 5178 FH</v>
      </c>
      <c r="C1308" t="str">
        <f>_xll.BDP("!!0348W2 Mtge","GENERIC_TICKER_VINTAGE")</f>
        <v>FNCL 3 2021</v>
      </c>
      <c r="D1308" t="str">
        <f>_xll.BDP("!!0348W2 Mtge","CRNCY")</f>
        <v>USD</v>
      </c>
      <c r="E1308">
        <v>10000000</v>
      </c>
      <c r="F1308">
        <f>_xll.BDP("!!0348W2 Mtge","CPN")</f>
        <v>3</v>
      </c>
      <c r="G1308">
        <f>_xll.BDP("!!0348W2 Mtge","MTG_FACTOR")</f>
        <v>0.72914804</v>
      </c>
      <c r="H1308">
        <f>_xll.BDP("!!0348W2 Mtge","MTG_WAL")</f>
        <v>8.3420000000000005</v>
      </c>
      <c r="I1308">
        <f>_xll.BDP("!!0348W2 Mtge","MTG_ORIG_WAL")</f>
        <v>6.5</v>
      </c>
    </row>
    <row r="1309" spans="1:9" x14ac:dyDescent="0.25">
      <c r="A1309" t="str">
        <f>_xll.BDP("!!0348WB Mtge","ID_CUSIP")</f>
        <v>3137H53X3</v>
      </c>
      <c r="B1309" t="str">
        <f>_xll.BDP("!!0348WB Mtge","SECURITY_NAME")</f>
        <v>FHR 5178 HS</v>
      </c>
      <c r="C1309" t="str">
        <f>_xll.BDP("!!0348WB Mtge","GENERIC_TICKER_VINTAGE")</f>
        <v>FNCL 3 2021</v>
      </c>
      <c r="D1309" t="str">
        <f>_xll.BDP("!!0348WB Mtge","CRNCY")</f>
        <v>USD</v>
      </c>
      <c r="E1309">
        <v>1511062</v>
      </c>
      <c r="F1309">
        <f>_xll.BDP("!!0348WB Mtge","CPN")</f>
        <v>0</v>
      </c>
      <c r="G1309">
        <f>_xll.BDP("!!0348WB Mtge","MTG_FACTOR")</f>
        <v>0.98522394000000002</v>
      </c>
      <c r="H1309">
        <f>_xll.BDP("!!0348WB Mtge","MTG_WAL")</f>
        <v>17.992899999999999</v>
      </c>
      <c r="I1309">
        <f>_xll.BDP("!!0348WB Mtge","MTG_ORIG_WAL")</f>
        <v>2.9</v>
      </c>
    </row>
    <row r="1310" spans="1:9" x14ac:dyDescent="0.25">
      <c r="A1310" t="str">
        <f>_xll.BDP("!!0348WC Mtge","ID_CUSIP")</f>
        <v>3137H53T2</v>
      </c>
      <c r="B1310" t="str">
        <f>_xll.BDP("!!0348WC Mtge","SECURITY_NAME")</f>
        <v>FHR 5178 HJ</v>
      </c>
      <c r="C1310" t="str">
        <f>_xll.BDP("!!0348WC Mtge","GENERIC_TICKER_VINTAGE")</f>
        <v>FNCL 3 2021</v>
      </c>
      <c r="D1310" t="str">
        <f>_xll.BDP("!!0348WC Mtge","CRNCY")</f>
        <v>USD</v>
      </c>
      <c r="E1310">
        <v>2890078</v>
      </c>
      <c r="F1310">
        <f>_xll.BDP("!!0348WC Mtge","CPN")</f>
        <v>2</v>
      </c>
      <c r="G1310">
        <f>_xll.BDP("!!0348WC Mtge","MTG_FACTOR")</f>
        <v>1</v>
      </c>
      <c r="H1310">
        <f>_xll.BDP("!!0348WC Mtge","MTG_WAL")</f>
        <v>22.471499999999999</v>
      </c>
      <c r="I1310">
        <f>_xll.BDP("!!0348WC Mtge","MTG_ORIG_WAL")</f>
        <v>15.9</v>
      </c>
    </row>
    <row r="1311" spans="1:9" x14ac:dyDescent="0.25">
      <c r="A1311" t="str">
        <f>_xll.BDP("!!0348WD Mtge","ID_CUSIP")</f>
        <v>3137H53S4</v>
      </c>
      <c r="B1311" t="str">
        <f>_xll.BDP("!!0348WD Mtge","SECURITY_NAME")</f>
        <v>FHR 5178 HI</v>
      </c>
      <c r="C1311" t="str">
        <f>_xll.BDP("!!0348WD Mtge","GENERIC_TICKER_VINTAGE")</f>
        <v>FNCL 3 2021</v>
      </c>
      <c r="D1311" t="str">
        <f>_xll.BDP("!!0348WD Mtge","CRNCY")</f>
        <v>USD</v>
      </c>
      <c r="E1311">
        <v>24780470</v>
      </c>
      <c r="F1311">
        <f>_xll.BDP("!!0348WD Mtge","CPN")</f>
        <v>3</v>
      </c>
      <c r="G1311">
        <f>_xll.BDP("!!0348WD Mtge","MTG_FACTOR")</f>
        <v>0.71478348000000003</v>
      </c>
      <c r="H1311">
        <f>_xll.BDP("!!0348WD Mtge","MTG_WAL")</f>
        <v>7.8284000000000002</v>
      </c>
      <c r="I1311">
        <f>_xll.BDP("!!0348WD Mtge","MTG_ORIG_WAL")</f>
        <v>6.2</v>
      </c>
    </row>
    <row r="1312" spans="1:9" x14ac:dyDescent="0.25">
      <c r="A1312" t="str">
        <f>_xll.BDP("!!0349TH Mtge","ID_CUSIP")</f>
        <v>3137H5AS6</v>
      </c>
      <c r="B1312" t="str">
        <f>_xll.BDP("!!0349TH Mtge","SECURITY_NAME")</f>
        <v>FHR 5187 LG</v>
      </c>
      <c r="C1312" t="str">
        <f>_xll.BDP("!!0349TH Mtge","GENERIC_TICKER_VINTAGE")</f>
        <v>FNCL 3 2021</v>
      </c>
      <c r="D1312" t="str">
        <f>_xll.BDP("!!0349TH Mtge","CRNCY")</f>
        <v>USD</v>
      </c>
      <c r="E1312">
        <v>73888494</v>
      </c>
      <c r="F1312">
        <f>_xll.BDP("!!0349TH Mtge","CPN")</f>
        <v>1.75</v>
      </c>
      <c r="G1312">
        <f>_xll.BDP("!!0349TH Mtge","MTG_FACTOR")</f>
        <v>0.75655393000000004</v>
      </c>
      <c r="H1312">
        <f>_xll.BDP("!!0349TH Mtge","MTG_WAL")</f>
        <v>5.4688999999999997</v>
      </c>
      <c r="I1312">
        <f>_xll.BDP("!!0349TH Mtge","MTG_ORIG_WAL")</f>
        <v>4.7</v>
      </c>
    </row>
    <row r="1313" spans="1:9" x14ac:dyDescent="0.25">
      <c r="A1313" t="str">
        <f>_xll.BDP("!!0349V8 Mtge","ID_CUSIP")</f>
        <v>3136BK6B3</v>
      </c>
      <c r="B1313" t="str">
        <f>_xll.BDP("!!0349V8 Mtge","SECURITY_NAME")</f>
        <v>FNR 2021-93 BD</v>
      </c>
      <c r="C1313" t="str">
        <f>_xll.BDP("!!0349V8 Mtge","GENERIC_TICKER_VINTAGE")</f>
        <v>FNCL 3 2021</v>
      </c>
      <c r="D1313" t="str">
        <f>_xll.BDP("!!0349V8 Mtge","CRNCY")</f>
        <v>USD</v>
      </c>
      <c r="E1313">
        <v>169331629</v>
      </c>
      <c r="F1313">
        <f>_xll.BDP("!!0349V8 Mtge","CPN")</f>
        <v>1.5</v>
      </c>
      <c r="G1313">
        <f>_xll.BDP("!!0349V8 Mtge","MTG_FACTOR")</f>
        <v>0.60307476999999998</v>
      </c>
      <c r="H1313">
        <f>_xll.BDP("!!0349V8 Mtge","MTG_WAL")</f>
        <v>5.2313999999999998</v>
      </c>
      <c r="I1313">
        <f>_xll.BDP("!!0349V8 Mtge","MTG_ORIG_WAL")</f>
        <v>3.4</v>
      </c>
    </row>
    <row r="1314" spans="1:9" x14ac:dyDescent="0.25">
      <c r="A1314" t="str">
        <f>_xll.BDP("!!0349V9 Mtge","ID_CUSIP")</f>
        <v>3136BK6C1</v>
      </c>
      <c r="B1314" t="str">
        <f>_xll.BDP("!!0349V9 Mtge","SECURITY_NAME")</f>
        <v>FNR 2021-93 BE</v>
      </c>
      <c r="C1314" t="str">
        <f>_xll.BDP("!!0349V9 Mtge","GENERIC_TICKER_VINTAGE")</f>
        <v>FNCL 3 2021</v>
      </c>
      <c r="D1314" t="str">
        <f>_xll.BDP("!!0349V9 Mtge","CRNCY")</f>
        <v>USD</v>
      </c>
      <c r="E1314">
        <v>169331629</v>
      </c>
      <c r="F1314">
        <f>_xll.BDP("!!0349V9 Mtge","CPN")</f>
        <v>1.75</v>
      </c>
      <c r="G1314">
        <f>_xll.BDP("!!0349V9 Mtge","MTG_FACTOR")</f>
        <v>0.60307476999999998</v>
      </c>
      <c r="H1314">
        <f>_xll.BDP("!!0349V9 Mtge","MTG_WAL")</f>
        <v>5.2313999999999998</v>
      </c>
      <c r="I1314">
        <f>_xll.BDP("!!0349V9 Mtge","MTG_ORIG_WAL")</f>
        <v>3.4</v>
      </c>
    </row>
    <row r="1315" spans="1:9" x14ac:dyDescent="0.25">
      <c r="A1315" t="str">
        <f>_xll.BDP("!!0349VC Mtge","ID_CUSIP")</f>
        <v>3136BK6E7</v>
      </c>
      <c r="B1315" t="str">
        <f>_xll.BDP("!!0349VC Mtge","SECURITY_NAME")</f>
        <v>FNR 2021-93 BI</v>
      </c>
      <c r="C1315" t="str">
        <f>_xll.BDP("!!0349VC Mtge","GENERIC_TICKER_VINTAGE")</f>
        <v>FNCL 3 2021</v>
      </c>
      <c r="D1315" t="str">
        <f>_xll.BDP("!!0349VC Mtge","CRNCY")</f>
        <v>USD</v>
      </c>
      <c r="E1315">
        <v>112887752</v>
      </c>
      <c r="F1315">
        <f>_xll.BDP("!!0349VC Mtge","CPN")</f>
        <v>3</v>
      </c>
      <c r="G1315">
        <f>_xll.BDP("!!0349VC Mtge","MTG_FACTOR")</f>
        <v>0.60307476999999998</v>
      </c>
      <c r="H1315">
        <f>_xll.BDP("!!0349VC Mtge","MTG_WAL")</f>
        <v>5.2313999999999998</v>
      </c>
      <c r="I1315">
        <f>_xll.BDP("!!0349VC Mtge","MTG_ORIG_WAL")</f>
        <v>3.4</v>
      </c>
    </row>
    <row r="1316" spans="1:9" x14ac:dyDescent="0.25">
      <c r="A1316" t="str">
        <f>_xll.BDP("!!0349ZS Mtge","ID_CUSIP")</f>
        <v>3137H4VF4</v>
      </c>
      <c r="B1316" t="str">
        <f>_xll.BDP("!!0349ZS Mtge","SECURITY_NAME")</f>
        <v>FHR 5180 IP</v>
      </c>
      <c r="C1316" t="str">
        <f>_xll.BDP("!!0349ZS Mtge","GENERIC_TICKER_VINTAGE")</f>
        <v>FNCL 3 2021</v>
      </c>
      <c r="D1316" t="str">
        <f>_xll.BDP("!!0349ZS Mtge","CRNCY")</f>
        <v>USD</v>
      </c>
      <c r="E1316">
        <v>25000000</v>
      </c>
      <c r="F1316">
        <f>_xll.BDP("!!0349ZS Mtge","CPN")</f>
        <v>3</v>
      </c>
      <c r="G1316">
        <f>_xll.BDP("!!0349ZS Mtge","MTG_FACTOR")</f>
        <v>0.80054245999999996</v>
      </c>
      <c r="H1316">
        <f>_xll.BDP("!!0349ZS Mtge","MTG_WAL")</f>
        <v>8.2035999999999998</v>
      </c>
      <c r="I1316">
        <f>_xll.BDP("!!0349ZS Mtge","MTG_ORIG_WAL")</f>
        <v>7.3</v>
      </c>
    </row>
    <row r="1317" spans="1:9" x14ac:dyDescent="0.25">
      <c r="A1317" t="str">
        <f>_xll.BDP("!!0349ZZ Mtge","ID_CUSIP")</f>
        <v>3137H4VX5</v>
      </c>
      <c r="B1317" t="str">
        <f>_xll.BDP("!!0349ZZ Mtge","SECURITY_NAME")</f>
        <v>FHR 5180 PG</v>
      </c>
      <c r="C1317" t="str">
        <f>_xll.BDP("!!0349ZZ Mtge","GENERIC_TICKER_VINTAGE")</f>
        <v>FNCL 3 2021</v>
      </c>
      <c r="D1317" t="str">
        <f>_xll.BDP("!!0349ZZ Mtge","CRNCY")</f>
        <v>USD</v>
      </c>
      <c r="E1317">
        <v>61686000</v>
      </c>
      <c r="F1317">
        <f>_xll.BDP("!!0349ZZ Mtge","CPN")</f>
        <v>2</v>
      </c>
      <c r="G1317">
        <f>_xll.BDP("!!0349ZZ Mtge","MTG_FACTOR")</f>
        <v>0.76404287000000004</v>
      </c>
      <c r="H1317">
        <f>_xll.BDP("!!0349ZZ Mtge","MTG_WAL")</f>
        <v>5.8771000000000004</v>
      </c>
      <c r="I1317">
        <f>_xll.BDP("!!0349ZZ Mtge","MTG_ORIG_WAL")</f>
        <v>7.2</v>
      </c>
    </row>
    <row r="1318" spans="1:9" x14ac:dyDescent="0.25">
      <c r="A1318" t="str">
        <f>_xll.BDP("!!034BHX Mtge","ID_CUSIP")</f>
        <v>3136BKUP5</v>
      </c>
      <c r="B1318" t="str">
        <f>_xll.BDP("!!034BHX Mtge","SECURITY_NAME")</f>
        <v>FNR 2021-95 CP</v>
      </c>
      <c r="C1318" t="str">
        <f>_xll.BDP("!!034BHX Mtge","GENERIC_TICKER_VINTAGE")</f>
        <v>FNCL 3 2021</v>
      </c>
      <c r="D1318" t="str">
        <f>_xll.BDP("!!034BHX Mtge","CRNCY")</f>
        <v>USD</v>
      </c>
      <c r="E1318">
        <v>37531000</v>
      </c>
      <c r="F1318">
        <f>_xll.BDP("!!034BHX Mtge","CPN")</f>
        <v>1.5</v>
      </c>
      <c r="G1318">
        <f>_xll.BDP("!!034BHX Mtge","MTG_FACTOR")</f>
        <v>0.62535585000000005</v>
      </c>
      <c r="H1318">
        <f>_xll.BDP("!!034BHX Mtge","MTG_WAL")</f>
        <v>5.1009000000000002</v>
      </c>
      <c r="I1318">
        <f>_xll.BDP("!!034BHX Mtge","MTG_ORIG_WAL")</f>
        <v>3.64995</v>
      </c>
    </row>
    <row r="1319" spans="1:9" x14ac:dyDescent="0.25">
      <c r="A1319" t="str">
        <f>_xll.BDP("!!034BHY Mtge","ID_CUSIP")</f>
        <v>3136BKUQ3</v>
      </c>
      <c r="B1319" t="str">
        <f>_xll.BDP("!!034BHY Mtge","SECURITY_NAME")</f>
        <v>FNR 2021-95 IC</v>
      </c>
      <c r="C1319" t="str">
        <f>_xll.BDP("!!034BHY Mtge","GENERIC_TICKER_VINTAGE")</f>
        <v>FNCL 3 2021</v>
      </c>
      <c r="D1319" t="str">
        <f>_xll.BDP("!!034BHY Mtge","CRNCY")</f>
        <v>USD</v>
      </c>
      <c r="E1319">
        <v>18765500</v>
      </c>
      <c r="F1319">
        <f>_xll.BDP("!!034BHY Mtge","CPN")</f>
        <v>3</v>
      </c>
      <c r="G1319">
        <f>_xll.BDP("!!034BHY Mtge","MTG_FACTOR")</f>
        <v>0.62535585000000005</v>
      </c>
      <c r="H1319">
        <f>_xll.BDP("!!034BHY Mtge","MTG_WAL")</f>
        <v>5.1009000000000002</v>
      </c>
      <c r="I1319">
        <f>_xll.BDP("!!034BHY Mtge","MTG_ORIG_WAL")</f>
        <v>3.64995</v>
      </c>
    </row>
    <row r="1320" spans="1:9" x14ac:dyDescent="0.25">
      <c r="A1320" t="str">
        <f>_xll.BDP("!!034BHZ Mtge","ID_CUSIP")</f>
        <v>3136BKUR1</v>
      </c>
      <c r="B1320" t="str">
        <f>_xll.BDP("!!034BHZ Mtge","SECURITY_NAME")</f>
        <v>FNR 2021-95 ZC</v>
      </c>
      <c r="C1320" t="str">
        <f>_xll.BDP("!!034BHZ Mtge","GENERIC_TICKER_VINTAGE")</f>
        <v>FNCL 3 2021</v>
      </c>
      <c r="D1320" t="str">
        <f>_xll.BDP("!!034BHZ Mtge","CRNCY")</f>
        <v>USD</v>
      </c>
      <c r="E1320">
        <v>9950110</v>
      </c>
      <c r="F1320">
        <f>_xll.BDP("!!034BHZ Mtge","CPN")</f>
        <v>3</v>
      </c>
      <c r="G1320">
        <f>_xll.BDP("!!034BHZ Mtge","MTG_FACTOR")</f>
        <v>0.57289517999999995</v>
      </c>
      <c r="H1320">
        <f>_xll.BDP("!!034BHZ Mtge","MTG_WAL")</f>
        <v>16.976299999999998</v>
      </c>
      <c r="I1320">
        <f>_xll.BDP("!!034BHZ Mtge","MTG_ORIG_WAL")</f>
        <v>10.95335</v>
      </c>
    </row>
    <row r="1321" spans="1:9" x14ac:dyDescent="0.25">
      <c r="A1321" t="str">
        <f>_xll.BDP("!!034BW0 Mtge","ID_CUSIP")</f>
        <v>3137H5AH0</v>
      </c>
      <c r="B1321" t="str">
        <f>_xll.BDP("!!034BW0 Mtge","SECURITY_NAME")</f>
        <v>FHR 5187 IK</v>
      </c>
      <c r="C1321" t="str">
        <f>_xll.BDP("!!034BW0 Mtge","GENERIC_TICKER_VINTAGE")</f>
        <v>FNCL 3 2021</v>
      </c>
      <c r="D1321" t="str">
        <f>_xll.BDP("!!034BW0 Mtge","CRNCY")</f>
        <v>USD</v>
      </c>
      <c r="E1321">
        <v>23747570</v>
      </c>
      <c r="F1321">
        <f>_xll.BDP("!!034BW0 Mtge","CPN")</f>
        <v>3</v>
      </c>
      <c r="G1321">
        <f>_xll.BDP("!!034BW0 Mtge","MTG_FACTOR")</f>
        <v>0.80069562999999999</v>
      </c>
      <c r="H1321">
        <f>_xll.BDP("!!034BW0 Mtge","MTG_WAL")</f>
        <v>8.3427000000000007</v>
      </c>
      <c r="I1321">
        <f>_xll.BDP("!!034BW0 Mtge","MTG_ORIG_WAL")</f>
        <v>5.5</v>
      </c>
    </row>
    <row r="1322" spans="1:9" x14ac:dyDescent="0.25">
      <c r="A1322" t="str">
        <f>_xll.BDP("!!034CCF Mtge","ID_CUSIP")</f>
        <v>3136BK6F4</v>
      </c>
      <c r="B1322" t="str">
        <f>_xll.BDP("!!034CCF Mtge","SECURITY_NAME")</f>
        <v>FNR 2021-93 DA</v>
      </c>
      <c r="C1322" t="str">
        <f>_xll.BDP("!!034CCF Mtge","GENERIC_TICKER_VINTAGE")</f>
        <v>FNCL 3 2021</v>
      </c>
      <c r="D1322" t="str">
        <f>_xll.BDP("!!034CCF Mtge","CRNCY")</f>
        <v>USD</v>
      </c>
      <c r="E1322">
        <v>222727397</v>
      </c>
      <c r="F1322">
        <f>_xll.BDP("!!034CCF Mtge","CPN")</f>
        <v>1</v>
      </c>
      <c r="G1322">
        <f>_xll.BDP("!!034CCF Mtge","MTG_FACTOR")</f>
        <v>0.61738040000000005</v>
      </c>
      <c r="H1322">
        <f>_xll.BDP("!!034CCF Mtge","MTG_WAL")</f>
        <v>5.0410000000000004</v>
      </c>
      <c r="I1322">
        <f>_xll.BDP("!!034CCF Mtge","MTG_ORIG_WAL")</f>
        <v>3.4</v>
      </c>
    </row>
    <row r="1323" spans="1:9" x14ac:dyDescent="0.25">
      <c r="A1323" t="str">
        <f>_xll.BDP("!!034CCH Mtge","ID_CUSIP")</f>
        <v>3136BK6H0</v>
      </c>
      <c r="B1323" t="str">
        <f>_xll.BDP("!!034CCH Mtge","SECURITY_NAME")</f>
        <v>FNR 2021-93 DC</v>
      </c>
      <c r="C1323" t="str">
        <f>_xll.BDP("!!034CCH Mtge","GENERIC_TICKER_VINTAGE")</f>
        <v>FNCL 3 2021</v>
      </c>
      <c r="D1323" t="str">
        <f>_xll.BDP("!!034CCH Mtge","CRNCY")</f>
        <v>USD</v>
      </c>
      <c r="E1323">
        <v>222727397</v>
      </c>
      <c r="F1323">
        <f>_xll.BDP("!!034CCH Mtge","CPN")</f>
        <v>1.5</v>
      </c>
      <c r="G1323">
        <f>_xll.BDP("!!034CCH Mtge","MTG_FACTOR")</f>
        <v>0.61738040000000005</v>
      </c>
      <c r="H1323">
        <f>_xll.BDP("!!034CCH Mtge","MTG_WAL")</f>
        <v>5.0410000000000004</v>
      </c>
      <c r="I1323">
        <f>_xll.BDP("!!034CCH Mtge","MTG_ORIG_WAL")</f>
        <v>3.4</v>
      </c>
    </row>
    <row r="1324" spans="1:9" x14ac:dyDescent="0.25">
      <c r="A1324" t="str">
        <f>_xll.BDP("!!034CCJ Mtge","ID_CUSIP")</f>
        <v>3136BK6J6</v>
      </c>
      <c r="B1324" t="str">
        <f>_xll.BDP("!!034CCJ Mtge","SECURITY_NAME")</f>
        <v>FNR 2021-93 DE</v>
      </c>
      <c r="C1324" t="str">
        <f>_xll.BDP("!!034CCJ Mtge","GENERIC_TICKER_VINTAGE")</f>
        <v>FNCL 3 2021</v>
      </c>
      <c r="D1324" t="str">
        <f>_xll.BDP("!!034CCJ Mtge","CRNCY")</f>
        <v>USD</v>
      </c>
      <c r="E1324">
        <v>222727397</v>
      </c>
      <c r="F1324">
        <f>_xll.BDP("!!034CCJ Mtge","CPN")</f>
        <v>1.75</v>
      </c>
      <c r="G1324">
        <f>_xll.BDP("!!034CCJ Mtge","MTG_FACTOR")</f>
        <v>0.61738040000000005</v>
      </c>
      <c r="H1324">
        <f>_xll.BDP("!!034CCJ Mtge","MTG_WAL")</f>
        <v>5.0410000000000004</v>
      </c>
      <c r="I1324">
        <f>_xll.BDP("!!034CCJ Mtge","MTG_ORIG_WAL")</f>
        <v>3.4</v>
      </c>
    </row>
    <row r="1325" spans="1:9" x14ac:dyDescent="0.25">
      <c r="A1325" t="str">
        <f>_xll.BDP("!!034CCL Mtge","ID_CUSIP")</f>
        <v>3136BK6L1</v>
      </c>
      <c r="B1325" t="str">
        <f>_xll.BDP("!!034CCL Mtge","SECURITY_NAME")</f>
        <v>FNR 2021-93 DI</v>
      </c>
      <c r="C1325" t="str">
        <f>_xll.BDP("!!034CCL Mtge","GENERIC_TICKER_VINTAGE")</f>
        <v>FNCL 3 2021</v>
      </c>
      <c r="D1325" t="str">
        <f>_xll.BDP("!!034CCL Mtge","CRNCY")</f>
        <v>USD</v>
      </c>
      <c r="E1325">
        <v>148484931</v>
      </c>
      <c r="F1325">
        <f>_xll.BDP("!!034CCL Mtge","CPN")</f>
        <v>3</v>
      </c>
      <c r="G1325">
        <f>_xll.BDP("!!034CCL Mtge","MTG_FACTOR")</f>
        <v>0.61738040000000005</v>
      </c>
      <c r="H1325">
        <f>_xll.BDP("!!034CCL Mtge","MTG_WAL")</f>
        <v>5.0410000000000004</v>
      </c>
      <c r="I1325">
        <f>_xll.BDP("!!034CCL Mtge","MTG_ORIG_WAL")</f>
        <v>3.4</v>
      </c>
    </row>
    <row r="1326" spans="1:9" x14ac:dyDescent="0.25">
      <c r="A1326" t="str">
        <f>_xll.BDP("!!034CP0 Mtge","ID_CUSIP")</f>
        <v>3137H5DG9</v>
      </c>
      <c r="B1326" t="str">
        <f>_xll.BDP("!!034CP0 Mtge","SECURITY_NAME")</f>
        <v>FHR 5179 HP</v>
      </c>
      <c r="C1326" t="str">
        <f>_xll.BDP("!!034CP0 Mtge","GENERIC_TICKER_VINTAGE")</f>
        <v>FNCL 3 2021</v>
      </c>
      <c r="D1326" t="str">
        <f>_xll.BDP("!!034CP0 Mtge","CRNCY")</f>
        <v>USD</v>
      </c>
      <c r="E1326">
        <v>88372000</v>
      </c>
      <c r="F1326">
        <f>_xll.BDP("!!034CP0 Mtge","CPN")</f>
        <v>2</v>
      </c>
      <c r="G1326">
        <f>_xll.BDP("!!034CP0 Mtge","MTG_FACTOR")</f>
        <v>0.57865865000000005</v>
      </c>
      <c r="H1326">
        <f>_xll.BDP("!!034CP0 Mtge","MTG_WAL")</f>
        <v>3.9723000000000002</v>
      </c>
      <c r="I1326">
        <f>_xll.BDP("!!034CP0 Mtge","MTG_ORIG_WAL")</f>
        <v>4.7</v>
      </c>
    </row>
    <row r="1327" spans="1:9" x14ac:dyDescent="0.25">
      <c r="A1327" t="str">
        <f>_xll.BDP("!!034CR1 Mtge","ID_CUSIP")</f>
        <v>3136BK6S6</v>
      </c>
      <c r="B1327" t="str">
        <f>_xll.BDP("!!034CR1 Mtge","SECURITY_NAME")</f>
        <v>FNR 2021-95 QE</v>
      </c>
      <c r="C1327" t="str">
        <f>_xll.BDP("!!034CR1 Mtge","GENERIC_TICKER_VINTAGE")</f>
        <v>FNCL 3 2021</v>
      </c>
      <c r="D1327" t="str">
        <f>_xll.BDP("!!034CR1 Mtge","CRNCY")</f>
        <v>USD</v>
      </c>
      <c r="E1327">
        <v>203000000</v>
      </c>
      <c r="F1327">
        <f>_xll.BDP("!!034CR1 Mtge","CPN")</f>
        <v>1.875</v>
      </c>
      <c r="G1327">
        <f>_xll.BDP("!!034CR1 Mtge","MTG_FACTOR")</f>
        <v>0.70082719000000004</v>
      </c>
      <c r="H1327">
        <f>_xll.BDP("!!034CR1 Mtge","MTG_WAL")</f>
        <v>7.1067</v>
      </c>
      <c r="I1327">
        <f>_xll.BDP("!!034CR1 Mtge","MTG_ORIG_WAL")</f>
        <v>4.7352600000000002</v>
      </c>
    </row>
    <row r="1328" spans="1:9" x14ac:dyDescent="0.25">
      <c r="A1328" t="str">
        <f>_xll.BDP("!!034D3F Mtge","ID_CUSIP")</f>
        <v>3137H4ZL7</v>
      </c>
      <c r="B1328" t="str">
        <f>_xll.BDP("!!034D3F Mtge","SECURITY_NAME")</f>
        <v>FHR 5183 IO</v>
      </c>
      <c r="C1328" t="str">
        <f>_xll.BDP("!!034D3F Mtge","GENERIC_TICKER_VINTAGE")</f>
        <v>FNCL 3 2021</v>
      </c>
      <c r="D1328" t="str">
        <f>_xll.BDP("!!034D3F Mtge","CRNCY")</f>
        <v>USD</v>
      </c>
      <c r="E1328">
        <v>52281248</v>
      </c>
      <c r="F1328">
        <f>_xll.BDP("!!034D3F Mtge","CPN")</f>
        <v>3</v>
      </c>
      <c r="G1328">
        <f>_xll.BDP("!!034D3F Mtge","MTG_FACTOR")</f>
        <v>0.69102253000000002</v>
      </c>
      <c r="H1328">
        <f>_xll.BDP("!!034D3F Mtge","MTG_WAL")</f>
        <v>7.8215000000000003</v>
      </c>
      <c r="I1328">
        <f>_xll.BDP("!!034D3F Mtge","MTG_ORIG_WAL")</f>
        <v>6.5</v>
      </c>
    </row>
    <row r="1329" spans="1:9" x14ac:dyDescent="0.25">
      <c r="A1329" t="str">
        <f>_xll.BDP("!!034KMT Mtge","ID_CUSIP")</f>
        <v>3136BLKG4</v>
      </c>
      <c r="B1329" t="str">
        <f>_xll.BDP("!!034KMT Mtge","SECURITY_NAME")</f>
        <v>FNR 2022-2 ZP</v>
      </c>
      <c r="C1329" t="str">
        <f>_xll.BDP("!!034KMT Mtge","GENERIC_TICKER_VINTAGE")</f>
        <v>FNCL 3 2021</v>
      </c>
      <c r="D1329" t="str">
        <f>_xll.BDP("!!034KMT Mtge","CRNCY")</f>
        <v>USD</v>
      </c>
      <c r="E1329">
        <v>18967518</v>
      </c>
      <c r="F1329">
        <f>_xll.BDP("!!034KMT Mtge","CPN")</f>
        <v>3</v>
      </c>
      <c r="G1329">
        <f>_xll.BDP("!!034KMT Mtge","MTG_FACTOR")</f>
        <v>0.76006646</v>
      </c>
      <c r="H1329">
        <f>_xll.BDP("!!034KMT Mtge","MTG_WAL")</f>
        <v>15.1233</v>
      </c>
      <c r="I1329">
        <f>_xll.BDP("!!034KMT Mtge","MTG_ORIG_WAL")</f>
        <v>9.9</v>
      </c>
    </row>
    <row r="1330" spans="1:9" x14ac:dyDescent="0.25">
      <c r="A1330" t="str">
        <f>_xll.BDP("!!034KMX Mtge","ID_CUSIP")</f>
        <v>3136BLKF6</v>
      </c>
      <c r="B1330" t="str">
        <f>_xll.BDP("!!034KMX Mtge","SECURITY_NAME")</f>
        <v>FNR 2022-2 PC</v>
      </c>
      <c r="C1330" t="str">
        <f>_xll.BDP("!!034KMX Mtge","GENERIC_TICKER_VINTAGE")</f>
        <v>FNCL 3 2021</v>
      </c>
      <c r="D1330" t="str">
        <f>_xll.BDP("!!034KMX Mtge","CRNCY")</f>
        <v>USD</v>
      </c>
      <c r="E1330">
        <v>58543705</v>
      </c>
      <c r="F1330">
        <f>_xll.BDP("!!034KMX Mtge","CPN")</f>
        <v>1.5</v>
      </c>
      <c r="G1330">
        <f>_xll.BDP("!!034KMX Mtge","MTG_FACTOR")</f>
        <v>0.59084124000000005</v>
      </c>
      <c r="H1330">
        <f>_xll.BDP("!!034KMX Mtge","MTG_WAL")</f>
        <v>4.1196999999999999</v>
      </c>
      <c r="I1330">
        <f>_xll.BDP("!!034KMX Mtge","MTG_ORIG_WAL")</f>
        <v>3.1</v>
      </c>
    </row>
    <row r="1331" spans="1:9" x14ac:dyDescent="0.25">
      <c r="A1331" t="str">
        <f>_xll.BDP("!!034KN2 Mtge","ID_CUSIP")</f>
        <v>3136BLKE9</v>
      </c>
      <c r="B1331" t="str">
        <f>_xll.BDP("!!034KN2 Mtge","SECURITY_NAME")</f>
        <v>FNR 2022-2 PI</v>
      </c>
      <c r="C1331" t="str">
        <f>_xll.BDP("!!034KN2 Mtge","GENERIC_TICKER_VINTAGE")</f>
        <v>FNCL 3 2021</v>
      </c>
      <c r="D1331" t="str">
        <f>_xll.BDP("!!034KN2 Mtge","CRNCY")</f>
        <v>USD</v>
      </c>
      <c r="E1331">
        <v>29271852</v>
      </c>
      <c r="F1331">
        <f>_xll.BDP("!!034KN2 Mtge","CPN")</f>
        <v>3</v>
      </c>
      <c r="G1331">
        <f>_xll.BDP("!!034KN2 Mtge","MTG_FACTOR")</f>
        <v>0.59084124000000005</v>
      </c>
      <c r="H1331">
        <f>_xll.BDP("!!034KN2 Mtge","MTG_WAL")</f>
        <v>4.1196999999999999</v>
      </c>
      <c r="I1331">
        <f>_xll.BDP("!!034KN2 Mtge","MTG_ORIG_WAL")</f>
        <v>3.1</v>
      </c>
    </row>
    <row r="1332" spans="1:9" x14ac:dyDescent="0.25">
      <c r="A1332" t="str">
        <f>_xll.BDP("!!034L0N Mtge","ID_CUSIP")</f>
        <v>3136BLPE4</v>
      </c>
      <c r="B1332" t="str">
        <f>_xll.BDP("!!034L0N Mtge","SECURITY_NAME")</f>
        <v>FNR 2022-6 CI</v>
      </c>
      <c r="C1332" t="str">
        <f>_xll.BDP("!!034L0N Mtge","GENERIC_TICKER_VINTAGE")</f>
        <v>FNCL 3 2021</v>
      </c>
      <c r="D1332" t="str">
        <f>_xll.BDP("!!034L0N Mtge","CRNCY")</f>
        <v>USD</v>
      </c>
      <c r="E1332">
        <v>19710820</v>
      </c>
      <c r="F1332">
        <f>_xll.BDP("!!034L0N Mtge","CPN")</f>
        <v>3</v>
      </c>
      <c r="G1332">
        <f>_xll.BDP("!!034L0N Mtge","MTG_FACTOR")</f>
        <v>0.72906121000000002</v>
      </c>
      <c r="H1332">
        <f>_xll.BDP("!!034L0N Mtge","MTG_WAL")</f>
        <v>8.4487000000000005</v>
      </c>
      <c r="I1332">
        <f>_xll.BDP("!!034L0N Mtge","MTG_ORIG_WAL")</f>
        <v>6.3</v>
      </c>
    </row>
    <row r="1333" spans="1:9" x14ac:dyDescent="0.25">
      <c r="A1333" t="str">
        <f>_xll.BDP("!!034L9N Mtge","ID_CUSIP")</f>
        <v>3137H5SX6</v>
      </c>
      <c r="B1333" t="str">
        <f>_xll.BDP("!!034L9N Mtge","SECURITY_NAME")</f>
        <v>FHR 5194 NZ</v>
      </c>
      <c r="C1333" t="str">
        <f>_xll.BDP("!!034L9N Mtge","GENERIC_TICKER_VINTAGE")</f>
        <v>FNCL 3 2021</v>
      </c>
      <c r="D1333" t="str">
        <f>_xll.BDP("!!034L9N Mtge","CRNCY")</f>
        <v>USD</v>
      </c>
      <c r="E1333">
        <v>1000</v>
      </c>
      <c r="F1333">
        <f>_xll.BDP("!!034L9N Mtge","CPN")</f>
        <v>3</v>
      </c>
      <c r="G1333">
        <f>_xll.BDP("!!034L9N Mtge","MTG_FACTOR")</f>
        <v>1.1329717100000001</v>
      </c>
      <c r="H1333">
        <f>_xll.BDP("!!034L9N Mtge","MTG_WAL")</f>
        <v>11.105600000000001</v>
      </c>
      <c r="I1333">
        <f>_xll.BDP("!!034L9N Mtge","MTG_ORIG_WAL")</f>
        <v>7.9</v>
      </c>
    </row>
    <row r="1334" spans="1:9" x14ac:dyDescent="0.25">
      <c r="A1334" t="str">
        <f>_xll.BDP("!!034L9P Mtge","ID_CUSIP")</f>
        <v>3137H5TC1</v>
      </c>
      <c r="B1334" t="str">
        <f>_xll.BDP("!!034L9P Mtge","SECURITY_NAME")</f>
        <v>FHR 5194 ZN</v>
      </c>
      <c r="C1334" t="str">
        <f>_xll.BDP("!!034L9P Mtge","GENERIC_TICKER_VINTAGE")</f>
        <v>FNCL 3 2021</v>
      </c>
      <c r="D1334" t="str">
        <f>_xll.BDP("!!034L9P Mtge","CRNCY")</f>
        <v>USD</v>
      </c>
      <c r="E1334">
        <v>26529353</v>
      </c>
      <c r="F1334">
        <f>_xll.BDP("!!034L9P Mtge","CPN")</f>
        <v>3</v>
      </c>
      <c r="G1334">
        <f>_xll.BDP("!!034L9P Mtge","MTG_FACTOR")</f>
        <v>0.67304315000000003</v>
      </c>
      <c r="H1334">
        <f>_xll.BDP("!!034L9P Mtge","MTG_WAL")</f>
        <v>16.583400000000001</v>
      </c>
      <c r="I1334">
        <f>_xll.BDP("!!034L9P Mtge","MTG_ORIG_WAL")</f>
        <v>10.8</v>
      </c>
    </row>
    <row r="1335" spans="1:9" x14ac:dyDescent="0.25">
      <c r="A1335" t="str">
        <f>_xll.BDP("!!034L9T Mtge","ID_CUSIP")</f>
        <v>3137H5SR9</v>
      </c>
      <c r="B1335" t="str">
        <f>_xll.BDP("!!034L9T Mtge","SECURITY_NAME")</f>
        <v>FHR 5194 NE</v>
      </c>
      <c r="C1335" t="str">
        <f>_xll.BDP("!!034L9T Mtge","GENERIC_TICKER_VINTAGE")</f>
        <v>FNCL 3 2021</v>
      </c>
      <c r="D1335" t="str">
        <f>_xll.BDP("!!034L9T Mtge","CRNCY")</f>
        <v>USD</v>
      </c>
      <c r="E1335">
        <v>102517000</v>
      </c>
      <c r="F1335">
        <f>_xll.BDP("!!034L9T Mtge","CPN")</f>
        <v>1.75</v>
      </c>
      <c r="G1335">
        <f>_xll.BDP("!!034L9T Mtge","MTG_FACTOR")</f>
        <v>0.62774322999999999</v>
      </c>
      <c r="H1335">
        <f>_xll.BDP("!!034L9T Mtge","MTG_WAL")</f>
        <v>4.8765000000000001</v>
      </c>
      <c r="I1335">
        <f>_xll.BDP("!!034L9T Mtge","MTG_ORIG_WAL")</f>
        <v>3.4</v>
      </c>
    </row>
    <row r="1336" spans="1:9" x14ac:dyDescent="0.25">
      <c r="A1336" t="str">
        <f>_xll.BDP("!!034LBC Mtge","ID_CUSIP")</f>
        <v>3136BLNA4</v>
      </c>
      <c r="B1336" t="str">
        <f>_xll.BDP("!!034LBC Mtge","SECURITY_NAME")</f>
        <v>FNR 2022-1 GI</v>
      </c>
      <c r="C1336" t="str">
        <f>_xll.BDP("!!034LBC Mtge","GENERIC_TICKER_VINTAGE")</f>
        <v>FNCL 3 2021</v>
      </c>
      <c r="D1336" t="str">
        <f>_xll.BDP("!!034LBC Mtge","CRNCY")</f>
        <v>USD</v>
      </c>
      <c r="E1336">
        <v>67418000</v>
      </c>
      <c r="F1336">
        <f>_xll.BDP("!!034LBC Mtge","CPN")</f>
        <v>3</v>
      </c>
      <c r="G1336">
        <f>_xll.BDP("!!034LBC Mtge","MTG_FACTOR")</f>
        <v>0.62487066999999996</v>
      </c>
      <c r="H1336">
        <f>_xll.BDP("!!034LBC Mtge","MTG_WAL")</f>
        <v>4.8643000000000001</v>
      </c>
      <c r="I1336">
        <f>_xll.BDP("!!034LBC Mtge","MTG_ORIG_WAL")</f>
        <v>3.3248600000000001</v>
      </c>
    </row>
    <row r="1337" spans="1:9" x14ac:dyDescent="0.25">
      <c r="A1337" t="str">
        <f>_xll.BDP("!!034LC2 Mtge","ID_CUSIP")</f>
        <v>3137H5P84</v>
      </c>
      <c r="B1337" t="str">
        <f>_xll.BDP("!!034LC2 Mtge","SECURITY_NAME")</f>
        <v>FHR 5191 QC</v>
      </c>
      <c r="C1337" t="str">
        <f>_xll.BDP("!!034LC2 Mtge","GENERIC_TICKER_VINTAGE")</f>
        <v>FNCL 3 2021</v>
      </c>
      <c r="D1337" t="str">
        <f>_xll.BDP("!!034LC2 Mtge","CRNCY")</f>
        <v>USD</v>
      </c>
      <c r="E1337">
        <v>84000000</v>
      </c>
      <c r="F1337">
        <f>_xll.BDP("!!034LC2 Mtge","CPN")</f>
        <v>1.75</v>
      </c>
      <c r="G1337">
        <f>_xll.BDP("!!034LC2 Mtge","MTG_FACTOR")</f>
        <v>0.60943007000000005</v>
      </c>
      <c r="H1337">
        <f>_xll.BDP("!!034LC2 Mtge","MTG_WAL")</f>
        <v>4.6432000000000002</v>
      </c>
      <c r="I1337">
        <f>_xll.BDP("!!034LC2 Mtge","MTG_ORIG_WAL")</f>
        <v>3.2</v>
      </c>
    </row>
    <row r="1338" spans="1:9" x14ac:dyDescent="0.25">
      <c r="A1338" t="str">
        <f>_xll.BDP("!!034LC5 Mtge","ID_CUSIP")</f>
        <v>3137H5PA9</v>
      </c>
      <c r="B1338" t="str">
        <f>_xll.BDP("!!034LC5 Mtge","SECURITY_NAME")</f>
        <v>FHR 5191 QZ</v>
      </c>
      <c r="C1338" t="str">
        <f>_xll.BDP("!!034LC5 Mtge","GENERIC_TICKER_VINTAGE")</f>
        <v>FNCL 3 2021</v>
      </c>
      <c r="D1338" t="str">
        <f>_xll.BDP("!!034LC5 Mtge","CRNCY")</f>
        <v>USD</v>
      </c>
      <c r="E1338">
        <v>22329114</v>
      </c>
      <c r="F1338">
        <f>_xll.BDP("!!034LC5 Mtge","CPN")</f>
        <v>3</v>
      </c>
      <c r="G1338">
        <f>_xll.BDP("!!034LC5 Mtge","MTG_FACTOR")</f>
        <v>0.71945641000000005</v>
      </c>
      <c r="H1338">
        <f>_xll.BDP("!!034LC5 Mtge","MTG_WAL")</f>
        <v>16.104800000000001</v>
      </c>
      <c r="I1338">
        <f>_xll.BDP("!!034LC5 Mtge","MTG_ORIG_WAL")</f>
        <v>9.6999999999999993</v>
      </c>
    </row>
    <row r="1339" spans="1:9" x14ac:dyDescent="0.25">
      <c r="A1339" t="str">
        <f>_xll.BDP("!!034LYT Mtge","ID_CUSIP")</f>
        <v>3137H5JX6</v>
      </c>
      <c r="B1339" t="str">
        <f>_xll.BDP("!!034LYT Mtge","SECURITY_NAME")</f>
        <v>FHR 5188 PA</v>
      </c>
      <c r="C1339" t="str">
        <f>_xll.BDP("!!034LYT Mtge","GENERIC_TICKER_VINTAGE")</f>
        <v>FNCL 3 2021</v>
      </c>
      <c r="D1339" t="str">
        <f>_xll.BDP("!!034LYT Mtge","CRNCY")</f>
        <v>USD</v>
      </c>
      <c r="E1339">
        <v>69951000</v>
      </c>
      <c r="F1339">
        <f>_xll.BDP("!!034LYT Mtge","CPN")</f>
        <v>2</v>
      </c>
      <c r="G1339">
        <f>_xll.BDP("!!034LYT Mtge","MTG_FACTOR")</f>
        <v>0.62621115999999999</v>
      </c>
      <c r="H1339">
        <f>_xll.BDP("!!034LYT Mtge","MTG_WAL")</f>
        <v>4.5088999999999997</v>
      </c>
      <c r="I1339">
        <f>_xll.BDP("!!034LYT Mtge","MTG_ORIG_WAL")</f>
        <v>5</v>
      </c>
    </row>
    <row r="1340" spans="1:9" x14ac:dyDescent="0.25">
      <c r="A1340" t="str">
        <f>_xll.BDP("!!034LYY Mtge","ID_CUSIP")</f>
        <v>3137H5JN8</v>
      </c>
      <c r="B1340" t="str">
        <f>_xll.BDP("!!034LYY Mtge","SECURITY_NAME")</f>
        <v>FHR 5188 IO</v>
      </c>
      <c r="C1340" t="str">
        <f>_xll.BDP("!!034LYY Mtge","GENERIC_TICKER_VINTAGE")</f>
        <v>FNCL 3 2021</v>
      </c>
      <c r="D1340" t="str">
        <f>_xll.BDP("!!034LYY Mtge","CRNCY")</f>
        <v>USD</v>
      </c>
      <c r="E1340">
        <v>14666666</v>
      </c>
      <c r="F1340">
        <f>_xll.BDP("!!034LYY Mtge","CPN")</f>
        <v>3</v>
      </c>
      <c r="G1340">
        <f>_xll.BDP("!!034LYY Mtge","MTG_FACTOR")</f>
        <v>0.69686685999999998</v>
      </c>
      <c r="H1340">
        <f>_xll.BDP("!!034LYY Mtge","MTG_WAL")</f>
        <v>8.3369</v>
      </c>
      <c r="I1340">
        <f>_xll.BDP("!!034LYY Mtge","MTG_ORIG_WAL")</f>
        <v>7</v>
      </c>
    </row>
    <row r="1341" spans="1:9" x14ac:dyDescent="0.25">
      <c r="A1341" t="str">
        <f>_xll.BDP("!!034M29 Mtge","ID_CUSIP")</f>
        <v>3137H5JW8</v>
      </c>
      <c r="B1341" t="str">
        <f>_xll.BDP("!!034M29 Mtge","SECURITY_NAME")</f>
        <v>FHR 5188 LZ</v>
      </c>
      <c r="C1341" t="str">
        <f>_xll.BDP("!!034M29 Mtge","GENERIC_TICKER_VINTAGE")</f>
        <v>FNCL 3 2021</v>
      </c>
      <c r="D1341" t="str">
        <f>_xll.BDP("!!034M29 Mtge","CRNCY")</f>
        <v>USD</v>
      </c>
      <c r="E1341">
        <v>25100000</v>
      </c>
      <c r="F1341">
        <f>_xll.BDP("!!034M29 Mtge","CPN")</f>
        <v>3</v>
      </c>
      <c r="G1341">
        <f>_xll.BDP("!!034M29 Mtge","MTG_FACTOR")</f>
        <v>0.85237320000000005</v>
      </c>
      <c r="H1341">
        <f>_xll.BDP("!!034M29 Mtge","MTG_WAL")</f>
        <v>15.5328</v>
      </c>
      <c r="I1341">
        <f>_xll.BDP("!!034M29 Mtge","MTG_ORIG_WAL")</f>
        <v>11.4</v>
      </c>
    </row>
    <row r="1342" spans="1:9" x14ac:dyDescent="0.25">
      <c r="A1342" t="str">
        <f>_xll.BDP("!!034M2F Mtge","ID_CUSIP")</f>
        <v>3137H5JT5</v>
      </c>
      <c r="B1342" t="str">
        <f>_xll.BDP("!!034M2F Mtge","SECURITY_NAME")</f>
        <v>FHR 5188 LG</v>
      </c>
      <c r="C1342" t="str">
        <f>_xll.BDP("!!034M2F Mtge","GENERIC_TICKER_VINTAGE")</f>
        <v>FNCL 3 2021</v>
      </c>
      <c r="D1342" t="str">
        <f>_xll.BDP("!!034M2F Mtge","CRNCY")</f>
        <v>USD</v>
      </c>
      <c r="E1342">
        <v>93900000</v>
      </c>
      <c r="F1342">
        <f>_xll.BDP("!!034M2F Mtge","CPN")</f>
        <v>1.75</v>
      </c>
      <c r="G1342">
        <f>_xll.BDP("!!034M2F Mtge","MTG_FACTOR")</f>
        <v>0.59646339000000004</v>
      </c>
      <c r="H1342">
        <f>_xll.BDP("!!034M2F Mtge","MTG_WAL")</f>
        <v>4.3026999999999997</v>
      </c>
      <c r="I1342">
        <f>_xll.BDP("!!034M2F Mtge","MTG_ORIG_WAL")</f>
        <v>3.4</v>
      </c>
    </row>
    <row r="1343" spans="1:9" x14ac:dyDescent="0.25">
      <c r="A1343" t="str">
        <f>_xll.BDP("!!034M2G Mtge","ID_CUSIP")</f>
        <v>3137H5JU2</v>
      </c>
      <c r="B1343" t="str">
        <f>_xll.BDP("!!034M2G Mtge","SECURITY_NAME")</f>
        <v>FHR 5188 LH</v>
      </c>
      <c r="C1343" t="str">
        <f>_xll.BDP("!!034M2G Mtge","GENERIC_TICKER_VINTAGE")</f>
        <v>FNCL 3 2021</v>
      </c>
      <c r="D1343" t="str">
        <f>_xll.BDP("!!034M2G Mtge","CRNCY")</f>
        <v>USD</v>
      </c>
      <c r="E1343">
        <v>93900000</v>
      </c>
      <c r="F1343">
        <f>_xll.BDP("!!034M2G Mtge","CPN")</f>
        <v>2</v>
      </c>
      <c r="G1343">
        <f>_xll.BDP("!!034M2G Mtge","MTG_FACTOR")</f>
        <v>0.59646339000000004</v>
      </c>
      <c r="H1343">
        <f>_xll.BDP("!!034M2G Mtge","MTG_WAL")</f>
        <v>4.3026999999999997</v>
      </c>
      <c r="I1343">
        <f>_xll.BDP("!!034M2G Mtge","MTG_ORIG_WAL")</f>
        <v>3.4</v>
      </c>
    </row>
    <row r="1344" spans="1:9" x14ac:dyDescent="0.25">
      <c r="A1344" t="str">
        <f>_xll.BDP("!!034M2H Mtge","ID_CUSIP")</f>
        <v>3137H5JV0</v>
      </c>
      <c r="B1344" t="str">
        <f>_xll.BDP("!!034M2H Mtge","SECURITY_NAME")</f>
        <v>FHR 5188 LI</v>
      </c>
      <c r="C1344" t="str">
        <f>_xll.BDP("!!034M2H Mtge","GENERIC_TICKER_VINTAGE")</f>
        <v>FNCL 3 2021</v>
      </c>
      <c r="D1344" t="str">
        <f>_xll.BDP("!!034M2H Mtge","CRNCY")</f>
        <v>USD</v>
      </c>
      <c r="E1344">
        <v>62600000</v>
      </c>
      <c r="F1344">
        <f>_xll.BDP("!!034M2H Mtge","CPN")</f>
        <v>3</v>
      </c>
      <c r="G1344">
        <f>_xll.BDP("!!034M2H Mtge","MTG_FACTOR")</f>
        <v>0.59646339000000004</v>
      </c>
      <c r="H1344">
        <f>_xll.BDP("!!034M2H Mtge","MTG_WAL")</f>
        <v>4.3026999999999997</v>
      </c>
      <c r="I1344">
        <f>_xll.BDP("!!034M2H Mtge","MTG_ORIG_WAL")</f>
        <v>3.4</v>
      </c>
    </row>
    <row r="1345" spans="1:9" x14ac:dyDescent="0.25">
      <c r="A1345" t="str">
        <f>_xll.BDP("!!034M53 Mtge","ID_CUSIP")</f>
        <v>3137H5R58</v>
      </c>
      <c r="B1345" t="str">
        <f>_xll.BDP("!!034M53 Mtge","SECURITY_NAME")</f>
        <v>FHR 5194 AC</v>
      </c>
      <c r="C1345" t="str">
        <f>_xll.BDP("!!034M53 Mtge","GENERIC_TICKER_VINTAGE")</f>
        <v>FNCL 3 2021</v>
      </c>
      <c r="D1345" t="str">
        <f>_xll.BDP("!!034M53 Mtge","CRNCY")</f>
        <v>USD</v>
      </c>
      <c r="E1345">
        <v>100000000</v>
      </c>
      <c r="F1345">
        <f>_xll.BDP("!!034M53 Mtge","CPN")</f>
        <v>1.75</v>
      </c>
      <c r="G1345">
        <f>_xll.BDP("!!034M53 Mtge","MTG_FACTOR")</f>
        <v>0.60630368999999995</v>
      </c>
      <c r="H1345">
        <f>_xll.BDP("!!034M53 Mtge","MTG_WAL")</f>
        <v>5.8685</v>
      </c>
      <c r="I1345">
        <f>_xll.BDP("!!034M53 Mtge","MTG_ORIG_WAL")</f>
        <v>5.5</v>
      </c>
    </row>
    <row r="1346" spans="1:9" x14ac:dyDescent="0.25">
      <c r="A1346" t="str">
        <f>_xll.BDP("!!034M55 Mtge","ID_CUSIP")</f>
        <v>3137H5R74</v>
      </c>
      <c r="B1346" t="str">
        <f>_xll.BDP("!!034M55 Mtge","SECURITY_NAME")</f>
        <v>FHR 5194 AE</v>
      </c>
      <c r="C1346" t="str">
        <f>_xll.BDP("!!034M55 Mtge","GENERIC_TICKER_VINTAGE")</f>
        <v>FNCL 3 2021</v>
      </c>
      <c r="D1346" t="str">
        <f>_xll.BDP("!!034M55 Mtge","CRNCY")</f>
        <v>USD</v>
      </c>
      <c r="E1346">
        <v>100000000</v>
      </c>
      <c r="F1346">
        <f>_xll.BDP("!!034M55 Mtge","CPN")</f>
        <v>2.25</v>
      </c>
      <c r="G1346">
        <f>_xll.BDP("!!034M55 Mtge","MTG_FACTOR")</f>
        <v>0.60630368999999995</v>
      </c>
      <c r="H1346">
        <f>_xll.BDP("!!034M55 Mtge","MTG_WAL")</f>
        <v>5.8685</v>
      </c>
      <c r="I1346">
        <f>_xll.BDP("!!034M55 Mtge","MTG_ORIG_WAL")</f>
        <v>5.5</v>
      </c>
    </row>
    <row r="1347" spans="1:9" x14ac:dyDescent="0.25">
      <c r="A1347" t="str">
        <f>_xll.BDP("!!034M5R Mtge","ID_CUSIP")</f>
        <v>3137H5HG5</v>
      </c>
      <c r="B1347" t="str">
        <f>_xll.BDP("!!034M5R Mtge","SECURITY_NAME")</f>
        <v>FHR 5190 PJ</v>
      </c>
      <c r="C1347" t="str">
        <f>_xll.BDP("!!034M5R Mtge","GENERIC_TICKER_VINTAGE")</f>
        <v>FNCL 3 2021</v>
      </c>
      <c r="D1347" t="str">
        <f>_xll.BDP("!!034M5R Mtge","CRNCY")</f>
        <v>USD</v>
      </c>
      <c r="E1347">
        <v>136000000</v>
      </c>
      <c r="F1347">
        <f>_xll.BDP("!!034M5R Mtge","CPN")</f>
        <v>3</v>
      </c>
      <c r="G1347">
        <f>_xll.BDP("!!034M5R Mtge","MTG_FACTOR")</f>
        <v>0.60690173999999997</v>
      </c>
      <c r="H1347">
        <f>_xll.BDP("!!034M5R Mtge","MTG_WAL")</f>
        <v>4.1787000000000001</v>
      </c>
      <c r="I1347">
        <f>_xll.BDP("!!034M5R Mtge","MTG_ORIG_WAL")</f>
        <v>3.6</v>
      </c>
    </row>
    <row r="1348" spans="1:9" x14ac:dyDescent="0.25">
      <c r="A1348" t="str">
        <f>_xll.BDP("!!034M5S Mtge","ID_CUSIP")</f>
        <v>3137H5HX8</v>
      </c>
      <c r="B1348" t="str">
        <f>_xll.BDP("!!034M5S Mtge","SECURITY_NAME")</f>
        <v>FHR 5190 ZP</v>
      </c>
      <c r="C1348" t="str">
        <f>_xll.BDP("!!034M5S Mtge","GENERIC_TICKER_VINTAGE")</f>
        <v>FNCL 3 2021</v>
      </c>
      <c r="D1348" t="str">
        <f>_xll.BDP("!!034M5S Mtge","CRNCY")</f>
        <v>USD</v>
      </c>
      <c r="E1348">
        <v>34000000</v>
      </c>
      <c r="F1348">
        <f>_xll.BDP("!!034M5S Mtge","CPN")</f>
        <v>3</v>
      </c>
      <c r="G1348">
        <f>_xll.BDP("!!034M5S Mtge","MTG_FACTOR")</f>
        <v>0.96502114000000006</v>
      </c>
      <c r="H1348">
        <f>_xll.BDP("!!034M5S Mtge","MTG_WAL")</f>
        <v>15.1495</v>
      </c>
      <c r="I1348">
        <f>_xll.BDP("!!034M5S Mtge","MTG_ORIG_WAL")</f>
        <v>10.7</v>
      </c>
    </row>
    <row r="1349" spans="1:9" x14ac:dyDescent="0.25">
      <c r="A1349" t="str">
        <f>_xll.BDP("!!034M5Y Mtge","ID_CUSIP")</f>
        <v>3137H5HC4</v>
      </c>
      <c r="B1349" t="str">
        <f>_xll.BDP("!!034M5Y Mtge","SECURITY_NAME")</f>
        <v>FHR 5190 PE</v>
      </c>
      <c r="C1349" t="str">
        <f>_xll.BDP("!!034M5Y Mtge","GENERIC_TICKER_VINTAGE")</f>
        <v>FNCL 3 2021</v>
      </c>
      <c r="D1349" t="str">
        <f>_xll.BDP("!!034M5Y Mtge","CRNCY")</f>
        <v>USD</v>
      </c>
      <c r="E1349">
        <v>136000000</v>
      </c>
      <c r="F1349">
        <f>_xll.BDP("!!034M5Y Mtge","CPN")</f>
        <v>2</v>
      </c>
      <c r="G1349">
        <f>_xll.BDP("!!034M5Y Mtge","MTG_FACTOR")</f>
        <v>0.60690173999999997</v>
      </c>
      <c r="H1349">
        <f>_xll.BDP("!!034M5Y Mtge","MTG_WAL")</f>
        <v>4.1787000000000001</v>
      </c>
      <c r="I1349">
        <f>_xll.BDP("!!034M5Y Mtge","MTG_ORIG_WAL")</f>
        <v>3.6</v>
      </c>
    </row>
    <row r="1350" spans="1:9" x14ac:dyDescent="0.25">
      <c r="A1350" t="str">
        <f>_xll.BDP("!!034M60 Mtge","ID_CUSIP")</f>
        <v>3137H5HE0</v>
      </c>
      <c r="B1350" t="str">
        <f>_xll.BDP("!!034M60 Mtge","SECURITY_NAME")</f>
        <v>FHR 5190 PH</v>
      </c>
      <c r="C1350" t="str">
        <f>_xll.BDP("!!034M60 Mtge","GENERIC_TICKER_VINTAGE")</f>
        <v>FNCL 3 2021</v>
      </c>
      <c r="D1350" t="str">
        <f>_xll.BDP("!!034M60 Mtge","CRNCY")</f>
        <v>USD</v>
      </c>
      <c r="E1350">
        <v>136000000</v>
      </c>
      <c r="F1350">
        <f>_xll.BDP("!!034M60 Mtge","CPN")</f>
        <v>2.5</v>
      </c>
      <c r="G1350">
        <f>_xll.BDP("!!034M60 Mtge","MTG_FACTOR")</f>
        <v>0.60690173999999997</v>
      </c>
      <c r="H1350">
        <f>_xll.BDP("!!034M60 Mtge","MTG_WAL")</f>
        <v>4.1787000000000001</v>
      </c>
      <c r="I1350">
        <f>_xll.BDP("!!034M60 Mtge","MTG_ORIG_WAL")</f>
        <v>3.6</v>
      </c>
    </row>
    <row r="1351" spans="1:9" x14ac:dyDescent="0.25">
      <c r="A1351" t="str">
        <f>_xll.BDP("!!034M61 Mtge","ID_CUSIP")</f>
        <v>3137H5HF7</v>
      </c>
      <c r="B1351" t="str">
        <f>_xll.BDP("!!034M61 Mtge","SECURITY_NAME")</f>
        <v>FHR 5190 PI</v>
      </c>
      <c r="C1351" t="str">
        <f>_xll.BDP("!!034M61 Mtge","GENERIC_TICKER_VINTAGE")</f>
        <v>FNCL 3 2021</v>
      </c>
      <c r="D1351" t="str">
        <f>_xll.BDP("!!034M61 Mtge","CRNCY")</f>
        <v>USD</v>
      </c>
      <c r="E1351">
        <v>90666666</v>
      </c>
      <c r="F1351">
        <f>_xll.BDP("!!034M61 Mtge","CPN")</f>
        <v>3</v>
      </c>
      <c r="G1351">
        <f>_xll.BDP("!!034M61 Mtge","MTG_FACTOR")</f>
        <v>0.60690173999999997</v>
      </c>
      <c r="H1351">
        <f>_xll.BDP("!!034M61 Mtge","MTG_WAL")</f>
        <v>4.1787000000000001</v>
      </c>
      <c r="I1351">
        <f>_xll.BDP("!!034M61 Mtge","MTG_ORIG_WAL")</f>
        <v>3.6</v>
      </c>
    </row>
    <row r="1352" spans="1:9" x14ac:dyDescent="0.25">
      <c r="A1352" t="str">
        <f>_xll.BDP("!!034MN1 Mtge","ID_CUSIP")</f>
        <v>3137H5NY9</v>
      </c>
      <c r="B1352" t="str">
        <f>_xll.BDP("!!034MN1 Mtge","SECURITY_NAME")</f>
        <v>FHR 5191 MZ</v>
      </c>
      <c r="C1352" t="str">
        <f>_xll.BDP("!!034MN1 Mtge","GENERIC_TICKER_VINTAGE")</f>
        <v>FNCL 3 2021</v>
      </c>
      <c r="D1352" t="str">
        <f>_xll.BDP("!!034MN1 Mtge","CRNCY")</f>
        <v>USD</v>
      </c>
      <c r="E1352">
        <v>51630936</v>
      </c>
      <c r="F1352">
        <f>_xll.BDP("!!034MN1 Mtge","CPN")</f>
        <v>3</v>
      </c>
      <c r="G1352">
        <f>_xll.BDP("!!034MN1 Mtge","MTG_FACTOR")</f>
        <v>0.76787415000000003</v>
      </c>
      <c r="H1352">
        <f>_xll.BDP("!!034MN1 Mtge","MTG_WAL")</f>
        <v>15.9277</v>
      </c>
      <c r="I1352">
        <f>_xll.BDP("!!034MN1 Mtge","MTG_ORIG_WAL")</f>
        <v>9.6999999999999993</v>
      </c>
    </row>
    <row r="1353" spans="1:9" x14ac:dyDescent="0.25">
      <c r="A1353" t="str">
        <f>_xll.BDP("!!034MS9 Mtge","ID_CUSIP")</f>
        <v>3136BLYR5</v>
      </c>
      <c r="B1353" t="str">
        <f>_xll.BDP("!!034MS9 Mtge","SECURITY_NAME")</f>
        <v>FNR 2022-4 WA</v>
      </c>
      <c r="C1353" t="str">
        <f>_xll.BDP("!!034MS9 Mtge","GENERIC_TICKER_VINTAGE")</f>
        <v>FNCL 3 2021</v>
      </c>
      <c r="D1353" t="str">
        <f>_xll.BDP("!!034MS9 Mtge","CRNCY")</f>
        <v>USD</v>
      </c>
      <c r="E1353">
        <v>62500000</v>
      </c>
      <c r="F1353">
        <f>_xll.BDP("!!034MS9 Mtge","CPN")</f>
        <v>2</v>
      </c>
      <c r="G1353">
        <f>_xll.BDP("!!034MS9 Mtge","MTG_FACTOR")</f>
        <v>0.58626646999999998</v>
      </c>
      <c r="H1353">
        <f>_xll.BDP("!!034MS9 Mtge","MTG_WAL")</f>
        <v>4.1406000000000001</v>
      </c>
      <c r="I1353">
        <f>_xll.BDP("!!034MS9 Mtge","MTG_ORIG_WAL")</f>
        <v>3.4</v>
      </c>
    </row>
    <row r="1354" spans="1:9" x14ac:dyDescent="0.25">
      <c r="A1354" t="str">
        <f>_xll.BDP("!!034MSD Mtge","ID_CUSIP")</f>
        <v>3136BLK90</v>
      </c>
      <c r="B1354" t="str">
        <f>_xll.BDP("!!034MSD Mtge","SECURITY_NAME")</f>
        <v>FNR 2022-4 WI</v>
      </c>
      <c r="C1354" t="str">
        <f>_xll.BDP("!!034MSD Mtge","GENERIC_TICKER_VINTAGE")</f>
        <v>FNCL 3 2021</v>
      </c>
      <c r="D1354" t="str">
        <f>_xll.BDP("!!034MSD Mtge","CRNCY")</f>
        <v>USD</v>
      </c>
      <c r="E1354">
        <v>95335166</v>
      </c>
      <c r="F1354">
        <f>_xll.BDP("!!034MSD Mtge","CPN")</f>
        <v>3</v>
      </c>
      <c r="G1354">
        <f>_xll.BDP("!!034MSD Mtge","MTG_FACTOR")</f>
        <v>0.58626646999999998</v>
      </c>
      <c r="H1354">
        <f>_xll.BDP("!!034MSD Mtge","MTG_WAL")</f>
        <v>4.1406000000000001</v>
      </c>
      <c r="I1354">
        <f>_xll.BDP("!!034MSD Mtge","MTG_ORIG_WAL")</f>
        <v>3.4</v>
      </c>
    </row>
    <row r="1355" spans="1:9" x14ac:dyDescent="0.25">
      <c r="A1355" t="str">
        <f>_xll.BDP("!!034MZ1 Mtge","ID_CUSIP")</f>
        <v>3137H5RH2</v>
      </c>
      <c r="B1355" t="str">
        <f>_xll.BDP("!!034MZ1 Mtge","SECURITY_NAME")</f>
        <v>FHR 5194 D</v>
      </c>
      <c r="C1355" t="str">
        <f>_xll.BDP("!!034MZ1 Mtge","GENERIC_TICKER_VINTAGE")</f>
        <v>FNCL 3 2021</v>
      </c>
      <c r="D1355" t="str">
        <f>_xll.BDP("!!034MZ1 Mtge","CRNCY")</f>
        <v>USD</v>
      </c>
      <c r="E1355">
        <v>30000000</v>
      </c>
      <c r="F1355">
        <f>_xll.BDP("!!034MZ1 Mtge","CPN")</f>
        <v>2.5</v>
      </c>
      <c r="G1355">
        <f>_xll.BDP("!!034MZ1 Mtge","MTG_FACTOR")</f>
        <v>0.66504193</v>
      </c>
      <c r="H1355">
        <f>_xll.BDP("!!034MZ1 Mtge","MTG_WAL")</f>
        <v>5.9532999999999996</v>
      </c>
      <c r="I1355">
        <f>_xll.BDP("!!034MZ1 Mtge","MTG_ORIG_WAL")</f>
        <v>5.5</v>
      </c>
    </row>
    <row r="1356" spans="1:9" x14ac:dyDescent="0.25">
      <c r="A1356" t="str">
        <f>_xll.BDP("!!034N10 Mtge","ID_CUSIP")</f>
        <v>3137H5TA5</v>
      </c>
      <c r="B1356" t="str">
        <f>_xll.BDP("!!034N10 Mtge","SECURITY_NAME")</f>
        <v>FHR 5194 Z</v>
      </c>
      <c r="C1356" t="str">
        <f>_xll.BDP("!!034N10 Mtge","GENERIC_TICKER_VINTAGE")</f>
        <v>FNCL 3 2021</v>
      </c>
      <c r="D1356" t="str">
        <f>_xll.BDP("!!034N10 Mtge","CRNCY")</f>
        <v>USD</v>
      </c>
      <c r="E1356">
        <v>12710294</v>
      </c>
      <c r="F1356">
        <f>_xll.BDP("!!034N10 Mtge","CPN")</f>
        <v>3</v>
      </c>
      <c r="G1356">
        <f>_xll.BDP("!!034N10 Mtge","MTG_FACTOR")</f>
        <v>0.93542239000000005</v>
      </c>
      <c r="H1356">
        <f>_xll.BDP("!!034N10 Mtge","MTG_WAL")</f>
        <v>15.021800000000001</v>
      </c>
      <c r="I1356">
        <f>_xll.BDP("!!034N10 Mtge","MTG_ORIG_WAL")</f>
        <v>10.5</v>
      </c>
    </row>
    <row r="1357" spans="1:9" x14ac:dyDescent="0.25">
      <c r="A1357" t="str">
        <f>_xll.BDP("!!034NCT Mtge","ID_CUSIP")</f>
        <v>3137H5VV6</v>
      </c>
      <c r="B1357" t="str">
        <f>_xll.BDP("!!034NCT Mtge","SECURITY_NAME")</f>
        <v>FHR 5196 AC</v>
      </c>
      <c r="C1357" t="str">
        <f>_xll.BDP("!!034NCT Mtge","GENERIC_TICKER_VINTAGE")</f>
        <v>FNCL 3 2021</v>
      </c>
      <c r="D1357" t="str">
        <f>_xll.BDP("!!034NCT Mtge","CRNCY")</f>
        <v>USD</v>
      </c>
      <c r="E1357">
        <v>50000000</v>
      </c>
      <c r="F1357">
        <f>_xll.BDP("!!034NCT Mtge","CPN")</f>
        <v>2</v>
      </c>
      <c r="G1357">
        <f>_xll.BDP("!!034NCT Mtge","MTG_FACTOR")</f>
        <v>0.65467061999999998</v>
      </c>
      <c r="H1357">
        <f>_xll.BDP("!!034NCT Mtge","MTG_WAL")</f>
        <v>6.3818999999999999</v>
      </c>
      <c r="I1357">
        <f>_xll.BDP("!!034NCT Mtge","MTG_ORIG_WAL")</f>
        <v>5.7</v>
      </c>
    </row>
    <row r="1358" spans="1:9" x14ac:dyDescent="0.25">
      <c r="A1358" t="str">
        <f>_xll.BDP("!!034NG9 Mtge","ID_CUSIP")</f>
        <v>3137H5XA0</v>
      </c>
      <c r="B1358" t="str">
        <f>_xll.BDP("!!034NG9 Mtge","SECURITY_NAME")</f>
        <v>FHR 5196 QE</v>
      </c>
      <c r="C1358" t="str">
        <f>_xll.BDP("!!034NG9 Mtge","GENERIC_TICKER_VINTAGE")</f>
        <v>FNCL 3 2021</v>
      </c>
      <c r="D1358" t="str">
        <f>_xll.BDP("!!034NG9 Mtge","CRNCY")</f>
        <v>USD</v>
      </c>
      <c r="E1358">
        <v>5000000</v>
      </c>
      <c r="F1358">
        <f>_xll.BDP("!!034NG9 Mtge","CPN")</f>
        <v>2</v>
      </c>
      <c r="G1358">
        <f>_xll.BDP("!!034NG9 Mtge","MTG_FACTOR")</f>
        <v>0.65156289999999994</v>
      </c>
      <c r="H1358">
        <f>_xll.BDP("!!034NG9 Mtge","MTG_WAL")</f>
        <v>4.8925000000000001</v>
      </c>
      <c r="I1358">
        <f>_xll.BDP("!!034NG9 Mtge","MTG_ORIG_WAL")</f>
        <v>5.6</v>
      </c>
    </row>
    <row r="1359" spans="1:9" x14ac:dyDescent="0.25">
      <c r="A1359" t="str">
        <f>_xll.BDP("!!034NVB Mtge","ID_CUSIP")</f>
        <v>3136BLH86</v>
      </c>
      <c r="B1359" t="str">
        <f>_xll.BDP("!!034NVB Mtge","SECURITY_NAME")</f>
        <v>FNR 2022-4 PE</v>
      </c>
      <c r="C1359" t="str">
        <f>_xll.BDP("!!034NVB Mtge","GENERIC_TICKER_VINTAGE")</f>
        <v>FNCL 3 2021</v>
      </c>
      <c r="D1359" t="str">
        <f>_xll.BDP("!!034NVB Mtge","CRNCY")</f>
        <v>USD</v>
      </c>
      <c r="E1359">
        <v>115230000</v>
      </c>
      <c r="F1359">
        <f>_xll.BDP("!!034NVB Mtge","CPN")</f>
        <v>1.75</v>
      </c>
      <c r="G1359">
        <f>_xll.BDP("!!034NVB Mtge","MTG_FACTOR")</f>
        <v>0.61151953999999997</v>
      </c>
      <c r="H1359">
        <f>_xll.BDP("!!034NVB Mtge","MTG_WAL")</f>
        <v>4.6519000000000004</v>
      </c>
      <c r="I1359">
        <f>_xll.BDP("!!034NVB Mtge","MTG_ORIG_WAL")</f>
        <v>3.6</v>
      </c>
    </row>
    <row r="1360" spans="1:9" x14ac:dyDescent="0.25">
      <c r="A1360" t="str">
        <f>_xll.BDP("!!034NVD Mtge","ID_CUSIP")</f>
        <v>3136BLJ76</v>
      </c>
      <c r="B1360" t="str">
        <f>_xll.BDP("!!034NVD Mtge","SECURITY_NAME")</f>
        <v>FNR 2022-4 PI</v>
      </c>
      <c r="C1360" t="str">
        <f>_xll.BDP("!!034NVD Mtge","GENERIC_TICKER_VINTAGE")</f>
        <v>FNCL 3 2021</v>
      </c>
      <c r="D1360" t="str">
        <f>_xll.BDP("!!034NVD Mtge","CRNCY")</f>
        <v>USD</v>
      </c>
      <c r="E1360">
        <v>76820000</v>
      </c>
      <c r="F1360">
        <f>_xll.BDP("!!034NVD Mtge","CPN")</f>
        <v>3</v>
      </c>
      <c r="G1360">
        <f>_xll.BDP("!!034NVD Mtge","MTG_FACTOR")</f>
        <v>0.61151953999999997</v>
      </c>
      <c r="H1360">
        <f>_xll.BDP("!!034NVD Mtge","MTG_WAL")</f>
        <v>4.6519000000000004</v>
      </c>
      <c r="I1360">
        <f>_xll.BDP("!!034NVD Mtge","MTG_ORIG_WAL")</f>
        <v>3.6</v>
      </c>
    </row>
    <row r="1361" spans="1:9" x14ac:dyDescent="0.25">
      <c r="A1361" t="str">
        <f>_xll.BDP("!!034NW1 Mtge","ID_CUSIP")</f>
        <v>3136BLKJ8</v>
      </c>
      <c r="B1361" t="str">
        <f>_xll.BDP("!!034NW1 Mtge","SECURITY_NAME")</f>
        <v>FNR 2022-2 QD</v>
      </c>
      <c r="C1361" t="str">
        <f>_xll.BDP("!!034NW1 Mtge","GENERIC_TICKER_VINTAGE")</f>
        <v>FNCL 3 2021</v>
      </c>
      <c r="D1361" t="str">
        <f>_xll.BDP("!!034NW1 Mtge","CRNCY")</f>
        <v>USD</v>
      </c>
      <c r="E1361">
        <v>15000000</v>
      </c>
      <c r="F1361">
        <f>_xll.BDP("!!034NW1 Mtge","CPN")</f>
        <v>1.75</v>
      </c>
      <c r="G1361">
        <f>_xll.BDP("!!034NW1 Mtge","MTG_FACTOR")</f>
        <v>0.55263660999999997</v>
      </c>
      <c r="H1361">
        <f>_xll.BDP("!!034NW1 Mtge","MTG_WAL")</f>
        <v>3.5013000000000001</v>
      </c>
      <c r="I1361">
        <f>_xll.BDP("!!034NW1 Mtge","MTG_ORIG_WAL")</f>
        <v>3.2</v>
      </c>
    </row>
    <row r="1362" spans="1:9" x14ac:dyDescent="0.25">
      <c r="A1362" t="str">
        <f>_xll.BDP("!!034NW7 Mtge","ID_CUSIP")</f>
        <v>3136BLKN9</v>
      </c>
      <c r="B1362" t="str">
        <f>_xll.BDP("!!034NW7 Mtge","SECURITY_NAME")</f>
        <v>FNR 2022-2 ZT</v>
      </c>
      <c r="C1362" t="str">
        <f>_xll.BDP("!!034NW7 Mtge","GENERIC_TICKER_VINTAGE")</f>
        <v>FNCL 3 2021</v>
      </c>
      <c r="D1362" t="str">
        <f>_xll.BDP("!!034NW7 Mtge","CRNCY")</f>
        <v>USD</v>
      </c>
      <c r="E1362">
        <v>12055852</v>
      </c>
      <c r="F1362">
        <f>_xll.BDP("!!034NW7 Mtge","CPN")</f>
        <v>3</v>
      </c>
      <c r="G1362">
        <f>_xll.BDP("!!034NW7 Mtge","MTG_FACTOR")</f>
        <v>0.87926815999999997</v>
      </c>
      <c r="H1362">
        <f>_xll.BDP("!!034NW7 Mtge","MTG_WAL")</f>
        <v>15.0101</v>
      </c>
      <c r="I1362">
        <f>_xll.BDP("!!034NW7 Mtge","MTG_ORIG_WAL")</f>
        <v>5.9</v>
      </c>
    </row>
    <row r="1363" spans="1:9" x14ac:dyDescent="0.25">
      <c r="A1363" t="str">
        <f>_xll.BDP("!!034NWG Mtge","ID_CUSIP")</f>
        <v>3136BLLH1</v>
      </c>
      <c r="B1363" t="str">
        <f>_xll.BDP("!!034NWG Mtge","SECURITY_NAME")</f>
        <v>FNR 2022-2 TH</v>
      </c>
      <c r="C1363" t="str">
        <f>_xll.BDP("!!034NWG Mtge","GENERIC_TICKER_VINTAGE")</f>
        <v>FNCL 3 2021</v>
      </c>
      <c r="D1363" t="str">
        <f>_xll.BDP("!!034NWG Mtge","CRNCY")</f>
        <v>USD</v>
      </c>
      <c r="E1363">
        <v>40511335</v>
      </c>
      <c r="F1363">
        <f>_xll.BDP("!!034NWG Mtge","CPN")</f>
        <v>2.5</v>
      </c>
      <c r="G1363">
        <f>_xll.BDP("!!034NWG Mtge","MTG_FACTOR")</f>
        <v>0.58791990999999999</v>
      </c>
      <c r="H1363">
        <f>_xll.BDP("!!034NWG Mtge","MTG_WAL")</f>
        <v>4.0824999999999996</v>
      </c>
      <c r="I1363">
        <f>_xll.BDP("!!034NWG Mtge","MTG_ORIG_WAL")</f>
        <v>4.7</v>
      </c>
    </row>
    <row r="1364" spans="1:9" x14ac:dyDescent="0.25">
      <c r="A1364" t="str">
        <f>_xll.BDP("!!034NXH Mtge","ID_CUSIP")</f>
        <v>3136BLQA1</v>
      </c>
      <c r="B1364" t="str">
        <f>_xll.BDP("!!034NXH Mtge","SECURITY_NAME")</f>
        <v>FNR 2022-6 JY</v>
      </c>
      <c r="C1364" t="str">
        <f>_xll.BDP("!!034NXH Mtge","GENERIC_TICKER_VINTAGE")</f>
        <v>FNCL 3 2021</v>
      </c>
      <c r="D1364" t="str">
        <f>_xll.BDP("!!034NXH Mtge","CRNCY")</f>
        <v>USD</v>
      </c>
      <c r="E1364">
        <v>5241000</v>
      </c>
      <c r="F1364">
        <f>_xll.BDP("!!034NXH Mtge","CPN")</f>
        <v>3</v>
      </c>
      <c r="G1364">
        <f>_xll.BDP("!!034NXH Mtge","MTG_FACTOR")</f>
        <v>1</v>
      </c>
      <c r="H1364">
        <f>_xll.BDP("!!034NXH Mtge","MTG_WAL")</f>
        <v>10.169700000000001</v>
      </c>
      <c r="I1364">
        <f>_xll.BDP("!!034NXH Mtge","MTG_ORIG_WAL")</f>
        <v>11.9</v>
      </c>
    </row>
    <row r="1365" spans="1:9" x14ac:dyDescent="0.25">
      <c r="A1365" t="str">
        <f>_xll.BDP("!!034NXP Mtge","ID_CUSIP")</f>
        <v>3136BLQX1</v>
      </c>
      <c r="B1365" t="str">
        <f>_xll.BDP("!!034NXP Mtge","SECURITY_NAME")</f>
        <v>FNR 2022-6 JE</v>
      </c>
      <c r="C1365" t="str">
        <f>_xll.BDP("!!034NXP Mtge","GENERIC_TICKER_VINTAGE")</f>
        <v>FNCL 3 2021</v>
      </c>
      <c r="D1365" t="str">
        <f>_xll.BDP("!!034NXP Mtge","CRNCY")</f>
        <v>USD</v>
      </c>
      <c r="E1365">
        <v>57006000</v>
      </c>
      <c r="F1365">
        <f>_xll.BDP("!!034NXP Mtge","CPN")</f>
        <v>2</v>
      </c>
      <c r="G1365">
        <f>_xll.BDP("!!034NXP Mtge","MTG_FACTOR")</f>
        <v>0.66994229999999999</v>
      </c>
      <c r="H1365">
        <f>_xll.BDP("!!034NXP Mtge","MTG_WAL")</f>
        <v>4.0415999999999999</v>
      </c>
      <c r="I1365">
        <f>_xll.BDP("!!034NXP Mtge","MTG_ORIG_WAL")</f>
        <v>3.8</v>
      </c>
    </row>
    <row r="1366" spans="1:9" x14ac:dyDescent="0.25">
      <c r="A1366" t="str">
        <f>_xll.BDP("!!034NXT Mtge","ID_CUSIP")</f>
        <v>3136BLRB8</v>
      </c>
      <c r="B1366" t="str">
        <f>_xll.BDP("!!034NXT Mtge","SECURITY_NAME")</f>
        <v>FNR 2022-6 JI</v>
      </c>
      <c r="C1366" t="str">
        <f>_xll.BDP("!!034NXT Mtge","GENERIC_TICKER_VINTAGE")</f>
        <v>FNCL 3 2021</v>
      </c>
      <c r="D1366" t="str">
        <f>_xll.BDP("!!034NXT Mtge","CRNCY")</f>
        <v>USD</v>
      </c>
      <c r="E1366">
        <v>38004000</v>
      </c>
      <c r="F1366">
        <f>_xll.BDP("!!034NXT Mtge","CPN")</f>
        <v>3</v>
      </c>
      <c r="G1366">
        <f>_xll.BDP("!!034NXT Mtge","MTG_FACTOR")</f>
        <v>0.66994229999999999</v>
      </c>
      <c r="H1366">
        <f>_xll.BDP("!!034NXT Mtge","MTG_WAL")</f>
        <v>4.0415999999999999</v>
      </c>
      <c r="I1366">
        <f>_xll.BDP("!!034NXT Mtge","MTG_ORIG_WAL")</f>
        <v>3.8</v>
      </c>
    </row>
    <row r="1367" spans="1:9" x14ac:dyDescent="0.25">
      <c r="A1367" t="str">
        <f>_xll.BDP("!!034PLB Mtge","ID_CUSIP")</f>
        <v>3137H5Q42</v>
      </c>
      <c r="B1367" t="str">
        <f>_xll.BDP("!!034PLB Mtge","SECURITY_NAME")</f>
        <v>FHR 5195 E</v>
      </c>
      <c r="C1367" t="str">
        <f>_xll.BDP("!!034PLB Mtge","GENERIC_TICKER_VINTAGE")</f>
        <v>FNCL 3 2021</v>
      </c>
      <c r="D1367" t="str">
        <f>_xll.BDP("!!034PLB Mtge","CRNCY")</f>
        <v>USD</v>
      </c>
      <c r="E1367">
        <v>105112000</v>
      </c>
      <c r="F1367">
        <f>_xll.BDP("!!034PLB Mtge","CPN")</f>
        <v>3</v>
      </c>
      <c r="G1367">
        <f>_xll.BDP("!!034PLB Mtge","MTG_FACTOR")</f>
        <v>0.59728618</v>
      </c>
      <c r="H1367">
        <f>_xll.BDP("!!034PLB Mtge","MTG_WAL")</f>
        <v>4.7256999999999998</v>
      </c>
      <c r="I1367">
        <f>_xll.BDP("!!034PLB Mtge","MTG_ORIG_WAL")</f>
        <v>3.8</v>
      </c>
    </row>
    <row r="1368" spans="1:9" x14ac:dyDescent="0.25">
      <c r="A1368" t="str">
        <f>_xll.BDP("!!034PLC Mtge","ID_CUSIP")</f>
        <v>3137H5QE0</v>
      </c>
      <c r="B1368" t="str">
        <f>_xll.BDP("!!034PLC Mtge","SECURITY_NAME")</f>
        <v>FHR 5195 EZ</v>
      </c>
      <c r="C1368" t="str">
        <f>_xll.BDP("!!034PLC Mtge","GENERIC_TICKER_VINTAGE")</f>
        <v>FNCL 3 2021</v>
      </c>
      <c r="D1368" t="str">
        <f>_xll.BDP("!!034PLC Mtge","CRNCY")</f>
        <v>USD</v>
      </c>
      <c r="E1368">
        <v>1000</v>
      </c>
      <c r="F1368">
        <f>_xll.BDP("!!034PLC Mtge","CPN")</f>
        <v>3</v>
      </c>
      <c r="G1368">
        <f>_xll.BDP("!!034PLC Mtge","MTG_FACTOR")</f>
        <v>1.1329717100000001</v>
      </c>
      <c r="H1368">
        <f>_xll.BDP("!!034PLC Mtge","MTG_WAL")</f>
        <v>10.6889</v>
      </c>
      <c r="I1368">
        <f>_xll.BDP("!!034PLC Mtge","MTG_ORIG_WAL")</f>
        <v>8.8000000000000007</v>
      </c>
    </row>
    <row r="1369" spans="1:9" x14ac:dyDescent="0.25">
      <c r="A1369" t="str">
        <f>_xll.BDP("!!034PLD Mtge","ID_CUSIP")</f>
        <v>3137H5QZ3</v>
      </c>
      <c r="B1369" t="str">
        <f>_xll.BDP("!!034PLD Mtge","SECURITY_NAME")</f>
        <v>FHR 5195 ZE</v>
      </c>
      <c r="C1369" t="str">
        <f>_xll.BDP("!!034PLD Mtge","GENERIC_TICKER_VINTAGE")</f>
        <v>FNCL 3 2021</v>
      </c>
      <c r="D1369" t="str">
        <f>_xll.BDP("!!034PLD Mtge","CRNCY")</f>
        <v>USD</v>
      </c>
      <c r="E1369">
        <v>27992572</v>
      </c>
      <c r="F1369">
        <f>_xll.BDP("!!034PLD Mtge","CPN")</f>
        <v>3</v>
      </c>
      <c r="G1369">
        <f>_xll.BDP("!!034PLD Mtge","MTG_FACTOR")</f>
        <v>0.67873032</v>
      </c>
      <c r="H1369">
        <f>_xll.BDP("!!034PLD Mtge","MTG_WAL")</f>
        <v>16.311199999999999</v>
      </c>
      <c r="I1369">
        <f>_xll.BDP("!!034PLD Mtge","MTG_ORIG_WAL")</f>
        <v>12</v>
      </c>
    </row>
    <row r="1370" spans="1:9" x14ac:dyDescent="0.25">
      <c r="A1370" t="str">
        <f>_xll.BDP("!!034PLK Mtge","ID_CUSIP")</f>
        <v>3137H5Q91</v>
      </c>
      <c r="B1370" t="str">
        <f>_xll.BDP("!!034PLK Mtge","SECURITY_NAME")</f>
        <v>FHR 5195 EG</v>
      </c>
      <c r="C1370" t="str">
        <f>_xll.BDP("!!034PLK Mtge","GENERIC_TICKER_VINTAGE")</f>
        <v>FNCL 3 2021</v>
      </c>
      <c r="D1370" t="str">
        <f>_xll.BDP("!!034PLK Mtge","CRNCY")</f>
        <v>USD</v>
      </c>
      <c r="E1370">
        <v>105112000</v>
      </c>
      <c r="F1370">
        <f>_xll.BDP("!!034PLK Mtge","CPN")</f>
        <v>2</v>
      </c>
      <c r="G1370">
        <f>_xll.BDP("!!034PLK Mtge","MTG_FACTOR")</f>
        <v>0.59728618</v>
      </c>
      <c r="H1370">
        <f>_xll.BDP("!!034PLK Mtge","MTG_WAL")</f>
        <v>4.7256999999999998</v>
      </c>
      <c r="I1370">
        <f>_xll.BDP("!!034PLK Mtge","MTG_ORIG_WAL")</f>
        <v>3.8</v>
      </c>
    </row>
    <row r="1371" spans="1:9" x14ac:dyDescent="0.25">
      <c r="A1371" t="str">
        <f>_xll.BDP("!!034PLP Mtge","ID_CUSIP")</f>
        <v>3137H5QB6</v>
      </c>
      <c r="B1371" t="str">
        <f>_xll.BDP("!!034PLP Mtge","SECURITY_NAME")</f>
        <v>FHR 5195 EI</v>
      </c>
      <c r="C1371" t="str">
        <f>_xll.BDP("!!034PLP Mtge","GENERIC_TICKER_VINTAGE")</f>
        <v>FNCL 3 2021</v>
      </c>
      <c r="D1371" t="str">
        <f>_xll.BDP("!!034PLP Mtge","CRNCY")</f>
        <v>USD</v>
      </c>
      <c r="E1371">
        <v>70074666</v>
      </c>
      <c r="F1371">
        <f>_xll.BDP("!!034PLP Mtge","CPN")</f>
        <v>3</v>
      </c>
      <c r="G1371">
        <f>_xll.BDP("!!034PLP Mtge","MTG_FACTOR")</f>
        <v>0.59728618</v>
      </c>
      <c r="H1371">
        <f>_xll.BDP("!!034PLP Mtge","MTG_WAL")</f>
        <v>4.7256999999999998</v>
      </c>
      <c r="I1371">
        <f>_xll.BDP("!!034PLP Mtge","MTG_ORIG_WAL")</f>
        <v>3.8</v>
      </c>
    </row>
    <row r="1372" spans="1:9" x14ac:dyDescent="0.25">
      <c r="A1372" t="str">
        <f>_xll.BDP("!!034PMH Mtge","ID_CUSIP")</f>
        <v>3136BLPC8</v>
      </c>
      <c r="B1372" t="str">
        <f>_xll.BDP("!!034PMH Mtge","SECURITY_NAME")</f>
        <v>FNR 2022-6 CA</v>
      </c>
      <c r="C1372" t="str">
        <f>_xll.BDP("!!034PMH Mtge","GENERIC_TICKER_VINTAGE")</f>
        <v>FNCL 3 2021</v>
      </c>
      <c r="D1372" t="str">
        <f>_xll.BDP("!!034PMH Mtge","CRNCY")</f>
        <v>USD</v>
      </c>
      <c r="E1372">
        <v>60000000</v>
      </c>
      <c r="F1372">
        <f>_xll.BDP("!!034PMH Mtge","CPN")</f>
        <v>2.125</v>
      </c>
      <c r="G1372">
        <f>_xll.BDP("!!034PMH Mtge","MTG_FACTOR")</f>
        <v>0.69483280999999997</v>
      </c>
      <c r="H1372">
        <f>_xll.BDP("!!034PMH Mtge","MTG_WAL")</f>
        <v>6.3235999999999999</v>
      </c>
      <c r="I1372">
        <f>_xll.BDP("!!034PMH Mtge","MTG_ORIG_WAL")</f>
        <v>5</v>
      </c>
    </row>
    <row r="1373" spans="1:9" x14ac:dyDescent="0.25">
      <c r="A1373" t="str">
        <f>_xll.BDP("!!034PMJ Mtge","ID_CUSIP")</f>
        <v>3136BLPD6</v>
      </c>
      <c r="B1373" t="str">
        <f>_xll.BDP("!!034PMJ Mtge","SECURITY_NAME")</f>
        <v>FNR 2022-6 CB</v>
      </c>
      <c r="C1373" t="str">
        <f>_xll.BDP("!!034PMJ Mtge","GENERIC_TICKER_VINTAGE")</f>
        <v>FNCL 3 2021</v>
      </c>
      <c r="D1373" t="str">
        <f>_xll.BDP("!!034PMJ Mtge","CRNCY")</f>
        <v>USD</v>
      </c>
      <c r="E1373">
        <v>7579956</v>
      </c>
      <c r="F1373">
        <f>_xll.BDP("!!034PMJ Mtge","CPN")</f>
        <v>2.125</v>
      </c>
      <c r="G1373">
        <f>_xll.BDP("!!034PMJ Mtge","MTG_FACTOR")</f>
        <v>1</v>
      </c>
      <c r="H1373">
        <f>_xll.BDP("!!034PMJ Mtge","MTG_WAL")</f>
        <v>20.136500000000002</v>
      </c>
      <c r="I1373">
        <f>_xll.BDP("!!034PMJ Mtge","MTG_ORIG_WAL")</f>
        <v>17</v>
      </c>
    </row>
    <row r="1374" spans="1:9" x14ac:dyDescent="0.25">
      <c r="A1374" t="str">
        <f>_xll.BDP("!!034PN4 Mtge","ID_CUSIP")</f>
        <v>3137H5MZ7</v>
      </c>
      <c r="B1374" t="str">
        <f>_xll.BDP("!!034PN4 Mtge","SECURITY_NAME")</f>
        <v>FHR 5191 FA</v>
      </c>
      <c r="C1374" t="str">
        <f>_xll.BDP("!!034PN4 Mtge","GENERIC_TICKER_VINTAGE")</f>
        <v>FNCL 3 2021</v>
      </c>
      <c r="D1374" t="str">
        <f>_xll.BDP("!!034PN4 Mtge","CRNCY")</f>
        <v>USD</v>
      </c>
      <c r="E1374">
        <v>27910316</v>
      </c>
      <c r="F1374">
        <f>_xll.BDP("!!034PN4 Mtge","CPN")</f>
        <v>3</v>
      </c>
      <c r="G1374">
        <f>_xll.BDP("!!034PN4 Mtge","MTG_FACTOR")</f>
        <v>0.71002416999999995</v>
      </c>
      <c r="H1374">
        <f>_xll.BDP("!!034PN4 Mtge","MTG_WAL")</f>
        <v>8.2881999999999998</v>
      </c>
      <c r="I1374">
        <f>_xll.BDP("!!034PN4 Mtge","MTG_ORIG_WAL")</f>
        <v>5.6</v>
      </c>
    </row>
    <row r="1375" spans="1:9" x14ac:dyDescent="0.25">
      <c r="A1375" t="str">
        <f>_xll.BDP("!!034Q3X Mtge","ID_CUSIP")</f>
        <v>3136BLHS2</v>
      </c>
      <c r="B1375" t="str">
        <f>_xll.BDP("!!034Q3X Mtge","SECURITY_NAME")</f>
        <v>FNR 2022-5 NA</v>
      </c>
      <c r="C1375" t="str">
        <f>_xll.BDP("!!034Q3X Mtge","GENERIC_TICKER_VINTAGE")</f>
        <v>FNCL 3 2021</v>
      </c>
      <c r="D1375" t="str">
        <f>_xll.BDP("!!034Q3X Mtge","CRNCY")</f>
        <v>USD</v>
      </c>
      <c r="E1375">
        <v>36029658</v>
      </c>
      <c r="F1375">
        <f>_xll.BDP("!!034Q3X Mtge","CPN")</f>
        <v>2.5</v>
      </c>
      <c r="G1375">
        <f>_xll.BDP("!!034Q3X Mtge","MTG_FACTOR")</f>
        <v>0.69019942000000001</v>
      </c>
      <c r="H1375">
        <f>_xll.BDP("!!034Q3X Mtge","MTG_WAL")</f>
        <v>4.8139000000000003</v>
      </c>
      <c r="I1375">
        <f>_xll.BDP("!!034Q3X Mtge","MTG_ORIG_WAL")</f>
        <v>4.3713499999999996</v>
      </c>
    </row>
    <row r="1376" spans="1:9" x14ac:dyDescent="0.25">
      <c r="A1376" t="str">
        <f>_xll.BDP("!!034RBN Mtge","ID_CUSIP")</f>
        <v>3137H5N29</v>
      </c>
      <c r="B1376" t="str">
        <f>_xll.BDP("!!034RBN Mtge","SECURITY_NAME")</f>
        <v>FHR 5191 FB</v>
      </c>
      <c r="C1376" t="str">
        <f>_xll.BDP("!!034RBN Mtge","GENERIC_TICKER_VINTAGE")</f>
        <v>FNCL 3 2021</v>
      </c>
      <c r="D1376" t="str">
        <f>_xll.BDP("!!034RBN Mtge","CRNCY")</f>
        <v>USD</v>
      </c>
      <c r="E1376">
        <v>10000000</v>
      </c>
      <c r="F1376">
        <f>_xll.BDP("!!034RBN Mtge","CPN")</f>
        <v>3</v>
      </c>
      <c r="G1376">
        <f>_xll.BDP("!!034RBN Mtge","MTG_FACTOR")</f>
        <v>0.68865367</v>
      </c>
      <c r="H1376">
        <f>_xll.BDP("!!034RBN Mtge","MTG_WAL")</f>
        <v>8.3257999999999992</v>
      </c>
      <c r="I1376">
        <f>_xll.BDP("!!034RBN Mtge","MTG_ORIG_WAL")</f>
        <v>5.5</v>
      </c>
    </row>
    <row r="1377" spans="1:9" x14ac:dyDescent="0.25">
      <c r="A1377" t="str">
        <f>_xll.BDP("!!034T9P Mtge","ID_CUSIP")</f>
        <v>3136BLJU5</v>
      </c>
      <c r="B1377" t="str">
        <f>_xll.BDP("!!034T9P Mtge","SECURITY_NAME")</f>
        <v>FNR 2022-5 TD</v>
      </c>
      <c r="C1377" t="str">
        <f>_xll.BDP("!!034T9P Mtge","GENERIC_TICKER_VINTAGE")</f>
        <v>FNCL 3 2021</v>
      </c>
      <c r="D1377" t="str">
        <f>_xll.BDP("!!034T9P Mtge","CRNCY")</f>
        <v>USD</v>
      </c>
      <c r="E1377">
        <v>126893069</v>
      </c>
      <c r="F1377">
        <f>_xll.BDP("!!034T9P Mtge","CPN")</f>
        <v>2.25</v>
      </c>
      <c r="G1377">
        <f>_xll.BDP("!!034T9P Mtge","MTG_FACTOR")</f>
        <v>0.70811195999999998</v>
      </c>
      <c r="H1377">
        <f>_xll.BDP("!!034T9P Mtge","MTG_WAL")</f>
        <v>5.7168000000000001</v>
      </c>
      <c r="I1377">
        <f>_xll.BDP("!!034T9P Mtge","MTG_ORIG_WAL")</f>
        <v>6.2127600000000003</v>
      </c>
    </row>
    <row r="1378" spans="1:9" x14ac:dyDescent="0.25">
      <c r="A1378" t="str">
        <f>_xll.BDP("!!034T9Q Mtge","ID_CUSIP")</f>
        <v>3136BLJE1</v>
      </c>
      <c r="B1378" t="str">
        <f>_xll.BDP("!!034T9Q Mtge","SECURITY_NAME")</f>
        <v>FNR 2022-5 TC</v>
      </c>
      <c r="C1378" t="str">
        <f>_xll.BDP("!!034T9Q Mtge","GENERIC_TICKER_VINTAGE")</f>
        <v>FNCL 3 2021</v>
      </c>
      <c r="D1378" t="str">
        <f>_xll.BDP("!!034T9Q Mtge","CRNCY")</f>
        <v>USD</v>
      </c>
      <c r="E1378">
        <v>126893069</v>
      </c>
      <c r="F1378">
        <f>_xll.BDP("!!034T9Q Mtge","CPN")</f>
        <v>2.5</v>
      </c>
      <c r="G1378">
        <f>_xll.BDP("!!034T9Q Mtge","MTG_FACTOR")</f>
        <v>0.70811195999999998</v>
      </c>
      <c r="H1378">
        <f>_xll.BDP("!!034T9Q Mtge","MTG_WAL")</f>
        <v>5.7168000000000001</v>
      </c>
      <c r="I1378">
        <f>_xll.BDP("!!034T9Q Mtge","MTG_ORIG_WAL")</f>
        <v>6.2127600000000003</v>
      </c>
    </row>
    <row r="1379" spans="1:9" x14ac:dyDescent="0.25">
      <c r="A1379" t="str">
        <f>_xll.BDP("!!034V25 Mtge","ID_CUSIP")</f>
        <v>3137H5JF5</v>
      </c>
      <c r="B1379" t="str">
        <f>_xll.BDP("!!034V25 Mtge","SECURITY_NAME")</f>
        <v>FHR 5188 GI</v>
      </c>
      <c r="C1379" t="str">
        <f>_xll.BDP("!!034V25 Mtge","GENERIC_TICKER_VINTAGE")</f>
        <v>FNCL 3 2021</v>
      </c>
      <c r="D1379" t="str">
        <f>_xll.BDP("!!034V25 Mtge","CRNCY")</f>
        <v>USD</v>
      </c>
      <c r="E1379">
        <v>22384666</v>
      </c>
      <c r="F1379">
        <f>_xll.BDP("!!034V25 Mtge","CPN")</f>
        <v>3</v>
      </c>
      <c r="G1379">
        <f>_xll.BDP("!!034V25 Mtge","MTG_FACTOR")</f>
        <v>0.59297305</v>
      </c>
      <c r="H1379">
        <f>_xll.BDP("!!034V25 Mtge","MTG_WAL")</f>
        <v>3.9398</v>
      </c>
      <c r="I1379">
        <f>_xll.BDP("!!034V25 Mtge","MTG_ORIG_WAL")</f>
        <v>3.4</v>
      </c>
    </row>
    <row r="1380" spans="1:9" x14ac:dyDescent="0.25">
      <c r="A1380" t="str">
        <f>_xll.BDP("!!034V26 Mtge","ID_CUSIP")</f>
        <v>3137H5JG3</v>
      </c>
      <c r="B1380" t="str">
        <f>_xll.BDP("!!034V26 Mtge","SECURITY_NAME")</f>
        <v>FHR 5188 GZ</v>
      </c>
      <c r="C1380" t="str">
        <f>_xll.BDP("!!034V26 Mtge","GENERIC_TICKER_VINTAGE")</f>
        <v>FNCL 3 2021</v>
      </c>
      <c r="D1380" t="str">
        <f>_xll.BDP("!!034V26 Mtge","CRNCY")</f>
        <v>USD</v>
      </c>
      <c r="E1380">
        <v>19301232</v>
      </c>
      <c r="F1380">
        <f>_xll.BDP("!!034V26 Mtge","CPN")</f>
        <v>3</v>
      </c>
      <c r="G1380">
        <f>_xll.BDP("!!034V26 Mtge","MTG_FACTOR")</f>
        <v>0.96659247999999998</v>
      </c>
      <c r="H1380">
        <f>_xll.BDP("!!034V26 Mtge","MTG_WAL")</f>
        <v>14.980399999999999</v>
      </c>
      <c r="I1380">
        <f>_xll.BDP("!!034V26 Mtge","MTG_ORIG_WAL")</f>
        <v>10.8</v>
      </c>
    </row>
    <row r="1381" spans="1:9" x14ac:dyDescent="0.25">
      <c r="A1381" t="str">
        <f>_xll.BDP("!!034VJG Mtge","ID_CUSIP")</f>
        <v>3137H5KU0</v>
      </c>
      <c r="B1381" t="str">
        <f>_xll.BDP("!!034VJG Mtge","SECURITY_NAME")</f>
        <v>FHR 5198 HA</v>
      </c>
      <c r="C1381" t="str">
        <f>_xll.BDP("!!034VJG Mtge","GENERIC_TICKER_VINTAGE")</f>
        <v>FNCL 3 2021</v>
      </c>
      <c r="D1381" t="str">
        <f>_xll.BDP("!!034VJG Mtge","CRNCY")</f>
        <v>USD</v>
      </c>
      <c r="E1381">
        <v>63261745</v>
      </c>
      <c r="F1381">
        <f>_xll.BDP("!!034VJG Mtge","CPN")</f>
        <v>3</v>
      </c>
      <c r="G1381">
        <f>_xll.BDP("!!034VJG Mtge","MTG_FACTOR")</f>
        <v>0.67930796000000004</v>
      </c>
      <c r="H1381">
        <f>_xll.BDP("!!034VJG Mtge","MTG_WAL")</f>
        <v>5.3756000000000004</v>
      </c>
      <c r="I1381">
        <f>_xll.BDP("!!034VJG Mtge","MTG_ORIG_WAL")</f>
        <v>6.1</v>
      </c>
    </row>
    <row r="1382" spans="1:9" x14ac:dyDescent="0.25">
      <c r="A1382" t="str">
        <f>_xll.BDP("!!034VJN Mtge","ID_CUSIP")</f>
        <v>3137H5KQ9</v>
      </c>
      <c r="B1382" t="str">
        <f>_xll.BDP("!!034VJN Mtge","SECURITY_NAME")</f>
        <v>FHR 5198 GJ</v>
      </c>
      <c r="C1382" t="str">
        <f>_xll.BDP("!!034VJN Mtge","GENERIC_TICKER_VINTAGE")</f>
        <v>FNCL 3 2021</v>
      </c>
      <c r="D1382" t="str">
        <f>_xll.BDP("!!034VJN Mtge","CRNCY")</f>
        <v>USD</v>
      </c>
      <c r="E1382">
        <v>80285450</v>
      </c>
      <c r="F1382">
        <f>_xll.BDP("!!034VJN Mtge","CPN")</f>
        <v>1.5</v>
      </c>
      <c r="G1382">
        <f>_xll.BDP("!!034VJN Mtge","MTG_FACTOR")</f>
        <v>0.7425908</v>
      </c>
      <c r="H1382">
        <f>_xll.BDP("!!034VJN Mtge","MTG_WAL")</f>
        <v>5.3663999999999996</v>
      </c>
      <c r="I1382">
        <f>_xll.BDP("!!034VJN Mtge","MTG_ORIG_WAL")</f>
        <v>6.1</v>
      </c>
    </row>
    <row r="1383" spans="1:9" x14ac:dyDescent="0.25">
      <c r="A1383" t="str">
        <f>_xll.BDP("!!034VJR Mtge","ID_CUSIP")</f>
        <v>3137H5KL0</v>
      </c>
      <c r="B1383" t="str">
        <f>_xll.BDP("!!034VJR Mtge","SECURITY_NAME")</f>
        <v>FHR 5198 GD</v>
      </c>
      <c r="C1383" t="str">
        <f>_xll.BDP("!!034VJR Mtge","GENERIC_TICKER_VINTAGE")</f>
        <v>FNCL 3 2021</v>
      </c>
      <c r="D1383" t="str">
        <f>_xll.BDP("!!034VJR Mtge","CRNCY")</f>
        <v>USD</v>
      </c>
      <c r="E1383">
        <v>80285450</v>
      </c>
      <c r="F1383">
        <f>_xll.BDP("!!034VJR Mtge","CPN")</f>
        <v>2.25</v>
      </c>
      <c r="G1383">
        <f>_xll.BDP("!!034VJR Mtge","MTG_FACTOR")</f>
        <v>0.7425908</v>
      </c>
      <c r="H1383">
        <f>_xll.BDP("!!034VJR Mtge","MTG_WAL")</f>
        <v>5.3663999999999996</v>
      </c>
      <c r="I1383">
        <f>_xll.BDP("!!034VJR Mtge","MTG_ORIG_WAL")</f>
        <v>6.1</v>
      </c>
    </row>
    <row r="1384" spans="1:9" x14ac:dyDescent="0.25">
      <c r="A1384" t="str">
        <f>_xll.BDP("!!034VMV Mtge","ID_CUSIP")</f>
        <v>3136BLSB7</v>
      </c>
      <c r="B1384" t="str">
        <f>_xll.BDP("!!034VMV Mtge","SECURITY_NAME")</f>
        <v>FNR 2022-7 PL</v>
      </c>
      <c r="C1384" t="str">
        <f>_xll.BDP("!!034VMV Mtge","GENERIC_TICKER_VINTAGE")</f>
        <v>FNCL 3 2021</v>
      </c>
      <c r="D1384" t="str">
        <f>_xll.BDP("!!034VMV Mtge","CRNCY")</f>
        <v>USD</v>
      </c>
      <c r="E1384">
        <v>11891038</v>
      </c>
      <c r="F1384">
        <f>_xll.BDP("!!034VMV Mtge","CPN")</f>
        <v>3</v>
      </c>
      <c r="G1384">
        <f>_xll.BDP("!!034VMV Mtge","MTG_FACTOR")</f>
        <v>1</v>
      </c>
      <c r="H1384">
        <f>_xll.BDP("!!034VMV Mtge","MTG_WAL")</f>
        <v>12.1356</v>
      </c>
      <c r="I1384">
        <f>_xll.BDP("!!034VMV Mtge","MTG_ORIG_WAL")</f>
        <v>14.60289</v>
      </c>
    </row>
    <row r="1385" spans="1:9" x14ac:dyDescent="0.25">
      <c r="A1385" t="str">
        <f>_xll.BDP("!!034VMZ Mtge","ID_CUSIP")</f>
        <v>3136BLTZ3</v>
      </c>
      <c r="B1385" t="str">
        <f>_xll.BDP("!!034VMZ Mtge","SECURITY_NAME")</f>
        <v>FNR 2022-7 PB</v>
      </c>
      <c r="C1385" t="str">
        <f>_xll.BDP("!!034VMZ Mtge","GENERIC_TICKER_VINTAGE")</f>
        <v>FNCL 3 2021</v>
      </c>
      <c r="D1385" t="str">
        <f>_xll.BDP("!!034VMZ Mtge","CRNCY")</f>
        <v>USD</v>
      </c>
      <c r="E1385">
        <v>100000000</v>
      </c>
      <c r="F1385">
        <f>_xll.BDP("!!034VMZ Mtge","CPN")</f>
        <v>2</v>
      </c>
      <c r="G1385">
        <f>_xll.BDP("!!034VMZ Mtge","MTG_FACTOR")</f>
        <v>0.66120899</v>
      </c>
      <c r="H1385">
        <f>_xll.BDP("!!034VMZ Mtge","MTG_WAL")</f>
        <v>4.4432999999999998</v>
      </c>
      <c r="I1385">
        <f>_xll.BDP("!!034VMZ Mtge","MTG_ORIG_WAL")</f>
        <v>4.4850899999999996</v>
      </c>
    </row>
    <row r="1386" spans="1:9" x14ac:dyDescent="0.25">
      <c r="A1386" t="str">
        <f>_xll.BDP("!!034VN0 Mtge","ID_CUSIP")</f>
        <v>3136BLUA6</v>
      </c>
      <c r="B1386" t="str">
        <f>_xll.BDP("!!034VN0 Mtge","SECURITY_NAME")</f>
        <v>FNR 2022-7 PC</v>
      </c>
      <c r="C1386" t="str">
        <f>_xll.BDP("!!034VN0 Mtge","GENERIC_TICKER_VINTAGE")</f>
        <v>FNCL 3 2021</v>
      </c>
      <c r="D1386" t="str">
        <f>_xll.BDP("!!034VN0 Mtge","CRNCY")</f>
        <v>USD</v>
      </c>
      <c r="E1386">
        <v>100000000</v>
      </c>
      <c r="F1386">
        <f>_xll.BDP("!!034VN0 Mtge","CPN")</f>
        <v>2.25</v>
      </c>
      <c r="G1386">
        <f>_xll.BDP("!!034VN0 Mtge","MTG_FACTOR")</f>
        <v>0.66120899</v>
      </c>
      <c r="H1386">
        <f>_xll.BDP("!!034VN0 Mtge","MTG_WAL")</f>
        <v>4.4432999999999998</v>
      </c>
      <c r="I1386">
        <f>_xll.BDP("!!034VN0 Mtge","MTG_ORIG_WAL")</f>
        <v>4.4850899999999996</v>
      </c>
    </row>
    <row r="1387" spans="1:9" x14ac:dyDescent="0.25">
      <c r="A1387" t="str">
        <f>_xll.BDP("!!034VN4 Mtge","ID_CUSIP")</f>
        <v>3136BLUE8</v>
      </c>
      <c r="B1387" t="str">
        <f>_xll.BDP("!!034VN4 Mtge","SECURITY_NAME")</f>
        <v>FNR 2022-7 PI</v>
      </c>
      <c r="C1387" t="str">
        <f>_xll.BDP("!!034VN4 Mtge","GENERIC_TICKER_VINTAGE")</f>
        <v>FNCL 3 2021</v>
      </c>
      <c r="D1387" t="str">
        <f>_xll.BDP("!!034VN4 Mtge","CRNCY")</f>
        <v>USD</v>
      </c>
      <c r="E1387">
        <v>50000000</v>
      </c>
      <c r="F1387">
        <f>_xll.BDP("!!034VN4 Mtge","CPN")</f>
        <v>3</v>
      </c>
      <c r="G1387">
        <f>_xll.BDP("!!034VN4 Mtge","MTG_FACTOR")</f>
        <v>0.66120899</v>
      </c>
      <c r="H1387">
        <f>_xll.BDP("!!034VN4 Mtge","MTG_WAL")</f>
        <v>4.4432999999999998</v>
      </c>
      <c r="I1387">
        <f>_xll.BDP("!!034VN4 Mtge","MTG_ORIG_WAL")</f>
        <v>4.4850899999999996</v>
      </c>
    </row>
    <row r="1388" spans="1:9" x14ac:dyDescent="0.25">
      <c r="A1388" t="str">
        <f>_xll.BDP("!!034VWQ Mtge","ID_CUSIP")</f>
        <v>3137H5QW0</v>
      </c>
      <c r="B1388" t="str">
        <f>_xll.BDP("!!034VWQ Mtge","SECURITY_NAME")</f>
        <v>FHR 5195 TZ</v>
      </c>
      <c r="C1388" t="str">
        <f>_xll.BDP("!!034VWQ Mtge","GENERIC_TICKER_VINTAGE")</f>
        <v>FNCL 3 2021</v>
      </c>
      <c r="D1388" t="str">
        <f>_xll.BDP("!!034VWQ Mtge","CRNCY")</f>
        <v>USD</v>
      </c>
      <c r="E1388">
        <v>18000000</v>
      </c>
      <c r="F1388">
        <f>_xll.BDP("!!034VWQ Mtge","CPN")</f>
        <v>3</v>
      </c>
      <c r="G1388">
        <f>_xll.BDP("!!034VWQ Mtge","MTG_FACTOR")</f>
        <v>1.1329717100000001</v>
      </c>
      <c r="H1388">
        <f>_xll.BDP("!!034VWQ Mtge","MTG_WAL")</f>
        <v>18.534800000000001</v>
      </c>
      <c r="I1388">
        <f>_xll.BDP("!!034VWQ Mtge","MTG_ORIG_WAL")</f>
        <v>17</v>
      </c>
    </row>
    <row r="1389" spans="1:9" x14ac:dyDescent="0.25">
      <c r="A1389" t="str">
        <f>_xll.BDP("!!034VX1 Mtge","ID_CUSIP")</f>
        <v>3137H5QJ9</v>
      </c>
      <c r="B1389" t="str">
        <f>_xll.BDP("!!034VX1 Mtge","SECURITY_NAME")</f>
        <v>FHR 5195 NA</v>
      </c>
      <c r="C1389" t="str">
        <f>_xll.BDP("!!034VX1 Mtge","GENERIC_TICKER_VINTAGE")</f>
        <v>FNCL 3 2021</v>
      </c>
      <c r="D1389" t="str">
        <f>_xll.BDP("!!034VX1 Mtge","CRNCY")</f>
        <v>USD</v>
      </c>
      <c r="E1389">
        <v>91258000</v>
      </c>
      <c r="F1389">
        <f>_xll.BDP("!!034VX1 Mtge","CPN")</f>
        <v>2</v>
      </c>
      <c r="G1389">
        <f>_xll.BDP("!!034VX1 Mtge","MTG_FACTOR")</f>
        <v>0.72035201999999998</v>
      </c>
      <c r="H1389">
        <f>_xll.BDP("!!034VX1 Mtge","MTG_WAL")</f>
        <v>3.6374</v>
      </c>
      <c r="I1389">
        <f>_xll.BDP("!!034VX1 Mtge","MTG_ORIG_WAL")</f>
        <v>3.7</v>
      </c>
    </row>
    <row r="1390" spans="1:9" x14ac:dyDescent="0.25">
      <c r="A1390" t="str">
        <f>_xll.BDP("!!034VYX Mtge","ID_CUSIP")</f>
        <v>3137H5VG9</v>
      </c>
      <c r="B1390" t="str">
        <f>_xll.BDP("!!034VYX Mtge","SECURITY_NAME")</f>
        <v>FHR 5189 PZ</v>
      </c>
      <c r="C1390" t="str">
        <f>_xll.BDP("!!034VYX Mtge","GENERIC_TICKER_VINTAGE")</f>
        <v>FNCL 3 2021</v>
      </c>
      <c r="D1390" t="str">
        <f>_xll.BDP("!!034VYX Mtge","CRNCY")</f>
        <v>USD</v>
      </c>
      <c r="E1390">
        <v>17766088</v>
      </c>
      <c r="F1390">
        <f>_xll.BDP("!!034VYX Mtge","CPN")</f>
        <v>3</v>
      </c>
      <c r="G1390">
        <f>_xll.BDP("!!034VYX Mtge","MTG_FACTOR")</f>
        <v>0.89501381000000002</v>
      </c>
      <c r="H1390">
        <f>_xll.BDP("!!034VYX Mtge","MTG_WAL")</f>
        <v>15.549099999999999</v>
      </c>
      <c r="I1390">
        <f>_xll.BDP("!!034VYX Mtge","MTG_ORIG_WAL")</f>
        <v>9.5</v>
      </c>
    </row>
    <row r="1391" spans="1:9" x14ac:dyDescent="0.25">
      <c r="A1391" t="str">
        <f>_xll.BDP("!!034VZ1 Mtge","ID_CUSIP")</f>
        <v>3137H5V79</v>
      </c>
      <c r="B1391" t="str">
        <f>_xll.BDP("!!034VZ1 Mtge","SECURITY_NAME")</f>
        <v>FHR 5189 P</v>
      </c>
      <c r="C1391" t="str">
        <f>_xll.BDP("!!034VZ1 Mtge","GENERIC_TICKER_VINTAGE")</f>
        <v>FNCL 3 2021</v>
      </c>
      <c r="D1391" t="str">
        <f>_xll.BDP("!!034VZ1 Mtge","CRNCY")</f>
        <v>USD</v>
      </c>
      <c r="E1391">
        <v>72542000</v>
      </c>
      <c r="F1391">
        <f>_xll.BDP("!!034VZ1 Mtge","CPN")</f>
        <v>2</v>
      </c>
      <c r="G1391">
        <f>_xll.BDP("!!034VZ1 Mtge","MTG_FACTOR")</f>
        <v>0.57451390999999996</v>
      </c>
      <c r="H1391">
        <f>_xll.BDP("!!034VZ1 Mtge","MTG_WAL")</f>
        <v>4.1683000000000003</v>
      </c>
      <c r="I1391">
        <f>_xll.BDP("!!034VZ1 Mtge","MTG_ORIG_WAL")</f>
        <v>3.5</v>
      </c>
    </row>
    <row r="1392" spans="1:9" x14ac:dyDescent="0.25">
      <c r="A1392" t="str">
        <f>_xll.BDP("!!034VZ3 Mtge","ID_CUSIP")</f>
        <v>3137H5VD6</v>
      </c>
      <c r="B1392" t="str">
        <f>_xll.BDP("!!034VZ3 Mtge","SECURITY_NAME")</f>
        <v>FHR 5189 PG</v>
      </c>
      <c r="C1392" t="str">
        <f>_xll.BDP("!!034VZ3 Mtge","GENERIC_TICKER_VINTAGE")</f>
        <v>FNCL 3 2021</v>
      </c>
      <c r="D1392" t="str">
        <f>_xll.BDP("!!034VZ3 Mtge","CRNCY")</f>
        <v>USD</v>
      </c>
      <c r="E1392">
        <v>72542000</v>
      </c>
      <c r="F1392">
        <f>_xll.BDP("!!034VZ3 Mtge","CPN")</f>
        <v>2.5</v>
      </c>
      <c r="G1392">
        <f>_xll.BDP("!!034VZ3 Mtge","MTG_FACTOR")</f>
        <v>0.57451390999999996</v>
      </c>
      <c r="H1392">
        <f>_xll.BDP("!!034VZ3 Mtge","MTG_WAL")</f>
        <v>4.1683000000000003</v>
      </c>
      <c r="I1392">
        <f>_xll.BDP("!!034VZ3 Mtge","MTG_ORIG_WAL")</f>
        <v>3.5</v>
      </c>
    </row>
    <row r="1393" spans="1:9" x14ac:dyDescent="0.25">
      <c r="A1393" t="str">
        <f>_xll.BDP("!!034VZ5 Mtge","ID_CUSIP")</f>
        <v>3137H5VF1</v>
      </c>
      <c r="B1393" t="str">
        <f>_xll.BDP("!!034VZ5 Mtge","SECURITY_NAME")</f>
        <v>FHR 5189 PI</v>
      </c>
      <c r="C1393" t="str">
        <f>_xll.BDP("!!034VZ5 Mtge","GENERIC_TICKER_VINTAGE")</f>
        <v>FNCL 3 2021</v>
      </c>
      <c r="D1393" t="str">
        <f>_xll.BDP("!!034VZ5 Mtge","CRNCY")</f>
        <v>USD</v>
      </c>
      <c r="E1393">
        <v>42316166</v>
      </c>
      <c r="F1393">
        <f>_xll.BDP("!!034VZ5 Mtge","CPN")</f>
        <v>3</v>
      </c>
      <c r="G1393">
        <f>_xll.BDP("!!034VZ5 Mtge","MTG_FACTOR")</f>
        <v>0.57451390999999996</v>
      </c>
      <c r="H1393">
        <f>_xll.BDP("!!034VZ5 Mtge","MTG_WAL")</f>
        <v>4.1683000000000003</v>
      </c>
      <c r="I1393">
        <f>_xll.BDP("!!034VZ5 Mtge","MTG_ORIG_WAL")</f>
        <v>3.5</v>
      </c>
    </row>
    <row r="1394" spans="1:9" x14ac:dyDescent="0.25">
      <c r="A1394" t="str">
        <f>_xll.BDP("!!034W4Z Mtge","ID_CUSIP")</f>
        <v>3137H6E84</v>
      </c>
      <c r="B1394" t="str">
        <f>_xll.BDP("!!034W4Z Mtge","SECURITY_NAME")</f>
        <v>FHR 5200 LZ</v>
      </c>
      <c r="C1394" t="str">
        <f>_xll.BDP("!!034W4Z Mtge","GENERIC_TICKER_VINTAGE")</f>
        <v>FNCL 3 2021</v>
      </c>
      <c r="D1394" t="str">
        <f>_xll.BDP("!!034W4Z Mtge","CRNCY")</f>
        <v>USD</v>
      </c>
      <c r="E1394">
        <v>15865975</v>
      </c>
      <c r="F1394">
        <f>_xll.BDP("!!034W4Z Mtge","CPN")</f>
        <v>3</v>
      </c>
      <c r="G1394">
        <f>_xll.BDP("!!034W4Z Mtge","MTG_FACTOR")</f>
        <v>1.13014634</v>
      </c>
      <c r="H1394">
        <f>_xll.BDP("!!034W4Z Mtge","MTG_WAL")</f>
        <v>16.4711</v>
      </c>
      <c r="I1394">
        <f>_xll.BDP("!!034W4Z Mtge","MTG_ORIG_WAL")</f>
        <v>15.4</v>
      </c>
    </row>
    <row r="1395" spans="1:9" x14ac:dyDescent="0.25">
      <c r="A1395" t="str">
        <f>_xll.BDP("!!034W53 Mtge","ID_CUSIP")</f>
        <v>3137H6E50</v>
      </c>
      <c r="B1395" t="str">
        <f>_xll.BDP("!!034W53 Mtge","SECURITY_NAME")</f>
        <v>FHR 5200 LA</v>
      </c>
      <c r="C1395" t="str">
        <f>_xll.BDP("!!034W53 Mtge","GENERIC_TICKER_VINTAGE")</f>
        <v>FNCL 3 2021</v>
      </c>
      <c r="D1395" t="str">
        <f>_xll.BDP("!!034W53 Mtge","CRNCY")</f>
        <v>USD</v>
      </c>
      <c r="E1395">
        <v>85000000</v>
      </c>
      <c r="F1395">
        <f>_xll.BDP("!!034W53 Mtge","CPN")</f>
        <v>3</v>
      </c>
      <c r="G1395">
        <f>_xll.BDP("!!034W53 Mtge","MTG_FACTOR")</f>
        <v>0.57990514000000004</v>
      </c>
      <c r="H1395">
        <f>_xll.BDP("!!034W53 Mtge","MTG_WAL")</f>
        <v>4.68</v>
      </c>
      <c r="I1395">
        <f>_xll.BDP("!!034W53 Mtge","MTG_ORIG_WAL")</f>
        <v>4.3</v>
      </c>
    </row>
    <row r="1396" spans="1:9" x14ac:dyDescent="0.25">
      <c r="A1396" t="str">
        <f>_xll.BDP("!!034W54 Mtge","ID_CUSIP")</f>
        <v>3137H6E68</v>
      </c>
      <c r="B1396" t="str">
        <f>_xll.BDP("!!034W54 Mtge","SECURITY_NAME")</f>
        <v>FHR 5200 LB</v>
      </c>
      <c r="C1396" t="str">
        <f>_xll.BDP("!!034W54 Mtge","GENERIC_TICKER_VINTAGE")</f>
        <v>FNCL 3 2021</v>
      </c>
      <c r="D1396" t="str">
        <f>_xll.BDP("!!034W54 Mtge","CRNCY")</f>
        <v>USD</v>
      </c>
      <c r="E1396">
        <v>22251888</v>
      </c>
      <c r="F1396">
        <f>_xll.BDP("!!034W54 Mtge","CPN")</f>
        <v>3</v>
      </c>
      <c r="G1396">
        <f>_xll.BDP("!!034W54 Mtge","MTG_FACTOR")</f>
        <v>1</v>
      </c>
      <c r="H1396">
        <f>_xll.BDP("!!034W54 Mtge","MTG_WAL")</f>
        <v>16.4711</v>
      </c>
      <c r="I1396">
        <f>_xll.BDP("!!034W54 Mtge","MTG_ORIG_WAL")</f>
        <v>15.3</v>
      </c>
    </row>
    <row r="1397" spans="1:9" x14ac:dyDescent="0.25">
      <c r="A1397" t="str">
        <f>_xll.BDP("!!034WD3 Mtge","ID_CUSIP")</f>
        <v>3137H5LM7</v>
      </c>
      <c r="B1397" t="str">
        <f>_xll.BDP("!!034WD3 Mtge","SECURITY_NAME")</f>
        <v>FHR 5198 KP</v>
      </c>
      <c r="C1397" t="str">
        <f>_xll.BDP("!!034WD3 Mtge","GENERIC_TICKER_VINTAGE")</f>
        <v>FNCL 3 2021</v>
      </c>
      <c r="D1397" t="str">
        <f>_xll.BDP("!!034WD3 Mtge","CRNCY")</f>
        <v>USD</v>
      </c>
      <c r="E1397">
        <v>39360000</v>
      </c>
      <c r="F1397">
        <f>_xll.BDP("!!034WD3 Mtge","CPN")</f>
        <v>2</v>
      </c>
      <c r="G1397">
        <f>_xll.BDP("!!034WD3 Mtge","MTG_FACTOR")</f>
        <v>0.67580680000000004</v>
      </c>
      <c r="H1397">
        <f>_xll.BDP("!!034WD3 Mtge","MTG_WAL")</f>
        <v>3.5185</v>
      </c>
      <c r="I1397">
        <f>_xll.BDP("!!034WD3 Mtge","MTG_ORIG_WAL")</f>
        <v>2.7</v>
      </c>
    </row>
    <row r="1398" spans="1:9" x14ac:dyDescent="0.25">
      <c r="A1398" t="str">
        <f>_xll.BDP("!!034WD5 Mtge","ID_CUSIP")</f>
        <v>3137H5LR6</v>
      </c>
      <c r="B1398" t="str">
        <f>_xll.BDP("!!034WD5 Mtge","SECURITY_NAME")</f>
        <v>FHR 5198 KZ</v>
      </c>
      <c r="C1398" t="str">
        <f>_xll.BDP("!!034WD5 Mtge","GENERIC_TICKER_VINTAGE")</f>
        <v>FNCL 3 2021</v>
      </c>
      <c r="D1398" t="str">
        <f>_xll.BDP("!!034WD5 Mtge","CRNCY")</f>
        <v>USD</v>
      </c>
      <c r="E1398">
        <v>38253201</v>
      </c>
      <c r="F1398">
        <f>_xll.BDP("!!034WD5 Mtge","CPN")</f>
        <v>2</v>
      </c>
      <c r="G1398">
        <f>_xll.BDP("!!034WD5 Mtge","MTG_FACTOR")</f>
        <v>1.0868286599999999</v>
      </c>
      <c r="H1398">
        <f>_xll.BDP("!!034WD5 Mtge","MTG_WAL")</f>
        <v>14.208</v>
      </c>
      <c r="I1398">
        <f>_xll.BDP("!!034WD5 Mtge","MTG_ORIG_WAL")</f>
        <v>10.199999999999999</v>
      </c>
    </row>
    <row r="1399" spans="1:9" x14ac:dyDescent="0.25">
      <c r="A1399" t="str">
        <f>_xll.BDP("!!034WD8 Mtge","ID_CUSIP")</f>
        <v>3137H5LS4</v>
      </c>
      <c r="B1399" t="str">
        <f>_xll.BDP("!!034WD8 Mtge","SECURITY_NAME")</f>
        <v>FHR 5198 LA</v>
      </c>
      <c r="C1399" t="str">
        <f>_xll.BDP("!!034WD8 Mtge","GENERIC_TICKER_VINTAGE")</f>
        <v>FNCL 3 2021</v>
      </c>
      <c r="D1399" t="str">
        <f>_xll.BDP("!!034WD8 Mtge","CRNCY")</f>
        <v>USD</v>
      </c>
      <c r="E1399">
        <v>61394000</v>
      </c>
      <c r="F1399">
        <f>_xll.BDP("!!034WD8 Mtge","CPN")</f>
        <v>2</v>
      </c>
      <c r="G1399">
        <f>_xll.BDP("!!034WD8 Mtge","MTG_FACTOR")</f>
        <v>0.55105309999999996</v>
      </c>
      <c r="H1399">
        <f>_xll.BDP("!!034WD8 Mtge","MTG_WAL")</f>
        <v>5.3266</v>
      </c>
      <c r="I1399">
        <f>_xll.BDP("!!034WD8 Mtge","MTG_ORIG_WAL")</f>
        <v>4.4000000000000004</v>
      </c>
    </row>
    <row r="1400" spans="1:9" x14ac:dyDescent="0.25">
      <c r="A1400" t="str">
        <f>_xll.BDP("!!034WDQ Mtge","ID_CUSIP")</f>
        <v>3137H5LX3</v>
      </c>
      <c r="B1400" t="str">
        <f>_xll.BDP("!!034WDQ Mtge","SECURITY_NAME")</f>
        <v>FHR 5198 LG</v>
      </c>
      <c r="C1400" t="str">
        <f>_xll.BDP("!!034WDQ Mtge","GENERIC_TICKER_VINTAGE")</f>
        <v>FNCL 3 2021</v>
      </c>
      <c r="D1400" t="str">
        <f>_xll.BDP("!!034WDQ Mtge","CRNCY")</f>
        <v>USD</v>
      </c>
      <c r="E1400">
        <v>61394000</v>
      </c>
      <c r="F1400">
        <f>_xll.BDP("!!034WDQ Mtge","CPN")</f>
        <v>2</v>
      </c>
      <c r="G1400">
        <f>_xll.BDP("!!034WDQ Mtge","MTG_FACTOR")</f>
        <v>0.55105311000000001</v>
      </c>
      <c r="H1400">
        <f>_xll.BDP("!!034WDQ Mtge","MTG_WAL")</f>
        <v>5.3266</v>
      </c>
      <c r="I1400">
        <f>_xll.BDP("!!034WDQ Mtge","MTG_ORIG_WAL")</f>
        <v>4.4000000000000004</v>
      </c>
    </row>
    <row r="1401" spans="1:9" x14ac:dyDescent="0.25">
      <c r="A1401" t="str">
        <f>_xll.BDP("!!034WDW Mtge","ID_CUSIP")</f>
        <v>3137H5LH8</v>
      </c>
      <c r="B1401" t="str">
        <f>_xll.BDP("!!034WDW Mtge","SECURITY_NAME")</f>
        <v>FHR 5198 KL</v>
      </c>
      <c r="C1401" t="str">
        <f>_xll.BDP("!!034WDW Mtge","GENERIC_TICKER_VINTAGE")</f>
        <v>FNCL 3 2021</v>
      </c>
      <c r="D1401" t="str">
        <f>_xll.BDP("!!034WDW Mtge","CRNCY")</f>
        <v>USD</v>
      </c>
      <c r="E1401">
        <v>11261000</v>
      </c>
      <c r="F1401">
        <f>_xll.BDP("!!034WDW Mtge","CPN")</f>
        <v>2</v>
      </c>
      <c r="G1401">
        <f>_xll.BDP("!!034WDW Mtge","MTG_FACTOR")</f>
        <v>0.72183164</v>
      </c>
      <c r="H1401">
        <f>_xll.BDP("!!034WDW Mtge","MTG_WAL")</f>
        <v>17.946999999999999</v>
      </c>
      <c r="I1401">
        <f>_xll.BDP("!!034WDW Mtge","MTG_ORIG_WAL")</f>
        <v>1</v>
      </c>
    </row>
    <row r="1402" spans="1:9" x14ac:dyDescent="0.25">
      <c r="A1402" t="str">
        <f>_xll.BDP("!!034WFV Mtge","ID_CUSIP")</f>
        <v>3136BLQQ6</v>
      </c>
      <c r="B1402" t="str">
        <f>_xll.BDP("!!034WFV Mtge","SECURITY_NAME")</f>
        <v>FNR 2022-6 KQ</v>
      </c>
      <c r="C1402" t="str">
        <f>_xll.BDP("!!034WFV Mtge","GENERIC_TICKER_VINTAGE")</f>
        <v>FNCL 3 2021</v>
      </c>
      <c r="D1402" t="str">
        <f>_xll.BDP("!!034WFV Mtge","CRNCY")</f>
        <v>USD</v>
      </c>
      <c r="E1402">
        <v>100000000</v>
      </c>
      <c r="F1402">
        <f>_xll.BDP("!!034WFV Mtge","CPN")</f>
        <v>2.125</v>
      </c>
      <c r="G1402">
        <f>_xll.BDP("!!034WFV Mtge","MTG_FACTOR")</f>
        <v>0.72289466999999996</v>
      </c>
      <c r="H1402">
        <f>_xll.BDP("!!034WFV Mtge","MTG_WAL")</f>
        <v>6.6467999999999998</v>
      </c>
      <c r="I1402">
        <f>_xll.BDP("!!034WFV Mtge","MTG_ORIG_WAL")</f>
        <v>5.0999999999999996</v>
      </c>
    </row>
    <row r="1403" spans="1:9" x14ac:dyDescent="0.25">
      <c r="A1403" t="str">
        <f>_xll.BDP("!!034X2W Mtge","ID_CUSIP")</f>
        <v>3136BLM31</v>
      </c>
      <c r="B1403" t="str">
        <f>_xll.BDP("!!034X2W Mtge","SECURITY_NAME")</f>
        <v>FNR 2022-7 ZG</v>
      </c>
      <c r="C1403" t="str">
        <f>_xll.BDP("!!034X2W Mtge","GENERIC_TICKER_VINTAGE")</f>
        <v>FNCL 3 2021</v>
      </c>
      <c r="D1403" t="str">
        <f>_xll.BDP("!!034X2W Mtge","CRNCY")</f>
        <v>USD</v>
      </c>
      <c r="E1403">
        <v>2308000</v>
      </c>
      <c r="F1403">
        <f>_xll.BDP("!!034X2W Mtge","CPN")</f>
        <v>3</v>
      </c>
      <c r="G1403">
        <f>_xll.BDP("!!034X2W Mtge","MTG_FACTOR")</f>
        <v>1.1329717100000001</v>
      </c>
      <c r="H1403">
        <f>_xll.BDP("!!034X2W Mtge","MTG_WAL")</f>
        <v>20.909400000000002</v>
      </c>
      <c r="I1403">
        <f>_xll.BDP("!!034X2W Mtge","MTG_ORIG_WAL")</f>
        <v>20.11298</v>
      </c>
    </row>
    <row r="1404" spans="1:9" x14ac:dyDescent="0.25">
      <c r="A1404" t="str">
        <f>_xll.BDP("!!034X31 Mtge","ID_CUSIP")</f>
        <v>3136BLN22</v>
      </c>
      <c r="B1404" t="str">
        <f>_xll.BDP("!!034X31 Mtge","SECURITY_NAME")</f>
        <v>FNR 2022-7 GA</v>
      </c>
      <c r="C1404" t="str">
        <f>_xll.BDP("!!034X31 Mtge","GENERIC_TICKER_VINTAGE")</f>
        <v>FNCL 3 2021</v>
      </c>
      <c r="D1404" t="str">
        <f>_xll.BDP("!!034X31 Mtge","CRNCY")</f>
        <v>USD</v>
      </c>
      <c r="E1404">
        <v>50000000</v>
      </c>
      <c r="F1404">
        <f>_xll.BDP("!!034X31 Mtge","CPN")</f>
        <v>2.25</v>
      </c>
      <c r="G1404">
        <f>_xll.BDP("!!034X31 Mtge","MTG_FACTOR")</f>
        <v>0.68531746999999998</v>
      </c>
      <c r="H1404">
        <f>_xll.BDP("!!034X31 Mtge","MTG_WAL")</f>
        <v>6.8041</v>
      </c>
      <c r="I1404">
        <f>_xll.BDP("!!034X31 Mtge","MTG_ORIG_WAL")</f>
        <v>5.8174400000000004</v>
      </c>
    </row>
    <row r="1405" spans="1:9" x14ac:dyDescent="0.25">
      <c r="A1405" t="str">
        <f>_xll.BDP("!!034X35 Mtge","ID_CUSIP")</f>
        <v>3136BLN55</v>
      </c>
      <c r="B1405" t="str">
        <f>_xll.BDP("!!034X35 Mtge","SECURITY_NAME")</f>
        <v>FNR 2022-7 GI</v>
      </c>
      <c r="C1405" t="str">
        <f>_xll.BDP("!!034X35 Mtge","GENERIC_TICKER_VINTAGE")</f>
        <v>FNCL 3 2021</v>
      </c>
      <c r="D1405" t="str">
        <f>_xll.BDP("!!034X35 Mtge","CRNCY")</f>
        <v>USD</v>
      </c>
      <c r="E1405">
        <v>33333333</v>
      </c>
      <c r="F1405">
        <f>_xll.BDP("!!034X35 Mtge","CPN")</f>
        <v>3</v>
      </c>
      <c r="G1405">
        <f>_xll.BDP("!!034X35 Mtge","MTG_FACTOR")</f>
        <v>0.68531746999999998</v>
      </c>
      <c r="H1405">
        <f>_xll.BDP("!!034X35 Mtge","MTG_WAL")</f>
        <v>6.8041</v>
      </c>
      <c r="I1405">
        <f>_xll.BDP("!!034X35 Mtge","MTG_ORIG_WAL")</f>
        <v>5.8174400000000004</v>
      </c>
    </row>
    <row r="1406" spans="1:9" x14ac:dyDescent="0.25">
      <c r="A1406" t="str">
        <f>_xll.BDP("!!034X5M Mtge","ID_CUSIP")</f>
        <v>3136BLYX2</v>
      </c>
      <c r="B1406" t="str">
        <f>_xll.BDP("!!034X5M Mtge","SECURITY_NAME")</f>
        <v>FNR 2022-4 UZ</v>
      </c>
      <c r="C1406" t="str">
        <f>_xll.BDP("!!034X5M Mtge","GENERIC_TICKER_VINTAGE")</f>
        <v>FNCL 3 2021</v>
      </c>
      <c r="D1406" t="str">
        <f>_xll.BDP("!!034X5M Mtge","CRNCY")</f>
        <v>USD</v>
      </c>
      <c r="E1406">
        <v>75509701</v>
      </c>
      <c r="F1406">
        <f>_xll.BDP("!!034X5M Mtge","CPN")</f>
        <v>3</v>
      </c>
      <c r="G1406">
        <f>_xll.BDP("!!034X5M Mtge","MTG_FACTOR")</f>
        <v>0.88341983999999996</v>
      </c>
      <c r="H1406">
        <f>_xll.BDP("!!034X5M Mtge","MTG_WAL")</f>
        <v>15.2662</v>
      </c>
      <c r="I1406">
        <f>_xll.BDP("!!034X5M Mtge","MTG_ORIG_WAL")</f>
        <v>10.9</v>
      </c>
    </row>
    <row r="1407" spans="1:9" x14ac:dyDescent="0.25">
      <c r="A1407" t="str">
        <f>_xll.BDP("!!034X5Y Mtge","ID_CUSIP")</f>
        <v>3137H5NW3</v>
      </c>
      <c r="B1407" t="str">
        <f>_xll.BDP("!!034X5Y Mtge","SECURITY_NAME")</f>
        <v>FHR 5191 MI</v>
      </c>
      <c r="C1407" t="str">
        <f>_xll.BDP("!!034X5Y Mtge","GENERIC_TICKER_VINTAGE")</f>
        <v>FNCL 3 2021</v>
      </c>
      <c r="D1407" t="str">
        <f>_xll.BDP("!!034X5Y Mtge","CRNCY")</f>
        <v>USD</v>
      </c>
      <c r="E1407">
        <v>45632916</v>
      </c>
      <c r="F1407">
        <f>_xll.BDP("!!034X5Y Mtge","CPN")</f>
        <v>3</v>
      </c>
      <c r="G1407">
        <f>_xll.BDP("!!034X5Y Mtge","MTG_FACTOR")</f>
        <v>0.60675206999999998</v>
      </c>
      <c r="H1407">
        <f>_xll.BDP("!!034X5Y Mtge","MTG_WAL")</f>
        <v>4.5762</v>
      </c>
      <c r="I1407">
        <f>_xll.BDP("!!034X5Y Mtge","MTG_ORIG_WAL")</f>
        <v>3.2</v>
      </c>
    </row>
    <row r="1408" spans="1:9" x14ac:dyDescent="0.25">
      <c r="A1408" t="str">
        <f>_xll.BDP("!!034X5Z Mtge","ID_CUSIP")</f>
        <v>3137H5NT0</v>
      </c>
      <c r="B1408" t="str">
        <f>_xll.BDP("!!034X5Z Mtge","SECURITY_NAME")</f>
        <v>FHR 5191 MC</v>
      </c>
      <c r="C1408" t="str">
        <f>_xll.BDP("!!034X5Z Mtge","GENERIC_TICKER_VINTAGE")</f>
        <v>FNCL 3 2021</v>
      </c>
      <c r="D1408" t="str">
        <f>_xll.BDP("!!034X5Z Mtge","CRNCY")</f>
        <v>USD</v>
      </c>
      <c r="E1408">
        <v>1500000</v>
      </c>
      <c r="F1408">
        <f>_xll.BDP("!!034X5Z Mtge","CPN")</f>
        <v>1.5</v>
      </c>
      <c r="G1408">
        <f>_xll.BDP("!!034X5Z Mtge","MTG_FACTOR")</f>
        <v>0.60675206999999998</v>
      </c>
      <c r="H1408">
        <f>_xll.BDP("!!034X5Z Mtge","MTG_WAL")</f>
        <v>4.5762</v>
      </c>
      <c r="I1408">
        <f>_xll.BDP("!!034X5Z Mtge","MTG_ORIG_WAL")</f>
        <v>3.2</v>
      </c>
    </row>
    <row r="1409" spans="1:9" x14ac:dyDescent="0.25">
      <c r="A1409" t="str">
        <f>_xll.BDP("!!034X60 Mtge","ID_CUSIP")</f>
        <v>3137H5NV5</v>
      </c>
      <c r="B1409" t="str">
        <f>_xll.BDP("!!034X60 Mtge","SECURITY_NAME")</f>
        <v>FHR 5191 ME</v>
      </c>
      <c r="C1409" t="str">
        <f>_xll.BDP("!!034X60 Mtge","GENERIC_TICKER_VINTAGE")</f>
        <v>FNCL 3 2021</v>
      </c>
      <c r="D1409" t="str">
        <f>_xll.BDP("!!034X60 Mtge","CRNCY")</f>
        <v>USD</v>
      </c>
      <c r="E1409">
        <v>3500000</v>
      </c>
      <c r="F1409">
        <f>_xll.BDP("!!034X60 Mtge","CPN")</f>
        <v>1.75</v>
      </c>
      <c r="G1409">
        <f>_xll.BDP("!!034X60 Mtge","MTG_FACTOR")</f>
        <v>0.60675206999999998</v>
      </c>
      <c r="H1409">
        <f>_xll.BDP("!!034X60 Mtge","MTG_WAL")</f>
        <v>4.5762</v>
      </c>
      <c r="I1409">
        <f>_xll.BDP("!!034X60 Mtge","MTG_ORIG_WAL")</f>
        <v>3.2</v>
      </c>
    </row>
    <row r="1410" spans="1:9" x14ac:dyDescent="0.25">
      <c r="A1410" t="str">
        <f>_xll.BDP("!!034X61 Mtge","ID_CUSIP")</f>
        <v>3137H5NX1</v>
      </c>
      <c r="B1410" t="str">
        <f>_xll.BDP("!!034X61 Mtge","SECURITY_NAME")</f>
        <v>FHR 5191 MQ</v>
      </c>
      <c r="C1410" t="str">
        <f>_xll.BDP("!!034X61 Mtge","GENERIC_TICKER_VINTAGE")</f>
        <v>FNCL 3 2021</v>
      </c>
      <c r="D1410" t="str">
        <f>_xll.BDP("!!034X61 Mtge","CRNCY")</f>
        <v>USD</v>
      </c>
      <c r="E1410">
        <v>14219000</v>
      </c>
      <c r="F1410">
        <f>_xll.BDP("!!034X61 Mtge","CPN")</f>
        <v>1.75</v>
      </c>
      <c r="G1410">
        <f>_xll.BDP("!!034X61 Mtge","MTG_FACTOR")</f>
        <v>0.60675206999999998</v>
      </c>
      <c r="H1410">
        <f>_xll.BDP("!!034X61 Mtge","MTG_WAL")</f>
        <v>4.5762</v>
      </c>
      <c r="I1410">
        <f>_xll.BDP("!!034X61 Mtge","MTG_ORIG_WAL")</f>
        <v>3.2</v>
      </c>
    </row>
    <row r="1411" spans="1:9" x14ac:dyDescent="0.25">
      <c r="A1411" t="str">
        <f>_xll.BDP("!!034X63 Mtge","ID_CUSIP")</f>
        <v>3137H5N94</v>
      </c>
      <c r="B1411" t="str">
        <f>_xll.BDP("!!034X63 Mtge","SECURITY_NAME")</f>
        <v>FHR 5191 JD</v>
      </c>
      <c r="C1411" t="str">
        <f>_xll.BDP("!!034X63 Mtge","GENERIC_TICKER_VINTAGE")</f>
        <v>FNCL 3 2021</v>
      </c>
      <c r="D1411" t="str">
        <f>_xll.BDP("!!034X63 Mtge","CRNCY")</f>
        <v>USD</v>
      </c>
      <c r="E1411">
        <v>4000000</v>
      </c>
      <c r="F1411">
        <f>_xll.BDP("!!034X63 Mtge","CPN")</f>
        <v>1.75</v>
      </c>
      <c r="G1411">
        <f>_xll.BDP("!!034X63 Mtge","MTG_FACTOR")</f>
        <v>0.60518446999999997</v>
      </c>
      <c r="H1411">
        <f>_xll.BDP("!!034X63 Mtge","MTG_WAL")</f>
        <v>4.4494999999999996</v>
      </c>
      <c r="I1411">
        <f>_xll.BDP("!!034X63 Mtge","MTG_ORIG_WAL")</f>
        <v>3.2</v>
      </c>
    </row>
    <row r="1412" spans="1:9" x14ac:dyDescent="0.25">
      <c r="A1412" t="str">
        <f>_xll.BDP("!!034X64 Mtge","ID_CUSIP")</f>
        <v>3137H5ND5</v>
      </c>
      <c r="B1412" t="str">
        <f>_xll.BDP("!!034X64 Mtge","SECURITY_NAME")</f>
        <v>FHR 5191 JQ</v>
      </c>
      <c r="C1412" t="str">
        <f>_xll.BDP("!!034X64 Mtge","GENERIC_TICKER_VINTAGE")</f>
        <v>FNCL 3 2021</v>
      </c>
      <c r="D1412" t="str">
        <f>_xll.BDP("!!034X64 Mtge","CRNCY")</f>
        <v>USD</v>
      </c>
      <c r="E1412">
        <v>11500000</v>
      </c>
      <c r="F1412">
        <f>_xll.BDP("!!034X64 Mtge","CPN")</f>
        <v>2</v>
      </c>
      <c r="G1412">
        <f>_xll.BDP("!!034X64 Mtge","MTG_FACTOR")</f>
        <v>0.60518446999999997</v>
      </c>
      <c r="H1412">
        <f>_xll.BDP("!!034X64 Mtge","MTG_WAL")</f>
        <v>4.4494999999999996</v>
      </c>
      <c r="I1412">
        <f>_xll.BDP("!!034X64 Mtge","MTG_ORIG_WAL")</f>
        <v>3.2</v>
      </c>
    </row>
    <row r="1413" spans="1:9" x14ac:dyDescent="0.25">
      <c r="A1413" t="str">
        <f>_xll.BDP("!!034X8P Mtge","ID_CUSIP")</f>
        <v>3137H5XR3</v>
      </c>
      <c r="B1413" t="str">
        <f>_xll.BDP("!!034X8P Mtge","SECURITY_NAME")</f>
        <v>FHR 5198 MZ</v>
      </c>
      <c r="C1413" t="str">
        <f>_xll.BDP("!!034X8P Mtge","GENERIC_TICKER_VINTAGE")</f>
        <v>FNCL 3 2021</v>
      </c>
      <c r="D1413" t="str">
        <f>_xll.BDP("!!034X8P Mtge","CRNCY")</f>
        <v>USD</v>
      </c>
      <c r="E1413">
        <v>15000000</v>
      </c>
      <c r="F1413">
        <f>_xll.BDP("!!034X8P Mtge","CPN")</f>
        <v>3</v>
      </c>
      <c r="G1413">
        <f>_xll.BDP("!!034X8P Mtge","MTG_FACTOR")</f>
        <v>0.90889555</v>
      </c>
      <c r="H1413">
        <f>_xll.BDP("!!034X8P Mtge","MTG_WAL")</f>
        <v>15.534599999999999</v>
      </c>
      <c r="I1413">
        <f>_xll.BDP("!!034X8P Mtge","MTG_ORIG_WAL")</f>
        <v>17.8</v>
      </c>
    </row>
    <row r="1414" spans="1:9" x14ac:dyDescent="0.25">
      <c r="A1414" t="str">
        <f>_xll.BDP("!!034Z8M Mtge","ID_CUSIP")</f>
        <v>3136BLLL2</v>
      </c>
      <c r="B1414" t="str">
        <f>_xll.BDP("!!034Z8M Mtge","SECURITY_NAME")</f>
        <v>FNR 2022-2 IQ</v>
      </c>
      <c r="C1414" t="str">
        <f>_xll.BDP("!!034Z8M Mtge","GENERIC_TICKER_VINTAGE")</f>
        <v>FNCL 3 2021</v>
      </c>
      <c r="D1414" t="str">
        <f>_xll.BDP("!!034Z8M Mtge","CRNCY")</f>
        <v>USD</v>
      </c>
      <c r="E1414">
        <v>43440407</v>
      </c>
      <c r="F1414">
        <f>_xll.BDP("!!034Z8M Mtge","CPN")</f>
        <v>3</v>
      </c>
      <c r="G1414">
        <f>_xll.BDP("!!034Z8M Mtge","MTG_FACTOR")</f>
        <v>0.58386442999999999</v>
      </c>
      <c r="H1414">
        <f>_xll.BDP("!!034Z8M Mtge","MTG_WAL")</f>
        <v>4.0138999999999996</v>
      </c>
      <c r="I1414">
        <f>_xll.BDP("!!034Z8M Mtge","MTG_ORIG_WAL")</f>
        <v>3.4</v>
      </c>
    </row>
    <row r="1415" spans="1:9" x14ac:dyDescent="0.25">
      <c r="A1415" t="str">
        <f>_xll.BDP("!!034ZGS Mtge","ID_CUSIP")</f>
        <v>3137H5XJ1</v>
      </c>
      <c r="B1415" t="str">
        <f>_xll.BDP("!!034ZGS Mtge","SECURITY_NAME")</f>
        <v>FHR 5196 Z</v>
      </c>
      <c r="C1415" t="str">
        <f>_xll.BDP("!!034ZGS Mtge","GENERIC_TICKER_VINTAGE")</f>
        <v>FNCL 3 2021</v>
      </c>
      <c r="D1415" t="str">
        <f>_xll.BDP("!!034ZGS Mtge","CRNCY")</f>
        <v>USD</v>
      </c>
      <c r="E1415">
        <v>22321589</v>
      </c>
      <c r="F1415">
        <f>_xll.BDP("!!034ZGS Mtge","CPN")</f>
        <v>2.5</v>
      </c>
      <c r="G1415">
        <f>_xll.BDP("!!034ZGS Mtge","MTG_FACTOR")</f>
        <v>1.10966516</v>
      </c>
      <c r="H1415">
        <f>_xll.BDP("!!034ZGS Mtge","MTG_WAL")</f>
        <v>20.547699999999999</v>
      </c>
      <c r="I1415">
        <f>_xll.BDP("!!034ZGS Mtge","MTG_ORIG_WAL")</f>
        <v>19.5</v>
      </c>
    </row>
    <row r="1416" spans="1:9" x14ac:dyDescent="0.25">
      <c r="A1416" t="str">
        <f>_xll.BDP("!!034ZGV Mtge","ID_CUSIP")</f>
        <v>3137H5XL6</v>
      </c>
      <c r="B1416" t="str">
        <f>_xll.BDP("!!034ZGV Mtge","SECURITY_NAME")</f>
        <v>FHR 5196 ZL</v>
      </c>
      <c r="C1416" t="str">
        <f>_xll.BDP("!!034ZGV Mtge","GENERIC_TICKER_VINTAGE")</f>
        <v>FNCL 3 2021</v>
      </c>
      <c r="D1416" t="str">
        <f>_xll.BDP("!!034ZGV Mtge","CRNCY")</f>
        <v>USD</v>
      </c>
      <c r="E1416">
        <v>18014807</v>
      </c>
      <c r="F1416">
        <f>_xll.BDP("!!034ZGV Mtge","CPN")</f>
        <v>2.5</v>
      </c>
      <c r="G1416">
        <f>_xll.BDP("!!034ZGV Mtge","MTG_FACTOR")</f>
        <v>1.10966516</v>
      </c>
      <c r="H1416">
        <f>_xll.BDP("!!034ZGV Mtge","MTG_WAL")</f>
        <v>20.625900000000001</v>
      </c>
      <c r="I1416">
        <f>_xll.BDP("!!034ZGV Mtge","MTG_ORIG_WAL")</f>
        <v>19.5</v>
      </c>
    </row>
    <row r="1417" spans="1:9" x14ac:dyDescent="0.25">
      <c r="A1417" t="str">
        <f>_xll.BDP("!!034ZJK Mtge","ID_CUSIP")</f>
        <v>3136BLKA7</v>
      </c>
      <c r="B1417" t="str">
        <f>_xll.BDP("!!034ZJK Mtge","SECURITY_NAME")</f>
        <v>FNR 2022-5 TZ</v>
      </c>
      <c r="C1417" t="str">
        <f>_xll.BDP("!!034ZJK Mtge","GENERIC_TICKER_VINTAGE")</f>
        <v>FNCL 3 2021</v>
      </c>
      <c r="D1417" t="str">
        <f>_xll.BDP("!!034ZJK Mtge","CRNCY")</f>
        <v>USD</v>
      </c>
      <c r="E1417">
        <v>28428569</v>
      </c>
      <c r="F1417">
        <f>_xll.BDP("!!034ZJK Mtge","CPN")</f>
        <v>3</v>
      </c>
      <c r="G1417">
        <f>_xll.BDP("!!034ZJK Mtge","MTG_FACTOR")</f>
        <v>0.86302396999999997</v>
      </c>
      <c r="H1417">
        <f>_xll.BDP("!!034ZJK Mtge","MTG_WAL")</f>
        <v>17.614000000000001</v>
      </c>
      <c r="I1417">
        <f>_xll.BDP("!!034ZJK Mtge","MTG_ORIG_WAL")</f>
        <v>10.07197</v>
      </c>
    </row>
    <row r="1418" spans="1:9" x14ac:dyDescent="0.25">
      <c r="A1418" t="str">
        <f>_xll.BDP("!!034ZTN Mtge","ID_CUSIP")</f>
        <v>3136BK7M8</v>
      </c>
      <c r="B1418" t="str">
        <f>_xll.BDP("!!034ZTN Mtge","SECURITY_NAME")</f>
        <v>FNR 2022-6 IJ</v>
      </c>
      <c r="C1418" t="str">
        <f>_xll.BDP("!!034ZTN Mtge","GENERIC_TICKER_VINTAGE")</f>
        <v>FNCL 3 2021</v>
      </c>
      <c r="D1418" t="str">
        <f>_xll.BDP("!!034ZTN Mtge","CRNCY")</f>
        <v>USD</v>
      </c>
      <c r="E1418">
        <v>38712820</v>
      </c>
      <c r="F1418">
        <f>_xll.BDP("!!034ZTN Mtge","CPN")</f>
        <v>3</v>
      </c>
      <c r="G1418">
        <f>_xll.BDP("!!034ZTN Mtge","MTG_FACTOR")</f>
        <v>0.70004297999999998</v>
      </c>
      <c r="H1418">
        <f>_xll.BDP("!!034ZTN Mtge","MTG_WAL")</f>
        <v>6.3784999999999998</v>
      </c>
      <c r="I1418">
        <f>_xll.BDP("!!034ZTN Mtge","MTG_ORIG_WAL")</f>
        <v>4.4000000000000004</v>
      </c>
    </row>
    <row r="1419" spans="1:9" x14ac:dyDescent="0.25">
      <c r="A1419" t="str">
        <f>_xll.BDP("!!03505W Mtge","ID_CUSIP")</f>
        <v>3136BLXP0</v>
      </c>
      <c r="B1419" t="str">
        <f>_xll.BDP("!!03505W Mtge","SECURITY_NAME")</f>
        <v>FNR 2022-4 JF</v>
      </c>
      <c r="C1419" t="str">
        <f>_xll.BDP("!!03505W Mtge","GENERIC_TICKER_VINTAGE")</f>
        <v>FNCL 3 2021</v>
      </c>
      <c r="D1419" t="str">
        <f>_xll.BDP("!!03505W Mtge","CRNCY")</f>
        <v>USD</v>
      </c>
      <c r="E1419">
        <v>4902750</v>
      </c>
      <c r="F1419">
        <f>_xll.BDP("!!03505W Mtge","CPN")</f>
        <v>4</v>
      </c>
      <c r="G1419">
        <f>_xll.BDP("!!03505W Mtge","MTG_FACTOR")</f>
        <v>0.94340877999999995</v>
      </c>
      <c r="H1419">
        <f>_xll.BDP("!!03505W Mtge","MTG_WAL")</f>
        <v>12.075699999999999</v>
      </c>
      <c r="I1419">
        <f>_xll.BDP("!!03505W Mtge","MTG_ORIG_WAL")</f>
        <v>11.4</v>
      </c>
    </row>
    <row r="1420" spans="1:9" x14ac:dyDescent="0.25">
      <c r="A1420" t="str">
        <f>_xll.BDP("!!0350D4 Mtge","ID_CUSIP")</f>
        <v>3137H5ZF7</v>
      </c>
      <c r="B1420" t="str">
        <f>_xll.BDP("!!0350D4 Mtge","SECURITY_NAME")</f>
        <v>FHR 5202 AZ</v>
      </c>
      <c r="C1420" t="str">
        <f>_xll.BDP("!!0350D4 Mtge","GENERIC_TICKER_VINTAGE")</f>
        <v>FNCL 3 2021</v>
      </c>
      <c r="D1420" t="str">
        <f>_xll.BDP("!!0350D4 Mtge","CRNCY")</f>
        <v>USD</v>
      </c>
      <c r="E1420">
        <v>13530618</v>
      </c>
      <c r="F1420">
        <f>_xll.BDP("!!0350D4 Mtge","CPN")</f>
        <v>3</v>
      </c>
      <c r="G1420">
        <f>_xll.BDP("!!0350D4 Mtge","MTG_FACTOR")</f>
        <v>1.13014634</v>
      </c>
      <c r="H1420">
        <f>_xll.BDP("!!0350D4 Mtge","MTG_WAL")</f>
        <v>16.805800000000001</v>
      </c>
      <c r="I1420">
        <f>_xll.BDP("!!0350D4 Mtge","MTG_ORIG_WAL")</f>
        <v>16.899999999999999</v>
      </c>
    </row>
    <row r="1421" spans="1:9" x14ac:dyDescent="0.25">
      <c r="A1421" t="str">
        <f>_xll.BDP("!!0350YG Mtge","ID_CUSIP")</f>
        <v>3137H5N52</v>
      </c>
      <c r="B1421" t="str">
        <f>_xll.BDP("!!0350YG Mtge","SECURITY_NAME")</f>
        <v>FHR 5191 IJ</v>
      </c>
      <c r="C1421" t="str">
        <f>_xll.BDP("!!0350YG Mtge","GENERIC_TICKER_VINTAGE")</f>
        <v>FNCL 3 2021</v>
      </c>
      <c r="D1421" t="str">
        <f>_xll.BDP("!!0350YG Mtge","CRNCY")</f>
        <v>USD</v>
      </c>
      <c r="E1421">
        <v>61709582</v>
      </c>
      <c r="F1421">
        <f>_xll.BDP("!!0350YG Mtge","CPN")</f>
        <v>3</v>
      </c>
      <c r="G1421">
        <f>_xll.BDP("!!0350YG Mtge","MTG_FACTOR")</f>
        <v>0.60759246</v>
      </c>
      <c r="H1421">
        <f>_xll.BDP("!!0350YG Mtge","MTG_WAL")</f>
        <v>4.5597000000000003</v>
      </c>
      <c r="I1421">
        <f>_xll.BDP("!!0350YG Mtge","MTG_ORIG_WAL")</f>
        <v>3.2</v>
      </c>
    </row>
    <row r="1422" spans="1:9" x14ac:dyDescent="0.25">
      <c r="A1422" t="str">
        <f>_xll.BDP("!!0350Z2 Mtge","ID_CUSIP")</f>
        <v>3137H5PD3</v>
      </c>
      <c r="B1422" t="str">
        <f>_xll.BDP("!!0350Z2 Mtge","SECURITY_NAME")</f>
        <v>FHR 5191 SC</v>
      </c>
      <c r="C1422" t="str">
        <f>_xll.BDP("!!0350Z2 Mtge","GENERIC_TICKER_VINTAGE")</f>
        <v>FNCL 3 2021</v>
      </c>
      <c r="D1422" t="str">
        <f>_xll.BDP("!!0350Z2 Mtge","CRNCY")</f>
        <v>USD</v>
      </c>
      <c r="E1422">
        <v>37910316</v>
      </c>
      <c r="F1422">
        <f>_xll.BDP("!!0350Z2 Mtge","CPN")</f>
        <v>0</v>
      </c>
      <c r="G1422">
        <f>_xll.BDP("!!0350Z2 Mtge","MTG_FACTOR")</f>
        <v>0.70438705000000001</v>
      </c>
      <c r="H1422">
        <f>_xll.BDP("!!0350Z2 Mtge","MTG_WAL")</f>
        <v>8.298</v>
      </c>
      <c r="I1422">
        <f>_xll.BDP("!!0350Z2 Mtge","MTG_ORIG_WAL")</f>
        <v>5.6</v>
      </c>
    </row>
    <row r="1423" spans="1:9" x14ac:dyDescent="0.25">
      <c r="A1423" t="str">
        <f>_xll.BDP("!!0351WM Mtge","ID_CUSIP")</f>
        <v>3137H6EQ4</v>
      </c>
      <c r="B1423" t="str">
        <f>_xll.BDP("!!0351WM Mtge","SECURITY_NAME")</f>
        <v>FHR 5200 MA</v>
      </c>
      <c r="C1423" t="str">
        <f>_xll.BDP("!!0351WM Mtge","GENERIC_TICKER_VINTAGE")</f>
        <v>FNCL 3 2021</v>
      </c>
      <c r="D1423" t="str">
        <f>_xll.BDP("!!0351WM Mtge","CRNCY")</f>
        <v>USD</v>
      </c>
      <c r="E1423">
        <v>60533000</v>
      </c>
      <c r="F1423">
        <f>_xll.BDP("!!0351WM Mtge","CPN")</f>
        <v>2.5</v>
      </c>
      <c r="G1423">
        <f>_xll.BDP("!!0351WM Mtge","MTG_FACTOR")</f>
        <v>0.60793207999999999</v>
      </c>
      <c r="H1423">
        <f>_xll.BDP("!!0351WM Mtge","MTG_WAL")</f>
        <v>4.5998999999999999</v>
      </c>
      <c r="I1423">
        <f>_xll.BDP("!!0351WM Mtge","MTG_ORIG_WAL")</f>
        <v>4.7</v>
      </c>
    </row>
    <row r="1424" spans="1:9" x14ac:dyDescent="0.25">
      <c r="A1424" t="str">
        <f>_xll.BDP("!!0351WN Mtge","ID_CUSIP")</f>
        <v>3137H6F59</v>
      </c>
      <c r="B1424" t="str">
        <f>_xll.BDP("!!0351WN Mtge","SECURITY_NAME")</f>
        <v>FHR 5200 MV</v>
      </c>
      <c r="C1424" t="str">
        <f>_xll.BDP("!!0351WN Mtge","GENERIC_TICKER_VINTAGE")</f>
        <v>FNCL 3 2021</v>
      </c>
      <c r="D1424" t="str">
        <f>_xll.BDP("!!0351WN Mtge","CRNCY")</f>
        <v>USD</v>
      </c>
      <c r="E1424">
        <v>4176000</v>
      </c>
      <c r="F1424">
        <f>_xll.BDP("!!0351WN Mtge","CPN")</f>
        <v>2.5</v>
      </c>
      <c r="G1424">
        <f>_xll.BDP("!!0351WN Mtge","MTG_FACTOR")</f>
        <v>0.67355465000000003</v>
      </c>
      <c r="H1424">
        <f>_xll.BDP("!!0351WN Mtge","MTG_WAL")</f>
        <v>3.8256999999999999</v>
      </c>
      <c r="I1424">
        <f>_xll.BDP("!!0351WN Mtge","MTG_ORIG_WAL")</f>
        <v>6</v>
      </c>
    </row>
    <row r="1425" spans="1:9" x14ac:dyDescent="0.25">
      <c r="A1425" t="str">
        <f>_xll.BDP("!!0351WP Mtge","ID_CUSIP")</f>
        <v>3137H6F75</v>
      </c>
      <c r="B1425" t="str">
        <f>_xll.BDP("!!0351WP Mtge","SECURITY_NAME")</f>
        <v>FHR 5200 MZ</v>
      </c>
      <c r="C1425" t="str">
        <f>_xll.BDP("!!0351WP Mtge","GENERIC_TICKER_VINTAGE")</f>
        <v>FNCL 3 2021</v>
      </c>
      <c r="D1425" t="str">
        <f>_xll.BDP("!!0351WP Mtge","CRNCY")</f>
        <v>USD</v>
      </c>
      <c r="E1425">
        <v>12698017</v>
      </c>
      <c r="F1425">
        <f>_xll.BDP("!!0351WP Mtge","CPN")</f>
        <v>2.5</v>
      </c>
      <c r="G1425">
        <f>_xll.BDP("!!0351WP Mtge","MTG_FACTOR")</f>
        <v>1.10735816</v>
      </c>
      <c r="H1425">
        <f>_xll.BDP("!!0351WP Mtge","MTG_WAL")</f>
        <v>16.279599999999999</v>
      </c>
      <c r="I1425">
        <f>_xll.BDP("!!0351WP Mtge","MTG_ORIG_WAL")</f>
        <v>16.2</v>
      </c>
    </row>
    <row r="1426" spans="1:9" x14ac:dyDescent="0.25">
      <c r="A1426" t="str">
        <f>_xll.BDP("!!0351WX Mtge","ID_CUSIP")</f>
        <v>3137H6EU5</v>
      </c>
      <c r="B1426" t="str">
        <f>_xll.BDP("!!0351WX Mtge","SECURITY_NAME")</f>
        <v>FHR 5200 ME</v>
      </c>
      <c r="C1426" t="str">
        <f>_xll.BDP("!!0351WX Mtge","GENERIC_TICKER_VINTAGE")</f>
        <v>FNCL 3 2021</v>
      </c>
      <c r="D1426" t="str">
        <f>_xll.BDP("!!0351WX Mtge","CRNCY")</f>
        <v>USD</v>
      </c>
      <c r="E1426">
        <v>60533000</v>
      </c>
      <c r="F1426">
        <f>_xll.BDP("!!0351WX Mtge","CPN")</f>
        <v>1.75</v>
      </c>
      <c r="G1426">
        <f>_xll.BDP("!!0351WX Mtge","MTG_FACTOR")</f>
        <v>0.60793207999999999</v>
      </c>
      <c r="H1426">
        <f>_xll.BDP("!!0351WX Mtge","MTG_WAL")</f>
        <v>4.5998999999999999</v>
      </c>
      <c r="I1426">
        <f>_xll.BDP("!!0351WX Mtge","MTG_ORIG_WAL")</f>
        <v>4.7</v>
      </c>
    </row>
    <row r="1427" spans="1:9" x14ac:dyDescent="0.25">
      <c r="A1427" t="str">
        <f>_xll.BDP("!!0351X1 Mtge","ID_CUSIP")</f>
        <v>3137H6EY7</v>
      </c>
      <c r="B1427" t="str">
        <f>_xll.BDP("!!0351X1 Mtge","SECURITY_NAME")</f>
        <v>FHR 5200 MK</v>
      </c>
      <c r="C1427" t="str">
        <f>_xll.BDP("!!0351X1 Mtge","GENERIC_TICKER_VINTAGE")</f>
        <v>FNCL 3 2021</v>
      </c>
      <c r="D1427" t="str">
        <f>_xll.BDP("!!0351X1 Mtge","CRNCY")</f>
        <v>USD</v>
      </c>
      <c r="E1427">
        <v>51885428</v>
      </c>
      <c r="F1427">
        <f>_xll.BDP("!!0351X1 Mtge","CPN")</f>
        <v>2.75</v>
      </c>
      <c r="G1427">
        <f>_xll.BDP("!!0351X1 Mtge","MTG_FACTOR")</f>
        <v>0.60793207999999999</v>
      </c>
      <c r="H1427">
        <f>_xll.BDP("!!0351X1 Mtge","MTG_WAL")</f>
        <v>4.5998999999999999</v>
      </c>
      <c r="I1427">
        <f>_xll.BDP("!!0351X1 Mtge","MTG_ORIG_WAL")</f>
        <v>4.7</v>
      </c>
    </row>
    <row r="1428" spans="1:9" x14ac:dyDescent="0.25">
      <c r="A1428" t="str">
        <f>_xll.BDP("!!035228 Mtge","ID_CUSIP")</f>
        <v>3136BMDD7</v>
      </c>
      <c r="B1428" t="str">
        <f>_xll.BDP("!!035228 Mtge","SECURITY_NAME")</f>
        <v>FNR 2022-12 GD</v>
      </c>
      <c r="C1428" t="str">
        <f>_xll.BDP("!!035228 Mtge","GENERIC_TICKER_VINTAGE")</f>
        <v>FNCL 3 2021</v>
      </c>
      <c r="D1428" t="str">
        <f>_xll.BDP("!!035228 Mtge","CRNCY")</f>
        <v>USD</v>
      </c>
      <c r="E1428">
        <v>10000000</v>
      </c>
      <c r="F1428">
        <f>_xll.BDP("!!035228 Mtge","CPN")</f>
        <v>2.25</v>
      </c>
      <c r="G1428">
        <f>_xll.BDP("!!035228 Mtge","MTG_FACTOR")</f>
        <v>0.61799274000000004</v>
      </c>
      <c r="H1428">
        <f>_xll.BDP("!!035228 Mtge","MTG_WAL")</f>
        <v>4.0034999999999998</v>
      </c>
      <c r="I1428">
        <f>_xll.BDP("!!035228 Mtge","MTG_ORIG_WAL")</f>
        <v>3.2</v>
      </c>
    </row>
    <row r="1429" spans="1:9" x14ac:dyDescent="0.25">
      <c r="A1429" t="str">
        <f>_xll.BDP("!!0352YX Mtge","ID_CUSIP")</f>
        <v>3137H62Y0</v>
      </c>
      <c r="B1429" t="str">
        <f>_xll.BDP("!!0352YX Mtge","SECURITY_NAME")</f>
        <v>FHR 5202 NA</v>
      </c>
      <c r="C1429" t="str">
        <f>_xll.BDP("!!0352YX Mtge","GENERIC_TICKER_VINTAGE")</f>
        <v>FNCL 3 2021</v>
      </c>
      <c r="D1429" t="str">
        <f>_xll.BDP("!!0352YX Mtge","CRNCY")</f>
        <v>USD</v>
      </c>
      <c r="E1429">
        <v>48516000</v>
      </c>
      <c r="F1429">
        <f>_xll.BDP("!!0352YX Mtge","CPN")</f>
        <v>2</v>
      </c>
      <c r="G1429">
        <f>_xll.BDP("!!0352YX Mtge","MTG_FACTOR")</f>
        <v>0.71273346999999998</v>
      </c>
      <c r="H1429">
        <f>_xll.BDP("!!0352YX Mtge","MTG_WAL")</f>
        <v>3.8037999999999998</v>
      </c>
      <c r="I1429">
        <f>_xll.BDP("!!0352YX Mtge","MTG_ORIG_WAL")</f>
        <v>3.6</v>
      </c>
    </row>
    <row r="1430" spans="1:9" x14ac:dyDescent="0.25">
      <c r="A1430" t="str">
        <f>_xll.BDP("!!0352YY Mtge","ID_CUSIP")</f>
        <v>3137H63C7</v>
      </c>
      <c r="B1430" t="str">
        <f>_xll.BDP("!!0352YY Mtge","SECURITY_NAME")</f>
        <v>FHR 5202 NI</v>
      </c>
      <c r="C1430" t="str">
        <f>_xll.BDP("!!0352YY Mtge","GENERIC_TICKER_VINTAGE")</f>
        <v>FNCL 3 2021</v>
      </c>
      <c r="D1430" t="str">
        <f>_xll.BDP("!!0352YY Mtge","CRNCY")</f>
        <v>USD</v>
      </c>
      <c r="E1430">
        <v>16172000</v>
      </c>
      <c r="F1430">
        <f>_xll.BDP("!!0352YY Mtge","CPN")</f>
        <v>3</v>
      </c>
      <c r="G1430">
        <f>_xll.BDP("!!0352YY Mtge","MTG_FACTOR")</f>
        <v>0.71273346999999998</v>
      </c>
      <c r="H1430">
        <f>_xll.BDP("!!0352YY Mtge","MTG_WAL")</f>
        <v>3.8037999999999998</v>
      </c>
      <c r="I1430">
        <f>_xll.BDP("!!0352YY Mtge","MTG_ORIG_WAL")</f>
        <v>3.6</v>
      </c>
    </row>
    <row r="1431" spans="1:9" x14ac:dyDescent="0.25">
      <c r="A1431" t="str">
        <f>_xll.BDP("!!0352YZ Mtge","ID_CUSIP")</f>
        <v>3137H63G8</v>
      </c>
      <c r="B1431" t="str">
        <f>_xll.BDP("!!0352YZ Mtge","SECURITY_NAME")</f>
        <v>FHR 5202 NV</v>
      </c>
      <c r="C1431" t="str">
        <f>_xll.BDP("!!0352YZ Mtge","GENERIC_TICKER_VINTAGE")</f>
        <v>FNCL 3 2021</v>
      </c>
      <c r="D1431" t="str">
        <f>_xll.BDP("!!0352YZ Mtge","CRNCY")</f>
        <v>USD</v>
      </c>
      <c r="E1431">
        <v>8441000</v>
      </c>
      <c r="F1431">
        <f>_xll.BDP("!!0352YZ Mtge","CPN")</f>
        <v>3</v>
      </c>
      <c r="G1431">
        <f>_xll.BDP("!!0352YZ Mtge","MTG_FACTOR")</f>
        <v>0.76751108000000001</v>
      </c>
      <c r="H1431">
        <f>_xll.BDP("!!0352YZ Mtge","MTG_WAL")</f>
        <v>5.5088999999999997</v>
      </c>
      <c r="I1431">
        <f>_xll.BDP("!!0352YZ Mtge","MTG_ORIG_WAL")</f>
        <v>6.4</v>
      </c>
    </row>
    <row r="1432" spans="1:9" x14ac:dyDescent="0.25">
      <c r="A1432" t="str">
        <f>_xll.BDP("!!0352Z0 Mtge","ID_CUSIP")</f>
        <v>3137H63H6</v>
      </c>
      <c r="B1432" t="str">
        <f>_xll.BDP("!!0352Z0 Mtge","SECURITY_NAME")</f>
        <v>FHR 5202 NZ</v>
      </c>
      <c r="C1432" t="str">
        <f>_xll.BDP("!!0352Z0 Mtge","GENERIC_TICKER_VINTAGE")</f>
        <v>FNCL 3 2021</v>
      </c>
      <c r="D1432" t="str">
        <f>_xll.BDP("!!0352Z0 Mtge","CRNCY")</f>
        <v>USD</v>
      </c>
      <c r="E1432">
        <v>15078710</v>
      </c>
      <c r="F1432">
        <f>_xll.BDP("!!0352Z0 Mtge","CPN")</f>
        <v>3</v>
      </c>
      <c r="G1432">
        <f>_xll.BDP("!!0352Z0 Mtge","MTG_FACTOR")</f>
        <v>1.13014634</v>
      </c>
      <c r="H1432">
        <f>_xll.BDP("!!0352Z0 Mtge","MTG_WAL")</f>
        <v>15.005800000000001</v>
      </c>
      <c r="I1432">
        <f>_xll.BDP("!!0352Z0 Mtge","MTG_ORIG_WAL")</f>
        <v>14.4</v>
      </c>
    </row>
    <row r="1433" spans="1:9" x14ac:dyDescent="0.25">
      <c r="A1433" t="str">
        <f>_xll.BDP("!!0352ZD Mtge","ID_CUSIP")</f>
        <v>3136BL3J7</v>
      </c>
      <c r="B1433" t="str">
        <f>_xll.BDP("!!0352ZD Mtge","SECURITY_NAME")</f>
        <v>FNR 2022-10 A</v>
      </c>
      <c r="C1433" t="str">
        <f>_xll.BDP("!!0352ZD Mtge","GENERIC_TICKER_VINTAGE")</f>
        <v>FNCL 3 2021</v>
      </c>
      <c r="D1433" t="str">
        <f>_xll.BDP("!!0352ZD Mtge","CRNCY")</f>
        <v>USD</v>
      </c>
      <c r="E1433">
        <v>141453469</v>
      </c>
      <c r="F1433">
        <f>_xll.BDP("!!0352ZD Mtge","CPN")</f>
        <v>2.5</v>
      </c>
      <c r="G1433">
        <f>_xll.BDP("!!0352ZD Mtge","MTG_FACTOR")</f>
        <v>0.67953300000000005</v>
      </c>
      <c r="H1433">
        <f>_xll.BDP("!!0352ZD Mtge","MTG_WAL")</f>
        <v>4.1292999999999997</v>
      </c>
      <c r="I1433">
        <f>_xll.BDP("!!0352ZD Mtge","MTG_ORIG_WAL")</f>
        <v>5.6</v>
      </c>
    </row>
    <row r="1434" spans="1:9" x14ac:dyDescent="0.25">
      <c r="A1434" t="str">
        <f>_xll.BDP("!!035312 Mtge","ID_CUSIP")</f>
        <v>3137H6AA3</v>
      </c>
      <c r="B1434" t="str">
        <f>_xll.BDP("!!035312 Mtge","SECURITY_NAME")</f>
        <v>FHR 5205 Q</v>
      </c>
      <c r="C1434" t="str">
        <f>_xll.BDP("!!035312 Mtge","GENERIC_TICKER_VINTAGE")</f>
        <v>FNCL 3 2021</v>
      </c>
      <c r="D1434" t="str">
        <f>_xll.BDP("!!035312 Mtge","CRNCY")</f>
        <v>USD</v>
      </c>
      <c r="E1434">
        <v>75000000</v>
      </c>
      <c r="F1434">
        <f>_xll.BDP("!!035312 Mtge","CPN")</f>
        <v>3</v>
      </c>
      <c r="G1434">
        <f>_xll.BDP("!!035312 Mtge","MTG_FACTOR")</f>
        <v>0.54683999000000005</v>
      </c>
      <c r="H1434">
        <f>_xll.BDP("!!035312 Mtge","MTG_WAL")</f>
        <v>4.4881000000000002</v>
      </c>
      <c r="I1434">
        <f>_xll.BDP("!!035312 Mtge","MTG_ORIG_WAL")</f>
        <v>4.8</v>
      </c>
    </row>
    <row r="1435" spans="1:9" x14ac:dyDescent="0.25">
      <c r="A1435" t="str">
        <f>_xll.BDP("!!035313 Mtge","ID_CUSIP")</f>
        <v>3137H6AN5</v>
      </c>
      <c r="B1435" t="str">
        <f>_xll.BDP("!!035313 Mtge","SECURITY_NAME")</f>
        <v>FHR 5205 YQ</v>
      </c>
      <c r="C1435" t="str">
        <f>_xll.BDP("!!035313 Mtge","GENERIC_TICKER_VINTAGE")</f>
        <v>FNCL 3 2021</v>
      </c>
      <c r="D1435" t="str">
        <f>_xll.BDP("!!035313 Mtge","CRNCY")</f>
        <v>USD</v>
      </c>
      <c r="E1435">
        <v>20553867</v>
      </c>
      <c r="F1435">
        <f>_xll.BDP("!!035313 Mtge","CPN")</f>
        <v>3</v>
      </c>
      <c r="G1435">
        <f>_xll.BDP("!!035313 Mtge","MTG_FACTOR")</f>
        <v>1</v>
      </c>
      <c r="H1435">
        <f>_xll.BDP("!!035313 Mtge","MTG_WAL")</f>
        <v>16.1386</v>
      </c>
      <c r="I1435">
        <f>_xll.BDP("!!035313 Mtge","MTG_ORIG_WAL")</f>
        <v>16.8</v>
      </c>
    </row>
    <row r="1436" spans="1:9" x14ac:dyDescent="0.25">
      <c r="A1436" t="str">
        <f>_xll.BDP("!!03539P Mtge","ID_CUSIP")</f>
        <v>3137H67J8</v>
      </c>
      <c r="B1436" t="str">
        <f>_xll.BDP("!!03539P Mtge","SECURITY_NAME")</f>
        <v>FHR 5205 KG</v>
      </c>
      <c r="C1436" t="str">
        <f>_xll.BDP("!!03539P Mtge","GENERIC_TICKER_VINTAGE")</f>
        <v>FNCL 3 2021</v>
      </c>
      <c r="D1436" t="str">
        <f>_xll.BDP("!!03539P Mtge","CRNCY")</f>
        <v>USD</v>
      </c>
      <c r="E1436">
        <v>100000000</v>
      </c>
      <c r="F1436">
        <f>_xll.BDP("!!03539P Mtge","CPN")</f>
        <v>2.25</v>
      </c>
      <c r="G1436">
        <f>_xll.BDP("!!03539P Mtge","MTG_FACTOR")</f>
        <v>0.54410082000000004</v>
      </c>
      <c r="H1436">
        <f>_xll.BDP("!!03539P Mtge","MTG_WAL")</f>
        <v>4.5518999999999998</v>
      </c>
      <c r="I1436">
        <f>_xll.BDP("!!03539P Mtge","MTG_ORIG_WAL")</f>
        <v>4.8</v>
      </c>
    </row>
    <row r="1437" spans="1:9" x14ac:dyDescent="0.25">
      <c r="A1437" t="str">
        <f>_xll.BDP("!!0353B9 Mtge","ID_CUSIP")</f>
        <v>3137H62C8</v>
      </c>
      <c r="B1437" t="str">
        <f>_xll.BDP("!!0353B9 Mtge","SECURITY_NAME")</f>
        <v>FHR 5202 GA</v>
      </c>
      <c r="C1437" t="str">
        <f>_xll.BDP("!!0353B9 Mtge","GENERIC_TICKER_VINTAGE")</f>
        <v>FNCL 3 2021</v>
      </c>
      <c r="D1437" t="str">
        <f>_xll.BDP("!!0353B9 Mtge","CRNCY")</f>
        <v>USD</v>
      </c>
      <c r="E1437">
        <v>100078000</v>
      </c>
      <c r="F1437">
        <f>_xll.BDP("!!0353B9 Mtge","CPN")</f>
        <v>3</v>
      </c>
      <c r="G1437">
        <f>_xll.BDP("!!0353B9 Mtge","MTG_FACTOR")</f>
        <v>0.66054935000000004</v>
      </c>
      <c r="H1437">
        <f>_xll.BDP("!!0353B9 Mtge","MTG_WAL")</f>
        <v>4.6543000000000001</v>
      </c>
      <c r="I1437">
        <f>_xll.BDP("!!0353B9 Mtge","MTG_ORIG_WAL")</f>
        <v>4.7</v>
      </c>
    </row>
    <row r="1438" spans="1:9" x14ac:dyDescent="0.25">
      <c r="A1438" t="str">
        <f>_xll.BDP("!!0353BB Mtge","ID_CUSIP")</f>
        <v>3137H62E4</v>
      </c>
      <c r="B1438" t="str">
        <f>_xll.BDP("!!0353BB Mtge","SECURITY_NAME")</f>
        <v>FHR 5202 GV</v>
      </c>
      <c r="C1438" t="str">
        <f>_xll.BDP("!!0353BB Mtge","GENERIC_TICKER_VINTAGE")</f>
        <v>FNCL 3 2021</v>
      </c>
      <c r="D1438" t="str">
        <f>_xll.BDP("!!0353BB Mtge","CRNCY")</f>
        <v>USD</v>
      </c>
      <c r="E1438">
        <v>9953000</v>
      </c>
      <c r="F1438">
        <f>_xll.BDP("!!0353BB Mtge","CPN")</f>
        <v>3</v>
      </c>
      <c r="G1438">
        <f>_xll.BDP("!!0353BB Mtge","MTG_FACTOR")</f>
        <v>0.72856849000000001</v>
      </c>
      <c r="H1438">
        <f>_xll.BDP("!!0353BB Mtge","MTG_WAL")</f>
        <v>4.7601000000000004</v>
      </c>
      <c r="I1438">
        <f>_xll.BDP("!!0353BB Mtge","MTG_ORIG_WAL")</f>
        <v>6.7</v>
      </c>
    </row>
    <row r="1439" spans="1:9" x14ac:dyDescent="0.25">
      <c r="A1439" t="str">
        <f>_xll.BDP("!!03544B Mtge","ID_CUSIP")</f>
        <v>3137H6FU4</v>
      </c>
      <c r="B1439" t="str">
        <f>_xll.BDP("!!03544B Mtge","SECURITY_NAME")</f>
        <v>FHR 5200 YA</v>
      </c>
      <c r="C1439" t="str">
        <f>_xll.BDP("!!03544B Mtge","GENERIC_TICKER_VINTAGE")</f>
        <v>FNCL 3 2021</v>
      </c>
      <c r="D1439" t="str">
        <f>_xll.BDP("!!03544B Mtge","CRNCY")</f>
        <v>USD</v>
      </c>
      <c r="E1439">
        <v>34811000</v>
      </c>
      <c r="F1439">
        <f>_xll.BDP("!!03544B Mtge","CPN")</f>
        <v>2.5</v>
      </c>
      <c r="G1439">
        <f>_xll.BDP("!!03544B Mtge","MTG_FACTOR")</f>
        <v>0.65681723999999997</v>
      </c>
      <c r="H1439">
        <f>_xll.BDP("!!03544B Mtge","MTG_WAL")</f>
        <v>3.5030000000000001</v>
      </c>
      <c r="I1439">
        <f>_xll.BDP("!!03544B Mtge","MTG_ORIG_WAL")</f>
        <v>3.8</v>
      </c>
    </row>
    <row r="1440" spans="1:9" x14ac:dyDescent="0.25">
      <c r="A1440" t="str">
        <f>_xll.BDP("!!0354CL Mtge","ID_CUSIP")</f>
        <v>3136BL3V0</v>
      </c>
      <c r="B1440" t="str">
        <f>_xll.BDP("!!0354CL Mtge","SECURITY_NAME")</f>
        <v>FNR 2022-10 D</v>
      </c>
      <c r="C1440" t="str">
        <f>_xll.BDP("!!0354CL Mtge","GENERIC_TICKER_VINTAGE")</f>
        <v>FNCL 3 2021</v>
      </c>
      <c r="D1440" t="str">
        <f>_xll.BDP("!!0354CL Mtge","CRNCY")</f>
        <v>USD</v>
      </c>
      <c r="E1440">
        <v>53606863</v>
      </c>
      <c r="F1440">
        <f>_xll.BDP("!!0354CL Mtge","CPN")</f>
        <v>3</v>
      </c>
      <c r="G1440">
        <f>_xll.BDP("!!0354CL Mtge","MTG_FACTOR")</f>
        <v>0.66039722000000001</v>
      </c>
      <c r="H1440">
        <f>_xll.BDP("!!0354CL Mtge","MTG_WAL")</f>
        <v>7.0053999999999998</v>
      </c>
      <c r="I1440">
        <f>_xll.BDP("!!0354CL Mtge","MTG_ORIG_WAL")</f>
        <v>5.8</v>
      </c>
    </row>
    <row r="1441" spans="1:9" x14ac:dyDescent="0.25">
      <c r="A1441" t="str">
        <f>_xll.BDP("!!0354CM Mtge","ID_CUSIP")</f>
        <v>3136BL3W8</v>
      </c>
      <c r="B1441" t="str">
        <f>_xll.BDP("!!0354CM Mtge","SECURITY_NAME")</f>
        <v>FNR 2022-10 DZ</v>
      </c>
      <c r="C1441" t="str">
        <f>_xll.BDP("!!0354CM Mtge","GENERIC_TICKER_VINTAGE")</f>
        <v>FNCL 3 2021</v>
      </c>
      <c r="D1441" t="str">
        <f>_xll.BDP("!!0354CM Mtge","CRNCY")</f>
        <v>USD</v>
      </c>
      <c r="E1441">
        <v>1962079</v>
      </c>
      <c r="F1441">
        <f>_xll.BDP("!!0354CM Mtge","CPN")</f>
        <v>3</v>
      </c>
      <c r="G1441">
        <f>_xll.BDP("!!0354CM Mtge","MTG_FACTOR")</f>
        <v>1.13014634</v>
      </c>
      <c r="H1441">
        <f>_xll.BDP("!!0354CM Mtge","MTG_WAL")</f>
        <v>21.187799999999999</v>
      </c>
      <c r="I1441">
        <f>_xll.BDP("!!0354CM Mtge","MTG_ORIG_WAL")</f>
        <v>21</v>
      </c>
    </row>
    <row r="1442" spans="1:9" x14ac:dyDescent="0.25">
      <c r="A1442" t="str">
        <f>_xll.BDP("!!0354FB Mtge","ID_CUSIP")</f>
        <v>3137H5ZU4</v>
      </c>
      <c r="B1442" t="str">
        <f>_xll.BDP("!!0354FB Mtge","SECURITY_NAME")</f>
        <v>FHR 5202 DA</v>
      </c>
      <c r="C1442" t="str">
        <f>_xll.BDP("!!0354FB Mtge","GENERIC_TICKER_VINTAGE")</f>
        <v>FNCL 3 2021</v>
      </c>
      <c r="D1442" t="str">
        <f>_xll.BDP("!!0354FB Mtge","CRNCY")</f>
        <v>USD</v>
      </c>
      <c r="E1442">
        <v>50000000</v>
      </c>
      <c r="F1442">
        <f>_xll.BDP("!!0354FB Mtge","CPN")</f>
        <v>3</v>
      </c>
      <c r="G1442">
        <f>_xll.BDP("!!0354FB Mtge","MTG_FACTOR")</f>
        <v>0.63673396999999998</v>
      </c>
      <c r="H1442">
        <f>_xll.BDP("!!0354FB Mtge","MTG_WAL")</f>
        <v>6.5861999999999998</v>
      </c>
      <c r="I1442">
        <f>_xll.BDP("!!0354FB Mtge","MTG_ORIG_WAL")</f>
        <v>5.7</v>
      </c>
    </row>
    <row r="1443" spans="1:9" x14ac:dyDescent="0.25">
      <c r="A1443" t="str">
        <f>_xll.BDP("!!0354G7 Mtge","ID_CUSIP")</f>
        <v>3137H6AP0</v>
      </c>
      <c r="B1443" t="str">
        <f>_xll.BDP("!!0354G7 Mtge","SECURITY_NAME")</f>
        <v>FHR 5205 Z</v>
      </c>
      <c r="C1443" t="str">
        <f>_xll.BDP("!!0354G7 Mtge","GENERIC_TICKER_VINTAGE")</f>
        <v>FNCL 3 2021</v>
      </c>
      <c r="D1443" t="str">
        <f>_xll.BDP("!!0354G7 Mtge","CRNCY")</f>
        <v>USD</v>
      </c>
      <c r="E1443">
        <v>17666667</v>
      </c>
      <c r="F1443">
        <f>_xll.BDP("!!0354G7 Mtge","CPN")</f>
        <v>3</v>
      </c>
      <c r="G1443">
        <f>_xll.BDP("!!0354G7 Mtge","MTG_FACTOR")</f>
        <v>0.88369741000000002</v>
      </c>
      <c r="H1443">
        <f>_xll.BDP("!!0354G7 Mtge","MTG_WAL")</f>
        <v>14.5649</v>
      </c>
      <c r="I1443">
        <f>_xll.BDP("!!0354G7 Mtge","MTG_ORIG_WAL")</f>
        <v>11.2</v>
      </c>
    </row>
    <row r="1444" spans="1:9" x14ac:dyDescent="0.25">
      <c r="A1444" t="str">
        <f>_xll.BDP("!!0354GD Mtge","ID_CUSIP")</f>
        <v>3137H6A54</v>
      </c>
      <c r="B1444" t="str">
        <f>_xll.BDP("!!0354GD Mtge","SECURITY_NAME")</f>
        <v>FHR 5205 PE</v>
      </c>
      <c r="C1444" t="str">
        <f>_xll.BDP("!!0354GD Mtge","GENERIC_TICKER_VINTAGE")</f>
        <v>FNCL 3 2021</v>
      </c>
      <c r="D1444" t="str">
        <f>_xll.BDP("!!0354GD Mtge","CRNCY")</f>
        <v>USD</v>
      </c>
      <c r="E1444">
        <v>53000000</v>
      </c>
      <c r="F1444">
        <f>_xll.BDP("!!0354GD Mtge","CPN")</f>
        <v>2</v>
      </c>
      <c r="G1444">
        <f>_xll.BDP("!!0354GD Mtge","MTG_FACTOR")</f>
        <v>0.58112549000000002</v>
      </c>
      <c r="H1444">
        <f>_xll.BDP("!!0354GD Mtge","MTG_WAL")</f>
        <v>3.7726000000000002</v>
      </c>
      <c r="I1444">
        <f>_xll.BDP("!!0354GD Mtge","MTG_ORIG_WAL")</f>
        <v>3.6</v>
      </c>
    </row>
    <row r="1445" spans="1:9" x14ac:dyDescent="0.25">
      <c r="A1445" t="str">
        <f>_xll.BDP("!!03550W Mtge","ID_CUSIP")</f>
        <v>3137H6GB5</v>
      </c>
      <c r="B1445" t="str">
        <f>_xll.BDP("!!03550W Mtge","SECURITY_NAME")</f>
        <v>FHR 5200 JA</v>
      </c>
      <c r="C1445" t="str">
        <f>_xll.BDP("!!03550W Mtge","GENERIC_TICKER_VINTAGE")</f>
        <v>FNCL 3 2021</v>
      </c>
      <c r="D1445" t="str">
        <f>_xll.BDP("!!03550W Mtge","CRNCY")</f>
        <v>USD</v>
      </c>
      <c r="E1445">
        <v>54644161</v>
      </c>
      <c r="F1445">
        <f>_xll.BDP("!!03550W Mtge","CPN")</f>
        <v>2.5</v>
      </c>
      <c r="G1445">
        <f>_xll.BDP("!!03550W Mtge","MTG_FACTOR")</f>
        <v>0.71799992999999995</v>
      </c>
      <c r="H1445">
        <f>_xll.BDP("!!03550W Mtge","MTG_WAL")</f>
        <v>5.9598000000000004</v>
      </c>
      <c r="I1445">
        <f>_xll.BDP("!!03550W Mtge","MTG_ORIG_WAL")</f>
        <v>4.9000000000000004</v>
      </c>
    </row>
    <row r="1446" spans="1:9" x14ac:dyDescent="0.25">
      <c r="A1446" t="str">
        <f>_xll.BDP("!!03550X Mtge","ID_CUSIP")</f>
        <v>3137H6GD1</v>
      </c>
      <c r="B1446" t="str">
        <f>_xll.BDP("!!03550X Mtge","SECURITY_NAME")</f>
        <v>FHR 5200 JI</v>
      </c>
      <c r="C1446" t="str">
        <f>_xll.BDP("!!03550X Mtge","GENERIC_TICKER_VINTAGE")</f>
        <v>FNCL 3 2021</v>
      </c>
      <c r="D1446" t="str">
        <f>_xll.BDP("!!03550X Mtge","CRNCY")</f>
        <v>USD</v>
      </c>
      <c r="E1446">
        <v>9107360</v>
      </c>
      <c r="F1446">
        <f>_xll.BDP("!!03550X Mtge","CPN")</f>
        <v>3</v>
      </c>
      <c r="G1446">
        <f>_xll.BDP("!!03550X Mtge","MTG_FACTOR")</f>
        <v>0.71799992999999995</v>
      </c>
      <c r="H1446">
        <f>_xll.BDP("!!03550X Mtge","MTG_WAL")</f>
        <v>5.9598000000000004</v>
      </c>
      <c r="I1446">
        <f>_xll.BDP("!!03550X Mtge","MTG_ORIG_WAL")</f>
        <v>4.9000000000000004</v>
      </c>
    </row>
    <row r="1447" spans="1:9" x14ac:dyDescent="0.25">
      <c r="A1447" t="str">
        <f>_xll.BDP("!!03553R Mtge","ID_CUSIP")</f>
        <v>3137H6GJ8</v>
      </c>
      <c r="B1447" t="str">
        <f>_xll.BDP("!!03553R Mtge","SECURITY_NAME")</f>
        <v>FHR 5200 LJ</v>
      </c>
      <c r="C1447" t="str">
        <f>_xll.BDP("!!03553R Mtge","GENERIC_TICKER_VINTAGE")</f>
        <v>FNCL 3 2021</v>
      </c>
      <c r="D1447" t="str">
        <f>_xll.BDP("!!03553R Mtge","CRNCY")</f>
        <v>USD</v>
      </c>
      <c r="E1447">
        <v>92327127</v>
      </c>
      <c r="F1447">
        <f>_xll.BDP("!!03553R Mtge","CPN")</f>
        <v>3</v>
      </c>
      <c r="G1447">
        <f>_xll.BDP("!!03553R Mtge","MTG_FACTOR")</f>
        <v>0.64072477000000005</v>
      </c>
      <c r="H1447">
        <f>_xll.BDP("!!03553R Mtge","MTG_WAL")</f>
        <v>4.5888</v>
      </c>
      <c r="I1447">
        <f>_xll.BDP("!!03553R Mtge","MTG_ORIG_WAL")</f>
        <v>4.5</v>
      </c>
    </row>
    <row r="1448" spans="1:9" x14ac:dyDescent="0.25">
      <c r="A1448" t="str">
        <f>_xll.BDP("!!03562G Mtge","ID_CUSIP")</f>
        <v>3137H6DJ1</v>
      </c>
      <c r="B1448" t="str">
        <f>_xll.BDP("!!03562G Mtge","SECURITY_NAME")</f>
        <v>FHR 5200 GQ</v>
      </c>
      <c r="C1448" t="str">
        <f>_xll.BDP("!!03562G Mtge","GENERIC_TICKER_VINTAGE")</f>
        <v>FNCL 3 2021</v>
      </c>
      <c r="D1448" t="str">
        <f>_xll.BDP("!!03562G Mtge","CRNCY")</f>
        <v>USD</v>
      </c>
      <c r="E1448">
        <v>32428805</v>
      </c>
      <c r="F1448">
        <f>_xll.BDP("!!03562G Mtge","CPN")</f>
        <v>3</v>
      </c>
      <c r="G1448">
        <f>_xll.BDP("!!03562G Mtge","MTG_FACTOR")</f>
        <v>0.63239445999999999</v>
      </c>
      <c r="H1448">
        <f>_xll.BDP("!!03562G Mtge","MTG_WAL")</f>
        <v>4.5829000000000004</v>
      </c>
      <c r="I1448">
        <f>_xll.BDP("!!03562G Mtge","MTG_ORIG_WAL")</f>
        <v>4.5</v>
      </c>
    </row>
    <row r="1449" spans="1:9" x14ac:dyDescent="0.25">
      <c r="A1449" t="str">
        <f>_xll.BDP("!!035688 Mtge","ID_CUSIP")</f>
        <v>3136BL5J5</v>
      </c>
      <c r="B1449" t="str">
        <f>_xll.BDP("!!035688 Mtge","SECURITY_NAME")</f>
        <v>FNR 2022-13 IH</v>
      </c>
      <c r="C1449" t="str">
        <f>_xll.BDP("!!035688 Mtge","GENERIC_TICKER_VINTAGE")</f>
        <v>FNCL 3 2021</v>
      </c>
      <c r="D1449" t="str">
        <f>_xll.BDP("!!035688 Mtge","CRNCY")</f>
        <v>USD</v>
      </c>
      <c r="E1449">
        <v>19383605</v>
      </c>
      <c r="F1449">
        <f>_xll.BDP("!!035688 Mtge","CPN")</f>
        <v>3</v>
      </c>
      <c r="G1449">
        <f>_xll.BDP("!!035688 Mtge","MTG_FACTOR")</f>
        <v>0.66503298</v>
      </c>
      <c r="H1449">
        <f>_xll.BDP("!!035688 Mtge","MTG_WAL")</f>
        <v>6.5637999999999996</v>
      </c>
      <c r="I1449">
        <f>_xll.BDP("!!035688 Mtge","MTG_ORIG_WAL")</f>
        <v>6.3373799999999996</v>
      </c>
    </row>
    <row r="1450" spans="1:9" x14ac:dyDescent="0.25">
      <c r="A1450" t="str">
        <f>_xll.BDP("!!0356HM Mtge","ID_CUSIP")</f>
        <v>3137H65R2</v>
      </c>
      <c r="B1450" t="str">
        <f>_xll.BDP("!!0356HM Mtge","SECURITY_NAME")</f>
        <v>FHR 5201 LA</v>
      </c>
      <c r="C1450" t="str">
        <f>_xll.BDP("!!0356HM Mtge","GENERIC_TICKER_VINTAGE")</f>
        <v>FNCL 3 2021</v>
      </c>
      <c r="D1450" t="str">
        <f>_xll.BDP("!!0356HM Mtge","CRNCY")</f>
        <v>USD</v>
      </c>
      <c r="E1450">
        <v>27000000</v>
      </c>
      <c r="F1450">
        <f>_xll.BDP("!!0356HM Mtge","CPN")</f>
        <v>3</v>
      </c>
      <c r="G1450">
        <f>_xll.BDP("!!0356HM Mtge","MTG_FACTOR")</f>
        <v>0.57467088</v>
      </c>
      <c r="H1450">
        <f>_xll.BDP("!!0356HM Mtge","MTG_WAL")</f>
        <v>4.4168000000000003</v>
      </c>
      <c r="I1450">
        <f>_xll.BDP("!!0356HM Mtge","MTG_ORIG_WAL")</f>
        <v>4.7</v>
      </c>
    </row>
    <row r="1451" spans="1:9" x14ac:dyDescent="0.25">
      <c r="A1451" t="str">
        <f>_xll.BDP("!!0356MY Mtge","ID_CUSIP")</f>
        <v>3137H6CY9</v>
      </c>
      <c r="B1451" t="str">
        <f>_xll.BDP("!!0356MY Mtge","SECURITY_NAME")</f>
        <v>FHR 5200 C</v>
      </c>
      <c r="C1451" t="str">
        <f>_xll.BDP("!!0356MY Mtge","GENERIC_TICKER_VINTAGE")</f>
        <v>FNCL 3 2021</v>
      </c>
      <c r="D1451" t="str">
        <f>_xll.BDP("!!0356MY Mtge","CRNCY")</f>
        <v>USD</v>
      </c>
      <c r="E1451">
        <v>69018000</v>
      </c>
      <c r="F1451">
        <f>_xll.BDP("!!0356MY Mtge","CPN")</f>
        <v>3</v>
      </c>
      <c r="G1451">
        <f>_xll.BDP("!!0356MY Mtge","MTG_FACTOR")</f>
        <v>0.65311079999999999</v>
      </c>
      <c r="H1451">
        <f>_xll.BDP("!!0356MY Mtge","MTG_WAL")</f>
        <v>4.6566000000000001</v>
      </c>
      <c r="I1451">
        <f>_xll.BDP("!!0356MY Mtge","MTG_ORIG_WAL")</f>
        <v>4.7</v>
      </c>
    </row>
    <row r="1452" spans="1:9" x14ac:dyDescent="0.25">
      <c r="A1452" t="str">
        <f>_xll.BDP("!!03570H Mtge","ID_CUSIP")</f>
        <v>3137H6DK8</v>
      </c>
      <c r="B1452" t="str">
        <f>_xll.BDP("!!03570H Mtge","SECURITY_NAME")</f>
        <v>FHR 5200 V</v>
      </c>
      <c r="C1452" t="str">
        <f>_xll.BDP("!!03570H Mtge","GENERIC_TICKER_VINTAGE")</f>
        <v>FNCL 3 2021</v>
      </c>
      <c r="D1452" t="str">
        <f>_xll.BDP("!!03570H Mtge","CRNCY")</f>
        <v>USD</v>
      </c>
      <c r="E1452">
        <v>4010397</v>
      </c>
      <c r="F1452">
        <f>_xll.BDP("!!03570H Mtge","CPN")</f>
        <v>3</v>
      </c>
      <c r="G1452">
        <f>_xll.BDP("!!03570H Mtge","MTG_FACTOR")</f>
        <v>0.67547765999999998</v>
      </c>
      <c r="H1452">
        <f>_xll.BDP("!!03570H Mtge","MTG_WAL")</f>
        <v>3.7778999999999998</v>
      </c>
      <c r="I1452">
        <f>_xll.BDP("!!03570H Mtge","MTG_ORIG_WAL")</f>
        <v>5.9</v>
      </c>
    </row>
    <row r="1453" spans="1:9" x14ac:dyDescent="0.25">
      <c r="A1453" t="str">
        <f>_xll.BDP("!!0358SW Mtge","ID_CUSIP")</f>
        <v>3137H6GA7</v>
      </c>
      <c r="B1453" t="str">
        <f>_xll.BDP("!!0358SW Mtge","SECURITY_NAME")</f>
        <v>FHR 5200 YZ</v>
      </c>
      <c r="C1453" t="str">
        <f>_xll.BDP("!!0358SW Mtge","GENERIC_TICKER_VINTAGE")</f>
        <v>FNCL 3 2021</v>
      </c>
      <c r="D1453" t="str">
        <f>_xll.BDP("!!0358SW Mtge","CRNCY")</f>
        <v>USD</v>
      </c>
      <c r="E1453">
        <v>13949516</v>
      </c>
      <c r="F1453">
        <f>_xll.BDP("!!0358SW Mtge","CPN")</f>
        <v>2.5</v>
      </c>
      <c r="G1453">
        <f>_xll.BDP("!!0358SW Mtge","MTG_FACTOR")</f>
        <v>1.10735816</v>
      </c>
      <c r="H1453">
        <f>_xll.BDP("!!0358SW Mtge","MTG_WAL")</f>
        <v>14.224399999999999</v>
      </c>
      <c r="I1453">
        <f>_xll.BDP("!!0358SW Mtge","MTG_ORIG_WAL")</f>
        <v>14.1</v>
      </c>
    </row>
    <row r="1454" spans="1:9" x14ac:dyDescent="0.25">
      <c r="A1454" t="str">
        <f>_xll.BDP("!!035965 Mtge","ID_CUSIP")</f>
        <v>3136BL6M7</v>
      </c>
      <c r="B1454" t="str">
        <f>_xll.BDP("!!035965 Mtge","SECURITY_NAME")</f>
        <v>FNR 2022-13 CI</v>
      </c>
      <c r="C1454" t="str">
        <f>_xll.BDP("!!035965 Mtge","GENERIC_TICKER_VINTAGE")</f>
        <v>FNCL 3 2021</v>
      </c>
      <c r="D1454" t="str">
        <f>_xll.BDP("!!035965 Mtge","CRNCY")</f>
        <v>USD</v>
      </c>
      <c r="E1454">
        <v>53445764</v>
      </c>
      <c r="F1454">
        <f>_xll.BDP("!!035965 Mtge","CPN")</f>
        <v>3</v>
      </c>
      <c r="G1454">
        <f>_xll.BDP("!!035965 Mtge","MTG_FACTOR")</f>
        <v>0.73321248999999999</v>
      </c>
      <c r="H1454">
        <f>_xll.BDP("!!035965 Mtge","MTG_WAL")</f>
        <v>5.6414999999999997</v>
      </c>
      <c r="I1454">
        <f>_xll.BDP("!!035965 Mtge","MTG_ORIG_WAL")</f>
        <v>5.4489000000000001</v>
      </c>
    </row>
    <row r="1455" spans="1:9" x14ac:dyDescent="0.25">
      <c r="A1455" t="str">
        <f>_xll.BDP("!!035B1H Mtge","ID_CUSIP")</f>
        <v>3136BMAP3</v>
      </c>
      <c r="B1455" t="str">
        <f>_xll.BDP("!!035B1H Mtge","SECURITY_NAME")</f>
        <v>FNR 2022-9 FB</v>
      </c>
      <c r="C1455" t="str">
        <f>_xll.BDP("!!035B1H Mtge","GENERIC_TICKER_VINTAGE")</f>
        <v>FNCL 3 2021</v>
      </c>
      <c r="D1455" t="str">
        <f>_xll.BDP("!!035B1H Mtge","CRNCY")</f>
        <v>USD</v>
      </c>
      <c r="E1455">
        <v>20000000</v>
      </c>
      <c r="F1455">
        <f>_xll.BDP("!!035B1H Mtge","CPN")</f>
        <v>3</v>
      </c>
      <c r="G1455">
        <f>_xll.BDP("!!035B1H Mtge","MTG_FACTOR")</f>
        <v>0.74171414000000002</v>
      </c>
      <c r="H1455">
        <f>_xll.BDP("!!035B1H Mtge","MTG_WAL")</f>
        <v>8.3530999999999995</v>
      </c>
      <c r="I1455">
        <f>_xll.BDP("!!035B1H Mtge","MTG_ORIG_WAL")</f>
        <v>7.5</v>
      </c>
    </row>
    <row r="1456" spans="1:9" x14ac:dyDescent="0.25">
      <c r="A1456" t="str">
        <f>_xll.BDP("!!035B1J Mtge","ID_CUSIP")</f>
        <v>3136BMAQ1</v>
      </c>
      <c r="B1456" t="str">
        <f>_xll.BDP("!!035B1J Mtge","SECURITY_NAME")</f>
        <v>FNR 2022-9 SB</v>
      </c>
      <c r="C1456" t="str">
        <f>_xll.BDP("!!035B1J Mtge","GENERIC_TICKER_VINTAGE")</f>
        <v>FNCL 3 2021</v>
      </c>
      <c r="D1456" t="str">
        <f>_xll.BDP("!!035B1J Mtge","CRNCY")</f>
        <v>USD</v>
      </c>
      <c r="E1456">
        <v>20000000</v>
      </c>
      <c r="F1456">
        <f>_xll.BDP("!!035B1J Mtge","CPN")</f>
        <v>0</v>
      </c>
      <c r="G1456">
        <f>_xll.BDP("!!035B1J Mtge","MTG_FACTOR")</f>
        <v>0.74171414000000002</v>
      </c>
      <c r="H1456">
        <f>_xll.BDP("!!035B1J Mtge","MTG_WAL")</f>
        <v>8.3530999999999995</v>
      </c>
      <c r="I1456">
        <f>_xll.BDP("!!035B1J Mtge","MTG_ORIG_WAL")</f>
        <v>7.5</v>
      </c>
    </row>
    <row r="1457" spans="1:9" x14ac:dyDescent="0.25">
      <c r="A1457" t="str">
        <f>_xll.BDP("!!035C2D Mtge","ID_CUSIP")</f>
        <v>3136BL3H1</v>
      </c>
      <c r="B1457" t="str">
        <f>_xll.BDP("!!035C2D Mtge","SECURITY_NAME")</f>
        <v>FNR 2022-10 SA</v>
      </c>
      <c r="C1457" t="str">
        <f>_xll.BDP("!!035C2D Mtge","GENERIC_TICKER_VINTAGE")</f>
        <v>FNCL 3 2021</v>
      </c>
      <c r="D1457" t="str">
        <f>_xll.BDP("!!035C2D Mtge","CRNCY")</f>
        <v>USD</v>
      </c>
      <c r="E1457">
        <v>34900837</v>
      </c>
      <c r="F1457">
        <f>_xll.BDP("!!035C2D Mtge","CPN")</f>
        <v>2.0827900000000001</v>
      </c>
      <c r="G1457">
        <f>_xll.BDP("!!035C2D Mtge","MTG_FACTOR")</f>
        <v>0.73706748</v>
      </c>
      <c r="H1457">
        <f>_xll.BDP("!!035C2D Mtge","MTG_WAL")</f>
        <v>8.3630999999999993</v>
      </c>
      <c r="I1457">
        <f>_xll.BDP("!!035C2D Mtge","MTG_ORIG_WAL")</f>
        <v>8.6999999999999993</v>
      </c>
    </row>
    <row r="1458" spans="1:9" x14ac:dyDescent="0.25">
      <c r="A1458" t="str">
        <f>_xll.BDP("!!035C2L Mtge","ID_CUSIP")</f>
        <v>3136BL4N7</v>
      </c>
      <c r="B1458" t="str">
        <f>_xll.BDP("!!035C2L Mtge","SECURITY_NAME")</f>
        <v>FNR 2022-10 L</v>
      </c>
      <c r="C1458" t="str">
        <f>_xll.BDP("!!035C2L Mtge","GENERIC_TICKER_VINTAGE")</f>
        <v>FNCL 3 2021</v>
      </c>
      <c r="D1458" t="str">
        <f>_xll.BDP("!!035C2L Mtge","CRNCY")</f>
        <v>USD</v>
      </c>
      <c r="E1458">
        <v>42951553</v>
      </c>
      <c r="F1458">
        <f>_xll.BDP("!!035C2L Mtge","CPN")</f>
        <v>2.5</v>
      </c>
      <c r="G1458">
        <f>_xll.BDP("!!035C2L Mtge","MTG_FACTOR")</f>
        <v>1</v>
      </c>
      <c r="H1458">
        <f>_xll.BDP("!!035C2L Mtge","MTG_WAL")</f>
        <v>14.094099999999999</v>
      </c>
      <c r="I1458">
        <f>_xll.BDP("!!035C2L Mtge","MTG_ORIG_WAL")</f>
        <v>17.600000000000001</v>
      </c>
    </row>
    <row r="1459" spans="1:9" x14ac:dyDescent="0.25">
      <c r="A1459" t="str">
        <f>_xll.BDP("!!035CB4 Mtge","ID_CUSIP")</f>
        <v>3137H64H5</v>
      </c>
      <c r="B1459" t="str">
        <f>_xll.BDP("!!035CB4 Mtge","SECURITY_NAME")</f>
        <v>FHR 5207 AI</v>
      </c>
      <c r="C1459" t="str">
        <f>_xll.BDP("!!035CB4 Mtge","GENERIC_TICKER_VINTAGE")</f>
        <v>FNCL 3 2021</v>
      </c>
      <c r="D1459" t="str">
        <f>_xll.BDP("!!035CB4 Mtge","CRNCY")</f>
        <v>USD</v>
      </c>
      <c r="E1459">
        <v>4166666</v>
      </c>
      <c r="F1459">
        <f>_xll.BDP("!!035CB4 Mtge","CPN")</f>
        <v>3</v>
      </c>
      <c r="G1459">
        <f>_xll.BDP("!!035CB4 Mtge","MTG_FACTOR")</f>
        <v>0.60967019</v>
      </c>
      <c r="H1459">
        <f>_xll.BDP("!!035CB4 Mtge","MTG_WAL")</f>
        <v>4.4865000000000004</v>
      </c>
      <c r="I1459">
        <f>_xll.BDP("!!035CB4 Mtge","MTG_ORIG_WAL")</f>
        <v>4.4000000000000004</v>
      </c>
    </row>
    <row r="1460" spans="1:9" x14ac:dyDescent="0.25">
      <c r="A1460" t="str">
        <f>_xll.BDP("!!035CB5 Mtge","ID_CUSIP")</f>
        <v>3137H64J1</v>
      </c>
      <c r="B1460" t="str">
        <f>_xll.BDP("!!035CB5 Mtge","SECURITY_NAME")</f>
        <v>FHR 5207 AV</v>
      </c>
      <c r="C1460" t="str">
        <f>_xll.BDP("!!035CB5 Mtge","GENERIC_TICKER_VINTAGE")</f>
        <v>FNCL 3 2021</v>
      </c>
      <c r="D1460" t="str">
        <f>_xll.BDP("!!035CB5 Mtge","CRNCY")</f>
        <v>USD</v>
      </c>
      <c r="E1460">
        <v>2181842</v>
      </c>
      <c r="F1460">
        <f>_xll.BDP("!!035CB5 Mtge","CPN")</f>
        <v>3</v>
      </c>
      <c r="G1460">
        <f>_xll.BDP("!!035CB5 Mtge","MTG_FACTOR")</f>
        <v>0.67689058000000002</v>
      </c>
      <c r="H1460">
        <f>_xll.BDP("!!035CB5 Mtge","MTG_WAL")</f>
        <v>3.8003</v>
      </c>
      <c r="I1460">
        <f>_xll.BDP("!!035CB5 Mtge","MTG_ORIG_WAL")</f>
        <v>5.9</v>
      </c>
    </row>
    <row r="1461" spans="1:9" x14ac:dyDescent="0.25">
      <c r="A1461" t="str">
        <f>_xll.BDP("!!035CJ1 Mtge","ID_CUSIP")</f>
        <v>3137H6KC8</v>
      </c>
      <c r="B1461" t="str">
        <f>_xll.BDP("!!035CJ1 Mtge","SECURITY_NAME")</f>
        <v>FHR 5200 FA</v>
      </c>
      <c r="C1461" t="str">
        <f>_xll.BDP("!!035CJ1 Mtge","GENERIC_TICKER_VINTAGE")</f>
        <v>FNCL 3 2021</v>
      </c>
      <c r="D1461" t="str">
        <f>_xll.BDP("!!035CJ1 Mtge","CRNCY")</f>
        <v>USD</v>
      </c>
      <c r="E1461">
        <v>38703508</v>
      </c>
      <c r="F1461">
        <f>_xll.BDP("!!035CJ1 Mtge","CPN")</f>
        <v>4</v>
      </c>
      <c r="G1461">
        <f>_xll.BDP("!!035CJ1 Mtge","MTG_FACTOR")</f>
        <v>0.69339927999999995</v>
      </c>
      <c r="H1461">
        <f>_xll.BDP("!!035CJ1 Mtge","MTG_WAL")</f>
        <v>8.1753999999999998</v>
      </c>
      <c r="I1461">
        <f>_xll.BDP("!!035CJ1 Mtge","MTG_ORIG_WAL")</f>
        <v>7.2</v>
      </c>
    </row>
    <row r="1462" spans="1:9" x14ac:dyDescent="0.25">
      <c r="A1462" t="str">
        <f>_xll.BDP("!!035PY1 Mtge","ID_CUSIP")</f>
        <v>3137H6WD3</v>
      </c>
      <c r="B1462" t="str">
        <f>_xll.BDP("!!035PY1 Mtge","SECURITY_NAME")</f>
        <v>FHR 5210 BZ</v>
      </c>
      <c r="C1462" t="str">
        <f>_xll.BDP("!!035PY1 Mtge","GENERIC_TICKER_VINTAGE")</f>
        <v>FNCL 3 2021</v>
      </c>
      <c r="D1462" t="str">
        <f>_xll.BDP("!!035PY1 Mtge","CRNCY")</f>
        <v>USD</v>
      </c>
      <c r="E1462">
        <v>8161809</v>
      </c>
      <c r="F1462">
        <f>_xll.BDP("!!035PY1 Mtge","CPN")</f>
        <v>3</v>
      </c>
      <c r="G1462">
        <f>_xll.BDP("!!035PY1 Mtge","MTG_FACTOR")</f>
        <v>1.12732802</v>
      </c>
      <c r="H1462">
        <f>_xll.BDP("!!035PY1 Mtge","MTG_WAL")</f>
        <v>17.2012</v>
      </c>
      <c r="I1462">
        <f>_xll.BDP("!!035PY1 Mtge","MTG_ORIG_WAL")</f>
        <v>16.3</v>
      </c>
    </row>
    <row r="1463" spans="1:9" x14ac:dyDescent="0.25">
      <c r="A1463" t="str">
        <f>_xll.BDP("!!035WFD Mtge","ID_CUSIP")</f>
        <v>3136BMQA9</v>
      </c>
      <c r="B1463" t="str">
        <f>_xll.BDP("!!035WFD Mtge","SECURITY_NAME")</f>
        <v>FNR 2022-17 ZU</v>
      </c>
      <c r="C1463" t="str">
        <f>_xll.BDP("!!035WFD Mtge","GENERIC_TICKER_VINTAGE")</f>
        <v>FNCL 3 2021</v>
      </c>
      <c r="D1463" t="str">
        <f>_xll.BDP("!!035WFD Mtge","CRNCY")</f>
        <v>USD</v>
      </c>
      <c r="E1463">
        <v>21381168</v>
      </c>
      <c r="F1463">
        <f>_xll.BDP("!!035WFD Mtge","CPN")</f>
        <v>3</v>
      </c>
      <c r="G1463">
        <f>_xll.BDP("!!035WFD Mtge","MTG_FACTOR")</f>
        <v>1.12732802</v>
      </c>
      <c r="H1463">
        <f>_xll.BDP("!!035WFD Mtge","MTG_WAL")</f>
        <v>16.374600000000001</v>
      </c>
      <c r="I1463">
        <f>_xll.BDP("!!035WFD Mtge","MTG_ORIG_WAL")</f>
        <v>17.399999999999999</v>
      </c>
    </row>
    <row r="1464" spans="1:9" x14ac:dyDescent="0.25">
      <c r="A1464" t="str">
        <f>_xll.BDP("!!03696J Mtge","ID_CUSIP")</f>
        <v>3137H7M34</v>
      </c>
      <c r="B1464" t="str">
        <f>_xll.BDP("!!03696J Mtge","SECURITY_NAME")</f>
        <v>FHR 5223 FA</v>
      </c>
      <c r="C1464" t="str">
        <f>_xll.BDP("!!03696J Mtge","GENERIC_TICKER_VINTAGE")</f>
        <v>FNCL 3 2021</v>
      </c>
      <c r="D1464" t="str">
        <f>_xll.BDP("!!03696J Mtge","CRNCY")</f>
        <v>USD</v>
      </c>
      <c r="E1464">
        <v>77885206</v>
      </c>
      <c r="F1464">
        <f>_xll.BDP("!!03696J Mtge","CPN")</f>
        <v>4.2172099999999997</v>
      </c>
      <c r="G1464">
        <f>_xll.BDP("!!03696J Mtge","MTG_FACTOR")</f>
        <v>0.73224526999999995</v>
      </c>
      <c r="H1464">
        <f>_xll.BDP("!!03696J Mtge","MTG_WAL")</f>
        <v>8.3341999999999992</v>
      </c>
      <c r="I1464">
        <f>_xll.BDP("!!03696J Mtge","MTG_ORIG_WAL")</f>
        <v>7.1</v>
      </c>
    </row>
    <row r="1465" spans="1:9" x14ac:dyDescent="0.25">
      <c r="A1465" t="str">
        <f>_xll.BDP("!!036HVK Mtge","ID_CUSIP")</f>
        <v>3136BMM70</v>
      </c>
      <c r="B1465" t="str">
        <f>_xll.BDP("!!036HVK Mtge","SECURITY_NAME")</f>
        <v>FNR 2022-28 A</v>
      </c>
      <c r="C1465" t="str">
        <f>_xll.BDP("!!036HVK Mtge","GENERIC_TICKER_VINTAGE")</f>
        <v>FNCL 3 2021</v>
      </c>
      <c r="D1465" t="str">
        <f>_xll.BDP("!!036HVK Mtge","CRNCY")</f>
        <v>USD</v>
      </c>
      <c r="E1465">
        <v>121635999</v>
      </c>
      <c r="F1465">
        <f>_xll.BDP("!!036HVK Mtge","CPN")</f>
        <v>2.5</v>
      </c>
      <c r="G1465">
        <f>_xll.BDP("!!036HVK Mtge","MTG_FACTOR")</f>
        <v>0.58745091000000005</v>
      </c>
      <c r="H1465">
        <f>_xll.BDP("!!036HVK Mtge","MTG_WAL")</f>
        <v>2.4933000000000001</v>
      </c>
      <c r="I1465" t="str">
        <f>_xll.BDP("!!036HVK Mtge","MTG_ORIG_WAL")</f>
        <v>#N/A N/A</v>
      </c>
    </row>
    <row r="1466" spans="1:9" x14ac:dyDescent="0.25">
      <c r="A1466" t="str">
        <f>_xll.BDP("!!036PFF Mtge","ID_CUSIP")</f>
        <v>3136BMQ35</v>
      </c>
      <c r="B1466" t="str">
        <f>_xll.BDP("!!036PFF Mtge","SECURITY_NAME")</f>
        <v>FNR 2022-28 AJ</v>
      </c>
      <c r="C1466" t="str">
        <f>_xll.BDP("!!036PFF Mtge","GENERIC_TICKER_VINTAGE")</f>
        <v>FNCL 3 2021</v>
      </c>
      <c r="D1466" t="str">
        <f>_xll.BDP("!!036PFF Mtge","CRNCY")</f>
        <v>USD</v>
      </c>
      <c r="E1466">
        <v>121635999</v>
      </c>
      <c r="F1466">
        <f>_xll.BDP("!!036PFF Mtge","CPN")</f>
        <v>2.5</v>
      </c>
      <c r="G1466">
        <f>_xll.BDP("!!036PFF Mtge","MTG_FACTOR")</f>
        <v>0.58745091000000005</v>
      </c>
      <c r="H1466">
        <f>_xll.BDP("!!036PFF Mtge","MTG_WAL")</f>
        <v>2.4933000000000001</v>
      </c>
      <c r="I1466" t="str">
        <f>_xll.BDP("!!036PFF Mtge","MTG_ORIG_WAL")</f>
        <v>#N/A N/A</v>
      </c>
    </row>
    <row r="1467" spans="1:9" x14ac:dyDescent="0.25">
      <c r="A1467" t="str">
        <f>_xll.BDP("!!036WQV Mtge","ID_CUSIP")</f>
        <v>3137H84J7</v>
      </c>
      <c r="B1467" t="str">
        <f>_xll.BDP("!!036WQV Mtge","SECURITY_NAME")</f>
        <v>FHR 5243 IC</v>
      </c>
      <c r="C1467" t="str">
        <f>_xll.BDP("!!036WQV Mtge","GENERIC_TICKER_VINTAGE")</f>
        <v>FNCL 3 2021</v>
      </c>
      <c r="D1467" t="str">
        <f>_xll.BDP("!!036WQV Mtge","CRNCY")</f>
        <v>USD</v>
      </c>
      <c r="E1467">
        <v>22792314</v>
      </c>
      <c r="F1467">
        <f>_xll.BDP("!!036WQV Mtge","CPN")</f>
        <v>3</v>
      </c>
      <c r="G1467">
        <f>_xll.BDP("!!036WQV Mtge","MTG_FACTOR")</f>
        <v>0.62082581999999997</v>
      </c>
      <c r="H1467">
        <f>_xll.BDP("!!036WQV Mtge","MTG_WAL")</f>
        <v>4.4039000000000001</v>
      </c>
      <c r="I1467">
        <f>_xll.BDP("!!036WQV Mtge","MTG_ORIG_WAL")</f>
        <v>6</v>
      </c>
    </row>
    <row r="1468" spans="1:9" x14ac:dyDescent="0.25">
      <c r="A1468" t="str">
        <f>_xll.BDP("!!036WR5 Mtge","ID_CUSIP")</f>
        <v>3137H84K4</v>
      </c>
      <c r="B1468" t="str">
        <f>_xll.BDP("!!036WR5 Mtge","SECURITY_NAME")</f>
        <v>FHR 5243 ID</v>
      </c>
      <c r="C1468" t="str">
        <f>_xll.BDP("!!036WR5 Mtge","GENERIC_TICKER_VINTAGE")</f>
        <v>FNCL 3 2021</v>
      </c>
      <c r="D1468" t="str">
        <f>_xll.BDP("!!036WR5 Mtge","CRNCY")</f>
        <v>USD</v>
      </c>
      <c r="E1468">
        <v>42213329</v>
      </c>
      <c r="F1468">
        <f>_xll.BDP("!!036WR5 Mtge","CPN")</f>
        <v>3</v>
      </c>
      <c r="G1468">
        <f>_xll.BDP("!!036WR5 Mtge","MTG_FACTOR")</f>
        <v>0.79184615999999997</v>
      </c>
      <c r="H1468">
        <f>_xll.BDP("!!036WR5 Mtge","MTG_WAL")</f>
        <v>8.2345000000000006</v>
      </c>
      <c r="I1468">
        <f>_xll.BDP("!!036WR5 Mtge","MTG_ORIG_WAL")</f>
        <v>9.3000000000000007</v>
      </c>
    </row>
    <row r="1469" spans="1:9" x14ac:dyDescent="0.25">
      <c r="A1469" t="str">
        <f>_xll.BDP("!!037WQT Mtge","ID_CUSIP")</f>
        <v>3137H9AM1</v>
      </c>
      <c r="B1469" t="str">
        <f>_xll.BDP("!!037WQT Mtge","SECURITY_NAME")</f>
        <v>FHR 5261 IB</v>
      </c>
      <c r="C1469" t="str">
        <f>_xll.BDP("!!037WQT Mtge","GENERIC_TICKER_VINTAGE")</f>
        <v>FNCL 3 2021</v>
      </c>
      <c r="D1469" t="str">
        <f>_xll.BDP("!!037WQT Mtge","CRNCY")</f>
        <v>USD</v>
      </c>
      <c r="E1469">
        <v>23960375</v>
      </c>
      <c r="F1469">
        <f>_xll.BDP("!!037WQT Mtge","CPN")</f>
        <v>3</v>
      </c>
      <c r="G1469">
        <f>_xll.BDP("!!037WQT Mtge","MTG_FACTOR")</f>
        <v>0.77046815000000002</v>
      </c>
      <c r="H1469">
        <f>_xll.BDP("!!037WQT Mtge","MTG_WAL")</f>
        <v>5.6410999999999998</v>
      </c>
      <c r="I1469">
        <f>_xll.BDP("!!037WQT Mtge","MTG_ORIG_WAL")</f>
        <v>7.3</v>
      </c>
    </row>
    <row r="1470" spans="1:9" x14ac:dyDescent="0.25">
      <c r="A1470" t="str">
        <f>_xll.BDP("!!038DNP Mtge","ID_CUSIP")</f>
        <v>3137H9KD0</v>
      </c>
      <c r="B1470" t="str">
        <f>_xll.BDP("!!038DNP Mtge","SECURITY_NAME")</f>
        <v>FHR 5280 PZ</v>
      </c>
      <c r="C1470" t="str">
        <f>_xll.BDP("!!038DNP Mtge","GENERIC_TICKER_VINTAGE")</f>
        <v>FNCL 3 2021</v>
      </c>
      <c r="D1470" t="str">
        <f>_xll.BDP("!!038DNP Mtge","CRNCY")</f>
        <v>USD</v>
      </c>
      <c r="E1470">
        <v>14389519</v>
      </c>
      <c r="F1470">
        <f>_xll.BDP("!!038DNP Mtge","CPN")</f>
        <v>3</v>
      </c>
      <c r="G1470">
        <f>_xll.BDP("!!038DNP Mtge","MTG_FACTOR")</f>
        <v>1.1050330100000001</v>
      </c>
      <c r="H1470">
        <f>_xll.BDP("!!038DNP Mtge","MTG_WAL")</f>
        <v>15.549099999999999</v>
      </c>
      <c r="I1470">
        <f>_xll.BDP("!!038DNP Mtge","MTG_ORIG_WAL")</f>
        <v>19.100000000000001</v>
      </c>
    </row>
    <row r="1471" spans="1:9" x14ac:dyDescent="0.25">
      <c r="A1471" t="str">
        <f>_xll.BDP("!!03L2C8 Mtge","ID_CUSIP")</f>
        <v>3137HKGZ1</v>
      </c>
      <c r="B1471" t="str">
        <f>_xll.BDP("!!03L2C8 Mtge","SECURITY_NAME")</f>
        <v>FHR 5517 KF</v>
      </c>
      <c r="C1471" t="str">
        <f>_xll.BDP("!!03L2C8 Mtge","GENERIC_TICKER_VINTAGE")</f>
        <v>FNCL 6 2025</v>
      </c>
      <c r="D1471" t="str">
        <f>_xll.BDP("!!03L2C8 Mtge","CRNCY")</f>
        <v>USD</v>
      </c>
      <c r="E1471">
        <v>200000000</v>
      </c>
      <c r="F1471">
        <f>_xll.BDP("!!03L2C8 Mtge","CPN")</f>
        <v>5.0172100000000004</v>
      </c>
      <c r="G1471">
        <f>_xll.BDP("!!03L2C8 Mtge","MTG_FACTOR")</f>
        <v>0.70402869000000001</v>
      </c>
      <c r="H1471">
        <f>_xll.BDP("!!03L2C8 Mtge","MTG_WAL")</f>
        <v>3</v>
      </c>
      <c r="I1471">
        <f>_xll.BDP("!!03L2C8 Mtge","MTG_ORIG_WAL")</f>
        <v>7.8</v>
      </c>
    </row>
    <row r="1472" spans="1:9" x14ac:dyDescent="0.25">
      <c r="A1472" t="str">
        <f>_xll.BDP("!!03L2C9 Mtge","ID_CUSIP")</f>
        <v>3137HKH23</v>
      </c>
      <c r="B1472" t="str">
        <f>_xll.BDP("!!03L2C9 Mtge","SECURITY_NAME")</f>
        <v>FHR 5517 KS</v>
      </c>
      <c r="C1472" t="str">
        <f>_xll.BDP("!!03L2C9 Mtge","GENERIC_TICKER_VINTAGE")</f>
        <v>FNCL 6 2025</v>
      </c>
      <c r="D1472" t="str">
        <f>_xll.BDP("!!03L2C9 Mtge","CRNCY")</f>
        <v>USD</v>
      </c>
      <c r="E1472">
        <v>200000000</v>
      </c>
      <c r="F1472">
        <f>_xll.BDP("!!03L2C9 Mtge","CPN")</f>
        <v>0.98279000000000005</v>
      </c>
      <c r="G1472">
        <f>_xll.BDP("!!03L2C9 Mtge","MTG_FACTOR")</f>
        <v>0.70402869000000001</v>
      </c>
      <c r="H1472">
        <f>_xll.BDP("!!03L2C9 Mtge","MTG_WAL")</f>
        <v>3</v>
      </c>
      <c r="I1472">
        <f>_xll.BDP("!!03L2C9 Mtge","MTG_ORIG_WAL")</f>
        <v>7.8</v>
      </c>
    </row>
    <row r="1473" spans="1:9" x14ac:dyDescent="0.25">
      <c r="A1473" t="str">
        <f>_xll.BDP("!!03LL08 Mtge","ID_CUSIP")</f>
        <v>3136BVSK5</v>
      </c>
      <c r="B1473" t="str">
        <f>_xll.BDP("!!03LL08 Mtge","SECURITY_NAME")</f>
        <v>FNR 2025-24 FC</v>
      </c>
      <c r="C1473" t="str">
        <f>_xll.BDP("!!03LL08 Mtge","GENERIC_TICKER_VINTAGE")</f>
        <v>FNCL 6 2025</v>
      </c>
      <c r="D1473" t="str">
        <f>_xll.BDP("!!03LL08 Mtge","CRNCY")</f>
        <v>USD</v>
      </c>
      <c r="E1473">
        <v>142479051</v>
      </c>
      <c r="F1473">
        <f>_xll.BDP("!!03LL08 Mtge","CPN")</f>
        <v>4.7372100000000001</v>
      </c>
      <c r="G1473">
        <f>_xll.BDP("!!03LL08 Mtge","MTG_FACTOR")</f>
        <v>0.87216963999999997</v>
      </c>
      <c r="H1473">
        <f>_xll.BDP("!!03LL08 Mtge","MTG_WAL")</f>
        <v>3.0396999999999998</v>
      </c>
      <c r="I1473">
        <f>_xll.BDP("!!03LL08 Mtge","MTG_ORIG_WAL")</f>
        <v>6.2</v>
      </c>
    </row>
    <row r="1474" spans="1:9" x14ac:dyDescent="0.25">
      <c r="A1474" t="str">
        <f>_xll.BDP("!!03LL09 Mtge","ID_CUSIP")</f>
        <v>3136BVSL3</v>
      </c>
      <c r="B1474" t="str">
        <f>_xll.BDP("!!03LL09 Mtge","SECURITY_NAME")</f>
        <v>FNR 2025-24 SC</v>
      </c>
      <c r="C1474" t="str">
        <f>_xll.BDP("!!03LL09 Mtge","GENERIC_TICKER_VINTAGE")</f>
        <v>FNCL 6 2025</v>
      </c>
      <c r="D1474" t="str">
        <f>_xll.BDP("!!03LL09 Mtge","CRNCY")</f>
        <v>USD</v>
      </c>
      <c r="E1474">
        <v>142479051</v>
      </c>
      <c r="F1474">
        <f>_xll.BDP("!!03LL09 Mtge","CPN")</f>
        <v>2.2627899999999999</v>
      </c>
      <c r="G1474">
        <f>_xll.BDP("!!03LL09 Mtge","MTG_FACTOR")</f>
        <v>0.87216963999999997</v>
      </c>
      <c r="H1474">
        <f>_xll.BDP("!!03LL09 Mtge","MTG_WAL")</f>
        <v>3.0396999999999998</v>
      </c>
      <c r="I1474">
        <f>_xll.BDP("!!03LL09 Mtge","MTG_ORIG_WAL")</f>
        <v>6.2</v>
      </c>
    </row>
    <row r="1475" spans="1:9" x14ac:dyDescent="0.25">
      <c r="A1475" t="str">
        <f>_xll.BDP("!!03LL0B Mtge","ID_CUSIP")</f>
        <v>3136BVSF6</v>
      </c>
      <c r="B1475" t="str">
        <f>_xll.BDP("!!03LL0B Mtge","SECURITY_NAME")</f>
        <v>FNR 2025-24 CA</v>
      </c>
      <c r="C1475" t="str">
        <f>_xll.BDP("!!03LL0B Mtge","GENERIC_TICKER_VINTAGE")</f>
        <v>FNCL 6 2025</v>
      </c>
      <c r="D1475" t="str">
        <f>_xll.BDP("!!03LL0B Mtge","CRNCY")</f>
        <v>USD</v>
      </c>
      <c r="E1475">
        <v>88073000</v>
      </c>
      <c r="F1475">
        <f>_xll.BDP("!!03LL0B Mtge","CPN")</f>
        <v>5</v>
      </c>
      <c r="G1475">
        <f>_xll.BDP("!!03LL0B Mtge","MTG_FACTOR")</f>
        <v>0.79320394999999999</v>
      </c>
      <c r="H1475">
        <f>_xll.BDP("!!03LL0B Mtge","MTG_WAL")</f>
        <v>1.3665</v>
      </c>
      <c r="I1475">
        <f>_xll.BDP("!!03LL0B Mtge","MTG_ORIG_WAL")</f>
        <v>3.2</v>
      </c>
    </row>
    <row r="1476" spans="1:9" x14ac:dyDescent="0.25">
      <c r="A1476" t="str">
        <f>_xll.BDP("!!03LL0D Mtge","ID_CUSIP")</f>
        <v>3136BVTZ1</v>
      </c>
      <c r="B1476" t="str">
        <f>_xll.BDP("!!03LL0D Mtge","SECURITY_NAME")</f>
        <v>FNR 2025-24 CL</v>
      </c>
      <c r="C1476" t="str">
        <f>_xll.BDP("!!03LL0D Mtge","GENERIC_TICKER_VINTAGE")</f>
        <v>FNCL 6 2025</v>
      </c>
      <c r="D1476" t="str">
        <f>_xll.BDP("!!03LL0D Mtge","CRNCY")</f>
        <v>USD</v>
      </c>
      <c r="E1476">
        <v>41423052</v>
      </c>
      <c r="F1476">
        <f>_xll.BDP("!!03LL0D Mtge","CPN")</f>
        <v>5</v>
      </c>
      <c r="G1476">
        <f>_xll.BDP("!!03LL0D Mtge","MTG_FACTOR")</f>
        <v>1</v>
      </c>
      <c r="H1476">
        <f>_xll.BDP("!!03LL0D Mtge","MTG_WAL")</f>
        <v>6.0918999999999999</v>
      </c>
      <c r="I1476">
        <f>_xll.BDP("!!03LL0D Mtge","MTG_ORIG_WAL")</f>
        <v>12.3</v>
      </c>
    </row>
    <row r="1477" spans="1:9" x14ac:dyDescent="0.25">
      <c r="A1477" t="str">
        <f>_xll.BDP("!!03LL0F Mtge","ID_CUSIP")</f>
        <v>3136BVTS7</v>
      </c>
      <c r="B1477" t="str">
        <f>_xll.BDP("!!03LL0F Mtge","SECURITY_NAME")</f>
        <v>FNR 2025-24 CD</v>
      </c>
      <c r="C1477" t="str">
        <f>_xll.BDP("!!03LL0F Mtge","GENERIC_TICKER_VINTAGE")</f>
        <v>FNCL 6 2025</v>
      </c>
      <c r="D1477" t="str">
        <f>_xll.BDP("!!03LL0F Mtge","CRNCY")</f>
        <v>USD</v>
      </c>
      <c r="E1477">
        <v>101056000</v>
      </c>
      <c r="F1477">
        <f>_xll.BDP("!!03LL0F Mtge","CPN")</f>
        <v>5</v>
      </c>
      <c r="G1477">
        <f>_xll.BDP("!!03LL0F Mtge","MTG_FACTOR")</f>
        <v>0.81977173000000003</v>
      </c>
      <c r="H1477">
        <f>_xll.BDP("!!03LL0F Mtge","MTG_WAL")</f>
        <v>1.6302000000000001</v>
      </c>
      <c r="I1477">
        <f>_xll.BDP("!!03LL0F Mtge","MTG_ORIG_WAL")</f>
        <v>3.7</v>
      </c>
    </row>
    <row r="1478" spans="1:9" x14ac:dyDescent="0.25">
      <c r="A1478" t="str">
        <f>_xll.BDP("!!03LLSZ Mtge","ID_CUSIP")</f>
        <v>3137HKWW0</v>
      </c>
      <c r="B1478" t="str">
        <f>_xll.BDP("!!03LLSZ Mtge","SECURITY_NAME")</f>
        <v>FHR 5524 NX</v>
      </c>
      <c r="C1478" t="str">
        <f>_xll.BDP("!!03LLSZ Mtge","GENERIC_TICKER_VINTAGE")</f>
        <v>FNCL 6 2025</v>
      </c>
      <c r="D1478" t="str">
        <f>_xll.BDP("!!03LLSZ Mtge","CRNCY")</f>
        <v>USD</v>
      </c>
      <c r="E1478">
        <v>70000000</v>
      </c>
      <c r="F1478">
        <f>_xll.BDP("!!03LLSZ Mtge","CPN")</f>
        <v>6</v>
      </c>
      <c r="G1478">
        <f>_xll.BDP("!!03LLSZ Mtge","MTG_FACTOR")</f>
        <v>0.55306993999999998</v>
      </c>
      <c r="H1478">
        <f>_xll.BDP("!!03LLSZ Mtge","MTG_WAL")</f>
        <v>1.2321</v>
      </c>
      <c r="I1478">
        <f>_xll.BDP("!!03LLSZ Mtge","MTG_ORIG_WAL")</f>
        <v>3.1</v>
      </c>
    </row>
    <row r="1479" spans="1:9" x14ac:dyDescent="0.25">
      <c r="A1479" t="str">
        <f>_xll.BDP("!!03LLT0 Mtge","ID_CUSIP")</f>
        <v>3137HKWX8</v>
      </c>
      <c r="B1479" t="str">
        <f>_xll.BDP("!!03LLT0 Mtge","SECURITY_NAME")</f>
        <v>FHR 5524 NZ</v>
      </c>
      <c r="C1479" t="str">
        <f>_xll.BDP("!!03LLT0 Mtge","GENERIC_TICKER_VINTAGE")</f>
        <v>FNCL 6 2025</v>
      </c>
      <c r="D1479" t="str">
        <f>_xll.BDP("!!03LLT0 Mtge","CRNCY")</f>
        <v>USD</v>
      </c>
      <c r="E1479">
        <v>30000000</v>
      </c>
      <c r="F1479">
        <f>_xll.BDP("!!03LLT0 Mtge","CPN")</f>
        <v>6</v>
      </c>
      <c r="G1479">
        <f>_xll.BDP("!!03LLT0 Mtge","MTG_FACTOR")</f>
        <v>1.0616778099999999</v>
      </c>
      <c r="H1479">
        <f>_xll.BDP("!!03LLT0 Mtge","MTG_WAL")</f>
        <v>4.9873000000000003</v>
      </c>
      <c r="I1479">
        <f>_xll.BDP("!!03LLT0 Mtge","MTG_ORIG_WAL")</f>
        <v>10.6</v>
      </c>
    </row>
    <row r="1480" spans="1:9" x14ac:dyDescent="0.25">
      <c r="A1480" t="str">
        <f>_xll.BDP("!!03LLT1 Mtge","ID_CUSIP")</f>
        <v>3137HKWL4</v>
      </c>
      <c r="B1480" t="str">
        <f>_xll.BDP("!!03LLT1 Mtge","SECURITY_NAME")</f>
        <v>FHR 5524 NA</v>
      </c>
      <c r="C1480" t="str">
        <f>_xll.BDP("!!03LLT1 Mtge","GENERIC_TICKER_VINTAGE")</f>
        <v>FNCL 6 2025</v>
      </c>
      <c r="D1480" t="str">
        <f>_xll.BDP("!!03LLT1 Mtge","CRNCY")</f>
        <v>USD</v>
      </c>
      <c r="E1480">
        <v>70000000</v>
      </c>
      <c r="F1480">
        <f>_xll.BDP("!!03LLT1 Mtge","CPN")</f>
        <v>4</v>
      </c>
      <c r="G1480">
        <f>_xll.BDP("!!03LLT1 Mtge","MTG_FACTOR")</f>
        <v>0.55306993999999998</v>
      </c>
      <c r="H1480">
        <f>_xll.BDP("!!03LLT1 Mtge","MTG_WAL")</f>
        <v>1.2321</v>
      </c>
      <c r="I1480">
        <f>_xll.BDP("!!03LLT1 Mtge","MTG_ORIG_WAL")</f>
        <v>3.1</v>
      </c>
    </row>
    <row r="1481" spans="1:9" x14ac:dyDescent="0.25">
      <c r="A1481" t="str">
        <f>_xll.BDP("!!03LLT2 Mtge","ID_CUSIP")</f>
        <v>3137HKWM2</v>
      </c>
      <c r="B1481" t="str">
        <f>_xll.BDP("!!03LLT2 Mtge","SECURITY_NAME")</f>
        <v>FHR 5524 NB</v>
      </c>
      <c r="C1481" t="str">
        <f>_xll.BDP("!!03LLT2 Mtge","GENERIC_TICKER_VINTAGE")</f>
        <v>FNCL 6 2025</v>
      </c>
      <c r="D1481" t="str">
        <f>_xll.BDP("!!03LLT2 Mtge","CRNCY")</f>
        <v>USD</v>
      </c>
      <c r="E1481">
        <v>70000000</v>
      </c>
      <c r="F1481">
        <f>_xll.BDP("!!03LLT2 Mtge","CPN")</f>
        <v>4.25</v>
      </c>
      <c r="G1481">
        <f>_xll.BDP("!!03LLT2 Mtge","MTG_FACTOR")</f>
        <v>0.55306993999999998</v>
      </c>
      <c r="H1481">
        <f>_xll.BDP("!!03LLT2 Mtge","MTG_WAL")</f>
        <v>1.2321</v>
      </c>
      <c r="I1481">
        <f>_xll.BDP("!!03LLT2 Mtge","MTG_ORIG_WAL")</f>
        <v>3.1</v>
      </c>
    </row>
    <row r="1482" spans="1:9" x14ac:dyDescent="0.25">
      <c r="A1482" t="str">
        <f>_xll.BDP("!!03LLT3 Mtge","ID_CUSIP")</f>
        <v>3137HKWN0</v>
      </c>
      <c r="B1482" t="str">
        <f>_xll.BDP("!!03LLT3 Mtge","SECURITY_NAME")</f>
        <v>FHR 5524 NC</v>
      </c>
      <c r="C1482" t="str">
        <f>_xll.BDP("!!03LLT3 Mtge","GENERIC_TICKER_VINTAGE")</f>
        <v>FNCL 6 2025</v>
      </c>
      <c r="D1482" t="str">
        <f>_xll.BDP("!!03LLT3 Mtge","CRNCY")</f>
        <v>USD</v>
      </c>
      <c r="E1482">
        <v>70000000</v>
      </c>
      <c r="F1482">
        <f>_xll.BDP("!!03LLT3 Mtge","CPN")</f>
        <v>4.5</v>
      </c>
      <c r="G1482">
        <f>_xll.BDP("!!03LLT3 Mtge","MTG_FACTOR")</f>
        <v>0.55306993999999998</v>
      </c>
      <c r="H1482">
        <f>_xll.BDP("!!03LLT3 Mtge","MTG_WAL")</f>
        <v>1.2321</v>
      </c>
      <c r="I1482">
        <f>_xll.BDP("!!03LLT3 Mtge","MTG_ORIG_WAL")</f>
        <v>3.1</v>
      </c>
    </row>
    <row r="1483" spans="1:9" x14ac:dyDescent="0.25">
      <c r="A1483" t="str">
        <f>_xll.BDP("!!03LLT4 Mtge","ID_CUSIP")</f>
        <v>3137HKWP5</v>
      </c>
      <c r="B1483" t="str">
        <f>_xll.BDP("!!03LLT4 Mtge","SECURITY_NAME")</f>
        <v>FHR 5524 ND</v>
      </c>
      <c r="C1483" t="str">
        <f>_xll.BDP("!!03LLT4 Mtge","GENERIC_TICKER_VINTAGE")</f>
        <v>FNCL 6 2025</v>
      </c>
      <c r="D1483" t="str">
        <f>_xll.BDP("!!03LLT4 Mtge","CRNCY")</f>
        <v>USD</v>
      </c>
      <c r="E1483">
        <v>70000000</v>
      </c>
      <c r="F1483">
        <f>_xll.BDP("!!03LLT4 Mtge","CPN")</f>
        <v>4.75</v>
      </c>
      <c r="G1483">
        <f>_xll.BDP("!!03LLT4 Mtge","MTG_FACTOR")</f>
        <v>0.55306993999999998</v>
      </c>
      <c r="H1483">
        <f>_xll.BDP("!!03LLT4 Mtge","MTG_WAL")</f>
        <v>1.2321</v>
      </c>
      <c r="I1483">
        <f>_xll.BDP("!!03LLT4 Mtge","MTG_ORIG_WAL")</f>
        <v>3.1</v>
      </c>
    </row>
    <row r="1484" spans="1:9" x14ac:dyDescent="0.25">
      <c r="A1484" t="str">
        <f>_xll.BDP("!!03LLT7 Mtge","ID_CUSIP")</f>
        <v>3137HKWS9</v>
      </c>
      <c r="B1484" t="str">
        <f>_xll.BDP("!!03LLT7 Mtge","SECURITY_NAME")</f>
        <v>FHR 5524 NH</v>
      </c>
      <c r="C1484" t="str">
        <f>_xll.BDP("!!03LLT7 Mtge","GENERIC_TICKER_VINTAGE")</f>
        <v>FNCL 6 2025</v>
      </c>
      <c r="D1484" t="str">
        <f>_xll.BDP("!!03LLT7 Mtge","CRNCY")</f>
        <v>USD</v>
      </c>
      <c r="E1484">
        <v>70000000</v>
      </c>
      <c r="F1484">
        <f>_xll.BDP("!!03LLT7 Mtge","CPN")</f>
        <v>5.5</v>
      </c>
      <c r="G1484">
        <f>_xll.BDP("!!03LLT7 Mtge","MTG_FACTOR")</f>
        <v>0.55306993999999998</v>
      </c>
      <c r="H1484">
        <f>_xll.BDP("!!03LLT7 Mtge","MTG_WAL")</f>
        <v>1.2321</v>
      </c>
      <c r="I1484">
        <f>_xll.BDP("!!03LLT7 Mtge","MTG_ORIG_WAL")</f>
        <v>3.1</v>
      </c>
    </row>
    <row r="1485" spans="1:9" x14ac:dyDescent="0.25">
      <c r="A1485" t="str">
        <f>_xll.BDP("!!03LLT8 Mtge","ID_CUSIP")</f>
        <v>3137HKWU4</v>
      </c>
      <c r="B1485" t="str">
        <f>_xll.BDP("!!03LLT8 Mtge","SECURITY_NAME")</f>
        <v>FHR 5524 NJ</v>
      </c>
      <c r="C1485" t="str">
        <f>_xll.BDP("!!03LLT8 Mtge","GENERIC_TICKER_VINTAGE")</f>
        <v>FNCL 6 2025</v>
      </c>
      <c r="D1485" t="str">
        <f>_xll.BDP("!!03LLT8 Mtge","CRNCY")</f>
        <v>USD</v>
      </c>
      <c r="E1485">
        <v>70000000</v>
      </c>
      <c r="F1485">
        <f>_xll.BDP("!!03LLT8 Mtge","CPN")</f>
        <v>5.75</v>
      </c>
      <c r="G1485">
        <f>_xll.BDP("!!03LLT8 Mtge","MTG_FACTOR")</f>
        <v>0.55306993999999998</v>
      </c>
      <c r="H1485">
        <f>_xll.BDP("!!03LLT8 Mtge","MTG_WAL")</f>
        <v>1.2321</v>
      </c>
      <c r="I1485">
        <f>_xll.BDP("!!03LLT8 Mtge","MTG_ORIG_WAL")</f>
        <v>3.1</v>
      </c>
    </row>
    <row r="1486" spans="1:9" x14ac:dyDescent="0.25">
      <c r="A1486" t="str">
        <f>_xll.BDP("!!03LLTB Mtge","ID_CUSIP")</f>
        <v>3137HKWT7</v>
      </c>
      <c r="B1486" t="str">
        <f>_xll.BDP("!!03LLTB Mtge","SECURITY_NAME")</f>
        <v>FHR 5524 NI</v>
      </c>
      <c r="C1486" t="str">
        <f>_xll.BDP("!!03LLTB Mtge","GENERIC_TICKER_VINTAGE")</f>
        <v>FNCL 6 2025</v>
      </c>
      <c r="D1486" t="str">
        <f>_xll.BDP("!!03LLTB Mtge","CRNCY")</f>
        <v>USD</v>
      </c>
      <c r="E1486">
        <v>23333333</v>
      </c>
      <c r="F1486">
        <f>_xll.BDP("!!03LLTB Mtge","CPN")</f>
        <v>6</v>
      </c>
      <c r="G1486">
        <f>_xll.BDP("!!03LLTB Mtge","MTG_FACTOR")</f>
        <v>0.55306993999999998</v>
      </c>
      <c r="H1486">
        <f>_xll.BDP("!!03LLTB Mtge","MTG_WAL")</f>
        <v>1.2321</v>
      </c>
      <c r="I1486">
        <f>_xll.BDP("!!03LLTB Mtge","MTG_ORIG_WAL")</f>
        <v>3.1</v>
      </c>
    </row>
    <row r="1487" spans="1:9" x14ac:dyDescent="0.25">
      <c r="A1487" t="str">
        <f>_xll.BDP("!!03LPM3 Mtge","ID_CUSIP")</f>
        <v>3137HLED0</v>
      </c>
      <c r="B1487" t="str">
        <f>_xll.BDP("!!03LPM3 Mtge","SECURITY_NAME")</f>
        <v>FHR 5534 FA</v>
      </c>
      <c r="C1487" t="str">
        <f>_xll.BDP("!!03LPM3 Mtge","GENERIC_TICKER_VINTAGE")</f>
        <v>FNCL 6 2025</v>
      </c>
      <c r="D1487" t="str">
        <f>_xll.BDP("!!03LPM3 Mtge","CRNCY")</f>
        <v>USD</v>
      </c>
      <c r="E1487">
        <v>300000000</v>
      </c>
      <c r="F1487">
        <f>_xll.BDP("!!03LPM3 Mtge","CPN")</f>
        <v>5.2672100000000004</v>
      </c>
      <c r="G1487">
        <f>_xll.BDP("!!03LPM3 Mtge","MTG_FACTOR")</f>
        <v>0.71002679999999996</v>
      </c>
      <c r="H1487">
        <f>_xll.BDP("!!03LPM3 Mtge","MTG_WAL")</f>
        <v>3.0367000000000002</v>
      </c>
      <c r="I1487">
        <f>_xll.BDP("!!03LPM3 Mtge","MTG_ORIG_WAL")</f>
        <v>6.8</v>
      </c>
    </row>
    <row r="1488" spans="1:9" x14ac:dyDescent="0.25">
      <c r="A1488" t="str">
        <f>_xll.BDP("!!03LPM4 Mtge","ID_CUSIP")</f>
        <v>3137HLFS6</v>
      </c>
      <c r="B1488" t="str">
        <f>_xll.BDP("!!03LPM4 Mtge","SECURITY_NAME")</f>
        <v>FHR 5534 SA</v>
      </c>
      <c r="C1488" t="str">
        <f>_xll.BDP("!!03LPM4 Mtge","GENERIC_TICKER_VINTAGE")</f>
        <v>FNCL 6 2025</v>
      </c>
      <c r="D1488" t="str">
        <f>_xll.BDP("!!03LPM4 Mtge","CRNCY")</f>
        <v>USD</v>
      </c>
      <c r="E1488">
        <v>300000000</v>
      </c>
      <c r="F1488">
        <f>_xll.BDP("!!03LPM4 Mtge","CPN")</f>
        <v>0.73279000000000005</v>
      </c>
      <c r="G1488">
        <f>_xll.BDP("!!03LPM4 Mtge","MTG_FACTOR")</f>
        <v>0.71002679999999996</v>
      </c>
      <c r="H1488">
        <f>_xll.BDP("!!03LPM4 Mtge","MTG_WAL")</f>
        <v>3.0367000000000002</v>
      </c>
      <c r="I1488">
        <f>_xll.BDP("!!03LPM4 Mtge","MTG_ORIG_WAL")</f>
        <v>6.8</v>
      </c>
    </row>
    <row r="1489" spans="1:9" x14ac:dyDescent="0.25">
      <c r="A1489" t="str">
        <f>_xll.BDP("!!03LPSQ Mtge","ID_CUSIP")</f>
        <v>3136BVTT5</v>
      </c>
      <c r="B1489" t="str">
        <f>_xll.BDP("!!03LPSQ Mtge","SECURITY_NAME")</f>
        <v>FNR 2025-24 CE</v>
      </c>
      <c r="C1489" t="str">
        <f>_xll.BDP("!!03LPSQ Mtge","GENERIC_TICKER_VINTAGE")</f>
        <v>FNCL 6 2025</v>
      </c>
      <c r="D1489" t="str">
        <f>_xll.BDP("!!03LPSQ Mtge","CRNCY")</f>
        <v>USD</v>
      </c>
      <c r="E1489">
        <v>88073000</v>
      </c>
      <c r="F1489">
        <f>_xll.BDP("!!03LPSQ Mtge","CPN")</f>
        <v>5</v>
      </c>
      <c r="G1489">
        <f>_xll.BDP("!!03LPSQ Mtge","MTG_FACTOR")</f>
        <v>0.79320394999999999</v>
      </c>
      <c r="H1489">
        <f>_xll.BDP("!!03LPSQ Mtge","MTG_WAL")</f>
        <v>1.3665</v>
      </c>
      <c r="I1489">
        <f>_xll.BDP("!!03LPSQ Mtge","MTG_ORIG_WAL")</f>
        <v>3.2</v>
      </c>
    </row>
    <row r="1490" spans="1:9" x14ac:dyDescent="0.25">
      <c r="A1490" t="str">
        <f>_xll.BDP("!!03LPSR Mtge","ID_CUSIP")</f>
        <v>3136BVXM5</v>
      </c>
      <c r="B1490" t="str">
        <f>_xll.BDP("!!03LPSR Mtge","SECURITY_NAME")</f>
        <v>FNR 2025-24 CF</v>
      </c>
      <c r="C1490" t="str">
        <f>_xll.BDP("!!03LPSR Mtge","GENERIC_TICKER_VINTAGE")</f>
        <v>FNCL 6 2025</v>
      </c>
      <c r="D1490" t="str">
        <f>_xll.BDP("!!03LPSR Mtge","CRNCY")</f>
        <v>USD</v>
      </c>
      <c r="E1490">
        <v>142479051</v>
      </c>
      <c r="F1490">
        <f>_xll.BDP("!!03LPSR Mtge","CPN")</f>
        <v>4.6672099999999999</v>
      </c>
      <c r="G1490">
        <f>_xll.BDP("!!03LPSR Mtge","MTG_FACTOR")</f>
        <v>0.87216963999999997</v>
      </c>
      <c r="H1490">
        <f>_xll.BDP("!!03LPSR Mtge","MTG_WAL")</f>
        <v>3.0396999999999998</v>
      </c>
      <c r="I1490">
        <f>_xll.BDP("!!03LPSR Mtge","MTG_ORIG_WAL")</f>
        <v>6.2</v>
      </c>
    </row>
    <row r="1491" spans="1:9" x14ac:dyDescent="0.25">
      <c r="A1491" t="str">
        <f>_xll.BDP("!!03LPSS Mtge","ID_CUSIP")</f>
        <v>3136BVTU2</v>
      </c>
      <c r="B1491" t="str">
        <f>_xll.BDP("!!03LPSS Mtge","SECURITY_NAME")</f>
        <v>FNR 2025-24 CG</v>
      </c>
      <c r="C1491" t="str">
        <f>_xll.BDP("!!03LPSS Mtge","GENERIC_TICKER_VINTAGE")</f>
        <v>FNCL 6 2025</v>
      </c>
      <c r="D1491" t="str">
        <f>_xll.BDP("!!03LPSS Mtge","CRNCY")</f>
        <v>USD</v>
      </c>
      <c r="E1491">
        <v>58715333</v>
      </c>
      <c r="F1491">
        <f>_xll.BDP("!!03LPSS Mtge","CPN")</f>
        <v>5.25</v>
      </c>
      <c r="G1491">
        <f>_xll.BDP("!!03LPSS Mtge","MTG_FACTOR")</f>
        <v>0.79320394999999999</v>
      </c>
      <c r="H1491">
        <f>_xll.BDP("!!03LPSS Mtge","MTG_WAL")</f>
        <v>1.3665</v>
      </c>
      <c r="I1491">
        <f>_xll.BDP("!!03LPSS Mtge","MTG_ORIG_WAL")</f>
        <v>3.2</v>
      </c>
    </row>
    <row r="1492" spans="1:9" x14ac:dyDescent="0.25">
      <c r="A1492" t="str">
        <f>_xll.BDP("!!03LPST Mtge","ID_CUSIP")</f>
        <v>3136BVTV0</v>
      </c>
      <c r="B1492" t="str">
        <f>_xll.BDP("!!03LPST Mtge","SECURITY_NAME")</f>
        <v>FNR 2025-24 CH</v>
      </c>
      <c r="C1492" t="str">
        <f>_xll.BDP("!!03LPST Mtge","GENERIC_TICKER_VINTAGE")</f>
        <v>FNCL 6 2025</v>
      </c>
      <c r="D1492" t="str">
        <f>_xll.BDP("!!03LPST Mtge","CRNCY")</f>
        <v>USD</v>
      </c>
      <c r="E1492">
        <v>44036500</v>
      </c>
      <c r="F1492">
        <f>_xll.BDP("!!03LPST Mtge","CPN")</f>
        <v>5.5</v>
      </c>
      <c r="G1492">
        <f>_xll.BDP("!!03LPST Mtge","MTG_FACTOR")</f>
        <v>0.79320394999999999</v>
      </c>
      <c r="H1492">
        <f>_xll.BDP("!!03LPST Mtge","MTG_WAL")</f>
        <v>1.3665</v>
      </c>
      <c r="I1492">
        <f>_xll.BDP("!!03LPST Mtge","MTG_ORIG_WAL")</f>
        <v>3.2</v>
      </c>
    </row>
    <row r="1493" spans="1:9" x14ac:dyDescent="0.25">
      <c r="A1493" t="str">
        <f>_xll.BDP("!!03LPSV Mtge","ID_CUSIP")</f>
        <v>3136BVTW8</v>
      </c>
      <c r="B1493" t="str">
        <f>_xll.BDP("!!03LPSV Mtge","SECURITY_NAME")</f>
        <v>FNR 2025-24 CI</v>
      </c>
      <c r="C1493" t="str">
        <f>_xll.BDP("!!03LPSV Mtge","GENERIC_TICKER_VINTAGE")</f>
        <v>FNCL 6 2025</v>
      </c>
      <c r="D1493" t="str">
        <f>_xll.BDP("!!03LPSV Mtge","CRNCY")</f>
        <v>USD</v>
      </c>
      <c r="E1493">
        <v>7339416</v>
      </c>
      <c r="F1493">
        <f>_xll.BDP("!!03LPSV Mtge","CPN")</f>
        <v>6</v>
      </c>
      <c r="G1493">
        <f>_xll.BDP("!!03LPSV Mtge","MTG_FACTOR")</f>
        <v>0.79320394999999999</v>
      </c>
      <c r="H1493">
        <f>_xll.BDP("!!03LPSV Mtge","MTG_WAL")</f>
        <v>1.3665</v>
      </c>
      <c r="I1493">
        <f>_xll.BDP("!!03LPSV Mtge","MTG_ORIG_WAL")</f>
        <v>3.2</v>
      </c>
    </row>
    <row r="1494" spans="1:9" x14ac:dyDescent="0.25">
      <c r="A1494" t="str">
        <f>_xll.BDP("!!03LPSW Mtge","ID_CUSIP")</f>
        <v>3136BVTX6</v>
      </c>
      <c r="B1494" t="str">
        <f>_xll.BDP("!!03LPSW Mtge","SECURITY_NAME")</f>
        <v>FNR 2025-24 CJ</v>
      </c>
      <c r="C1494" t="str">
        <f>_xll.BDP("!!03LPSW Mtge","GENERIC_TICKER_VINTAGE")</f>
        <v>FNCL 6 2025</v>
      </c>
      <c r="D1494" t="str">
        <f>_xll.BDP("!!03LPSW Mtge","CRNCY")</f>
        <v>USD</v>
      </c>
      <c r="E1494">
        <v>101056000</v>
      </c>
      <c r="F1494">
        <f>_xll.BDP("!!03LPSW Mtge","CPN")</f>
        <v>4.5</v>
      </c>
      <c r="G1494">
        <f>_xll.BDP("!!03LPSW Mtge","MTG_FACTOR")</f>
        <v>0.81977173000000003</v>
      </c>
      <c r="H1494">
        <f>_xll.BDP("!!03LPSW Mtge","MTG_WAL")</f>
        <v>1.6302000000000001</v>
      </c>
      <c r="I1494">
        <f>_xll.BDP("!!03LPSW Mtge","MTG_ORIG_WAL")</f>
        <v>3.7</v>
      </c>
    </row>
    <row r="1495" spans="1:9" x14ac:dyDescent="0.25">
      <c r="A1495" t="str">
        <f>_xll.BDP("!!03LPSX Mtge","ID_CUSIP")</f>
        <v>3136BVTY4</v>
      </c>
      <c r="B1495" t="str">
        <f>_xll.BDP("!!03LPSX Mtge","SECURITY_NAME")</f>
        <v>FNR 2025-24 CK</v>
      </c>
      <c r="C1495" t="str">
        <f>_xll.BDP("!!03LPSX Mtge","GENERIC_TICKER_VINTAGE")</f>
        <v>FNCL 6 2025</v>
      </c>
      <c r="D1495" t="str">
        <f>_xll.BDP("!!03LPSX Mtge","CRNCY")</f>
        <v>USD</v>
      </c>
      <c r="E1495">
        <v>101056000</v>
      </c>
      <c r="F1495">
        <f>_xll.BDP("!!03LPSX Mtge","CPN")</f>
        <v>4.75</v>
      </c>
      <c r="G1495">
        <f>_xll.BDP("!!03LPSX Mtge","MTG_FACTOR")</f>
        <v>0.81977173000000003</v>
      </c>
      <c r="H1495">
        <f>_xll.BDP("!!03LPSX Mtge","MTG_WAL")</f>
        <v>1.6302000000000001</v>
      </c>
      <c r="I1495">
        <f>_xll.BDP("!!03LPSX Mtge","MTG_ORIG_WAL")</f>
        <v>3.7</v>
      </c>
    </row>
    <row r="1496" spans="1:9" x14ac:dyDescent="0.25">
      <c r="A1496" t="str">
        <f>_xll.BDP("!!03LPT1 Mtge","ID_CUSIP")</f>
        <v>3136BVUB2</v>
      </c>
      <c r="B1496" t="str">
        <f>_xll.BDP("!!03LPT1 Mtge","SECURITY_NAME")</f>
        <v>FNR 2025-24 CP</v>
      </c>
      <c r="C1496" t="str">
        <f>_xll.BDP("!!03LPT1 Mtge","GENERIC_TICKER_VINTAGE")</f>
        <v>FNCL 6 2025</v>
      </c>
      <c r="D1496" t="str">
        <f>_xll.BDP("!!03LPT1 Mtge","CRNCY")</f>
        <v>USD</v>
      </c>
      <c r="E1496">
        <v>50528000</v>
      </c>
      <c r="F1496">
        <f>_xll.BDP("!!03LPT1 Mtge","CPN")</f>
        <v>5.5</v>
      </c>
      <c r="G1496">
        <f>_xll.BDP("!!03LPT1 Mtge","MTG_FACTOR")</f>
        <v>0.81977173000000003</v>
      </c>
      <c r="H1496">
        <f>_xll.BDP("!!03LPT1 Mtge","MTG_WAL")</f>
        <v>1.6302000000000001</v>
      </c>
      <c r="I1496">
        <f>_xll.BDP("!!03LPT1 Mtge","MTG_ORIG_WAL")</f>
        <v>3.7</v>
      </c>
    </row>
    <row r="1497" spans="1:9" x14ac:dyDescent="0.25">
      <c r="A1497" t="str">
        <f>_xll.BDP("!!03LPT3 Mtge","ID_CUSIP")</f>
        <v>3136BVSH2</v>
      </c>
      <c r="B1497" t="str">
        <f>_xll.BDP("!!03LPT3 Mtge","SECURITY_NAME")</f>
        <v>FNR 2025-24 CV</v>
      </c>
      <c r="C1497" t="str">
        <f>_xll.BDP("!!03LPT3 Mtge","GENERIC_TICKER_VINTAGE")</f>
        <v>FNCL 6 2025</v>
      </c>
      <c r="D1497" t="str">
        <f>_xll.BDP("!!03LPT3 Mtge","CRNCY")</f>
        <v>USD</v>
      </c>
      <c r="E1497">
        <v>17427000</v>
      </c>
      <c r="F1497">
        <f>_xll.BDP("!!03LPT3 Mtge","CPN")</f>
        <v>5</v>
      </c>
      <c r="G1497">
        <f>_xll.BDP("!!03LPT3 Mtge","MTG_FACTOR")</f>
        <v>0.92955279000000002</v>
      </c>
      <c r="H1497">
        <f>_xll.BDP("!!03LPT3 Mtge","MTG_WAL")</f>
        <v>3.2323</v>
      </c>
      <c r="I1497">
        <f>_xll.BDP("!!03LPT3 Mtge","MTG_ORIG_WAL")</f>
        <v>5.5</v>
      </c>
    </row>
    <row r="1498" spans="1:9" x14ac:dyDescent="0.25">
      <c r="A1498" t="str">
        <f>_xll.BDP("!!03LPT4 Mtge","ID_CUSIP")</f>
        <v>3136BVSJ8</v>
      </c>
      <c r="B1498" t="str">
        <f>_xll.BDP("!!03LPT4 Mtge","SECURITY_NAME")</f>
        <v>FNR 2025-24 CZ</v>
      </c>
      <c r="C1498" t="str">
        <f>_xll.BDP("!!03LPT4 Mtge","GENERIC_TICKER_VINTAGE")</f>
        <v>FNCL 6 2025</v>
      </c>
      <c r="D1498" t="str">
        <f>_xll.BDP("!!03LPT4 Mtge","CRNCY")</f>
        <v>USD</v>
      </c>
      <c r="E1498">
        <v>23996052</v>
      </c>
      <c r="F1498">
        <f>_xll.BDP("!!03LPT4 Mtge","CPN")</f>
        <v>5</v>
      </c>
      <c r="G1498">
        <f>_xll.BDP("!!03LPT4 Mtge","MTG_FACTOR")</f>
        <v>1.0511619000000001</v>
      </c>
      <c r="H1498">
        <f>_xll.BDP("!!03LPT4 Mtge","MTG_WAL")</f>
        <v>6.8678999999999997</v>
      </c>
      <c r="I1498">
        <f>_xll.BDP("!!03LPT4 Mtge","MTG_ORIG_WAL")</f>
        <v>13</v>
      </c>
    </row>
    <row r="1499" spans="1:9" x14ac:dyDescent="0.25">
      <c r="A1499" t="str">
        <f>_xll.BDP("!!03LPT6 Mtge","ID_CUSIP")</f>
        <v>3136BVUD8</v>
      </c>
      <c r="B1499" t="str">
        <f>_xll.BDP("!!03LPT6 Mtge","SECURITY_NAME")</f>
        <v>FNR 2025-24 IC</v>
      </c>
      <c r="C1499" t="str">
        <f>_xll.BDP("!!03LPT6 Mtge","GENERIC_TICKER_VINTAGE")</f>
        <v>FNCL 6 2025</v>
      </c>
      <c r="D1499" t="str">
        <f>_xll.BDP("!!03LPT6 Mtge","CRNCY")</f>
        <v>USD</v>
      </c>
      <c r="E1499">
        <v>8421333</v>
      </c>
      <c r="F1499">
        <f>_xll.BDP("!!03LPT6 Mtge","CPN")</f>
        <v>6</v>
      </c>
      <c r="G1499">
        <f>_xll.BDP("!!03LPT6 Mtge","MTG_FACTOR")</f>
        <v>0.81977173000000003</v>
      </c>
      <c r="H1499">
        <f>_xll.BDP("!!03LPT6 Mtge","MTG_WAL")</f>
        <v>1.6302000000000001</v>
      </c>
      <c r="I1499">
        <f>_xll.BDP("!!03LPT6 Mtge","MTG_ORIG_WAL")</f>
        <v>3.7</v>
      </c>
    </row>
    <row r="1500" spans="1:9" x14ac:dyDescent="0.25">
      <c r="A1500" t="str">
        <f>_xll.BDP("!!03LPT7 Mtge","ID_CUSIP")</f>
        <v>3136BVUE6</v>
      </c>
      <c r="B1500" t="str">
        <f>_xll.BDP("!!03LPT7 Mtge","SECURITY_NAME")</f>
        <v>FNR 2025-24 IV</v>
      </c>
      <c r="C1500" t="str">
        <f>_xll.BDP("!!03LPT7 Mtge","GENERIC_TICKER_VINTAGE")</f>
        <v>FNCL 6 2025</v>
      </c>
      <c r="D1500" t="str">
        <f>_xll.BDP("!!03LPT7 Mtge","CRNCY")</f>
        <v>USD</v>
      </c>
      <c r="E1500">
        <v>2904500</v>
      </c>
      <c r="F1500">
        <f>_xll.BDP("!!03LPT7 Mtge","CPN")</f>
        <v>6</v>
      </c>
      <c r="G1500">
        <f>_xll.BDP("!!03LPT7 Mtge","MTG_FACTOR")</f>
        <v>0.92955279000000002</v>
      </c>
      <c r="H1500">
        <f>_xll.BDP("!!03LPT7 Mtge","MTG_WAL")</f>
        <v>3.2323</v>
      </c>
      <c r="I1500">
        <f>_xll.BDP("!!03LPT7 Mtge","MTG_ORIG_WAL")</f>
        <v>5.5</v>
      </c>
    </row>
    <row r="1501" spans="1:9" x14ac:dyDescent="0.25">
      <c r="A1501" t="str">
        <f>_xll.BDP("!!03LPT9 Mtge","ID_CUSIP")</f>
        <v>3136BVXN3</v>
      </c>
      <c r="B1501" t="str">
        <f>_xll.BDP("!!03LPT9 Mtge","SECURITY_NAME")</f>
        <v>FNR 2025-24 TC</v>
      </c>
      <c r="C1501" t="str">
        <f>_xll.BDP("!!03LPT9 Mtge","GENERIC_TICKER_VINTAGE")</f>
        <v>FNCL 6 2025</v>
      </c>
      <c r="D1501" t="str">
        <f>_xll.BDP("!!03LPT9 Mtge","CRNCY")</f>
        <v>USD</v>
      </c>
      <c r="E1501">
        <v>142479051</v>
      </c>
      <c r="F1501">
        <f>_xll.BDP("!!03LPT9 Mtge","CPN")</f>
        <v>7.0000000000000007E-2</v>
      </c>
      <c r="G1501">
        <f>_xll.BDP("!!03LPT9 Mtge","MTG_FACTOR")</f>
        <v>0.87216963999999997</v>
      </c>
      <c r="H1501">
        <f>_xll.BDP("!!03LPT9 Mtge","MTG_WAL")</f>
        <v>3.0396999999999998</v>
      </c>
      <c r="I1501">
        <f>_xll.BDP("!!03LPT9 Mtge","MTG_ORIG_WAL")</f>
        <v>6.2</v>
      </c>
    </row>
    <row r="1502" spans="1:9" x14ac:dyDescent="0.25">
      <c r="A1502" t="str">
        <f>_xll.BDP("!!03LPTB Mtge","ID_CUSIP")</f>
        <v>3136BVUF3</v>
      </c>
      <c r="B1502" t="str">
        <f>_xll.BDP("!!03LPTB Mtge","SECURITY_NAME")</f>
        <v>FNR 2025-24 VG</v>
      </c>
      <c r="C1502" t="str">
        <f>_xll.BDP("!!03LPTB Mtge","GENERIC_TICKER_VINTAGE")</f>
        <v>FNCL 6 2025</v>
      </c>
      <c r="D1502" t="str">
        <f>_xll.BDP("!!03LPTB Mtge","CRNCY")</f>
        <v>USD</v>
      </c>
      <c r="E1502">
        <v>17427000</v>
      </c>
      <c r="F1502">
        <f>_xll.BDP("!!03LPTB Mtge","CPN")</f>
        <v>4</v>
      </c>
      <c r="G1502">
        <f>_xll.BDP("!!03LPTB Mtge","MTG_FACTOR")</f>
        <v>0.92955279000000002</v>
      </c>
      <c r="H1502">
        <f>_xll.BDP("!!03LPTB Mtge","MTG_WAL")</f>
        <v>3.2323</v>
      </c>
      <c r="I1502">
        <f>_xll.BDP("!!03LPTB Mtge","MTG_ORIG_WAL")</f>
        <v>5.5</v>
      </c>
    </row>
    <row r="1503" spans="1:9" x14ac:dyDescent="0.25">
      <c r="A1503" t="str">
        <f>_xll.BDP("!!03LPTC Mtge","ID_CUSIP")</f>
        <v>3136BVUG1</v>
      </c>
      <c r="B1503" t="str">
        <f>_xll.BDP("!!03LPTC Mtge","SECURITY_NAME")</f>
        <v>FNR 2025-24 VH</v>
      </c>
      <c r="C1503" t="str">
        <f>_xll.BDP("!!03LPTC Mtge","GENERIC_TICKER_VINTAGE")</f>
        <v>FNCL 6 2025</v>
      </c>
      <c r="D1503" t="str">
        <f>_xll.BDP("!!03LPTC Mtge","CRNCY")</f>
        <v>USD</v>
      </c>
      <c r="E1503">
        <v>17427000</v>
      </c>
      <c r="F1503">
        <f>_xll.BDP("!!03LPTC Mtge","CPN")</f>
        <v>4.25</v>
      </c>
      <c r="G1503">
        <f>_xll.BDP("!!03LPTC Mtge","MTG_FACTOR")</f>
        <v>0.92955279000000002</v>
      </c>
      <c r="H1503">
        <f>_xll.BDP("!!03LPTC Mtge","MTG_WAL")</f>
        <v>3.2323</v>
      </c>
      <c r="I1503">
        <f>_xll.BDP("!!03LPTC Mtge","MTG_ORIG_WAL")</f>
        <v>5.5</v>
      </c>
    </row>
    <row r="1504" spans="1:9" x14ac:dyDescent="0.25">
      <c r="A1504" t="str">
        <f>_xll.BDP("!!03LPTD Mtge","ID_CUSIP")</f>
        <v>3136BVUH9</v>
      </c>
      <c r="B1504" t="str">
        <f>_xll.BDP("!!03LPTD Mtge","SECURITY_NAME")</f>
        <v>FNR 2025-24 VJ</v>
      </c>
      <c r="C1504" t="str">
        <f>_xll.BDP("!!03LPTD Mtge","GENERIC_TICKER_VINTAGE")</f>
        <v>FNCL 6 2025</v>
      </c>
      <c r="D1504" t="str">
        <f>_xll.BDP("!!03LPTD Mtge","CRNCY")</f>
        <v>USD</v>
      </c>
      <c r="E1504">
        <v>17427000</v>
      </c>
      <c r="F1504">
        <f>_xll.BDP("!!03LPTD Mtge","CPN")</f>
        <v>4.5</v>
      </c>
      <c r="G1504">
        <f>_xll.BDP("!!03LPTD Mtge","MTG_FACTOR")</f>
        <v>0.92955279000000002</v>
      </c>
      <c r="H1504">
        <f>_xll.BDP("!!03LPTD Mtge","MTG_WAL")</f>
        <v>3.2323</v>
      </c>
      <c r="I1504">
        <f>_xll.BDP("!!03LPTD Mtge","MTG_ORIG_WAL")</f>
        <v>5.5</v>
      </c>
    </row>
    <row r="1505" spans="1:9" x14ac:dyDescent="0.25">
      <c r="A1505" t="str">
        <f>_xll.BDP("!!03LPTF Mtge","ID_CUSIP")</f>
        <v>3136BVUJ5</v>
      </c>
      <c r="B1505" t="str">
        <f>_xll.BDP("!!03LPTF Mtge","SECURITY_NAME")</f>
        <v>FNR 2025-24 VK</v>
      </c>
      <c r="C1505" t="str">
        <f>_xll.BDP("!!03LPTF Mtge","GENERIC_TICKER_VINTAGE")</f>
        <v>FNCL 6 2025</v>
      </c>
      <c r="D1505" t="str">
        <f>_xll.BDP("!!03LPTF Mtge","CRNCY")</f>
        <v>USD</v>
      </c>
      <c r="E1505">
        <v>17427000</v>
      </c>
      <c r="F1505">
        <f>_xll.BDP("!!03LPTF Mtge","CPN")</f>
        <v>4.75</v>
      </c>
      <c r="G1505">
        <f>_xll.BDP("!!03LPTF Mtge","MTG_FACTOR")</f>
        <v>0.92955279000000002</v>
      </c>
      <c r="H1505">
        <f>_xll.BDP("!!03LPTF Mtge","MTG_WAL")</f>
        <v>3.2323</v>
      </c>
      <c r="I1505">
        <f>_xll.BDP("!!03LPTF Mtge","MTG_ORIG_WAL")</f>
        <v>5.5</v>
      </c>
    </row>
    <row r="1506" spans="1:9" x14ac:dyDescent="0.25">
      <c r="A1506" t="str">
        <f>_xll.BDP("!!03LRSP Mtge","ID_CUSIP")</f>
        <v>3137HLEP3</v>
      </c>
      <c r="B1506" t="str">
        <f>_xll.BDP("!!03LRSP Mtge","SECURITY_NAME")</f>
        <v>FHR 5534 FM</v>
      </c>
      <c r="C1506" t="str">
        <f>_xll.BDP("!!03LRSP Mtge","GENERIC_TICKER_VINTAGE")</f>
        <v>FNCL 6 2025</v>
      </c>
      <c r="D1506" t="str">
        <f>_xll.BDP("!!03LRSP Mtge","CRNCY")</f>
        <v>USD</v>
      </c>
      <c r="E1506">
        <v>150000000</v>
      </c>
      <c r="F1506">
        <f>_xll.BDP("!!03LRSP Mtge","CPN")</f>
        <v>4.5972099999999996</v>
      </c>
      <c r="G1506">
        <f>_xll.BDP("!!03LRSP Mtge","MTG_FACTOR")</f>
        <v>0.71002679999999996</v>
      </c>
      <c r="H1506">
        <f>_xll.BDP("!!03LRSP Mtge","MTG_WAL")</f>
        <v>3.0367000000000002</v>
      </c>
      <c r="I1506">
        <f>_xll.BDP("!!03LRSP Mtge","MTG_ORIG_WAL")</f>
        <v>6.8</v>
      </c>
    </row>
    <row r="1507" spans="1:9" x14ac:dyDescent="0.25">
      <c r="A1507" t="str">
        <f>_xll.BDP("!!03LSDS Mtge","ID_CUSIP")</f>
        <v>3137HLG48</v>
      </c>
      <c r="B1507" t="str">
        <f>_xll.BDP("!!03LSDS Mtge","SECURITY_NAME")</f>
        <v>FHR 5534 TB</v>
      </c>
      <c r="C1507" t="str">
        <f>_xll.BDP("!!03LSDS Mtge","GENERIC_TICKER_VINTAGE")</f>
        <v>FNCL 6 2025</v>
      </c>
      <c r="D1507" t="str">
        <f>_xll.BDP("!!03LSDS Mtge","CRNCY")</f>
        <v>USD</v>
      </c>
      <c r="E1507">
        <v>75000000</v>
      </c>
      <c r="F1507">
        <f>_xll.BDP("!!03LSDS Mtge","CPN")</f>
        <v>0.05</v>
      </c>
      <c r="G1507">
        <f>_xll.BDP("!!03LSDS Mtge","MTG_FACTOR")</f>
        <v>0.87443875000000004</v>
      </c>
      <c r="H1507">
        <f>_xll.BDP("!!03LSDS Mtge","MTG_WAL")</f>
        <v>3.1488</v>
      </c>
      <c r="I1507">
        <f>_xll.BDP("!!03LSDS Mtge","MTG_ORIG_WAL")</f>
        <v>6.7</v>
      </c>
    </row>
    <row r="1508" spans="1:9" x14ac:dyDescent="0.25">
      <c r="A1508" t="str">
        <f>_xll.BDP("!!03LSDT Mtge","ID_CUSIP")</f>
        <v>3137HLEE8</v>
      </c>
      <c r="B1508" t="str">
        <f>_xll.BDP("!!03LSDT Mtge","SECURITY_NAME")</f>
        <v>FHR 5534 FB</v>
      </c>
      <c r="C1508" t="str">
        <f>_xll.BDP("!!03LSDT Mtge","GENERIC_TICKER_VINTAGE")</f>
        <v>FNCL 6 2025</v>
      </c>
      <c r="D1508" t="str">
        <f>_xll.BDP("!!03LSDT Mtge","CRNCY")</f>
        <v>USD</v>
      </c>
      <c r="E1508">
        <v>259620347</v>
      </c>
      <c r="F1508">
        <f>_xll.BDP("!!03LSDT Mtge","CPN")</f>
        <v>4.9172099999999999</v>
      </c>
      <c r="G1508">
        <f>_xll.BDP("!!03LSDT Mtge","MTG_FACTOR")</f>
        <v>0.87443875000000004</v>
      </c>
      <c r="H1508">
        <f>_xll.BDP("!!03LSDT Mtge","MTG_WAL")</f>
        <v>3.1488</v>
      </c>
      <c r="I1508">
        <f>_xll.BDP("!!03LSDT Mtge","MTG_ORIG_WAL")</f>
        <v>6.7</v>
      </c>
    </row>
    <row r="1509" spans="1:9" x14ac:dyDescent="0.25">
      <c r="A1509" t="str">
        <f>_xll.BDP("!!03LSDV Mtge","ID_CUSIP")</f>
        <v>3137HLFT4</v>
      </c>
      <c r="B1509" t="str">
        <f>_xll.BDP("!!03LSDV Mtge","SECURITY_NAME")</f>
        <v>FHR 5534 SB</v>
      </c>
      <c r="C1509" t="str">
        <f>_xll.BDP("!!03LSDV Mtge","GENERIC_TICKER_VINTAGE")</f>
        <v>FNCL 6 2025</v>
      </c>
      <c r="D1509" t="str">
        <f>_xll.BDP("!!03LSDV Mtge","CRNCY")</f>
        <v>USD</v>
      </c>
      <c r="E1509">
        <v>232040213</v>
      </c>
      <c r="F1509">
        <f>_xll.BDP("!!03LSDV Mtge","CPN")</f>
        <v>1.5827899999999999</v>
      </c>
      <c r="G1509">
        <f>_xll.BDP("!!03LSDV Mtge","MTG_FACTOR")</f>
        <v>0.88650614000000005</v>
      </c>
      <c r="H1509">
        <f>_xll.BDP("!!03LSDV Mtge","MTG_WAL")</f>
        <v>3.1501000000000001</v>
      </c>
      <c r="I1509">
        <f>_xll.BDP("!!03LSDV Mtge","MTG_ORIG_WAL")</f>
        <v>6.7</v>
      </c>
    </row>
    <row r="1510" spans="1:9" x14ac:dyDescent="0.25">
      <c r="A1510" t="str">
        <f>_xll.BDP("!!03LSDW Mtge","ID_CUSIP")</f>
        <v>3137HLDA7</v>
      </c>
      <c r="B1510" t="str">
        <f>_xll.BDP("!!03LSDW Mtge","SECURITY_NAME")</f>
        <v>FHR 5534 A</v>
      </c>
      <c r="C1510" t="str">
        <f>_xll.BDP("!!03LSDW Mtge","GENERIC_TICKER_VINTAGE")</f>
        <v>FNCL 6 2025</v>
      </c>
      <c r="D1510" t="str">
        <f>_xll.BDP("!!03LSDW Mtge","CRNCY")</f>
        <v>USD</v>
      </c>
      <c r="E1510">
        <v>116020108</v>
      </c>
      <c r="F1510">
        <f>_xll.BDP("!!03LSDW Mtge","CPN")</f>
        <v>5</v>
      </c>
      <c r="G1510">
        <f>_xll.BDP("!!03LSDW Mtge","MTG_FACTOR")</f>
        <v>0.88650614000000005</v>
      </c>
      <c r="H1510">
        <f>_xll.BDP("!!03LSDW Mtge","MTG_WAL")</f>
        <v>3.1959</v>
      </c>
      <c r="I1510">
        <f>_xll.BDP("!!03LSDW Mtge","MTG_ORIG_WAL")</f>
        <v>6.7</v>
      </c>
    </row>
    <row r="1511" spans="1:9" x14ac:dyDescent="0.25">
      <c r="A1511" t="str">
        <f>_xll.BDP("!!03LSS0 Mtge","ID_CUSIP")</f>
        <v>3137HLCD2</v>
      </c>
      <c r="B1511" t="str">
        <f>_xll.BDP("!!03LSS0 Mtge","SECURITY_NAME")</f>
        <v>FHR 5537 SA</v>
      </c>
      <c r="C1511" t="str">
        <f>_xll.BDP("!!03LSS0 Mtge","GENERIC_TICKER_VINTAGE")</f>
        <v>FNCL 6 2025</v>
      </c>
      <c r="D1511" t="str">
        <f>_xll.BDP("!!03LSS0 Mtge","CRNCY")</f>
        <v>USD</v>
      </c>
      <c r="E1511">
        <v>198767794</v>
      </c>
      <c r="F1511">
        <f>_xll.BDP("!!03LSS0 Mtge","CPN")</f>
        <v>1.0327900000000001</v>
      </c>
      <c r="G1511">
        <f>_xll.BDP("!!03LSS0 Mtge","MTG_FACTOR")</f>
        <v>0.71002679999999996</v>
      </c>
      <c r="H1511">
        <f>_xll.BDP("!!03LSS0 Mtge","MTG_WAL")</f>
        <v>2.9784999999999999</v>
      </c>
      <c r="I1511">
        <f>_xll.BDP("!!03LSS0 Mtge","MTG_ORIG_WAL")</f>
        <v>7.1</v>
      </c>
    </row>
    <row r="1512" spans="1:9" x14ac:dyDescent="0.25">
      <c r="A1512" t="str">
        <f>_xll.BDP("!!03LSTL Mtge","ID_CUSIP")</f>
        <v>3137HLDS8</v>
      </c>
      <c r="B1512" t="str">
        <f>_xll.BDP("!!03LSTL Mtge","SECURITY_NAME")</f>
        <v>FHR 5534 CF</v>
      </c>
      <c r="C1512" t="str">
        <f>_xll.BDP("!!03LSTL Mtge","GENERIC_TICKER_VINTAGE")</f>
        <v>FNCL 6 2025</v>
      </c>
      <c r="D1512" t="str">
        <f>_xll.BDP("!!03LSTL Mtge","CRNCY")</f>
        <v>USD</v>
      </c>
      <c r="E1512">
        <v>20000000</v>
      </c>
      <c r="F1512">
        <f>_xll.BDP("!!03LSTL Mtge","CPN")</f>
        <v>4.86721</v>
      </c>
      <c r="G1512">
        <f>_xll.BDP("!!03LSTL Mtge","MTG_FACTOR")</f>
        <v>0.87443875000000004</v>
      </c>
      <c r="H1512">
        <f>_xll.BDP("!!03LSTL Mtge","MTG_WAL")</f>
        <v>3.1488</v>
      </c>
      <c r="I1512">
        <f>_xll.BDP("!!03LSTL Mtge","MTG_ORIG_WAL")</f>
        <v>6.7</v>
      </c>
    </row>
    <row r="1513" spans="1:9" x14ac:dyDescent="0.25">
      <c r="A1513" t="str">
        <f>_xll.BDP("!!03LSWW Mtge","ID_CUSIP")</f>
        <v>3137HLFV9</v>
      </c>
      <c r="B1513" t="str">
        <f>_xll.BDP("!!03LSWW Mtge","SECURITY_NAME")</f>
        <v>FHR 5534 SD</v>
      </c>
      <c r="C1513" t="str">
        <f>_xll.BDP("!!03LSWW Mtge","GENERIC_TICKER_VINTAGE")</f>
        <v>FNCL 6 2025</v>
      </c>
      <c r="D1513" t="str">
        <f>_xll.BDP("!!03LSWW Mtge","CRNCY")</f>
        <v>USD</v>
      </c>
      <c r="E1513">
        <v>147227535</v>
      </c>
      <c r="F1513">
        <f>_xll.BDP("!!03LSWW Mtge","CPN")</f>
        <v>1.0827899999999999</v>
      </c>
      <c r="G1513">
        <f>_xll.BDP("!!03LSWW Mtge","MTG_FACTOR")</f>
        <v>0.71002679999999996</v>
      </c>
      <c r="H1513">
        <f>_xll.BDP("!!03LSWW Mtge","MTG_WAL")</f>
        <v>2.9784999999999999</v>
      </c>
      <c r="I1513">
        <f>_xll.BDP("!!03LSWW Mtge","MTG_ORIG_WAL")</f>
        <v>5.0999999999999996</v>
      </c>
    </row>
    <row r="1514" spans="1:9" x14ac:dyDescent="0.25">
      <c r="A1514" t="str">
        <f>_xll.BDP("!!03LSWY Mtge","ID_CUSIP")</f>
        <v>3137HL2D3</v>
      </c>
      <c r="B1514" t="str">
        <f>_xll.BDP("!!03LSWY Mtge","SECURITY_NAME")</f>
        <v>FHR 5541 DV</v>
      </c>
      <c r="C1514" t="str">
        <f>_xll.BDP("!!03LSWY Mtge","GENERIC_TICKER_VINTAGE")</f>
        <v>FNCL 6 2025</v>
      </c>
      <c r="D1514" t="str">
        <f>_xll.BDP("!!03LSWY Mtge","CRNCY")</f>
        <v>USD</v>
      </c>
      <c r="E1514">
        <v>9293000</v>
      </c>
      <c r="F1514">
        <f>_xll.BDP("!!03LSWY Mtge","CPN")</f>
        <v>5</v>
      </c>
      <c r="G1514">
        <f>_xll.BDP("!!03LSWY Mtge","MTG_FACTOR")</f>
        <v>0.93555538000000005</v>
      </c>
      <c r="H1514">
        <f>_xll.BDP("!!03LSWY Mtge","MTG_WAL")</f>
        <v>3.3248000000000002</v>
      </c>
      <c r="I1514">
        <f>_xll.BDP("!!03LSWY Mtge","MTG_ORIG_WAL")</f>
        <v>5.7</v>
      </c>
    </row>
    <row r="1515" spans="1:9" x14ac:dyDescent="0.25">
      <c r="A1515" t="str">
        <f>_xll.BDP("!!03LSX0 Mtge","ID_CUSIP")</f>
        <v>3137HL2W1</v>
      </c>
      <c r="B1515" t="str">
        <f>_xll.BDP("!!03LSX0 Mtge","SECURITY_NAME")</f>
        <v>FHR 5541 FD</v>
      </c>
      <c r="C1515" t="str">
        <f>_xll.BDP("!!03LSX0 Mtge","GENERIC_TICKER_VINTAGE")</f>
        <v>FNCL 6 2025</v>
      </c>
      <c r="D1515" t="str">
        <f>_xll.BDP("!!03LSX0 Mtge","CRNCY")</f>
        <v>USD</v>
      </c>
      <c r="E1515">
        <v>160825199</v>
      </c>
      <c r="F1515">
        <f>_xll.BDP("!!03LSX0 Mtge","CPN")</f>
        <v>4.9172099999999999</v>
      </c>
      <c r="G1515">
        <f>_xll.BDP("!!03LSX0 Mtge","MTG_FACTOR")</f>
        <v>0.85291287000000005</v>
      </c>
      <c r="H1515">
        <f>_xll.BDP("!!03LSX0 Mtge","MTG_WAL")</f>
        <v>3.0733999999999999</v>
      </c>
      <c r="I1515">
        <f>_xll.BDP("!!03LSX0 Mtge","MTG_ORIG_WAL")</f>
        <v>6.5</v>
      </c>
    </row>
    <row r="1516" spans="1:9" x14ac:dyDescent="0.25">
      <c r="A1516" t="str">
        <f>_xll.BDP("!!03LSX2 Mtge","ID_CUSIP")</f>
        <v>3137HL2C5</v>
      </c>
      <c r="B1516" t="str">
        <f>_xll.BDP("!!03LSX2 Mtge","SECURITY_NAME")</f>
        <v>FHR 5541 DT</v>
      </c>
      <c r="C1516" t="str">
        <f>_xll.BDP("!!03LSX2 Mtge","GENERIC_TICKER_VINTAGE")</f>
        <v>FNCL 6 2025</v>
      </c>
      <c r="D1516" t="str">
        <f>_xll.BDP("!!03LSX2 Mtge","CRNCY")</f>
        <v>USD</v>
      </c>
      <c r="E1516">
        <v>80412600</v>
      </c>
      <c r="F1516">
        <f>_xll.BDP("!!03LSX2 Mtge","CPN")</f>
        <v>5</v>
      </c>
      <c r="G1516">
        <f>_xll.BDP("!!03LSX2 Mtge","MTG_FACTOR")</f>
        <v>0.85291287000000005</v>
      </c>
      <c r="H1516">
        <f>_xll.BDP("!!03LSX2 Mtge","MTG_WAL")</f>
        <v>3.1503000000000001</v>
      </c>
      <c r="I1516">
        <f>_xll.BDP("!!03LSX2 Mtge","MTG_ORIG_WAL")</f>
        <v>6.5</v>
      </c>
    </row>
    <row r="1517" spans="1:9" x14ac:dyDescent="0.25">
      <c r="A1517" t="str">
        <f>_xll.BDP("!!03LSX3 Mtge","ID_CUSIP")</f>
        <v>3137HKZT4</v>
      </c>
      <c r="B1517" t="str">
        <f>_xll.BDP("!!03LSX3 Mtge","SECURITY_NAME")</f>
        <v>FHR 5541 DB</v>
      </c>
      <c r="C1517" t="str">
        <f>_xll.BDP("!!03LSX3 Mtge","GENERIC_TICKER_VINTAGE")</f>
        <v>FNCL 6 2025</v>
      </c>
      <c r="D1517" t="str">
        <f>_xll.BDP("!!03LSX3 Mtge","CRNCY")</f>
        <v>USD</v>
      </c>
      <c r="E1517">
        <v>22089600</v>
      </c>
      <c r="F1517">
        <f>_xll.BDP("!!03LSX3 Mtge","CPN")</f>
        <v>5</v>
      </c>
      <c r="G1517">
        <f>_xll.BDP("!!03LSX3 Mtge","MTG_FACTOR")</f>
        <v>1</v>
      </c>
      <c r="H1517">
        <f>_xll.BDP("!!03LSX3 Mtge","MTG_WAL")</f>
        <v>6.2210000000000001</v>
      </c>
      <c r="I1517">
        <f>_xll.BDP("!!03LSX3 Mtge","MTG_ORIG_WAL")</f>
        <v>13.3</v>
      </c>
    </row>
    <row r="1518" spans="1:9" x14ac:dyDescent="0.25">
      <c r="A1518" t="str">
        <f>_xll.BDP("!!03LTDG Mtge","ID_CUSIP")</f>
        <v>3137HLEZ1</v>
      </c>
      <c r="B1518" t="str">
        <f>_xll.BDP("!!03LTDG Mtge","SECURITY_NAME")</f>
        <v>FHR 5534 GF</v>
      </c>
      <c r="C1518" t="str">
        <f>_xll.BDP("!!03LTDG Mtge","GENERIC_TICKER_VINTAGE")</f>
        <v>FNCL 6 2025</v>
      </c>
      <c r="D1518" t="str">
        <f>_xll.BDP("!!03LTDG Mtge","CRNCY")</f>
        <v>USD</v>
      </c>
      <c r="E1518">
        <v>50000000</v>
      </c>
      <c r="F1518">
        <f>_xll.BDP("!!03LTDG Mtge","CPN")</f>
        <v>4.61721</v>
      </c>
      <c r="G1518">
        <f>_xll.BDP("!!03LTDG Mtge","MTG_FACTOR")</f>
        <v>0.71002679999999996</v>
      </c>
      <c r="H1518">
        <f>_xll.BDP("!!03LTDG Mtge","MTG_WAL")</f>
        <v>3.0367000000000002</v>
      </c>
      <c r="I1518">
        <f>_xll.BDP("!!03LTDG Mtge","MTG_ORIG_WAL")</f>
        <v>6.8</v>
      </c>
    </row>
    <row r="1519" spans="1:9" x14ac:dyDescent="0.25">
      <c r="A1519" t="str">
        <f>_xll.BDP("!!03LTDQ Mtge","ID_CUSIP")</f>
        <v>3137HLF31</v>
      </c>
      <c r="B1519" t="str">
        <f>_xll.BDP("!!03LTDQ Mtge","SECURITY_NAME")</f>
        <v>FHR 5534 HF</v>
      </c>
      <c r="C1519" t="str">
        <f>_xll.BDP("!!03LTDQ Mtge","GENERIC_TICKER_VINTAGE")</f>
        <v>FNCL 6 2025</v>
      </c>
      <c r="D1519" t="str">
        <f>_xll.BDP("!!03LTDQ Mtge","CRNCY")</f>
        <v>USD</v>
      </c>
      <c r="E1519">
        <v>147227535</v>
      </c>
      <c r="F1519">
        <f>_xll.BDP("!!03LTDQ Mtge","CPN")</f>
        <v>4.6672099999999999</v>
      </c>
      <c r="G1519">
        <f>_xll.BDP("!!03LTDQ Mtge","MTG_FACTOR")</f>
        <v>0.71002679999999996</v>
      </c>
      <c r="H1519">
        <f>_xll.BDP("!!03LTDQ Mtge","MTG_WAL")</f>
        <v>2.9784999999999999</v>
      </c>
      <c r="I1519">
        <f>_xll.BDP("!!03LTDQ Mtge","MTG_ORIG_WAL")</f>
        <v>5.0999999999999996</v>
      </c>
    </row>
    <row r="1520" spans="1:9" x14ac:dyDescent="0.25">
      <c r="A1520" t="str">
        <f>_xll.BDP("!!03LTDR Mtge","ID_CUSIP")</f>
        <v>3137HLGB2</v>
      </c>
      <c r="B1520" t="str">
        <f>_xll.BDP("!!03LTDR Mtge","SECURITY_NAME")</f>
        <v>FHR 5534 TI</v>
      </c>
      <c r="C1520" t="str">
        <f>_xll.BDP("!!03LTDR Mtge","GENERIC_TICKER_VINTAGE")</f>
        <v>FNCL 6 2025</v>
      </c>
      <c r="D1520" t="str">
        <f>_xll.BDP("!!03LTDR Mtge","CRNCY")</f>
        <v>USD</v>
      </c>
      <c r="E1520">
        <v>147227535</v>
      </c>
      <c r="F1520">
        <f>_xll.BDP("!!03LTDR Mtge","CPN")</f>
        <v>0.25</v>
      </c>
      <c r="G1520">
        <f>_xll.BDP("!!03LTDR Mtge","MTG_FACTOR")</f>
        <v>0.71002679999999996</v>
      </c>
      <c r="H1520">
        <f>_xll.BDP("!!03LTDR Mtge","MTG_WAL")</f>
        <v>2.9784999999999999</v>
      </c>
      <c r="I1520">
        <f>_xll.BDP("!!03LTDR Mtge","MTG_ORIG_WAL")</f>
        <v>5.0999999999999996</v>
      </c>
    </row>
    <row r="1521" spans="1:9" x14ac:dyDescent="0.25">
      <c r="A1521" t="str">
        <f>_xll.BDP("!!03LTKP Mtge","ID_CUSIP")</f>
        <v>3137HL2T8</v>
      </c>
      <c r="B1521" t="str">
        <f>_xll.BDP("!!03LTKP Mtge","SECURITY_NAME")</f>
        <v>FHR 5541 EV</v>
      </c>
      <c r="C1521" t="str">
        <f>_xll.BDP("!!03LTKP Mtge","GENERIC_TICKER_VINTAGE")</f>
        <v>FNCL 6 2025</v>
      </c>
      <c r="D1521" t="str">
        <f>_xll.BDP("!!03LTKP Mtge","CRNCY")</f>
        <v>USD</v>
      </c>
      <c r="E1521">
        <v>21590000</v>
      </c>
      <c r="F1521">
        <f>_xll.BDP("!!03LTKP Mtge","CPN")</f>
        <v>5</v>
      </c>
      <c r="G1521">
        <f>_xll.BDP("!!03LTKP Mtge","MTG_FACTOR")</f>
        <v>0.93555918000000005</v>
      </c>
      <c r="H1521">
        <f>_xll.BDP("!!03LTKP Mtge","MTG_WAL")</f>
        <v>3.2854000000000001</v>
      </c>
      <c r="I1521">
        <f>_xll.BDP("!!03LTKP Mtge","MTG_ORIG_WAL")</f>
        <v>5.6</v>
      </c>
    </row>
    <row r="1522" spans="1:9" x14ac:dyDescent="0.25">
      <c r="A1522" t="str">
        <f>_xll.BDP("!!03LTKQ Mtge","ID_CUSIP")</f>
        <v>3137HL2U5</v>
      </c>
      <c r="B1522" t="str">
        <f>_xll.BDP("!!03LTKQ Mtge","SECURITY_NAME")</f>
        <v>FHR 5541 EZ</v>
      </c>
      <c r="C1522" t="str">
        <f>_xll.BDP("!!03LTKQ Mtge","GENERIC_TICKER_VINTAGE")</f>
        <v>FNCL 6 2025</v>
      </c>
      <c r="D1522" t="str">
        <f>_xll.BDP("!!03LTKQ Mtge","CRNCY")</f>
        <v>USD</v>
      </c>
      <c r="E1522">
        <v>29728000</v>
      </c>
      <c r="F1522">
        <f>_xll.BDP("!!03LTKQ Mtge","CPN")</f>
        <v>5</v>
      </c>
      <c r="G1522">
        <f>_xll.BDP("!!03LTKQ Mtge","MTG_FACTOR")</f>
        <v>1.0468002300000001</v>
      </c>
      <c r="H1522">
        <f>_xll.BDP("!!03LTKQ Mtge","MTG_WAL")</f>
        <v>6.9339000000000004</v>
      </c>
      <c r="I1522">
        <f>_xll.BDP("!!03LTKQ Mtge","MTG_ORIG_WAL")</f>
        <v>13.6</v>
      </c>
    </row>
    <row r="1523" spans="1:9" x14ac:dyDescent="0.25">
      <c r="A1523" t="str">
        <f>_xll.BDP("!!03LTKR Mtge","ID_CUSIP")</f>
        <v>3137HL2X9</v>
      </c>
      <c r="B1523" t="str">
        <f>_xll.BDP("!!03LTKR Mtge","SECURITY_NAME")</f>
        <v>FHR 5541 FE</v>
      </c>
      <c r="C1523" t="str">
        <f>_xll.BDP("!!03LTKR Mtge","GENERIC_TICKER_VINTAGE")</f>
        <v>FNCL 6 2025</v>
      </c>
      <c r="D1523" t="str">
        <f>_xll.BDP("!!03LTKR Mtge","CRNCY")</f>
        <v>USD</v>
      </c>
      <c r="E1523">
        <v>50000000</v>
      </c>
      <c r="F1523">
        <f>_xll.BDP("!!03LTKR Mtge","CPN")</f>
        <v>4.9672099999999997</v>
      </c>
      <c r="G1523">
        <f>_xll.BDP("!!03LTKR Mtge","MTG_FACTOR")</f>
        <v>0.88904245999999998</v>
      </c>
      <c r="H1523">
        <f>_xll.BDP("!!03LTKR Mtge","MTG_WAL")</f>
        <v>3.0947</v>
      </c>
      <c r="I1523">
        <f>_xll.BDP("!!03LTKR Mtge","MTG_ORIG_WAL")</f>
        <v>6.5</v>
      </c>
    </row>
    <row r="1524" spans="1:9" x14ac:dyDescent="0.25">
      <c r="A1524" t="str">
        <f>_xll.BDP("!!03LTKS Mtge","ID_CUSIP")</f>
        <v>3137HL3R1</v>
      </c>
      <c r="B1524" t="str">
        <f>_xll.BDP("!!03LTKS Mtge","SECURITY_NAME")</f>
        <v>FHR 5541 SE</v>
      </c>
      <c r="C1524" t="str">
        <f>_xll.BDP("!!03LTKS Mtge","GENERIC_TICKER_VINTAGE")</f>
        <v>FNCL 6 2025</v>
      </c>
      <c r="D1524" t="str">
        <f>_xll.BDP("!!03LTKS Mtge","CRNCY")</f>
        <v>USD</v>
      </c>
      <c r="E1524">
        <v>50000000</v>
      </c>
      <c r="F1524">
        <f>_xll.BDP("!!03LTKS Mtge","CPN")</f>
        <v>2.0327899999999999</v>
      </c>
      <c r="G1524">
        <f>_xll.BDP("!!03LTKS Mtge","MTG_FACTOR")</f>
        <v>0.88904245999999998</v>
      </c>
      <c r="H1524">
        <f>_xll.BDP("!!03LTKS Mtge","MTG_WAL")</f>
        <v>3.0947</v>
      </c>
      <c r="I1524">
        <f>_xll.BDP("!!03LTKS Mtge","MTG_ORIG_WAL")</f>
        <v>6.5</v>
      </c>
    </row>
    <row r="1525" spans="1:9" x14ac:dyDescent="0.25">
      <c r="A1525" t="str">
        <f>_xll.BDP("!!03LTKT Mtge","ID_CUSIP")</f>
        <v>3137HL2H4</v>
      </c>
      <c r="B1525" t="str">
        <f>_xll.BDP("!!03LTKT Mtge","SECURITY_NAME")</f>
        <v>FHR 5541 EB</v>
      </c>
      <c r="C1525" t="str">
        <f>_xll.BDP("!!03LTKT Mtge","GENERIC_TICKER_VINTAGE")</f>
        <v>FNCL 6 2025</v>
      </c>
      <c r="D1525" t="str">
        <f>_xll.BDP("!!03LTKT Mtge","CRNCY")</f>
        <v>USD</v>
      </c>
      <c r="E1525">
        <v>51318000</v>
      </c>
      <c r="F1525">
        <f>_xll.BDP("!!03LTKT Mtge","CPN")</f>
        <v>5</v>
      </c>
      <c r="G1525">
        <f>_xll.BDP("!!03LTKT Mtge","MTG_FACTOR")</f>
        <v>1</v>
      </c>
      <c r="H1525">
        <f>_xll.BDP("!!03LTKT Mtge","MTG_WAL")</f>
        <v>6.1585000000000001</v>
      </c>
      <c r="I1525">
        <f>_xll.BDP("!!03LTKT Mtge","MTG_ORIG_WAL")</f>
        <v>13</v>
      </c>
    </row>
    <row r="1526" spans="1:9" x14ac:dyDescent="0.25">
      <c r="A1526" t="str">
        <f>_xll.BDP("!!03LTKV Mtge","ID_CUSIP")</f>
        <v>3137HL2S0</v>
      </c>
      <c r="B1526" t="str">
        <f>_xll.BDP("!!03LTKV Mtge","SECURITY_NAME")</f>
        <v>FHR 5541 ET</v>
      </c>
      <c r="C1526" t="str">
        <f>_xll.BDP("!!03LTKV Mtge","GENERIC_TICKER_VINTAGE")</f>
        <v>FNCL 6 2025</v>
      </c>
      <c r="D1526" t="str">
        <f>_xll.BDP("!!03LTKV Mtge","CRNCY")</f>
        <v>USD</v>
      </c>
      <c r="E1526">
        <v>175000000</v>
      </c>
      <c r="F1526">
        <f>_xll.BDP("!!03LTKV Mtge","CPN")</f>
        <v>5</v>
      </c>
      <c r="G1526">
        <f>_xll.BDP("!!03LTKV Mtge","MTG_FACTOR")</f>
        <v>0.88904245999999998</v>
      </c>
      <c r="H1526">
        <f>_xll.BDP("!!03LTKV Mtge","MTG_WAL")</f>
        <v>3.1524000000000001</v>
      </c>
      <c r="I1526">
        <f>_xll.BDP("!!03LTKV Mtge","MTG_ORIG_WAL")</f>
        <v>6.5</v>
      </c>
    </row>
    <row r="1527" spans="1:9" x14ac:dyDescent="0.25">
      <c r="A1527" t="str">
        <f>_xll.BDP("!!03LWFH Mtge","ID_CUSIP")</f>
        <v>3137HLDB5</v>
      </c>
      <c r="B1527" t="str">
        <f>_xll.BDP("!!03LWFH Mtge","SECURITY_NAME")</f>
        <v>FHR 5534 AB</v>
      </c>
      <c r="C1527" t="str">
        <f>_xll.BDP("!!03LWFH Mtge","GENERIC_TICKER_VINTAGE")</f>
        <v>FNCL 6 2025</v>
      </c>
      <c r="D1527" t="str">
        <f>_xll.BDP("!!03LWFH Mtge","CRNCY")</f>
        <v>USD</v>
      </c>
      <c r="E1527">
        <v>82466000</v>
      </c>
      <c r="F1527">
        <f>_xll.BDP("!!03LWFH Mtge","CPN")</f>
        <v>5</v>
      </c>
      <c r="G1527">
        <f>_xll.BDP("!!03LWFH Mtge","MTG_FACTOR")</f>
        <v>0.84032728999999995</v>
      </c>
      <c r="H1527">
        <f>_xll.BDP("!!03LWFH Mtge","MTG_WAL")</f>
        <v>1.6946000000000001</v>
      </c>
      <c r="I1527">
        <f>_xll.BDP("!!03LWFH Mtge","MTG_ORIG_WAL")</f>
        <v>4</v>
      </c>
    </row>
    <row r="1528" spans="1:9" x14ac:dyDescent="0.25">
      <c r="A1528" t="str">
        <f>_xll.BDP("!!03LWFJ Mtge","ID_CUSIP")</f>
        <v>3137HLDH2</v>
      </c>
      <c r="B1528" t="str">
        <f>_xll.BDP("!!03LWFJ Mtge","SECURITY_NAME")</f>
        <v>FHR 5534 AV</v>
      </c>
      <c r="C1528" t="str">
        <f>_xll.BDP("!!03LWFJ Mtge","GENERIC_TICKER_VINTAGE")</f>
        <v>FNCL 6 2025</v>
      </c>
      <c r="D1528" t="str">
        <f>_xll.BDP("!!03LWFJ Mtge","CRNCY")</f>
        <v>USD</v>
      </c>
      <c r="E1528">
        <v>14116000</v>
      </c>
      <c r="F1528">
        <f>_xll.BDP("!!03LWFJ Mtge","CPN")</f>
        <v>5</v>
      </c>
      <c r="G1528">
        <f>_xll.BDP("!!03LWFJ Mtge","MTG_FACTOR")</f>
        <v>0.93555484</v>
      </c>
      <c r="H1528">
        <f>_xll.BDP("!!03LWFJ Mtge","MTG_WAL")</f>
        <v>3.3407</v>
      </c>
      <c r="I1528">
        <f>_xll.BDP("!!03LWFJ Mtge","MTG_ORIG_WAL")</f>
        <v>5.7</v>
      </c>
    </row>
    <row r="1529" spans="1:9" x14ac:dyDescent="0.25">
      <c r="A1529" t="str">
        <f>_xll.BDP("!!03LWFK Mtge","ID_CUSIP")</f>
        <v>3137HLDK5</v>
      </c>
      <c r="B1529" t="str">
        <f>_xll.BDP("!!03LWFK Mtge","SECURITY_NAME")</f>
        <v>FHR 5534 AZ</v>
      </c>
      <c r="C1529" t="str">
        <f>_xll.BDP("!!03LWFK Mtge","GENERIC_TICKER_VINTAGE")</f>
        <v>FNCL 6 2025</v>
      </c>
      <c r="D1529" t="str">
        <f>_xll.BDP("!!03LWFK Mtge","CRNCY")</f>
        <v>USD</v>
      </c>
      <c r="E1529">
        <v>19438108</v>
      </c>
      <c r="F1529">
        <f>_xll.BDP("!!03LWFK Mtge","CPN")</f>
        <v>5</v>
      </c>
      <c r="G1529">
        <f>_xll.BDP("!!03LWFK Mtge","MTG_FACTOR")</f>
        <v>1.0468002300000001</v>
      </c>
      <c r="H1529">
        <f>_xll.BDP("!!03LWFK Mtge","MTG_WAL")</f>
        <v>7.0777000000000001</v>
      </c>
      <c r="I1529">
        <f>_xll.BDP("!!03LWFK Mtge","MTG_ORIG_WAL")</f>
        <v>14</v>
      </c>
    </row>
    <row r="1530" spans="1:9" x14ac:dyDescent="0.25">
      <c r="A1530" t="str">
        <f>_xll.BDP("!!03LWKN Mtge","ID_CUSIP")</f>
        <v>3137HLDL3</v>
      </c>
      <c r="B1530" t="str">
        <f>_xll.BDP("!!03LWKN Mtge","SECURITY_NAME")</f>
        <v>FHR 5534 BF</v>
      </c>
      <c r="C1530" t="str">
        <f>_xll.BDP("!!03LWKN Mtge","GENERIC_TICKER_VINTAGE")</f>
        <v>FNCL 6 2025</v>
      </c>
      <c r="D1530" t="str">
        <f>_xll.BDP("!!03LWKN Mtge","CRNCY")</f>
        <v>USD</v>
      </c>
      <c r="E1530">
        <v>55000000</v>
      </c>
      <c r="F1530">
        <f>_xll.BDP("!!03LWKN Mtge","CPN")</f>
        <v>4.86721</v>
      </c>
      <c r="G1530">
        <f>_xll.BDP("!!03LWKN Mtge","MTG_FACTOR")</f>
        <v>0.87443875000000004</v>
      </c>
      <c r="H1530">
        <f>_xll.BDP("!!03LWKN Mtge","MTG_WAL")</f>
        <v>3.1488</v>
      </c>
      <c r="I1530">
        <f>_xll.BDP("!!03LWKN Mtge","MTG_ORIG_WAL")</f>
        <v>6.7</v>
      </c>
    </row>
    <row r="1531" spans="1:9" x14ac:dyDescent="0.25">
      <c r="A1531" t="str">
        <f>_xll.BDP("!!03LWKS Mtge","ID_CUSIP")</f>
        <v>3137HLDE9</v>
      </c>
      <c r="B1531" t="str">
        <f>_xll.BDP("!!03LWKS Mtge","SECURITY_NAME")</f>
        <v>FHR 5534 AL</v>
      </c>
      <c r="C1531" t="str">
        <f>_xll.BDP("!!03LWKS Mtge","GENERIC_TICKER_VINTAGE")</f>
        <v>FNCL 6 2025</v>
      </c>
      <c r="D1531" t="str">
        <f>_xll.BDP("!!03LWKS Mtge","CRNCY")</f>
        <v>USD</v>
      </c>
      <c r="E1531">
        <v>33338000</v>
      </c>
      <c r="F1531">
        <f>_xll.BDP("!!03LWKS Mtge","CPN")</f>
        <v>5</v>
      </c>
      <c r="G1531">
        <f>_xll.BDP("!!03LWKS Mtge","MTG_FACTOR")</f>
        <v>1</v>
      </c>
      <c r="H1531">
        <f>_xll.BDP("!!03LWKS Mtge","MTG_WAL")</f>
        <v>3.2221000000000002</v>
      </c>
      <c r="I1531">
        <f>_xll.BDP("!!03LWKS Mtge","MTG_ORIG_WAL")</f>
        <v>7.7</v>
      </c>
    </row>
    <row r="1532" spans="1:9" x14ac:dyDescent="0.25">
      <c r="A1532" t="str">
        <f>_xll.BDP("!!03LWKT Mtge","ID_CUSIP")</f>
        <v>3137HLDJ8</v>
      </c>
      <c r="B1532" t="str">
        <f>_xll.BDP("!!03LWKT Mtge","SECURITY_NAME")</f>
        <v>FHR 5534 AY</v>
      </c>
      <c r="C1532" t="str">
        <f>_xll.BDP("!!03LWKT Mtge","GENERIC_TICKER_VINTAGE")</f>
        <v>FNCL 6 2025</v>
      </c>
      <c r="D1532" t="str">
        <f>_xll.BDP("!!03LWKT Mtge","CRNCY")</f>
        <v>USD</v>
      </c>
      <c r="E1532">
        <v>2566066</v>
      </c>
      <c r="F1532">
        <f>_xll.BDP("!!03LWKT Mtge","CPN")</f>
        <v>5</v>
      </c>
      <c r="G1532">
        <f>_xll.BDP("!!03LWKT Mtge","MTG_FACTOR")</f>
        <v>1</v>
      </c>
      <c r="H1532">
        <f>_xll.BDP("!!03LWKT Mtge","MTG_WAL")</f>
        <v>10.901999999999999</v>
      </c>
      <c r="I1532">
        <f>_xll.BDP("!!03LWKT Mtge","MTG_ORIG_WAL")</f>
        <v>21.5</v>
      </c>
    </row>
    <row r="1533" spans="1:9" x14ac:dyDescent="0.25">
      <c r="A1533" t="str">
        <f>_xll.BDP("!!03LWKW Mtge","ID_CUSIP")</f>
        <v>3137HLDM1</v>
      </c>
      <c r="B1533" t="str">
        <f>_xll.BDP("!!03LWKW Mtge","SECURITY_NAME")</f>
        <v>FHR 5534 BS</v>
      </c>
      <c r="C1533" t="str">
        <f>_xll.BDP("!!03LWKW Mtge","GENERIC_TICKER_VINTAGE")</f>
        <v>FNCL 6 2025</v>
      </c>
      <c r="D1533" t="str">
        <f>_xll.BDP("!!03LWKW Mtge","CRNCY")</f>
        <v>USD</v>
      </c>
      <c r="E1533">
        <v>102580134</v>
      </c>
      <c r="F1533">
        <f>_xll.BDP("!!03LWKW Mtge","CPN")</f>
        <v>1.5827899999999999</v>
      </c>
      <c r="G1533">
        <f>_xll.BDP("!!03LWKW Mtge","MTG_FACTOR")</f>
        <v>0.84714184000000003</v>
      </c>
      <c r="H1533">
        <f>_xll.BDP("!!03LWKW Mtge","MTG_WAL")</f>
        <v>3.1457000000000002</v>
      </c>
      <c r="I1533">
        <f>_xll.BDP("!!03LWKW Mtge","MTG_ORIG_WAL")</f>
        <v>6.7</v>
      </c>
    </row>
    <row r="1534" spans="1:9" x14ac:dyDescent="0.25">
      <c r="A1534" t="str">
        <f>_xll.BDP("!!03LWLK Mtge","ID_CUSIP")</f>
        <v>3136BVUP1</v>
      </c>
      <c r="B1534" t="str">
        <f>_xll.BDP("!!03LWLK Mtge","SECURITY_NAME")</f>
        <v>FNR 2025-37 JA</v>
      </c>
      <c r="C1534" t="str">
        <f>_xll.BDP("!!03LWLK Mtge","GENERIC_TICKER_VINTAGE")</f>
        <v>FNCL 6 2025</v>
      </c>
      <c r="D1534" t="str">
        <f>_xll.BDP("!!03LWLK Mtge","CRNCY")</f>
        <v>USD</v>
      </c>
      <c r="E1534">
        <v>25000000</v>
      </c>
      <c r="F1534">
        <f>_xll.BDP("!!03LWLK Mtge","CPN")</f>
        <v>6</v>
      </c>
      <c r="G1534">
        <f>_xll.BDP("!!03LWLK Mtge","MTG_FACTOR")</f>
        <v>0.80397227000000004</v>
      </c>
      <c r="H1534">
        <f>_xll.BDP("!!03LWLK Mtge","MTG_WAL")</f>
        <v>2.5859999999999999</v>
      </c>
      <c r="I1534">
        <f>_xll.BDP("!!03LWLK Mtge","MTG_ORIG_WAL")</f>
        <v>4.2</v>
      </c>
    </row>
    <row r="1535" spans="1:9" x14ac:dyDescent="0.25">
      <c r="A1535" t="str">
        <f>_xll.BDP("!!03LWLL Mtge","ID_CUSIP")</f>
        <v>3136BVUQ9</v>
      </c>
      <c r="B1535" t="str">
        <f>_xll.BDP("!!03LWLL Mtge","SECURITY_NAME")</f>
        <v>FNR 2025-37 JZ</v>
      </c>
      <c r="C1535" t="str">
        <f>_xll.BDP("!!03LWLL Mtge","GENERIC_TICKER_VINTAGE")</f>
        <v>FNCL 6 2025</v>
      </c>
      <c r="D1535" t="str">
        <f>_xll.BDP("!!03LWLL Mtge","CRNCY")</f>
        <v>USD</v>
      </c>
      <c r="E1535">
        <v>1350490</v>
      </c>
      <c r="F1535">
        <f>_xll.BDP("!!03LWLL Mtge","CPN")</f>
        <v>6</v>
      </c>
      <c r="G1535">
        <f>_xll.BDP("!!03LWLL Mtge","MTG_FACTOR")</f>
        <v>1.05639583</v>
      </c>
      <c r="H1535">
        <f>_xll.BDP("!!03LWLL Mtge","MTG_WAL")</f>
        <v>9.5668000000000006</v>
      </c>
      <c r="I1535">
        <f>_xll.BDP("!!03LWLL Mtge","MTG_ORIG_WAL")</f>
        <v>14.2</v>
      </c>
    </row>
    <row r="1536" spans="1:9" x14ac:dyDescent="0.25">
      <c r="A1536" t="str">
        <f>_xll.BDP("!!03LZ1X Mtge","ID_CUSIP")</f>
        <v>3137HKY99</v>
      </c>
      <c r="B1536" t="str">
        <f>_xll.BDP("!!03LZ1X Mtge","SECURITY_NAME")</f>
        <v>FHR 5538 SJ</v>
      </c>
      <c r="C1536" t="str">
        <f>_xll.BDP("!!03LZ1X Mtge","GENERIC_TICKER_VINTAGE")</f>
        <v>FNCL 6 2025</v>
      </c>
      <c r="D1536" t="str">
        <f>_xll.BDP("!!03LZ1X Mtge","CRNCY")</f>
        <v>USD</v>
      </c>
      <c r="E1536">
        <v>100000000</v>
      </c>
      <c r="F1536">
        <f>_xll.BDP("!!03LZ1X Mtge","CPN")</f>
        <v>1.38279</v>
      </c>
      <c r="G1536">
        <f>_xll.BDP("!!03LZ1X Mtge","MTG_FACTOR")</f>
        <v>0.75194156999999995</v>
      </c>
      <c r="H1536">
        <f>_xll.BDP("!!03LZ1X Mtge","MTG_WAL")</f>
        <v>3.0621999999999998</v>
      </c>
      <c r="I1536">
        <f>_xll.BDP("!!03LZ1X Mtge","MTG_ORIG_WAL")</f>
        <v>5.7</v>
      </c>
    </row>
    <row r="1537" spans="1:9" x14ac:dyDescent="0.25">
      <c r="A1537" t="str">
        <f>_xll.BDP("!!03LZ1Y Mtge","ID_CUSIP")</f>
        <v>3137HKXW9</v>
      </c>
      <c r="B1537" t="str">
        <f>_xll.BDP("!!03LZ1Y Mtge","SECURITY_NAME")</f>
        <v>FHR 5538 FJ</v>
      </c>
      <c r="C1537" t="str">
        <f>_xll.BDP("!!03LZ1Y Mtge","GENERIC_TICKER_VINTAGE")</f>
        <v>FNCL 6 2025</v>
      </c>
      <c r="D1537" t="str">
        <f>_xll.BDP("!!03LZ1Y Mtge","CRNCY")</f>
        <v>USD</v>
      </c>
      <c r="E1537">
        <v>100000000</v>
      </c>
      <c r="F1537">
        <f>_xll.BDP("!!03LZ1Y Mtge","CPN")</f>
        <v>4.61721</v>
      </c>
      <c r="G1537">
        <f>_xll.BDP("!!03LZ1Y Mtge","MTG_FACTOR")</f>
        <v>0.75194156999999995</v>
      </c>
      <c r="H1537">
        <f>_xll.BDP("!!03LZ1Y Mtge","MTG_WAL")</f>
        <v>3.0621999999999998</v>
      </c>
      <c r="I1537">
        <f>_xll.BDP("!!03LZ1Y Mtge","MTG_ORIG_WAL")</f>
        <v>5.7</v>
      </c>
    </row>
    <row r="1538" spans="1:9" x14ac:dyDescent="0.25">
      <c r="A1538" t="str">
        <f>_xll.BDP("!!03LZBC Mtge","ID_CUSIP")</f>
        <v>3137HLFR8</v>
      </c>
      <c r="B1538" t="str">
        <f>_xll.BDP("!!03LZBC Mtge","SECURITY_NAME")</f>
        <v>FHR 5534 S</v>
      </c>
      <c r="C1538" t="str">
        <f>_xll.BDP("!!03LZBC Mtge","GENERIC_TICKER_VINTAGE")</f>
        <v>FNCL 6 2025</v>
      </c>
      <c r="D1538" t="str">
        <f>_xll.BDP("!!03LZBC Mtge","CRNCY")</f>
        <v>USD</v>
      </c>
      <c r="E1538">
        <v>100000000</v>
      </c>
      <c r="F1538">
        <f>_xll.BDP("!!03LZBC Mtge","CPN")</f>
        <v>0.78278999999999999</v>
      </c>
      <c r="G1538">
        <f>_xll.BDP("!!03LZBC Mtge","MTG_FACTOR")</f>
        <v>0.75194156999999995</v>
      </c>
      <c r="H1538">
        <f>_xll.BDP("!!03LZBC Mtge","MTG_WAL")</f>
        <v>3.0621999999999998</v>
      </c>
      <c r="I1538">
        <f>_xll.BDP("!!03LZBC Mtge","MTG_ORIG_WAL")</f>
        <v>6.3</v>
      </c>
    </row>
    <row r="1539" spans="1:9" x14ac:dyDescent="0.25">
      <c r="A1539" t="str">
        <f>_xll.BDP("!!03LZBD Mtge","ID_CUSIP")</f>
        <v>3137HLEM0</v>
      </c>
      <c r="B1539" t="str">
        <f>_xll.BDP("!!03LZBD Mtge","SECURITY_NAME")</f>
        <v>FHR 5534 FK</v>
      </c>
      <c r="C1539" t="str">
        <f>_xll.BDP("!!03LZBD Mtge","GENERIC_TICKER_VINTAGE")</f>
        <v>FNCL 6 2025</v>
      </c>
      <c r="D1539" t="str">
        <f>_xll.BDP("!!03LZBD Mtge","CRNCY")</f>
        <v>USD</v>
      </c>
      <c r="E1539">
        <v>100000000</v>
      </c>
      <c r="F1539">
        <f>_xll.BDP("!!03LZBD Mtge","CPN")</f>
        <v>5.0672100000000002</v>
      </c>
      <c r="G1539">
        <f>_xll.BDP("!!03LZBD Mtge","MTG_FACTOR")</f>
        <v>0.75194156999999995</v>
      </c>
      <c r="H1539">
        <f>_xll.BDP("!!03LZBD Mtge","MTG_WAL")</f>
        <v>3.0621999999999998</v>
      </c>
      <c r="I1539">
        <f>_xll.BDP("!!03LZBD Mtge","MTG_ORIG_WAL")</f>
        <v>6.3</v>
      </c>
    </row>
    <row r="1540" spans="1:9" x14ac:dyDescent="0.25">
      <c r="A1540" t="str">
        <f>_xll.BDP("!!03LZBF Mtge","ID_CUSIP")</f>
        <v>3137HLG30</v>
      </c>
      <c r="B1540" t="str">
        <f>_xll.BDP("!!03LZBF Mtge","SECURITY_NAME")</f>
        <v>FHR 5534 TA</v>
      </c>
      <c r="C1540" t="str">
        <f>_xll.BDP("!!03LZBF Mtge","GENERIC_TICKER_VINTAGE")</f>
        <v>FNCL 6 2025</v>
      </c>
      <c r="D1540" t="str">
        <f>_xll.BDP("!!03LZBF Mtge","CRNCY")</f>
        <v>USD</v>
      </c>
      <c r="E1540">
        <v>100000000</v>
      </c>
      <c r="F1540">
        <f>_xll.BDP("!!03LZBF Mtge","CPN")</f>
        <v>0.15</v>
      </c>
      <c r="G1540">
        <f>_xll.BDP("!!03LZBF Mtge","MTG_FACTOR")</f>
        <v>0.75194156999999995</v>
      </c>
      <c r="H1540">
        <f>_xll.BDP("!!03LZBF Mtge","MTG_WAL")</f>
        <v>3.0621999999999998</v>
      </c>
      <c r="I1540">
        <f>_xll.BDP("!!03LZBF Mtge","MTG_ORIG_WAL")</f>
        <v>6.3</v>
      </c>
    </row>
    <row r="1541" spans="1:9" x14ac:dyDescent="0.25">
      <c r="A1541" t="str">
        <f>_xll.BDP("!!03LZBJ Mtge","ID_CUSIP")</f>
        <v>3137HLET5</v>
      </c>
      <c r="B1541" t="str">
        <f>_xll.BDP("!!03LZBJ Mtge","SECURITY_NAME")</f>
        <v>FHR 5534 FT</v>
      </c>
      <c r="C1541" t="str">
        <f>_xll.BDP("!!03LZBJ Mtge","GENERIC_TICKER_VINTAGE")</f>
        <v>FNCL 6 2025</v>
      </c>
      <c r="D1541" t="str">
        <f>_xll.BDP("!!03LZBJ Mtge","CRNCY")</f>
        <v>USD</v>
      </c>
      <c r="E1541">
        <v>100000000</v>
      </c>
      <c r="F1541">
        <f>_xll.BDP("!!03LZBJ Mtge","CPN")</f>
        <v>4.86721</v>
      </c>
      <c r="G1541">
        <f>_xll.BDP("!!03LZBJ Mtge","MTG_FACTOR")</f>
        <v>0.75194156999999995</v>
      </c>
      <c r="H1541">
        <f>_xll.BDP("!!03LZBJ Mtge","MTG_WAL")</f>
        <v>3.0621999999999998</v>
      </c>
      <c r="I1541">
        <f>_xll.BDP("!!03LZBJ Mtge","MTG_ORIG_WAL")</f>
        <v>6.3</v>
      </c>
    </row>
    <row r="1542" spans="1:9" x14ac:dyDescent="0.25">
      <c r="A1542" t="str">
        <f>_xll.BDP("!!03LZBK Mtge","ID_CUSIP")</f>
        <v>3137HLGF3</v>
      </c>
      <c r="B1542" t="str">
        <f>_xll.BDP("!!03LZBK Mtge","SECURITY_NAME")</f>
        <v>FHR 5534 TM</v>
      </c>
      <c r="C1542" t="str">
        <f>_xll.BDP("!!03LZBK Mtge","GENERIC_TICKER_VINTAGE")</f>
        <v>FNCL 6 2025</v>
      </c>
      <c r="D1542" t="str">
        <f>_xll.BDP("!!03LZBK Mtge","CRNCY")</f>
        <v>USD</v>
      </c>
      <c r="E1542">
        <v>100000000</v>
      </c>
      <c r="F1542">
        <f>_xll.BDP("!!03LZBK Mtge","CPN")</f>
        <v>0.35</v>
      </c>
      <c r="G1542">
        <f>_xll.BDP("!!03LZBK Mtge","MTG_FACTOR")</f>
        <v>0.75194156999999995</v>
      </c>
      <c r="H1542">
        <f>_xll.BDP("!!03LZBK Mtge","MTG_WAL")</f>
        <v>3.0621999999999998</v>
      </c>
      <c r="I1542">
        <f>_xll.BDP("!!03LZBK Mtge","MTG_ORIG_WAL")</f>
        <v>6.3</v>
      </c>
    </row>
    <row r="1543" spans="1:9" x14ac:dyDescent="0.25">
      <c r="A1543" t="str">
        <f>_xll.BDP("!!03LZNC Mtge","ID_CUSIP")</f>
        <v>3137HKY32</v>
      </c>
      <c r="B1543" t="str">
        <f>_xll.BDP("!!03LZNC Mtge","SECURITY_NAME")</f>
        <v>FHR 5538 MH</v>
      </c>
      <c r="C1543" t="str">
        <f>_xll.BDP("!!03LZNC Mtge","GENERIC_TICKER_VINTAGE")</f>
        <v>FNCL 6 2025</v>
      </c>
      <c r="D1543" t="str">
        <f>_xll.BDP("!!03LZNC Mtge","CRNCY")</f>
        <v>USD</v>
      </c>
      <c r="E1543">
        <v>70000000</v>
      </c>
      <c r="F1543">
        <f>_xll.BDP("!!03LZNC Mtge","CPN")</f>
        <v>6</v>
      </c>
      <c r="G1543">
        <f>_xll.BDP("!!03LZNC Mtge","MTG_FACTOR")</f>
        <v>0.62146117000000001</v>
      </c>
      <c r="H1543">
        <f>_xll.BDP("!!03LZNC Mtge","MTG_WAL")</f>
        <v>1.3306</v>
      </c>
      <c r="I1543">
        <f>_xll.BDP("!!03LZNC Mtge","MTG_ORIG_WAL")</f>
        <v>3.3</v>
      </c>
    </row>
    <row r="1544" spans="1:9" x14ac:dyDescent="0.25">
      <c r="A1544" t="str">
        <f>_xll.BDP("!!03LZND Mtge","ID_CUSIP")</f>
        <v>3137HKY65</v>
      </c>
      <c r="B1544" t="str">
        <f>_xll.BDP("!!03LZND Mtge","SECURITY_NAME")</f>
        <v>FHR 5538 MZ</v>
      </c>
      <c r="C1544" t="str">
        <f>_xll.BDP("!!03LZND Mtge","GENERIC_TICKER_VINTAGE")</f>
        <v>FNCL 6 2025</v>
      </c>
      <c r="D1544" t="str">
        <f>_xll.BDP("!!03LZND Mtge","CRNCY")</f>
        <v>USD</v>
      </c>
      <c r="E1544">
        <v>30000000</v>
      </c>
      <c r="F1544">
        <f>_xll.BDP("!!03LZND Mtge","CPN")</f>
        <v>6</v>
      </c>
      <c r="G1544">
        <f>_xll.BDP("!!03LZND Mtge","MTG_FACTOR")</f>
        <v>1.05639583</v>
      </c>
      <c r="H1544">
        <f>_xll.BDP("!!03LZND Mtge","MTG_WAL")</f>
        <v>5.1833</v>
      </c>
      <c r="I1544">
        <f>_xll.BDP("!!03LZND Mtge","MTG_ORIG_WAL")</f>
        <v>11.5</v>
      </c>
    </row>
    <row r="1545" spans="1:9" x14ac:dyDescent="0.25">
      <c r="A1545" t="str">
        <f>_xll.BDP("!!03LZNF Mtge","ID_CUSIP")</f>
        <v>3137HKXX7</v>
      </c>
      <c r="B1545" t="str">
        <f>_xll.BDP("!!03LZNF Mtge","SECURITY_NAME")</f>
        <v>FHR 5538 MC</v>
      </c>
      <c r="C1545" t="str">
        <f>_xll.BDP("!!03LZNF Mtge","GENERIC_TICKER_VINTAGE")</f>
        <v>FNCL 6 2025</v>
      </c>
      <c r="D1545" t="str">
        <f>_xll.BDP("!!03LZNF Mtge","CRNCY")</f>
        <v>USD</v>
      </c>
      <c r="E1545">
        <v>70000000</v>
      </c>
      <c r="F1545">
        <f>_xll.BDP("!!03LZNF Mtge","CPN")</f>
        <v>4</v>
      </c>
      <c r="G1545">
        <f>_xll.BDP("!!03LZNF Mtge","MTG_FACTOR")</f>
        <v>0.62146117000000001</v>
      </c>
      <c r="H1545">
        <f>_xll.BDP("!!03LZNF Mtge","MTG_WAL")</f>
        <v>1.3306</v>
      </c>
      <c r="I1545">
        <f>_xll.BDP("!!03LZNF Mtge","MTG_ORIG_WAL")</f>
        <v>3.3</v>
      </c>
    </row>
    <row r="1546" spans="1:9" x14ac:dyDescent="0.25">
      <c r="A1546" t="str">
        <f>_xll.BDP("!!03LZNG Mtge","ID_CUSIP")</f>
        <v>3137HKXY5</v>
      </c>
      <c r="B1546" t="str">
        <f>_xll.BDP("!!03LZNG Mtge","SECURITY_NAME")</f>
        <v>FHR 5538 MD</v>
      </c>
      <c r="C1546" t="str">
        <f>_xll.BDP("!!03LZNG Mtge","GENERIC_TICKER_VINTAGE")</f>
        <v>FNCL 6 2025</v>
      </c>
      <c r="D1546" t="str">
        <f>_xll.BDP("!!03LZNG Mtge","CRNCY")</f>
        <v>USD</v>
      </c>
      <c r="E1546">
        <v>70000000</v>
      </c>
      <c r="F1546">
        <f>_xll.BDP("!!03LZNG Mtge","CPN")</f>
        <v>4.5</v>
      </c>
      <c r="G1546">
        <f>_xll.BDP("!!03LZNG Mtge","MTG_FACTOR")</f>
        <v>0.62146117000000001</v>
      </c>
      <c r="H1546">
        <f>_xll.BDP("!!03LZNG Mtge","MTG_WAL")</f>
        <v>1.3306</v>
      </c>
      <c r="I1546">
        <f>_xll.BDP("!!03LZNG Mtge","MTG_ORIG_WAL")</f>
        <v>3.3</v>
      </c>
    </row>
    <row r="1547" spans="1:9" x14ac:dyDescent="0.25">
      <c r="A1547" t="str">
        <f>_xll.BDP("!!03LZNH Mtge","ID_CUSIP")</f>
        <v>3137HKXZ2</v>
      </c>
      <c r="B1547" t="str">
        <f>_xll.BDP("!!03LZNH Mtge","SECURITY_NAME")</f>
        <v>FHR 5538 ME</v>
      </c>
      <c r="C1547" t="str">
        <f>_xll.BDP("!!03LZNH Mtge","GENERIC_TICKER_VINTAGE")</f>
        <v>FNCL 6 2025</v>
      </c>
      <c r="D1547" t="str">
        <f>_xll.BDP("!!03LZNH Mtge","CRNCY")</f>
        <v>USD</v>
      </c>
      <c r="E1547">
        <v>70000000</v>
      </c>
      <c r="F1547">
        <f>_xll.BDP("!!03LZNH Mtge","CPN")</f>
        <v>5</v>
      </c>
      <c r="G1547">
        <f>_xll.BDP("!!03LZNH Mtge","MTG_FACTOR")</f>
        <v>0.62146117000000001</v>
      </c>
      <c r="H1547">
        <f>_xll.BDP("!!03LZNH Mtge","MTG_WAL")</f>
        <v>1.3306</v>
      </c>
      <c r="I1547">
        <f>_xll.BDP("!!03LZNH Mtge","MTG_ORIG_WAL")</f>
        <v>3.3</v>
      </c>
    </row>
    <row r="1548" spans="1:9" x14ac:dyDescent="0.25">
      <c r="A1548" t="str">
        <f>_xll.BDP("!!03LZNK Mtge","ID_CUSIP")</f>
        <v>3137HKY40</v>
      </c>
      <c r="B1548" t="str">
        <f>_xll.BDP("!!03LZNK Mtge","SECURITY_NAME")</f>
        <v>FHR 5538 MI</v>
      </c>
      <c r="C1548" t="str">
        <f>_xll.BDP("!!03LZNK Mtge","GENERIC_TICKER_VINTAGE")</f>
        <v>FNCL 6 2025</v>
      </c>
      <c r="D1548" t="str">
        <f>_xll.BDP("!!03LZNK Mtge","CRNCY")</f>
        <v>USD</v>
      </c>
      <c r="E1548">
        <v>23333333</v>
      </c>
      <c r="F1548">
        <f>_xll.BDP("!!03LZNK Mtge","CPN")</f>
        <v>6</v>
      </c>
      <c r="G1548">
        <f>_xll.BDP("!!03LZNK Mtge","MTG_FACTOR")</f>
        <v>0.62146117000000001</v>
      </c>
      <c r="H1548">
        <f>_xll.BDP("!!03LZNK Mtge","MTG_WAL")</f>
        <v>1.3306</v>
      </c>
      <c r="I1548">
        <f>_xll.BDP("!!03LZNK Mtge","MTG_ORIG_WAL")</f>
        <v>3.3</v>
      </c>
    </row>
    <row r="1549" spans="1:9" x14ac:dyDescent="0.25">
      <c r="A1549" t="str">
        <f>_xll.BDP("!!03LZZP Mtge","ID_CUSIP")</f>
        <v>3137HKY57</v>
      </c>
      <c r="B1549" t="str">
        <f>_xll.BDP("!!03LZZP Mtge","SECURITY_NAME")</f>
        <v>FHR 5538 MX</v>
      </c>
      <c r="C1549" t="str">
        <f>_xll.BDP("!!03LZZP Mtge","GENERIC_TICKER_VINTAGE")</f>
        <v>FNCL 6 2025</v>
      </c>
      <c r="D1549" t="str">
        <f>_xll.BDP("!!03LZZP Mtge","CRNCY")</f>
        <v>USD</v>
      </c>
      <c r="E1549">
        <v>70000000</v>
      </c>
      <c r="F1549">
        <f>_xll.BDP("!!03LZZP Mtge","CPN")</f>
        <v>6</v>
      </c>
      <c r="G1549">
        <f>_xll.BDP("!!03LZZP Mtge","MTG_FACTOR")</f>
        <v>0.62146117000000001</v>
      </c>
      <c r="H1549">
        <f>_xll.BDP("!!03LZZP Mtge","MTG_WAL")</f>
        <v>1.3306</v>
      </c>
      <c r="I1549">
        <f>_xll.BDP("!!03LZZP Mtge","MTG_ORIG_WAL")</f>
        <v>3.3</v>
      </c>
    </row>
    <row r="1550" spans="1:9" x14ac:dyDescent="0.25">
      <c r="A1550" t="str">
        <f>_xll.BDP("!!03M01C Mtge","ID_CUSIP")</f>
        <v>3136BVJ41</v>
      </c>
      <c r="B1550" t="str">
        <f>_xll.BDP("!!03M01C Mtge","SECURITY_NAME")</f>
        <v>FNR 2025-35 AV</v>
      </c>
      <c r="C1550" t="str">
        <f>_xll.BDP("!!03M01C Mtge","GENERIC_TICKER_VINTAGE")</f>
        <v>FNCL 6 2025</v>
      </c>
      <c r="D1550" t="str">
        <f>_xll.BDP("!!03M01C Mtge","CRNCY")</f>
        <v>USD</v>
      </c>
      <c r="E1550">
        <v>3550000</v>
      </c>
      <c r="F1550">
        <f>_xll.BDP("!!03M01C Mtge","CPN")</f>
        <v>5</v>
      </c>
      <c r="G1550">
        <f>_xll.BDP("!!03M01C Mtge","MTG_FACTOR")</f>
        <v>0.93555370000000004</v>
      </c>
      <c r="H1550">
        <f>_xll.BDP("!!03M01C Mtge","MTG_WAL")</f>
        <v>3.2692000000000001</v>
      </c>
      <c r="I1550">
        <f>_xll.BDP("!!03M01C Mtge","MTG_ORIG_WAL")</f>
        <v>5.6104200000000004</v>
      </c>
    </row>
    <row r="1551" spans="1:9" x14ac:dyDescent="0.25">
      <c r="A1551" t="str">
        <f>_xll.BDP("!!03M01D Mtge","ID_CUSIP")</f>
        <v>3136BVJ58</v>
      </c>
      <c r="B1551" t="str">
        <f>_xll.BDP("!!03M01D Mtge","SECURITY_NAME")</f>
        <v>FNR 2025-35 AZ</v>
      </c>
      <c r="C1551" t="str">
        <f>_xll.BDP("!!03M01D Mtge","GENERIC_TICKER_VINTAGE")</f>
        <v>FNCL 6 2025</v>
      </c>
      <c r="D1551" t="str">
        <f>_xll.BDP("!!03M01D Mtge","CRNCY")</f>
        <v>USD</v>
      </c>
      <c r="E1551">
        <v>4888531</v>
      </c>
      <c r="F1551">
        <f>_xll.BDP("!!03M01D Mtge","CPN")</f>
        <v>5</v>
      </c>
      <c r="G1551">
        <f>_xll.BDP("!!03M01D Mtge","MTG_FACTOR")</f>
        <v>1.0468002300000001</v>
      </c>
      <c r="H1551">
        <f>_xll.BDP("!!03M01D Mtge","MTG_WAL")</f>
        <v>6.9130000000000003</v>
      </c>
      <c r="I1551">
        <f>_xll.BDP("!!03M01D Mtge","MTG_ORIG_WAL")</f>
        <v>13.817130000000001</v>
      </c>
    </row>
    <row r="1552" spans="1:9" x14ac:dyDescent="0.25">
      <c r="A1552" t="str">
        <f>_xll.BDP("!!03M01F Mtge","ID_CUSIP")</f>
        <v>3136BVJ66</v>
      </c>
      <c r="B1552" t="str">
        <f>_xll.BDP("!!03M01F Mtge","SECURITY_NAME")</f>
        <v>FNR 2025-35 FM</v>
      </c>
      <c r="C1552" t="str">
        <f>_xll.BDP("!!03M01F Mtge","GENERIC_TICKER_VINTAGE")</f>
        <v>FNCL 6 2025</v>
      </c>
      <c r="D1552" t="str">
        <f>_xll.BDP("!!03M01F Mtge","CRNCY")</f>
        <v>USD</v>
      </c>
      <c r="E1552">
        <v>44722486</v>
      </c>
      <c r="F1552">
        <f>_xll.BDP("!!03M01F Mtge","CPN")</f>
        <v>4.7172099999999997</v>
      </c>
      <c r="G1552">
        <f>_xll.BDP("!!03M01F Mtge","MTG_FACTOR")</f>
        <v>0.91100877999999996</v>
      </c>
      <c r="H1552">
        <f>_xll.BDP("!!03M01F Mtge","MTG_WAL")</f>
        <v>3.1398000000000001</v>
      </c>
      <c r="I1552">
        <f>_xll.BDP("!!03M01F Mtge","MTG_ORIG_WAL")</f>
        <v>6.7372199999999998</v>
      </c>
    </row>
    <row r="1553" spans="1:9" x14ac:dyDescent="0.25">
      <c r="A1553" t="str">
        <f>_xll.BDP("!!03M01G Mtge","ID_CUSIP")</f>
        <v>3136BVJ74</v>
      </c>
      <c r="B1553" t="str">
        <f>_xll.BDP("!!03M01G Mtge","SECURITY_NAME")</f>
        <v>FNR 2025-35 MA</v>
      </c>
      <c r="C1553" t="str">
        <f>_xll.BDP("!!03M01G Mtge","GENERIC_TICKER_VINTAGE")</f>
        <v>FNCL 6 2025</v>
      </c>
      <c r="D1553" t="str">
        <f>_xll.BDP("!!03M01G Mtge","CRNCY")</f>
        <v>USD</v>
      </c>
      <c r="E1553">
        <v>10320574</v>
      </c>
      <c r="F1553">
        <f>_xll.BDP("!!03M01G Mtge","CPN")</f>
        <v>7.3838699999999999</v>
      </c>
      <c r="G1553">
        <f>_xll.BDP("!!03M01G Mtge","MTG_FACTOR")</f>
        <v>0.91100877999999996</v>
      </c>
      <c r="H1553">
        <f>_xll.BDP("!!03M01G Mtge","MTG_WAL")</f>
        <v>3.1398000000000001</v>
      </c>
      <c r="I1553">
        <f>_xll.BDP("!!03M01G Mtge","MTG_ORIG_WAL")</f>
        <v>6.7372199999999998</v>
      </c>
    </row>
    <row r="1554" spans="1:9" x14ac:dyDescent="0.25">
      <c r="A1554" t="str">
        <f>_xll.BDP("!!03M01H Mtge","ID_CUSIP")</f>
        <v>3136BVJ82</v>
      </c>
      <c r="B1554" t="str">
        <f>_xll.BDP("!!03M01H Mtge","SECURITY_NAME")</f>
        <v>FNR 2025-35 SM</v>
      </c>
      <c r="C1554" t="str">
        <f>_xll.BDP("!!03M01H Mtge","GENERIC_TICKER_VINTAGE")</f>
        <v>FNCL 6 2025</v>
      </c>
      <c r="D1554" t="str">
        <f>_xll.BDP("!!03M01H Mtge","CRNCY")</f>
        <v>USD</v>
      </c>
      <c r="E1554">
        <v>55043060</v>
      </c>
      <c r="F1554">
        <f>_xll.BDP("!!03M01H Mtge","CPN")</f>
        <v>1.2827900000000001</v>
      </c>
      <c r="G1554">
        <f>_xll.BDP("!!03M01H Mtge","MTG_FACTOR")</f>
        <v>0.91100877999999996</v>
      </c>
      <c r="H1554">
        <f>_xll.BDP("!!03M01H Mtge","MTG_WAL")</f>
        <v>3.1398000000000001</v>
      </c>
      <c r="I1554">
        <f>_xll.BDP("!!03M01H Mtge","MTG_ORIG_WAL")</f>
        <v>6.7372199999999998</v>
      </c>
    </row>
    <row r="1555" spans="1:9" x14ac:dyDescent="0.25">
      <c r="A1555" t="str">
        <f>_xll.BDP("!!03M01L Mtge","ID_CUSIP")</f>
        <v>3136BVM70</v>
      </c>
      <c r="B1555" t="str">
        <f>_xll.BDP("!!03M01L Mtge","SECURITY_NAME")</f>
        <v>FNR 2025-35 MF</v>
      </c>
      <c r="C1555" t="str">
        <f>_xll.BDP("!!03M01L Mtge","GENERIC_TICKER_VINTAGE")</f>
        <v>FNCL 6 2025</v>
      </c>
      <c r="D1555" t="str">
        <f>_xll.BDP("!!03M01L Mtge","CRNCY")</f>
        <v>USD</v>
      </c>
      <c r="E1555">
        <v>44722486</v>
      </c>
      <c r="F1555">
        <f>_xll.BDP("!!03M01L Mtge","CPN")</f>
        <v>4.61721</v>
      </c>
      <c r="G1555">
        <f>_xll.BDP("!!03M01L Mtge","MTG_FACTOR")</f>
        <v>0.91100877999999996</v>
      </c>
      <c r="H1555">
        <f>_xll.BDP("!!03M01L Mtge","MTG_WAL")</f>
        <v>3.1398000000000001</v>
      </c>
      <c r="I1555">
        <f>_xll.BDP("!!03M01L Mtge","MTG_ORIG_WAL")</f>
        <v>6.7372199999999998</v>
      </c>
    </row>
    <row r="1556" spans="1:9" x14ac:dyDescent="0.25">
      <c r="A1556" t="str">
        <f>_xll.BDP("!!03M01M Mtge","ID_CUSIP")</f>
        <v>3136BVM88</v>
      </c>
      <c r="B1556" t="str">
        <f>_xll.BDP("!!03M01M Mtge","SECURITY_NAME")</f>
        <v>FNR 2025-35 TM</v>
      </c>
      <c r="C1556" t="str">
        <f>_xll.BDP("!!03M01M Mtge","GENERIC_TICKER_VINTAGE")</f>
        <v>FNCL 6 2025</v>
      </c>
      <c r="D1556" t="str">
        <f>_xll.BDP("!!03M01M Mtge","CRNCY")</f>
        <v>USD</v>
      </c>
      <c r="E1556">
        <v>44722486</v>
      </c>
      <c r="F1556">
        <f>_xll.BDP("!!03M01M Mtge","CPN")</f>
        <v>0.1</v>
      </c>
      <c r="G1556">
        <f>_xll.BDP("!!03M01M Mtge","MTG_FACTOR")</f>
        <v>0.91100877999999996</v>
      </c>
      <c r="H1556">
        <f>_xll.BDP("!!03M01M Mtge","MTG_WAL")</f>
        <v>3.1398000000000001</v>
      </c>
      <c r="I1556">
        <f>_xll.BDP("!!03M01M Mtge","MTG_ORIG_WAL")</f>
        <v>6.7372199999999998</v>
      </c>
    </row>
    <row r="1557" spans="1:9" x14ac:dyDescent="0.25">
      <c r="A1557" t="str">
        <f>_xll.BDP("!!03M0P9 Mtge","ID_CUSIP")</f>
        <v>3137HL2F8</v>
      </c>
      <c r="B1557" t="str">
        <f>_xll.BDP("!!03M0P9 Mtge","SECURITY_NAME")</f>
        <v>FHR 5541 E</v>
      </c>
      <c r="C1557" t="str">
        <f>_xll.BDP("!!03M0P9 Mtge","GENERIC_TICKER_VINTAGE")</f>
        <v>FNCL 6 2025</v>
      </c>
      <c r="D1557" t="str">
        <f>_xll.BDP("!!03M0P9 Mtge","CRNCY")</f>
        <v>USD</v>
      </c>
      <c r="E1557">
        <v>107748000</v>
      </c>
      <c r="F1557">
        <f>_xll.BDP("!!03M0P9 Mtge","CPN")</f>
        <v>5</v>
      </c>
      <c r="G1557">
        <f>_xll.BDP("!!03M0P9 Mtge","MTG_FACTOR")</f>
        <v>0.81978719</v>
      </c>
      <c r="H1557">
        <f>_xll.BDP("!!03M0P9 Mtge","MTG_WAL")</f>
        <v>1.4117999999999999</v>
      </c>
      <c r="I1557">
        <f>_xll.BDP("!!03M0P9 Mtge","MTG_ORIG_WAL")</f>
        <v>3.3</v>
      </c>
    </row>
    <row r="1558" spans="1:9" x14ac:dyDescent="0.25">
      <c r="A1558" t="str">
        <f>_xll.BDP("!!03M0PB Mtge","ID_CUSIP")</f>
        <v>3137HL2R2</v>
      </c>
      <c r="B1558" t="str">
        <f>_xll.BDP("!!03M0PB Mtge","SECURITY_NAME")</f>
        <v>FHR 5541 EM</v>
      </c>
      <c r="C1558" t="str">
        <f>_xll.BDP("!!03M0PB Mtge","GENERIC_TICKER_VINTAGE")</f>
        <v>FNCL 6 2025</v>
      </c>
      <c r="D1558" t="str">
        <f>_xll.BDP("!!03M0PB Mtge","CRNCY")</f>
        <v>USD</v>
      </c>
      <c r="E1558">
        <v>15934000</v>
      </c>
      <c r="F1558">
        <f>_xll.BDP("!!03M0PB Mtge","CPN")</f>
        <v>5</v>
      </c>
      <c r="G1558">
        <f>_xll.BDP("!!03M0PB Mtge","MTG_FACTOR")</f>
        <v>1</v>
      </c>
      <c r="H1558">
        <f>_xll.BDP("!!03M0PB Mtge","MTG_WAL")</f>
        <v>3.1200999999999999</v>
      </c>
      <c r="I1558">
        <f>_xll.BDP("!!03M0PB Mtge","MTG_ORIG_WAL")</f>
        <v>7.2</v>
      </c>
    </row>
    <row r="1559" spans="1:9" x14ac:dyDescent="0.25">
      <c r="A1559" t="str">
        <f>_xll.BDP("!!03M0PF Mtge","ID_CUSIP")</f>
        <v>3137HL2V3</v>
      </c>
      <c r="B1559" t="str">
        <f>_xll.BDP("!!03M0PF Mtge","SECURITY_NAME")</f>
        <v>FHR 5541 FA</v>
      </c>
      <c r="C1559" t="str">
        <f>_xll.BDP("!!03M0PF Mtge","GENERIC_TICKER_VINTAGE")</f>
        <v>FNCL 6 2025</v>
      </c>
      <c r="D1559" t="str">
        <f>_xll.BDP("!!03M0PF Mtge","CRNCY")</f>
        <v>USD</v>
      </c>
      <c r="E1559">
        <v>250000000</v>
      </c>
      <c r="F1559">
        <f>_xll.BDP("!!03M0PF Mtge","CPN")</f>
        <v>5.0172100000000004</v>
      </c>
      <c r="G1559">
        <f>_xll.BDP("!!03M0PF Mtge","MTG_FACTOR")</f>
        <v>0.88904245999999998</v>
      </c>
      <c r="H1559">
        <f>_xll.BDP("!!03M0PF Mtge","MTG_WAL")</f>
        <v>3.0947</v>
      </c>
      <c r="I1559">
        <f>_xll.BDP("!!03M0PF Mtge","MTG_ORIG_WAL")</f>
        <v>6.5</v>
      </c>
    </row>
    <row r="1560" spans="1:9" x14ac:dyDescent="0.25">
      <c r="A1560" t="str">
        <f>_xll.BDP("!!03M0PK Mtge","ID_CUSIP")</f>
        <v>3137HL2J0</v>
      </c>
      <c r="B1560" t="str">
        <f>_xll.BDP("!!03M0PK Mtge","SECURITY_NAME")</f>
        <v>FHR 5541 EC</v>
      </c>
      <c r="C1560" t="str">
        <f>_xll.BDP("!!03M0PK Mtge","GENERIC_TICKER_VINTAGE")</f>
        <v>FNCL 6 2025</v>
      </c>
      <c r="D1560" t="str">
        <f>_xll.BDP("!!03M0PK Mtge","CRNCY")</f>
        <v>USD</v>
      </c>
      <c r="E1560">
        <v>123682000</v>
      </c>
      <c r="F1560">
        <f>_xll.BDP("!!03M0PK Mtge","CPN")</f>
        <v>4</v>
      </c>
      <c r="G1560">
        <f>_xll.BDP("!!03M0PK Mtge","MTG_FACTOR")</f>
        <v>0.84300408000000004</v>
      </c>
      <c r="H1560">
        <f>_xll.BDP("!!03M0PK Mtge","MTG_WAL")</f>
        <v>1.6729000000000001</v>
      </c>
      <c r="I1560">
        <f>_xll.BDP("!!03M0PK Mtge","MTG_ORIG_WAL")</f>
        <v>3.8</v>
      </c>
    </row>
    <row r="1561" spans="1:9" x14ac:dyDescent="0.25">
      <c r="A1561" t="str">
        <f>_xll.BDP("!!03M0PL Mtge","ID_CUSIP")</f>
        <v>3137HL2K7</v>
      </c>
      <c r="B1561" t="str">
        <f>_xll.BDP("!!03M0PL Mtge","SECURITY_NAME")</f>
        <v>FHR 5541 ED</v>
      </c>
      <c r="C1561" t="str">
        <f>_xll.BDP("!!03M0PL Mtge","GENERIC_TICKER_VINTAGE")</f>
        <v>FNCL 6 2025</v>
      </c>
      <c r="D1561" t="str">
        <f>_xll.BDP("!!03M0PL Mtge","CRNCY")</f>
        <v>USD</v>
      </c>
      <c r="E1561">
        <v>123682000</v>
      </c>
      <c r="F1561">
        <f>_xll.BDP("!!03M0PL Mtge","CPN")</f>
        <v>4.25</v>
      </c>
      <c r="G1561">
        <f>_xll.BDP("!!03M0PL Mtge","MTG_FACTOR")</f>
        <v>0.84300408000000004</v>
      </c>
      <c r="H1561">
        <f>_xll.BDP("!!03M0PL Mtge","MTG_WAL")</f>
        <v>1.6729000000000001</v>
      </c>
      <c r="I1561">
        <f>_xll.BDP("!!03M0PL Mtge","MTG_ORIG_WAL")</f>
        <v>3.8</v>
      </c>
    </row>
    <row r="1562" spans="1:9" x14ac:dyDescent="0.25">
      <c r="A1562" t="str">
        <f>_xll.BDP("!!03M0PM Mtge","ID_CUSIP")</f>
        <v>3137HL2L5</v>
      </c>
      <c r="B1562" t="str">
        <f>_xll.BDP("!!03M0PM Mtge","SECURITY_NAME")</f>
        <v>FHR 5541 EG</v>
      </c>
      <c r="C1562" t="str">
        <f>_xll.BDP("!!03M0PM Mtge","GENERIC_TICKER_VINTAGE")</f>
        <v>FNCL 6 2025</v>
      </c>
      <c r="D1562" t="str">
        <f>_xll.BDP("!!03M0PM Mtge","CRNCY")</f>
        <v>USD</v>
      </c>
      <c r="E1562">
        <v>123682000</v>
      </c>
      <c r="F1562">
        <f>_xll.BDP("!!03M0PM Mtge","CPN")</f>
        <v>4.5</v>
      </c>
      <c r="G1562">
        <f>_xll.BDP("!!03M0PM Mtge","MTG_FACTOR")</f>
        <v>0.84300408000000004</v>
      </c>
      <c r="H1562">
        <f>_xll.BDP("!!03M0PM Mtge","MTG_WAL")</f>
        <v>1.6729000000000001</v>
      </c>
      <c r="I1562">
        <f>_xll.BDP("!!03M0PM Mtge","MTG_ORIG_WAL")</f>
        <v>3.8</v>
      </c>
    </row>
    <row r="1563" spans="1:9" x14ac:dyDescent="0.25">
      <c r="A1563" t="str">
        <f>_xll.BDP("!!03M0PN Mtge","ID_CUSIP")</f>
        <v>3137HL2M3</v>
      </c>
      <c r="B1563" t="str">
        <f>_xll.BDP("!!03M0PN Mtge","SECURITY_NAME")</f>
        <v>FHR 5541 EH</v>
      </c>
      <c r="C1563" t="str">
        <f>_xll.BDP("!!03M0PN Mtge","GENERIC_TICKER_VINTAGE")</f>
        <v>FNCL 6 2025</v>
      </c>
      <c r="D1563" t="str">
        <f>_xll.BDP("!!03M0PN Mtge","CRNCY")</f>
        <v>USD</v>
      </c>
      <c r="E1563">
        <v>123682000</v>
      </c>
      <c r="F1563">
        <f>_xll.BDP("!!03M0PN Mtge","CPN")</f>
        <v>4.75</v>
      </c>
      <c r="G1563">
        <f>_xll.BDP("!!03M0PN Mtge","MTG_FACTOR")</f>
        <v>0.84300408000000004</v>
      </c>
      <c r="H1563">
        <f>_xll.BDP("!!03M0PN Mtge","MTG_WAL")</f>
        <v>1.6729000000000001</v>
      </c>
      <c r="I1563">
        <f>_xll.BDP("!!03M0PN Mtge","MTG_ORIG_WAL")</f>
        <v>3.8</v>
      </c>
    </row>
    <row r="1564" spans="1:9" x14ac:dyDescent="0.25">
      <c r="A1564" t="str">
        <f>_xll.BDP("!!03M0PQ Mtge","ID_CUSIP")</f>
        <v>3137HL2P6</v>
      </c>
      <c r="B1564" t="str">
        <f>_xll.BDP("!!03M0PQ Mtge","SECURITY_NAME")</f>
        <v>FHR 5541 EJ</v>
      </c>
      <c r="C1564" t="str">
        <f>_xll.BDP("!!03M0PQ Mtge","GENERIC_TICKER_VINTAGE")</f>
        <v>FNCL 6 2025</v>
      </c>
      <c r="D1564" t="str">
        <f>_xll.BDP("!!03M0PQ Mtge","CRNCY")</f>
        <v>USD</v>
      </c>
      <c r="E1564">
        <v>98945600</v>
      </c>
      <c r="F1564">
        <f>_xll.BDP("!!03M0PQ Mtge","CPN")</f>
        <v>5.25</v>
      </c>
      <c r="G1564">
        <f>_xll.BDP("!!03M0PQ Mtge","MTG_FACTOR")</f>
        <v>0.84300408000000004</v>
      </c>
      <c r="H1564">
        <f>_xll.BDP("!!03M0PQ Mtge","MTG_WAL")</f>
        <v>1.6729000000000001</v>
      </c>
      <c r="I1564">
        <f>_xll.BDP("!!03M0PQ Mtge","MTG_ORIG_WAL")</f>
        <v>3.8</v>
      </c>
    </row>
    <row r="1565" spans="1:9" x14ac:dyDescent="0.25">
      <c r="A1565" t="str">
        <f>_xll.BDP("!!03M0PR Mtge","ID_CUSIP")</f>
        <v>3137HL2Q4</v>
      </c>
      <c r="B1565" t="str">
        <f>_xll.BDP("!!03M0PR Mtge","SECURITY_NAME")</f>
        <v>FHR 5541 EK</v>
      </c>
      <c r="C1565" t="str">
        <f>_xll.BDP("!!03M0PR Mtge","GENERIC_TICKER_VINTAGE")</f>
        <v>FNCL 6 2025</v>
      </c>
      <c r="D1565" t="str">
        <f>_xll.BDP("!!03M0PR Mtge","CRNCY")</f>
        <v>USD</v>
      </c>
      <c r="E1565">
        <v>82454666</v>
      </c>
      <c r="F1565">
        <f>_xll.BDP("!!03M0PR Mtge","CPN")</f>
        <v>5.5</v>
      </c>
      <c r="G1565">
        <f>_xll.BDP("!!03M0PR Mtge","MTG_FACTOR")</f>
        <v>0.84300408000000004</v>
      </c>
      <c r="H1565">
        <f>_xll.BDP("!!03M0PR Mtge","MTG_WAL")</f>
        <v>1.6729000000000001</v>
      </c>
      <c r="I1565">
        <f>_xll.BDP("!!03M0PR Mtge","MTG_ORIG_WAL")</f>
        <v>3.8</v>
      </c>
    </row>
    <row r="1566" spans="1:9" x14ac:dyDescent="0.25">
      <c r="A1566" t="str">
        <f>_xll.BDP("!!03M0PS Mtge","ID_CUSIP")</f>
        <v>3137HL2N1</v>
      </c>
      <c r="B1566" t="str">
        <f>_xll.BDP("!!03M0PS Mtge","SECURITY_NAME")</f>
        <v>FHR 5541 EI</v>
      </c>
      <c r="C1566" t="str">
        <f>_xll.BDP("!!03M0PS Mtge","GENERIC_TICKER_VINTAGE")</f>
        <v>FNCL 6 2025</v>
      </c>
      <c r="D1566" t="str">
        <f>_xll.BDP("!!03M0PS Mtge","CRNCY")</f>
        <v>USD</v>
      </c>
      <c r="E1566">
        <v>20613666</v>
      </c>
      <c r="F1566">
        <f>_xll.BDP("!!03M0PS Mtge","CPN")</f>
        <v>6</v>
      </c>
      <c r="G1566">
        <f>_xll.BDP("!!03M0PS Mtge","MTG_FACTOR")</f>
        <v>0.84300408000000004</v>
      </c>
      <c r="H1566">
        <f>_xll.BDP("!!03M0PS Mtge","MTG_WAL")</f>
        <v>1.6729000000000001</v>
      </c>
      <c r="I1566">
        <f>_xll.BDP("!!03M0PS Mtge","MTG_ORIG_WAL")</f>
        <v>3.8</v>
      </c>
    </row>
    <row r="1567" spans="1:9" x14ac:dyDescent="0.25">
      <c r="A1567" t="str">
        <f>_xll.BDP("!!03M2T3 Mtge","ID_CUSIP")</f>
        <v>3136BVYF9</v>
      </c>
      <c r="B1567" t="str">
        <f>_xll.BDP("!!03M2T3 Mtge","SECURITY_NAME")</f>
        <v>FNR 2025-36 AS</v>
      </c>
      <c r="C1567" t="str">
        <f>_xll.BDP("!!03M2T3 Mtge","GENERIC_TICKER_VINTAGE")</f>
        <v>FNCL 6 2025</v>
      </c>
      <c r="D1567" t="str">
        <f>_xll.BDP("!!03M2T3 Mtge","CRNCY")</f>
        <v>USD</v>
      </c>
      <c r="E1567">
        <v>200000000</v>
      </c>
      <c r="F1567">
        <f>_xll.BDP("!!03M2T3 Mtge","CPN")</f>
        <v>0.40778999999999999</v>
      </c>
      <c r="G1567">
        <f>_xll.BDP("!!03M2T3 Mtge","MTG_FACTOR")</f>
        <v>0.72908722000000004</v>
      </c>
      <c r="H1567">
        <f>_xll.BDP("!!03M2T3 Mtge","MTG_WAL")</f>
        <v>3.0562999999999998</v>
      </c>
      <c r="I1567">
        <f>_xll.BDP("!!03M2T3 Mtge","MTG_ORIG_WAL")</f>
        <v>6.1</v>
      </c>
    </row>
    <row r="1568" spans="1:9" x14ac:dyDescent="0.25">
      <c r="A1568" t="str">
        <f>_xll.BDP("!!03M2T5 Mtge","ID_CUSIP")</f>
        <v>3136BVYG7</v>
      </c>
      <c r="B1568" t="str">
        <f>_xll.BDP("!!03M2T5 Mtge","SECURITY_NAME")</f>
        <v>FNR 2025-36 FB</v>
      </c>
      <c r="C1568" t="str">
        <f>_xll.BDP("!!03M2T5 Mtge","GENERIC_TICKER_VINTAGE")</f>
        <v>FNCL 6 2025</v>
      </c>
      <c r="D1568" t="str">
        <f>_xll.BDP("!!03M2T5 Mtge","CRNCY")</f>
        <v>USD</v>
      </c>
      <c r="E1568">
        <v>100000000</v>
      </c>
      <c r="F1568">
        <f>_xll.BDP("!!03M2T5 Mtge","CPN")</f>
        <v>5.61721</v>
      </c>
      <c r="G1568">
        <f>_xll.BDP("!!03M2T5 Mtge","MTG_FACTOR")</f>
        <v>0.72908722000000004</v>
      </c>
      <c r="H1568">
        <f>_xll.BDP("!!03M2T5 Mtge","MTG_WAL")</f>
        <v>3.0562999999999998</v>
      </c>
      <c r="I1568">
        <f>_xll.BDP("!!03M2T5 Mtge","MTG_ORIG_WAL")</f>
        <v>6.1</v>
      </c>
    </row>
    <row r="1569" spans="1:9" x14ac:dyDescent="0.25">
      <c r="A1569" t="str">
        <f>_xll.BDP("!!03M2T8 Mtge","ID_CUSIP")</f>
        <v>3136BVYH5</v>
      </c>
      <c r="B1569" t="str">
        <f>_xll.BDP("!!03M2T8 Mtge","SECURITY_NAME")</f>
        <v>FNR 2025-36 TA</v>
      </c>
      <c r="C1569" t="str">
        <f>_xll.BDP("!!03M2T8 Mtge","GENERIC_TICKER_VINTAGE")</f>
        <v>FNCL 6 2025</v>
      </c>
      <c r="D1569" t="str">
        <f>_xll.BDP("!!03M2T8 Mtge","CRNCY")</f>
        <v>USD</v>
      </c>
      <c r="E1569">
        <v>250000</v>
      </c>
      <c r="F1569">
        <f>_xll.BDP("!!03M2T8 Mtge","CPN")</f>
        <v>0</v>
      </c>
      <c r="G1569">
        <f>_xll.BDP("!!03M2T8 Mtge","MTG_FACTOR")</f>
        <v>0.72908722000000004</v>
      </c>
      <c r="H1569">
        <f>_xll.BDP("!!03M2T8 Mtge","MTG_WAL")</f>
        <v>3.0562999999999998</v>
      </c>
      <c r="I1569">
        <f>_xll.BDP("!!03M2T8 Mtge","MTG_ORIG_WAL")</f>
        <v>6.1</v>
      </c>
    </row>
    <row r="1570" spans="1:9" x14ac:dyDescent="0.25">
      <c r="A1570" t="str">
        <f>_xll.BDP("!!03M4T5 Mtge","ID_CUSIP")</f>
        <v>3137HL6F4</v>
      </c>
      <c r="B1570" t="str">
        <f>_xll.BDP("!!03M4T5 Mtge","SECURITY_NAME")</f>
        <v>FHR 5535 FA</v>
      </c>
      <c r="C1570" t="str">
        <f>_xll.BDP("!!03M4T5 Mtge","GENERIC_TICKER_VINTAGE")</f>
        <v>FNCL 6 2025</v>
      </c>
      <c r="D1570" t="str">
        <f>_xll.BDP("!!03M4T5 Mtge","CRNCY")</f>
        <v>USD</v>
      </c>
      <c r="E1570">
        <v>100000000</v>
      </c>
      <c r="F1570">
        <f>_xll.BDP("!!03M4T5 Mtge","CPN")</f>
        <v>5.3172100000000002</v>
      </c>
      <c r="G1570">
        <f>_xll.BDP("!!03M4T5 Mtge","MTG_FACTOR")</f>
        <v>0.71002679999999996</v>
      </c>
      <c r="H1570">
        <f>_xll.BDP("!!03M4T5 Mtge","MTG_WAL")</f>
        <v>2.9784999999999999</v>
      </c>
      <c r="I1570">
        <f>_xll.BDP("!!03M4T5 Mtge","MTG_ORIG_WAL")</f>
        <v>6.8</v>
      </c>
    </row>
    <row r="1571" spans="1:9" x14ac:dyDescent="0.25">
      <c r="A1571" t="str">
        <f>_xll.BDP("!!03M4T6 Mtge","ID_CUSIP")</f>
        <v>3137HL6H0</v>
      </c>
      <c r="B1571" t="str">
        <f>_xll.BDP("!!03M4T6 Mtge","SECURITY_NAME")</f>
        <v>FHR 5535 FC</v>
      </c>
      <c r="C1571" t="str">
        <f>_xll.BDP("!!03M4T6 Mtge","GENERIC_TICKER_VINTAGE")</f>
        <v>FNCL 6 2025</v>
      </c>
      <c r="D1571" t="str">
        <f>_xll.BDP("!!03M4T6 Mtge","CRNCY")</f>
        <v>USD</v>
      </c>
      <c r="E1571">
        <v>107000000</v>
      </c>
      <c r="F1571">
        <f>_xll.BDP("!!03M4T6 Mtge","CPN")</f>
        <v>5.36721</v>
      </c>
      <c r="G1571">
        <f>_xll.BDP("!!03M4T6 Mtge","MTG_FACTOR")</f>
        <v>0.71002679999999996</v>
      </c>
      <c r="H1571">
        <f>_xll.BDP("!!03M4T6 Mtge","MTG_WAL")</f>
        <v>2.9784999999999999</v>
      </c>
      <c r="I1571">
        <f>_xll.BDP("!!03M4T6 Mtge","MTG_ORIG_WAL")</f>
        <v>6.8</v>
      </c>
    </row>
    <row r="1572" spans="1:9" x14ac:dyDescent="0.25">
      <c r="A1572" t="str">
        <f>_xll.BDP("!!03M4T7 Mtge","ID_CUSIP")</f>
        <v>3137HL6J6</v>
      </c>
      <c r="B1572" t="str">
        <f>_xll.BDP("!!03M4T7 Mtge","SECURITY_NAME")</f>
        <v>FHR 5535 FD</v>
      </c>
      <c r="C1572" t="str">
        <f>_xll.BDP("!!03M4T7 Mtge","GENERIC_TICKER_VINTAGE")</f>
        <v>FNCL 6 2025</v>
      </c>
      <c r="D1572" t="str">
        <f>_xll.BDP("!!03M4T7 Mtge","CRNCY")</f>
        <v>USD</v>
      </c>
      <c r="E1572">
        <v>100000000</v>
      </c>
      <c r="F1572">
        <f>_xll.BDP("!!03M4T7 Mtge","CPN")</f>
        <v>5.4172099999999999</v>
      </c>
      <c r="G1572">
        <f>_xll.BDP("!!03M4T7 Mtge","MTG_FACTOR")</f>
        <v>0.71002679999999996</v>
      </c>
      <c r="H1572">
        <f>_xll.BDP("!!03M4T7 Mtge","MTG_WAL")</f>
        <v>2.9784999999999999</v>
      </c>
      <c r="I1572">
        <f>_xll.BDP("!!03M4T7 Mtge","MTG_ORIG_WAL")</f>
        <v>6.8</v>
      </c>
    </row>
    <row r="1573" spans="1:9" x14ac:dyDescent="0.25">
      <c r="A1573" t="str">
        <f>_xll.BDP("!!03M4TB Mtge","ID_CUSIP")</f>
        <v>3137HL6Z0</v>
      </c>
      <c r="B1573" t="str">
        <f>_xll.BDP("!!03M4TB Mtge","SECURITY_NAME")</f>
        <v>FHR 5535 SA</v>
      </c>
      <c r="C1573" t="str">
        <f>_xll.BDP("!!03M4TB Mtge","GENERIC_TICKER_VINTAGE")</f>
        <v>FNCL 6 2025</v>
      </c>
      <c r="D1573" t="str">
        <f>_xll.BDP("!!03M4TB Mtge","CRNCY")</f>
        <v>USD</v>
      </c>
      <c r="E1573">
        <v>307000000</v>
      </c>
      <c r="F1573">
        <f>_xll.BDP("!!03M4TB Mtge","CPN")</f>
        <v>0.63278999999999996</v>
      </c>
      <c r="G1573">
        <f>_xll.BDP("!!03M4TB Mtge","MTG_FACTOR")</f>
        <v>0.71002679999999996</v>
      </c>
      <c r="H1573">
        <f>_xll.BDP("!!03M4TB Mtge","MTG_WAL")</f>
        <v>2.9784999999999999</v>
      </c>
      <c r="I1573">
        <f>_xll.BDP("!!03M4TB Mtge","MTG_ORIG_WAL")</f>
        <v>6.8</v>
      </c>
    </row>
    <row r="1574" spans="1:9" x14ac:dyDescent="0.25">
      <c r="A1574" t="str">
        <f>_xll.BDP("!!03M4TC Mtge","ID_CUSIP")</f>
        <v>3137HL7E6</v>
      </c>
      <c r="B1574" t="str">
        <f>_xll.BDP("!!03M4TC Mtge","SECURITY_NAME")</f>
        <v>FHR 5535 TD</v>
      </c>
      <c r="C1574" t="str">
        <f>_xll.BDP("!!03M4TC Mtge","GENERIC_TICKER_VINTAGE")</f>
        <v>FNCL 6 2025</v>
      </c>
      <c r="D1574" t="str">
        <f>_xll.BDP("!!03M4TC Mtge","CRNCY")</f>
        <v>USD</v>
      </c>
      <c r="E1574">
        <v>250000</v>
      </c>
      <c r="F1574">
        <f>_xll.BDP("!!03M4TC Mtge","CPN")</f>
        <v>0</v>
      </c>
      <c r="G1574">
        <f>_xll.BDP("!!03M4TC Mtge","MTG_FACTOR")</f>
        <v>0.71002679999999996</v>
      </c>
      <c r="H1574">
        <f>_xll.BDP("!!03M4TC Mtge","MTG_WAL")</f>
        <v>2.9784999999999999</v>
      </c>
      <c r="I1574">
        <f>_xll.BDP("!!03M4TC Mtge","MTG_ORIG_WAL")</f>
        <v>6.8</v>
      </c>
    </row>
    <row r="1575" spans="1:9" x14ac:dyDescent="0.25">
      <c r="A1575" t="str">
        <f>_xll.BDP("!!03M4TD Mtge","ID_CUSIP")</f>
        <v>3137HL6G2</v>
      </c>
      <c r="B1575" t="str">
        <f>_xll.BDP("!!03M4TD Mtge","SECURITY_NAME")</f>
        <v>FHR 5535 FB</v>
      </c>
      <c r="C1575" t="str">
        <f>_xll.BDP("!!03M4TD Mtge","GENERIC_TICKER_VINTAGE")</f>
        <v>FNCL 6 2025</v>
      </c>
      <c r="D1575" t="str">
        <f>_xll.BDP("!!03M4TD Mtge","CRNCY")</f>
        <v>USD</v>
      </c>
      <c r="E1575">
        <v>75000000</v>
      </c>
      <c r="F1575">
        <f>_xll.BDP("!!03M4TD Mtge","CPN")</f>
        <v>4.5172100000000004</v>
      </c>
      <c r="G1575">
        <f>_xll.BDP("!!03M4TD Mtge","MTG_FACTOR")</f>
        <v>0.71002679000000002</v>
      </c>
      <c r="H1575">
        <f>_xll.BDP("!!03M4TD Mtge","MTG_WAL")</f>
        <v>2.9784999999999999</v>
      </c>
      <c r="I1575">
        <f>_xll.BDP("!!03M4TD Mtge","MTG_ORIG_WAL")</f>
        <v>6.8</v>
      </c>
    </row>
    <row r="1576" spans="1:9" x14ac:dyDescent="0.25">
      <c r="A1576" t="str">
        <f>_xll.BDP("!!03M4TF Mtge","ID_CUSIP")</f>
        <v>3137HL6W7</v>
      </c>
      <c r="B1576" t="str">
        <f>_xll.BDP("!!03M4TF Mtge","SECURITY_NAME")</f>
        <v>FHR 5535 MB</v>
      </c>
      <c r="C1576" t="str">
        <f>_xll.BDP("!!03M4TF Mtge","GENERIC_TICKER_VINTAGE")</f>
        <v>FNCL 6 2025</v>
      </c>
      <c r="D1576" t="str">
        <f>_xll.BDP("!!03M4TF Mtge","CRNCY")</f>
        <v>USD</v>
      </c>
      <c r="E1576">
        <v>25000000</v>
      </c>
      <c r="F1576">
        <f>_xll.BDP("!!03M4TF Mtge","CPN")</f>
        <v>7.7172099999999997</v>
      </c>
      <c r="G1576">
        <f>_xll.BDP("!!03M4TF Mtge","MTG_FACTOR")</f>
        <v>0.71002679000000002</v>
      </c>
      <c r="H1576">
        <f>_xll.BDP("!!03M4TF Mtge","MTG_WAL")</f>
        <v>2.9784999999999999</v>
      </c>
      <c r="I1576">
        <f>_xll.BDP("!!03M4TF Mtge","MTG_ORIG_WAL")</f>
        <v>6.8</v>
      </c>
    </row>
    <row r="1577" spans="1:9" x14ac:dyDescent="0.25">
      <c r="A1577" t="str">
        <f>_xll.BDP("!!03M4TG Mtge","ID_CUSIP")</f>
        <v>3137HL7A4</v>
      </c>
      <c r="B1577" t="str">
        <f>_xll.BDP("!!03M4TG Mtge","SECURITY_NAME")</f>
        <v>FHR 5535 SB</v>
      </c>
      <c r="C1577" t="str">
        <f>_xll.BDP("!!03M4TG Mtge","GENERIC_TICKER_VINTAGE")</f>
        <v>FNCL 6 2025</v>
      </c>
      <c r="D1577" t="str">
        <f>_xll.BDP("!!03M4TG Mtge","CRNCY")</f>
        <v>USD</v>
      </c>
      <c r="E1577">
        <v>100000000</v>
      </c>
      <c r="F1577">
        <f>_xll.BDP("!!03M4TG Mtge","CPN")</f>
        <v>0.68279000000000001</v>
      </c>
      <c r="G1577">
        <f>_xll.BDP("!!03M4TG Mtge","MTG_FACTOR")</f>
        <v>0.71002679000000002</v>
      </c>
      <c r="H1577">
        <f>_xll.BDP("!!03M4TG Mtge","MTG_WAL")</f>
        <v>2.9784999999999999</v>
      </c>
      <c r="I1577">
        <f>_xll.BDP("!!03M4TG Mtge","MTG_ORIG_WAL")</f>
        <v>6.8</v>
      </c>
    </row>
    <row r="1578" spans="1:9" x14ac:dyDescent="0.25">
      <c r="A1578" t="str">
        <f>_xll.BDP("!!03M52X Mtge","ID_CUSIP")</f>
        <v>3137HLEV0</v>
      </c>
      <c r="B1578" t="str">
        <f>_xll.BDP("!!03M52X Mtge","SECURITY_NAME")</f>
        <v>FHR 5534 FW</v>
      </c>
      <c r="C1578" t="str">
        <f>_xll.BDP("!!03M52X Mtge","GENERIC_TICKER_VINTAGE")</f>
        <v>FNCL 6 2025</v>
      </c>
      <c r="D1578" t="str">
        <f>_xll.BDP("!!03M52X Mtge","CRNCY")</f>
        <v>USD</v>
      </c>
      <c r="E1578">
        <v>150000000</v>
      </c>
      <c r="F1578">
        <f>_xll.BDP("!!03M52X Mtge","CPN")</f>
        <v>5.7172099999999997</v>
      </c>
      <c r="G1578">
        <f>_xll.BDP("!!03M52X Mtge","MTG_FACTOR")</f>
        <v>0.71396826000000002</v>
      </c>
      <c r="H1578">
        <f>_xll.BDP("!!03M52X Mtge","MTG_WAL")</f>
        <v>2.9866000000000001</v>
      </c>
      <c r="I1578">
        <f>_xll.BDP("!!03M52X Mtge","MTG_ORIG_WAL")</f>
        <v>6.5</v>
      </c>
    </row>
    <row r="1579" spans="1:9" x14ac:dyDescent="0.25">
      <c r="A1579" t="str">
        <f>_xll.BDP("!!03M532 Mtge","ID_CUSIP")</f>
        <v>3137HLGM8</v>
      </c>
      <c r="B1579" t="str">
        <f>_xll.BDP("!!03M532 Mtge","SECURITY_NAME")</f>
        <v>FHR 5534 TV</v>
      </c>
      <c r="C1579" t="str">
        <f>_xll.BDP("!!03M532 Mtge","GENERIC_TICKER_VINTAGE")</f>
        <v>FNCL 6 2025</v>
      </c>
      <c r="D1579" t="str">
        <f>_xll.BDP("!!03M532 Mtge","CRNCY")</f>
        <v>USD</v>
      </c>
      <c r="E1579">
        <v>150000000</v>
      </c>
      <c r="F1579">
        <f>_xll.BDP("!!03M532 Mtge","CPN")</f>
        <v>0.05</v>
      </c>
      <c r="G1579">
        <f>_xll.BDP("!!03M532 Mtge","MTG_FACTOR")</f>
        <v>0.71396826000000002</v>
      </c>
      <c r="H1579">
        <f>_xll.BDP("!!03M532 Mtge","MTG_WAL")</f>
        <v>2.9866000000000001</v>
      </c>
      <c r="I1579">
        <f>_xll.BDP("!!03M532 Mtge","MTG_ORIG_WAL")</f>
        <v>6.5</v>
      </c>
    </row>
    <row r="1580" spans="1:9" x14ac:dyDescent="0.25">
      <c r="A1580" t="str">
        <f>_xll.BDP("!!03M59H Mtge","ID_CUSIP")</f>
        <v>3137HKZR8</v>
      </c>
      <c r="B1580" t="str">
        <f>_xll.BDP("!!03M59H Mtge","SECURITY_NAME")</f>
        <v>FHR 5541 D</v>
      </c>
      <c r="C1580" t="str">
        <f>_xll.BDP("!!03M59H Mtge","GENERIC_TICKER_VINTAGE")</f>
        <v>FNCL 6 2025</v>
      </c>
      <c r="D1580" t="str">
        <f>_xll.BDP("!!03M59H Mtge","CRNCY")</f>
        <v>USD</v>
      </c>
      <c r="E1580">
        <v>51011000</v>
      </c>
      <c r="F1580">
        <f>_xll.BDP("!!03M59H Mtge","CPN")</f>
        <v>5</v>
      </c>
      <c r="G1580">
        <f>_xll.BDP("!!03M59H Mtge","MTG_FACTOR")</f>
        <v>0.76813513</v>
      </c>
      <c r="H1580">
        <f>_xll.BDP("!!03M59H Mtge","MTG_WAL")</f>
        <v>1.4177999999999999</v>
      </c>
      <c r="I1580">
        <f>_xll.BDP("!!03M59H Mtge","MTG_ORIG_WAL")</f>
        <v>3.4</v>
      </c>
    </row>
    <row r="1581" spans="1:9" x14ac:dyDescent="0.25">
      <c r="A1581" t="str">
        <f>_xll.BDP("!!03M59M Mtge","ID_CUSIP")</f>
        <v>3137HKZV9</v>
      </c>
      <c r="B1581" t="str">
        <f>_xll.BDP("!!03M59M Mtge","SECURITY_NAME")</f>
        <v>FHR 5541 DE</v>
      </c>
      <c r="C1581" t="str">
        <f>_xll.BDP("!!03M59M Mtge","GENERIC_TICKER_VINTAGE")</f>
        <v>FNCL 6 2025</v>
      </c>
      <c r="D1581" t="str">
        <f>_xll.BDP("!!03M59M Mtge","CRNCY")</f>
        <v>USD</v>
      </c>
      <c r="E1581">
        <v>58323000</v>
      </c>
      <c r="F1581">
        <f>_xll.BDP("!!03M59M Mtge","CPN")</f>
        <v>4.25</v>
      </c>
      <c r="G1581">
        <f>_xll.BDP("!!03M59M Mtge","MTG_FACTOR")</f>
        <v>0.79720420999999997</v>
      </c>
      <c r="H1581">
        <f>_xll.BDP("!!03M59M Mtge","MTG_WAL")</f>
        <v>1.6915</v>
      </c>
      <c r="I1581">
        <f>_xll.BDP("!!03M59M Mtge","MTG_ORIG_WAL")</f>
        <v>3.9</v>
      </c>
    </row>
    <row r="1582" spans="1:9" x14ac:dyDescent="0.25">
      <c r="A1582" t="str">
        <f>_xll.BDP("!!03M59N Mtge","ID_CUSIP")</f>
        <v>3137HKZW7</v>
      </c>
      <c r="B1582" t="str">
        <f>_xll.BDP("!!03M59N Mtge","SECURITY_NAME")</f>
        <v>FHR 5541 DG</v>
      </c>
      <c r="C1582" t="str">
        <f>_xll.BDP("!!03M59N Mtge","GENERIC_TICKER_VINTAGE")</f>
        <v>FNCL 6 2025</v>
      </c>
      <c r="D1582" t="str">
        <f>_xll.BDP("!!03M59N Mtge","CRNCY")</f>
        <v>USD</v>
      </c>
      <c r="E1582">
        <v>58323000</v>
      </c>
      <c r="F1582">
        <f>_xll.BDP("!!03M59N Mtge","CPN")</f>
        <v>4.5</v>
      </c>
      <c r="G1582">
        <f>_xll.BDP("!!03M59N Mtge","MTG_FACTOR")</f>
        <v>0.79720420999999997</v>
      </c>
      <c r="H1582">
        <f>_xll.BDP("!!03M59N Mtge","MTG_WAL")</f>
        <v>1.6915</v>
      </c>
      <c r="I1582">
        <f>_xll.BDP("!!03M59N Mtge","MTG_ORIG_WAL")</f>
        <v>3.9</v>
      </c>
    </row>
    <row r="1583" spans="1:9" x14ac:dyDescent="0.25">
      <c r="A1583" t="str">
        <f>_xll.BDP("!!03M59P Mtge","ID_CUSIP")</f>
        <v>3137HKZX5</v>
      </c>
      <c r="B1583" t="str">
        <f>_xll.BDP("!!03M59P Mtge","SECURITY_NAME")</f>
        <v>FHR 5541 DH</v>
      </c>
      <c r="C1583" t="str">
        <f>_xll.BDP("!!03M59P Mtge","GENERIC_TICKER_VINTAGE")</f>
        <v>FNCL 6 2025</v>
      </c>
      <c r="D1583" t="str">
        <f>_xll.BDP("!!03M59P Mtge","CRNCY")</f>
        <v>USD</v>
      </c>
      <c r="E1583">
        <v>58323000</v>
      </c>
      <c r="F1583">
        <f>_xll.BDP("!!03M59P Mtge","CPN")</f>
        <v>4.75</v>
      </c>
      <c r="G1583">
        <f>_xll.BDP("!!03M59P Mtge","MTG_FACTOR")</f>
        <v>0.79720420999999997</v>
      </c>
      <c r="H1583">
        <f>_xll.BDP("!!03M59P Mtge","MTG_WAL")</f>
        <v>1.6915</v>
      </c>
      <c r="I1583">
        <f>_xll.BDP("!!03M59P Mtge","MTG_ORIG_WAL")</f>
        <v>3.9</v>
      </c>
    </row>
    <row r="1584" spans="1:9" x14ac:dyDescent="0.25">
      <c r="A1584" t="str">
        <f>_xll.BDP("!!03M59Q Mtge","ID_CUSIP")</f>
        <v>3137HKZY3</v>
      </c>
      <c r="B1584" t="str">
        <f>_xll.BDP("!!03M59Q Mtge","SECURITY_NAME")</f>
        <v>FHR 5541 DI</v>
      </c>
      <c r="C1584" t="str">
        <f>_xll.BDP("!!03M59Q Mtge","GENERIC_TICKER_VINTAGE")</f>
        <v>FNCL 6 2025</v>
      </c>
      <c r="D1584" t="str">
        <f>_xll.BDP("!!03M59Q Mtge","CRNCY")</f>
        <v>USD</v>
      </c>
      <c r="E1584">
        <v>9720500</v>
      </c>
      <c r="F1584">
        <f>_xll.BDP("!!03M59Q Mtge","CPN")</f>
        <v>6</v>
      </c>
      <c r="G1584">
        <f>_xll.BDP("!!03M59Q Mtge","MTG_FACTOR")</f>
        <v>0.79720420999999997</v>
      </c>
      <c r="H1584">
        <f>_xll.BDP("!!03M59Q Mtge","MTG_WAL")</f>
        <v>1.6915</v>
      </c>
      <c r="I1584">
        <f>_xll.BDP("!!03M59Q Mtge","MTG_ORIG_WAL")</f>
        <v>3.9</v>
      </c>
    </row>
    <row r="1585" spans="1:9" x14ac:dyDescent="0.25">
      <c r="A1585" t="str">
        <f>_xll.BDP("!!03M59R Mtge","ID_CUSIP")</f>
        <v>3137HKZZ0</v>
      </c>
      <c r="B1585" t="str">
        <f>_xll.BDP("!!03M59R Mtge","SECURITY_NAME")</f>
        <v>FHR 5541 DJ</v>
      </c>
      <c r="C1585" t="str">
        <f>_xll.BDP("!!03M59R Mtge","GENERIC_TICKER_VINTAGE")</f>
        <v>FNCL 6 2025</v>
      </c>
      <c r="D1585" t="str">
        <f>_xll.BDP("!!03M59R Mtge","CRNCY")</f>
        <v>USD</v>
      </c>
      <c r="E1585">
        <v>46658400</v>
      </c>
      <c r="F1585">
        <f>_xll.BDP("!!03M59R Mtge","CPN")</f>
        <v>5.25</v>
      </c>
      <c r="G1585">
        <f>_xll.BDP("!!03M59R Mtge","MTG_FACTOR")</f>
        <v>0.79720420999999997</v>
      </c>
      <c r="H1585">
        <f>_xll.BDP("!!03M59R Mtge","MTG_WAL")</f>
        <v>1.6915</v>
      </c>
      <c r="I1585">
        <f>_xll.BDP("!!03M59R Mtge","MTG_ORIG_WAL")</f>
        <v>3.9</v>
      </c>
    </row>
    <row r="1586" spans="1:9" x14ac:dyDescent="0.25">
      <c r="A1586" t="str">
        <f>_xll.BDP("!!03M59S Mtge","ID_CUSIP")</f>
        <v>3137HL2A9</v>
      </c>
      <c r="B1586" t="str">
        <f>_xll.BDP("!!03M59S Mtge","SECURITY_NAME")</f>
        <v>FHR 5541 DK</v>
      </c>
      <c r="C1586" t="str">
        <f>_xll.BDP("!!03M59S Mtge","GENERIC_TICKER_VINTAGE")</f>
        <v>FNCL 6 2025</v>
      </c>
      <c r="D1586" t="str">
        <f>_xll.BDP("!!03M59S Mtge","CRNCY")</f>
        <v>USD</v>
      </c>
      <c r="E1586">
        <v>38882000</v>
      </c>
      <c r="F1586">
        <f>_xll.BDP("!!03M59S Mtge","CPN")</f>
        <v>5.5</v>
      </c>
      <c r="G1586">
        <f>_xll.BDP("!!03M59S Mtge","MTG_FACTOR")</f>
        <v>0.79720420999999997</v>
      </c>
      <c r="H1586">
        <f>_xll.BDP("!!03M59S Mtge","MTG_WAL")</f>
        <v>1.6915</v>
      </c>
      <c r="I1586">
        <f>_xll.BDP("!!03M59S Mtge","MTG_ORIG_WAL")</f>
        <v>3.9</v>
      </c>
    </row>
    <row r="1587" spans="1:9" x14ac:dyDescent="0.25">
      <c r="A1587" t="str">
        <f>_xll.BDP("!!03M59T Mtge","ID_CUSIP")</f>
        <v>3137HL2B7</v>
      </c>
      <c r="B1587" t="str">
        <f>_xll.BDP("!!03M59T Mtge","SECURITY_NAME")</f>
        <v>FHR 5541 DM</v>
      </c>
      <c r="C1587" t="str">
        <f>_xll.BDP("!!03M59T Mtge","GENERIC_TICKER_VINTAGE")</f>
        <v>FNCL 6 2025</v>
      </c>
      <c r="D1587" t="str">
        <f>_xll.BDP("!!03M59T Mtge","CRNCY")</f>
        <v>USD</v>
      </c>
      <c r="E1587">
        <v>7312000</v>
      </c>
      <c r="F1587">
        <f>_xll.BDP("!!03M59T Mtge","CPN")</f>
        <v>5</v>
      </c>
      <c r="G1587">
        <f>_xll.BDP("!!03M59T Mtge","MTG_FACTOR")</f>
        <v>1</v>
      </c>
      <c r="H1587">
        <f>_xll.BDP("!!03M59T Mtge","MTG_WAL")</f>
        <v>3.1579999999999999</v>
      </c>
      <c r="I1587">
        <f>_xll.BDP("!!03M59T Mtge","MTG_ORIG_WAL")</f>
        <v>7.5</v>
      </c>
    </row>
    <row r="1588" spans="1:9" x14ac:dyDescent="0.25">
      <c r="A1588" t="str">
        <f>_xll.BDP("!!03M5KH Mtge","ID_CUSIP")</f>
        <v>3137HLA28</v>
      </c>
      <c r="B1588" t="str">
        <f>_xll.BDP("!!03M5KH Mtge","SECURITY_NAME")</f>
        <v>FHR 5542 AO</v>
      </c>
      <c r="C1588" t="str">
        <f>_xll.BDP("!!03M5KH Mtge","GENERIC_TICKER_VINTAGE")</f>
        <v>FNCL 6 2025</v>
      </c>
      <c r="D1588" t="str">
        <f>_xll.BDP("!!03M5KH Mtge","CRNCY")</f>
        <v>USD</v>
      </c>
      <c r="E1588">
        <v>69155201</v>
      </c>
      <c r="F1588">
        <f>_xll.BDP("!!03M5KH Mtge","CPN")</f>
        <v>0</v>
      </c>
      <c r="G1588">
        <f>_xll.BDP("!!03M5KH Mtge","MTG_FACTOR")</f>
        <v>0.71002679999999996</v>
      </c>
      <c r="H1588">
        <f>_xll.BDP("!!03M5KH Mtge","MTG_WAL")</f>
        <v>2.9784999999999999</v>
      </c>
      <c r="I1588">
        <f>_xll.BDP("!!03M5KH Mtge","MTG_ORIG_WAL")</f>
        <v>6.6</v>
      </c>
    </row>
    <row r="1589" spans="1:9" x14ac:dyDescent="0.25">
      <c r="A1589" t="str">
        <f>_xll.BDP("!!03M5KJ Mtge","ID_CUSIP")</f>
        <v>3137HLAE2</v>
      </c>
      <c r="B1589" t="str">
        <f>_xll.BDP("!!03M5KJ Mtge","SECURITY_NAME")</f>
        <v>FHR 5542 F</v>
      </c>
      <c r="C1589" t="str">
        <f>_xll.BDP("!!03M5KJ Mtge","GENERIC_TICKER_VINTAGE")</f>
        <v>FNCL 6 2025</v>
      </c>
      <c r="D1589" t="str">
        <f>_xll.BDP("!!03M5KJ Mtge","CRNCY")</f>
        <v>USD</v>
      </c>
      <c r="E1589">
        <v>69155201</v>
      </c>
      <c r="F1589">
        <f>_xll.BDP("!!03M5KJ Mtge","CPN")</f>
        <v>7.9672099999999997</v>
      </c>
      <c r="G1589">
        <f>_xll.BDP("!!03M5KJ Mtge","MTG_FACTOR")</f>
        <v>0.71002679999999996</v>
      </c>
      <c r="H1589">
        <f>_xll.BDP("!!03M5KJ Mtge","MTG_WAL")</f>
        <v>2.9784999999999999</v>
      </c>
      <c r="I1589">
        <f>_xll.BDP("!!03M5KJ Mtge","MTG_ORIG_WAL")</f>
        <v>6.6</v>
      </c>
    </row>
    <row r="1590" spans="1:9" x14ac:dyDescent="0.25">
      <c r="A1590" t="str">
        <f>_xll.BDP("!!03M5KL Mtge","ID_CUSIP")</f>
        <v>3137HLAN2</v>
      </c>
      <c r="B1590" t="str">
        <f>_xll.BDP("!!03M5KL Mtge","SECURITY_NAME")</f>
        <v>FHR 5542 IA</v>
      </c>
      <c r="C1590" t="str">
        <f>_xll.BDP("!!03M5KL Mtge","GENERIC_TICKER_VINTAGE")</f>
        <v>FNCL 6 2025</v>
      </c>
      <c r="D1590" t="str">
        <f>_xll.BDP("!!03M5KL Mtge","CRNCY")</f>
        <v>USD</v>
      </c>
      <c r="E1590">
        <v>69155201</v>
      </c>
      <c r="F1590">
        <f>_xll.BDP("!!03M5KL Mtge","CPN")</f>
        <v>7.9672099999999997</v>
      </c>
      <c r="G1590">
        <f>_xll.BDP("!!03M5KL Mtge","MTG_FACTOR")</f>
        <v>0.71002679999999996</v>
      </c>
      <c r="H1590">
        <f>_xll.BDP("!!03M5KL Mtge","MTG_WAL")</f>
        <v>2.9784999999999999</v>
      </c>
      <c r="I1590">
        <f>_xll.BDP("!!03M5KL Mtge","MTG_ORIG_WAL")</f>
        <v>6.6</v>
      </c>
    </row>
    <row r="1591" spans="1:9" x14ac:dyDescent="0.25">
      <c r="A1591" t="str">
        <f>_xll.BDP("!!03M5LM Mtge","ID_CUSIP")</f>
        <v>3137HLH70</v>
      </c>
      <c r="B1591" t="str">
        <f>_xll.BDP("!!03M5LM Mtge","SECURITY_NAME")</f>
        <v>FHR 5542 LV</v>
      </c>
      <c r="C1591" t="str">
        <f>_xll.BDP("!!03M5LM Mtge","GENERIC_TICKER_VINTAGE")</f>
        <v>FNCL 6 2025</v>
      </c>
      <c r="D1591" t="str">
        <f>_xll.BDP("!!03M5LM Mtge","CRNCY")</f>
        <v>USD</v>
      </c>
      <c r="E1591">
        <v>10134572</v>
      </c>
      <c r="F1591">
        <f>_xll.BDP("!!03M5LM Mtge","CPN")</f>
        <v>5</v>
      </c>
      <c r="G1591">
        <f>_xll.BDP("!!03M5LM Mtge","MTG_FACTOR")</f>
        <v>0.93556980999999995</v>
      </c>
      <c r="H1591">
        <f>_xll.BDP("!!03M5LM Mtge","MTG_WAL")</f>
        <v>3.1465000000000001</v>
      </c>
      <c r="I1591">
        <f>_xll.BDP("!!03M5LM Mtge","MTG_ORIG_WAL")</f>
        <v>5.6</v>
      </c>
    </row>
    <row r="1592" spans="1:9" x14ac:dyDescent="0.25">
      <c r="A1592" t="str">
        <f>_xll.BDP("!!03M5LP Mtge","ID_CUSIP")</f>
        <v>3137HLH96</v>
      </c>
      <c r="B1592" t="str">
        <f>_xll.BDP("!!03M5LP Mtge","SECURITY_NAME")</f>
        <v>FHR 5542 LZ</v>
      </c>
      <c r="C1592" t="str">
        <f>_xll.BDP("!!03M5LP Mtge","GENERIC_TICKER_VINTAGE")</f>
        <v>FNCL 6 2025</v>
      </c>
      <c r="D1592" t="str">
        <f>_xll.BDP("!!03M5LP Mtge","CRNCY")</f>
        <v>USD</v>
      </c>
      <c r="E1592">
        <v>13952333</v>
      </c>
      <c r="F1592">
        <f>_xll.BDP("!!03M5LP Mtge","CPN")</f>
        <v>5</v>
      </c>
      <c r="G1592">
        <f>_xll.BDP("!!03M5LP Mtge","MTG_FACTOR")</f>
        <v>1.0468002300000001</v>
      </c>
      <c r="H1592">
        <f>_xll.BDP("!!03M5LP Mtge","MTG_WAL")</f>
        <v>6.7449000000000003</v>
      </c>
      <c r="I1592">
        <f>_xll.BDP("!!03M5LP Mtge","MTG_ORIG_WAL")</f>
        <v>13.5</v>
      </c>
    </row>
    <row r="1593" spans="1:9" x14ac:dyDescent="0.25">
      <c r="A1593" t="str">
        <f>_xll.BDP("!!03M613 Mtge","ID_CUSIP")</f>
        <v>3137HLNK4</v>
      </c>
      <c r="B1593" t="str">
        <f>_xll.BDP("!!03M613 Mtge","SECURITY_NAME")</f>
        <v>FHR 5544 CZ</v>
      </c>
      <c r="C1593" t="str">
        <f>_xll.BDP("!!03M613 Mtge","GENERIC_TICKER_VINTAGE")</f>
        <v>FNCL 6 2025</v>
      </c>
      <c r="D1593" t="str">
        <f>_xll.BDP("!!03M613 Mtge","CRNCY")</f>
        <v>USD</v>
      </c>
      <c r="E1593">
        <v>50000000</v>
      </c>
      <c r="F1593">
        <f>_xll.BDP("!!03M613 Mtge","CPN")</f>
        <v>6</v>
      </c>
      <c r="G1593">
        <f>_xll.BDP("!!03M613 Mtge","MTG_FACTOR")</f>
        <v>1.0511401300000001</v>
      </c>
      <c r="H1593">
        <f>_xll.BDP("!!03M613 Mtge","MTG_WAL")</f>
        <v>5.3083999999999998</v>
      </c>
      <c r="I1593">
        <f>_xll.BDP("!!03M613 Mtge","MTG_ORIG_WAL")</f>
        <v>9.8000000000000007</v>
      </c>
    </row>
    <row r="1594" spans="1:9" x14ac:dyDescent="0.25">
      <c r="A1594" t="str">
        <f>_xll.BDP("!!03M614 Mtge","ID_CUSIP")</f>
        <v>3137HLNB4</v>
      </c>
      <c r="B1594" t="str">
        <f>_xll.BDP("!!03M614 Mtge","SECURITY_NAME")</f>
        <v>FHR 5544 CA</v>
      </c>
      <c r="C1594" t="str">
        <f>_xll.BDP("!!03M614 Mtge","GENERIC_TICKER_VINTAGE")</f>
        <v>FNCL 6 2025</v>
      </c>
      <c r="D1594" t="str">
        <f>_xll.BDP("!!03M614 Mtge","CRNCY")</f>
        <v>USD</v>
      </c>
      <c r="E1594">
        <v>116666667</v>
      </c>
      <c r="F1594">
        <f>_xll.BDP("!!03M614 Mtge","CPN")</f>
        <v>4</v>
      </c>
      <c r="G1594">
        <f>_xll.BDP("!!03M614 Mtge","MTG_FACTOR")</f>
        <v>0.63147333999999999</v>
      </c>
      <c r="H1594">
        <f>_xll.BDP("!!03M614 Mtge","MTG_WAL")</f>
        <v>1.361</v>
      </c>
      <c r="I1594">
        <f>_xll.BDP("!!03M614 Mtge","MTG_ORIG_WAL")</f>
        <v>2.8</v>
      </c>
    </row>
    <row r="1595" spans="1:9" x14ac:dyDescent="0.25">
      <c r="A1595" t="str">
        <f>_xll.BDP("!!03M615 Mtge","ID_CUSIP")</f>
        <v>3137HLNC2</v>
      </c>
      <c r="B1595" t="str">
        <f>_xll.BDP("!!03M615 Mtge","SECURITY_NAME")</f>
        <v>FHR 5544 CB</v>
      </c>
      <c r="C1595" t="str">
        <f>_xll.BDP("!!03M615 Mtge","GENERIC_TICKER_VINTAGE")</f>
        <v>FNCL 6 2025</v>
      </c>
      <c r="D1595" t="str">
        <f>_xll.BDP("!!03M615 Mtge","CRNCY")</f>
        <v>USD</v>
      </c>
      <c r="E1595">
        <v>116666667</v>
      </c>
      <c r="F1595">
        <f>_xll.BDP("!!03M615 Mtge","CPN")</f>
        <v>4.5</v>
      </c>
      <c r="G1595">
        <f>_xll.BDP("!!03M615 Mtge","MTG_FACTOR")</f>
        <v>0.63147333999999999</v>
      </c>
      <c r="H1595">
        <f>_xll.BDP("!!03M615 Mtge","MTG_WAL")</f>
        <v>1.361</v>
      </c>
      <c r="I1595">
        <f>_xll.BDP("!!03M615 Mtge","MTG_ORIG_WAL")</f>
        <v>2.8</v>
      </c>
    </row>
    <row r="1596" spans="1:9" x14ac:dyDescent="0.25">
      <c r="A1596" t="str">
        <f>_xll.BDP("!!03M616 Mtge","ID_CUSIP")</f>
        <v>3137HLND0</v>
      </c>
      <c r="B1596" t="str">
        <f>_xll.BDP("!!03M616 Mtge","SECURITY_NAME")</f>
        <v>FHR 5544 CD</v>
      </c>
      <c r="C1596" t="str">
        <f>_xll.BDP("!!03M616 Mtge","GENERIC_TICKER_VINTAGE")</f>
        <v>FNCL 6 2025</v>
      </c>
      <c r="D1596" t="str">
        <f>_xll.BDP("!!03M616 Mtge","CRNCY")</f>
        <v>USD</v>
      </c>
      <c r="E1596">
        <v>116666667</v>
      </c>
      <c r="F1596">
        <f>_xll.BDP("!!03M616 Mtge","CPN")</f>
        <v>5</v>
      </c>
      <c r="G1596">
        <f>_xll.BDP("!!03M616 Mtge","MTG_FACTOR")</f>
        <v>0.63147333999999999</v>
      </c>
      <c r="H1596">
        <f>_xll.BDP("!!03M616 Mtge","MTG_WAL")</f>
        <v>1.361</v>
      </c>
      <c r="I1596">
        <f>_xll.BDP("!!03M616 Mtge","MTG_ORIG_WAL")</f>
        <v>2.8</v>
      </c>
    </row>
    <row r="1597" spans="1:9" x14ac:dyDescent="0.25">
      <c r="A1597" t="str">
        <f>_xll.BDP("!!03M617 Mtge","ID_CUSIP")</f>
        <v>3137HLNE8</v>
      </c>
      <c r="B1597" t="str">
        <f>_xll.BDP("!!03M617 Mtge","SECURITY_NAME")</f>
        <v>FHR 5544 CE</v>
      </c>
      <c r="C1597" t="str">
        <f>_xll.BDP("!!03M617 Mtge","GENERIC_TICKER_VINTAGE")</f>
        <v>FNCL 6 2025</v>
      </c>
      <c r="D1597" t="str">
        <f>_xll.BDP("!!03M617 Mtge","CRNCY")</f>
        <v>USD</v>
      </c>
      <c r="E1597">
        <v>116666667</v>
      </c>
      <c r="F1597">
        <f>_xll.BDP("!!03M617 Mtge","CPN")</f>
        <v>5.5</v>
      </c>
      <c r="G1597">
        <f>_xll.BDP("!!03M617 Mtge","MTG_FACTOR")</f>
        <v>0.63147333999999999</v>
      </c>
      <c r="H1597">
        <f>_xll.BDP("!!03M617 Mtge","MTG_WAL")</f>
        <v>1.361</v>
      </c>
      <c r="I1597">
        <f>_xll.BDP("!!03M617 Mtge","MTG_ORIG_WAL")</f>
        <v>2.8</v>
      </c>
    </row>
    <row r="1598" spans="1:9" x14ac:dyDescent="0.25">
      <c r="A1598" t="str">
        <f>_xll.BDP("!!03M618 Mtge","ID_CUSIP")</f>
        <v>3137HLNG3</v>
      </c>
      <c r="B1598" t="str">
        <f>_xll.BDP("!!03M618 Mtge","SECURITY_NAME")</f>
        <v>FHR 5544 CI</v>
      </c>
      <c r="C1598" t="str">
        <f>_xll.BDP("!!03M618 Mtge","GENERIC_TICKER_VINTAGE")</f>
        <v>FNCL 6 2025</v>
      </c>
      <c r="D1598" t="str">
        <f>_xll.BDP("!!03M618 Mtge","CRNCY")</f>
        <v>USD</v>
      </c>
      <c r="E1598">
        <v>38888889</v>
      </c>
      <c r="F1598">
        <f>_xll.BDP("!!03M618 Mtge","CPN")</f>
        <v>6</v>
      </c>
      <c r="G1598">
        <f>_xll.BDP("!!03M618 Mtge","MTG_FACTOR")</f>
        <v>0.63147333999999999</v>
      </c>
      <c r="H1598">
        <f>_xll.BDP("!!03M618 Mtge","MTG_WAL")</f>
        <v>1.361</v>
      </c>
      <c r="I1598">
        <f>_xll.BDP("!!03M618 Mtge","MTG_ORIG_WAL")</f>
        <v>2.8</v>
      </c>
    </row>
    <row r="1599" spans="1:9" x14ac:dyDescent="0.25">
      <c r="A1599" t="str">
        <f>_xll.BDP("!!03M71G Mtge","ID_CUSIP")</f>
        <v>3137HLMD1</v>
      </c>
      <c r="B1599" t="str">
        <f>_xll.BDP("!!03M71G Mtge","SECURITY_NAME")</f>
        <v>FHR 5546 FA</v>
      </c>
      <c r="C1599" t="str">
        <f>_xll.BDP("!!03M71G Mtge","GENERIC_TICKER_VINTAGE")</f>
        <v>FNCL 6 2025</v>
      </c>
      <c r="D1599" t="str">
        <f>_xll.BDP("!!03M71G Mtge","CRNCY")</f>
        <v>USD</v>
      </c>
      <c r="E1599">
        <v>106301728</v>
      </c>
      <c r="F1599">
        <f>_xll.BDP("!!03M71G Mtge","CPN")</f>
        <v>5.1672099999999999</v>
      </c>
      <c r="G1599">
        <f>_xll.BDP("!!03M71G Mtge","MTG_FACTOR")</f>
        <v>0.90298794000000004</v>
      </c>
      <c r="H1599">
        <f>_xll.BDP("!!03M71G Mtge","MTG_WAL")</f>
        <v>3.1415000000000002</v>
      </c>
      <c r="I1599">
        <f>_xll.BDP("!!03M71G Mtge","MTG_ORIG_WAL")</f>
        <v>6.4</v>
      </c>
    </row>
    <row r="1600" spans="1:9" x14ac:dyDescent="0.25">
      <c r="A1600" t="str">
        <f>_xll.BDP("!!03M71H Mtge","ID_CUSIP")</f>
        <v>3137HLMT6</v>
      </c>
      <c r="B1600" t="str">
        <f>_xll.BDP("!!03M71H Mtge","SECURITY_NAME")</f>
        <v>FHR 5546 SA</v>
      </c>
      <c r="C1600" t="str">
        <f>_xll.BDP("!!03M71H Mtge","GENERIC_TICKER_VINTAGE")</f>
        <v>FNCL 6 2025</v>
      </c>
      <c r="D1600" t="str">
        <f>_xll.BDP("!!03M71H Mtge","CRNCY")</f>
        <v>USD</v>
      </c>
      <c r="E1600">
        <v>106301728</v>
      </c>
      <c r="F1600">
        <f>_xll.BDP("!!03M71H Mtge","CPN")</f>
        <v>1.3327899999999999</v>
      </c>
      <c r="G1600">
        <f>_xll.BDP("!!03M71H Mtge","MTG_FACTOR")</f>
        <v>0.90298794000000004</v>
      </c>
      <c r="H1600">
        <f>_xll.BDP("!!03M71H Mtge","MTG_WAL")</f>
        <v>3.1415000000000002</v>
      </c>
      <c r="I1600">
        <f>_xll.BDP("!!03M71H Mtge","MTG_ORIG_WAL")</f>
        <v>6.4</v>
      </c>
    </row>
    <row r="1601" spans="1:9" x14ac:dyDescent="0.25">
      <c r="A1601" t="str">
        <f>_xll.BDP("!!03M71J Mtge","ID_CUSIP")</f>
        <v>3137HLMA7</v>
      </c>
      <c r="B1601" t="str">
        <f>_xll.BDP("!!03M71J Mtge","SECURITY_NAME")</f>
        <v>FHR 5546 A</v>
      </c>
      <c r="C1601" t="str">
        <f>_xll.BDP("!!03M71J Mtge","GENERIC_TICKER_VINTAGE")</f>
        <v>FNCL 6 2025</v>
      </c>
      <c r="D1601" t="str">
        <f>_xll.BDP("!!03M71J Mtge","CRNCY")</f>
        <v>USD</v>
      </c>
      <c r="E1601">
        <v>38034531</v>
      </c>
      <c r="F1601">
        <f>_xll.BDP("!!03M71J Mtge","CPN")</f>
        <v>5</v>
      </c>
      <c r="G1601">
        <f>_xll.BDP("!!03M71J Mtge","MTG_FACTOR")</f>
        <v>0.86443175000000005</v>
      </c>
      <c r="H1601">
        <f>_xll.BDP("!!03M71J Mtge","MTG_WAL")</f>
        <v>1.7364999999999999</v>
      </c>
      <c r="I1601">
        <f>_xll.BDP("!!03M71J Mtge","MTG_ORIG_WAL")</f>
        <v>3.8</v>
      </c>
    </row>
    <row r="1602" spans="1:9" x14ac:dyDescent="0.25">
      <c r="A1602" t="str">
        <f>_xll.BDP("!!03M71L Mtge","ID_CUSIP")</f>
        <v>3137HLN32</v>
      </c>
      <c r="B1602" t="str">
        <f>_xll.BDP("!!03M71L Mtge","SECURITY_NAME")</f>
        <v>FHR 5546 Z</v>
      </c>
      <c r="C1602" t="str">
        <f>_xll.BDP("!!03M71L Mtge","GENERIC_TICKER_VINTAGE")</f>
        <v>FNCL 6 2025</v>
      </c>
      <c r="D1602" t="str">
        <f>_xll.BDP("!!03M71L Mtge","CRNCY")</f>
        <v>USD</v>
      </c>
      <c r="E1602">
        <v>8756839</v>
      </c>
      <c r="F1602">
        <f>_xll.BDP("!!03M71L Mtge","CPN")</f>
        <v>5</v>
      </c>
      <c r="G1602">
        <f>_xll.BDP("!!03M71L Mtge","MTG_FACTOR")</f>
        <v>1.04245666</v>
      </c>
      <c r="H1602">
        <f>_xll.BDP("!!03M71L Mtge","MTG_WAL")</f>
        <v>7.1853999999999996</v>
      </c>
      <c r="I1602">
        <f>_xll.BDP("!!03M71L Mtge","MTG_ORIG_WAL")</f>
        <v>13.7</v>
      </c>
    </row>
    <row r="1603" spans="1:9" x14ac:dyDescent="0.25">
      <c r="A1603" t="str">
        <f>_xll.BDP("!!03M71M Mtge","ID_CUSIP")</f>
        <v>3137HLMC3</v>
      </c>
      <c r="B1603" t="str">
        <f>_xll.BDP("!!03M71M Mtge","SECURITY_NAME")</f>
        <v>FHR 5546 B</v>
      </c>
      <c r="C1603" t="str">
        <f>_xll.BDP("!!03M71M Mtge","GENERIC_TICKER_VINTAGE")</f>
        <v>FNCL 6 2025</v>
      </c>
      <c r="D1603" t="str">
        <f>_xll.BDP("!!03M71M Mtge","CRNCY")</f>
        <v>USD</v>
      </c>
      <c r="E1603">
        <v>15116333</v>
      </c>
      <c r="F1603">
        <f>_xll.BDP("!!03M71M Mtge","CPN")</f>
        <v>5</v>
      </c>
      <c r="G1603">
        <f>_xll.BDP("!!03M71M Mtge","MTG_FACTOR")</f>
        <v>1</v>
      </c>
      <c r="H1603">
        <f>_xll.BDP("!!03M71M Mtge","MTG_WAL")</f>
        <v>6.4040999999999997</v>
      </c>
      <c r="I1603">
        <f>_xll.BDP("!!03M71M Mtge","MTG_ORIG_WAL")</f>
        <v>13.1</v>
      </c>
    </row>
    <row r="1604" spans="1:9" x14ac:dyDescent="0.25">
      <c r="A1604" t="str">
        <f>_xll.BDP("!!03M71N Mtge","ID_CUSIP")</f>
        <v>3137HLMQ2</v>
      </c>
      <c r="B1604" t="str">
        <f>_xll.BDP("!!03M71N Mtge","SECURITY_NAME")</f>
        <v>FHR 5546 PT</v>
      </c>
      <c r="C1604" t="str">
        <f>_xll.BDP("!!03M71N Mtge","GENERIC_TICKER_VINTAGE")</f>
        <v>FNCL 6 2025</v>
      </c>
      <c r="D1604" t="str">
        <f>_xll.BDP("!!03M71N Mtge","CRNCY")</f>
        <v>USD</v>
      </c>
      <c r="E1604">
        <v>53150864</v>
      </c>
      <c r="F1604">
        <f>_xll.BDP("!!03M71N Mtge","CPN")</f>
        <v>5</v>
      </c>
      <c r="G1604">
        <f>_xll.BDP("!!03M71N Mtge","MTG_FACTOR")</f>
        <v>0.90298794000000004</v>
      </c>
      <c r="H1604">
        <f>_xll.BDP("!!03M71N Mtge","MTG_WAL")</f>
        <v>3.2065999999999999</v>
      </c>
      <c r="I1604">
        <f>_xll.BDP("!!03M71N Mtge","MTG_ORIG_WAL")</f>
        <v>6.4</v>
      </c>
    </row>
    <row r="1605" spans="1:9" x14ac:dyDescent="0.25">
      <c r="A1605" t="str">
        <f>_xll.BDP("!!03MBH6 Mtge","ID_CUSIP")</f>
        <v>3137HLSV5</v>
      </c>
      <c r="B1605" t="str">
        <f>_xll.BDP("!!03MBH6 Mtge","SECURITY_NAME")</f>
        <v>FHR 5549 FC</v>
      </c>
      <c r="C1605" t="str">
        <f>_xll.BDP("!!03MBH6 Mtge","GENERIC_TICKER_VINTAGE")</f>
        <v>FNCL 6 2025</v>
      </c>
      <c r="D1605" t="str">
        <f>_xll.BDP("!!03MBH6 Mtge","CRNCY")</f>
        <v>USD</v>
      </c>
      <c r="E1605">
        <v>150000000</v>
      </c>
      <c r="F1605">
        <f>_xll.BDP("!!03MBH6 Mtge","CPN")</f>
        <v>5.1672099999999999</v>
      </c>
      <c r="G1605">
        <f>_xll.BDP("!!03MBH6 Mtge","MTG_FACTOR")</f>
        <v>0.89904198999999996</v>
      </c>
      <c r="H1605">
        <f>_xll.BDP("!!03MBH6 Mtge","MTG_WAL")</f>
        <v>3.2111000000000001</v>
      </c>
      <c r="I1605">
        <f>_xll.BDP("!!03MBH6 Mtge","MTG_ORIG_WAL")</f>
        <v>6.7</v>
      </c>
    </row>
    <row r="1606" spans="1:9" x14ac:dyDescent="0.25">
      <c r="A1606" t="str">
        <f>_xll.BDP("!!03MBH8 Mtge","ID_CUSIP")</f>
        <v>3137HLSK9</v>
      </c>
      <c r="B1606" t="str">
        <f>_xll.BDP("!!03MBH8 Mtge","SECURITY_NAME")</f>
        <v>FHR 5549 CT</v>
      </c>
      <c r="C1606" t="str">
        <f>_xll.BDP("!!03MBH8 Mtge","GENERIC_TICKER_VINTAGE")</f>
        <v>FNCL 6 2025</v>
      </c>
      <c r="D1606" t="str">
        <f>_xll.BDP("!!03MBH8 Mtge","CRNCY")</f>
        <v>USD</v>
      </c>
      <c r="E1606">
        <v>75000000</v>
      </c>
      <c r="F1606">
        <f>_xll.BDP("!!03MBH8 Mtge","CPN")</f>
        <v>5</v>
      </c>
      <c r="G1606">
        <f>_xll.BDP("!!03MBH8 Mtge","MTG_FACTOR")</f>
        <v>0.89904198999999996</v>
      </c>
      <c r="H1606">
        <f>_xll.BDP("!!03MBH8 Mtge","MTG_WAL")</f>
        <v>3.2820999999999998</v>
      </c>
      <c r="I1606">
        <f>_xll.BDP("!!03MBH8 Mtge","MTG_ORIG_WAL")</f>
        <v>6.7</v>
      </c>
    </row>
    <row r="1607" spans="1:9" x14ac:dyDescent="0.25">
      <c r="A1607" t="str">
        <f>_xll.BDP("!!03MDFH Mtge","ID_CUSIP")</f>
        <v>3137HLUB6</v>
      </c>
      <c r="B1607" t="str">
        <f>_xll.BDP("!!03MDFH Mtge","SECURITY_NAME")</f>
        <v>FHR 5551 FA</v>
      </c>
      <c r="C1607" t="str">
        <f>_xll.BDP("!!03MDFH Mtge","GENERIC_TICKER_VINTAGE")</f>
        <v>FNCL 6 2025</v>
      </c>
      <c r="D1607" t="str">
        <f>_xll.BDP("!!03MDFH Mtge","CRNCY")</f>
        <v>USD</v>
      </c>
      <c r="E1607">
        <v>50000000</v>
      </c>
      <c r="F1607">
        <f>_xll.BDP("!!03MDFH Mtge","CPN")</f>
        <v>4.7172099999999997</v>
      </c>
      <c r="G1607">
        <f>_xll.BDP("!!03MDFH Mtge","MTG_FACTOR")</f>
        <v>0.92033268999999995</v>
      </c>
      <c r="H1607">
        <f>_xll.BDP("!!03MDFH Mtge","MTG_WAL")</f>
        <v>3.0973999999999999</v>
      </c>
      <c r="I1607">
        <f>_xll.BDP("!!03MDFH Mtge","MTG_ORIG_WAL")</f>
        <v>6.5</v>
      </c>
    </row>
    <row r="1608" spans="1:9" x14ac:dyDescent="0.25">
      <c r="A1608" t="str">
        <f>_xll.BDP("!!03MDFJ Mtge","ID_CUSIP")</f>
        <v>3137HLUE0</v>
      </c>
      <c r="B1608" t="str">
        <f>_xll.BDP("!!03MDFJ Mtge","SECURITY_NAME")</f>
        <v>FHR 5551 SA</v>
      </c>
      <c r="C1608" t="str">
        <f>_xll.BDP("!!03MDFJ Mtge","GENERIC_TICKER_VINTAGE")</f>
        <v>FNCL 6 2025</v>
      </c>
      <c r="D1608" t="str">
        <f>_xll.BDP("!!03MDFJ Mtge","CRNCY")</f>
        <v>USD</v>
      </c>
      <c r="E1608">
        <v>50000000</v>
      </c>
      <c r="F1608">
        <f>_xll.BDP("!!03MDFJ Mtge","CPN")</f>
        <v>2.7827899999999999</v>
      </c>
      <c r="G1608">
        <f>_xll.BDP("!!03MDFJ Mtge","MTG_FACTOR")</f>
        <v>0.92033268999999995</v>
      </c>
      <c r="H1608">
        <f>_xll.BDP("!!03MDFJ Mtge","MTG_WAL")</f>
        <v>3.0973999999999999</v>
      </c>
      <c r="I1608">
        <f>_xll.BDP("!!03MDFJ Mtge","MTG_ORIG_WAL")</f>
        <v>6.5</v>
      </c>
    </row>
    <row r="1609" spans="1:9" x14ac:dyDescent="0.25">
      <c r="A1609" t="str">
        <f>_xll.BDP("!!03MDJN Mtge","ID_CUSIP")</f>
        <v>3137HLLQ3</v>
      </c>
      <c r="B1609" t="str">
        <f>_xll.BDP("!!03MDJN Mtge","SECURITY_NAME")</f>
        <v>FHR 5551 AL</v>
      </c>
      <c r="C1609" t="str">
        <f>_xll.BDP("!!03MDJN Mtge","GENERIC_TICKER_VINTAGE")</f>
        <v>FNCL 6 2025</v>
      </c>
      <c r="D1609" t="str">
        <f>_xll.BDP("!!03MDJN Mtge","CRNCY")</f>
        <v>USD</v>
      </c>
      <c r="E1609">
        <v>15729000</v>
      </c>
      <c r="F1609">
        <f>_xll.BDP("!!03MDJN Mtge","CPN")</f>
        <v>5</v>
      </c>
      <c r="G1609">
        <f>_xll.BDP("!!03MDJN Mtge","MTG_FACTOR")</f>
        <v>1</v>
      </c>
      <c r="H1609">
        <f>_xll.BDP("!!03MDJN Mtge","MTG_WAL")</f>
        <v>7.1406000000000001</v>
      </c>
      <c r="I1609">
        <f>_xll.BDP("!!03MDJN Mtge","MTG_ORIG_WAL")</f>
        <v>14.8</v>
      </c>
    </row>
    <row r="1610" spans="1:9" x14ac:dyDescent="0.25">
      <c r="A1610" t="str">
        <f>_xll.BDP("!!03MDJQ Mtge","ID_CUSIP")</f>
        <v>3137HLTW2</v>
      </c>
      <c r="B1610" t="str">
        <f>_xll.BDP("!!03MDJQ Mtge","SECURITY_NAME")</f>
        <v>FHR 5551 BA</v>
      </c>
      <c r="C1610" t="str">
        <f>_xll.BDP("!!03MDJQ Mtge","GENERIC_TICKER_VINTAGE")</f>
        <v>FNCL 6 2025</v>
      </c>
      <c r="D1610" t="str">
        <f>_xll.BDP("!!03MDJQ Mtge","CRNCY")</f>
        <v>USD</v>
      </c>
      <c r="E1610">
        <v>53208000</v>
      </c>
      <c r="F1610">
        <f>_xll.BDP("!!03MDJQ Mtge","CPN")</f>
        <v>5</v>
      </c>
      <c r="G1610">
        <f>_xll.BDP("!!03MDJQ Mtge","MTG_FACTOR")</f>
        <v>0.88770395000000002</v>
      </c>
      <c r="H1610">
        <f>_xll.BDP("!!03MDJQ Mtge","MTG_WAL")</f>
        <v>1.7121</v>
      </c>
      <c r="I1610">
        <f>_xll.BDP("!!03MDJQ Mtge","MTG_ORIG_WAL")</f>
        <v>3.7</v>
      </c>
    </row>
    <row r="1611" spans="1:9" x14ac:dyDescent="0.25">
      <c r="A1611" t="str">
        <f>_xll.BDP("!!03MDJR Mtge","ID_CUSIP")</f>
        <v>3137HLLJ9</v>
      </c>
      <c r="B1611" t="str">
        <f>_xll.BDP("!!03MDJR Mtge","SECURITY_NAME")</f>
        <v>FHR 5551 AB</v>
      </c>
      <c r="C1611" t="str">
        <f>_xll.BDP("!!03MDJR Mtge","GENERIC_TICKER_VINTAGE")</f>
        <v>FNCL 6 2025</v>
      </c>
      <c r="D1611" t="str">
        <f>_xll.BDP("!!03MDJR Mtge","CRNCY")</f>
        <v>USD</v>
      </c>
      <c r="E1611">
        <v>59271000</v>
      </c>
      <c r="F1611">
        <f>_xll.BDP("!!03MDJR Mtge","CPN")</f>
        <v>5</v>
      </c>
      <c r="G1611">
        <f>_xll.BDP("!!03MDJR Mtge","MTG_FACTOR")</f>
        <v>0.89919104000000005</v>
      </c>
      <c r="H1611">
        <f>_xll.BDP("!!03MDJR Mtge","MTG_WAL")</f>
        <v>1.9764999999999999</v>
      </c>
      <c r="I1611">
        <f>_xll.BDP("!!03MDJR Mtge","MTG_ORIG_WAL")</f>
        <v>4.3</v>
      </c>
    </row>
    <row r="1612" spans="1:9" x14ac:dyDescent="0.25">
      <c r="A1612" t="str">
        <f>_xll.BDP("!!03MF22 Mtge","ID_CUSIP")</f>
        <v>3137HLSP8</v>
      </c>
      <c r="B1612" t="str">
        <f>_xll.BDP("!!03MF22 Mtge","SECURITY_NAME")</f>
        <v>FHR 5549 DF</v>
      </c>
      <c r="C1612" t="str">
        <f>_xll.BDP("!!03MF22 Mtge","GENERIC_TICKER_VINTAGE")</f>
        <v>FNCL 6 2025</v>
      </c>
      <c r="D1612" t="str">
        <f>_xll.BDP("!!03MF22 Mtge","CRNCY")</f>
        <v>USD</v>
      </c>
      <c r="E1612">
        <v>50000000</v>
      </c>
      <c r="F1612">
        <f>_xll.BDP("!!03MF22 Mtge","CPN")</f>
        <v>5.0672100000000002</v>
      </c>
      <c r="G1612">
        <f>_xll.BDP("!!03MF22 Mtge","MTG_FACTOR")</f>
        <v>0.75737337000000005</v>
      </c>
      <c r="H1612">
        <f>_xll.BDP("!!03MF22 Mtge","MTG_WAL")</f>
        <v>3.0621999999999998</v>
      </c>
      <c r="I1612">
        <f>_xll.BDP("!!03MF22 Mtge","MTG_ORIG_WAL")</f>
        <v>7.1</v>
      </c>
    </row>
    <row r="1613" spans="1:9" x14ac:dyDescent="0.25">
      <c r="A1613" t="str">
        <f>_xll.BDP("!!03MF23 Mtge","ID_CUSIP")</f>
        <v>3137HLSQ6</v>
      </c>
      <c r="B1613" t="str">
        <f>_xll.BDP("!!03MF23 Mtge","SECURITY_NAME")</f>
        <v>FHR 5549 DS</v>
      </c>
      <c r="C1613" t="str">
        <f>_xll.BDP("!!03MF23 Mtge","GENERIC_TICKER_VINTAGE")</f>
        <v>FNCL 6 2025</v>
      </c>
      <c r="D1613" t="str">
        <f>_xll.BDP("!!03MF23 Mtge","CRNCY")</f>
        <v>USD</v>
      </c>
      <c r="E1613">
        <v>50000000</v>
      </c>
      <c r="F1613">
        <f>_xll.BDP("!!03MF23 Mtge","CPN")</f>
        <v>0.93279000000000001</v>
      </c>
      <c r="G1613">
        <f>_xll.BDP("!!03MF23 Mtge","MTG_FACTOR")</f>
        <v>0.75737337000000005</v>
      </c>
      <c r="H1613">
        <f>_xll.BDP("!!03MF23 Mtge","MTG_WAL")</f>
        <v>3.0621999999999998</v>
      </c>
      <c r="I1613">
        <f>_xll.BDP("!!03MF23 Mtge","MTG_ORIG_WAL")</f>
        <v>7.1</v>
      </c>
    </row>
    <row r="1614" spans="1:9" x14ac:dyDescent="0.25">
      <c r="A1614" t="str">
        <f>_xll.BDP("!!03MF2V Mtge","ID_CUSIP")</f>
        <v>3137HLTJ1</v>
      </c>
      <c r="B1614" t="str">
        <f>_xll.BDP("!!03MF2V Mtge","SECURITY_NAME")</f>
        <v>FHR 5549 SE</v>
      </c>
      <c r="C1614" t="str">
        <f>_xll.BDP("!!03MF2V Mtge","GENERIC_TICKER_VINTAGE")</f>
        <v>FNCL 6 2025</v>
      </c>
      <c r="D1614" t="str">
        <f>_xll.BDP("!!03MF2V Mtge","CRNCY")</f>
        <v>USD</v>
      </c>
      <c r="E1614">
        <v>50000000</v>
      </c>
      <c r="F1614">
        <f>_xll.BDP("!!03MF2V Mtge","CPN")</f>
        <v>1.13279</v>
      </c>
      <c r="G1614">
        <f>_xll.BDP("!!03MF2V Mtge","MTG_FACTOR")</f>
        <v>0.75737337000000005</v>
      </c>
      <c r="H1614">
        <f>_xll.BDP("!!03MF2V Mtge","MTG_WAL")</f>
        <v>3.1212</v>
      </c>
      <c r="I1614">
        <f>_xll.BDP("!!03MF2V Mtge","MTG_ORIG_WAL")</f>
        <v>7.1</v>
      </c>
    </row>
    <row r="1615" spans="1:9" x14ac:dyDescent="0.25">
      <c r="A1615" t="str">
        <f>_xll.BDP("!!03MF7D Mtge","ID_CUSIP")</f>
        <v>3136BWHU3</v>
      </c>
      <c r="B1615" t="str">
        <f>_xll.BDP("!!03MF7D Mtge","SECURITY_NAME")</f>
        <v>FNR 2025-47 FA</v>
      </c>
      <c r="C1615" t="str">
        <f>_xll.BDP("!!03MF7D Mtge","GENERIC_TICKER_VINTAGE")</f>
        <v>FNCL 6 2025</v>
      </c>
      <c r="D1615" t="str">
        <f>_xll.BDP("!!03MF7D Mtge","CRNCY")</f>
        <v>USD</v>
      </c>
      <c r="E1615">
        <v>195000000</v>
      </c>
      <c r="F1615">
        <f>_xll.BDP("!!03MF7D Mtge","CPN")</f>
        <v>4.8372099999999998</v>
      </c>
      <c r="G1615">
        <f>_xll.BDP("!!03MF7D Mtge","MTG_FACTOR")</f>
        <v>0.90068972999999997</v>
      </c>
      <c r="H1615">
        <f>_xll.BDP("!!03MF7D Mtge","MTG_WAL")</f>
        <v>3.1888000000000001</v>
      </c>
      <c r="I1615">
        <f>_xll.BDP("!!03MF7D Mtge","MTG_ORIG_WAL")</f>
        <v>6.4696800000000003</v>
      </c>
    </row>
    <row r="1616" spans="1:9" x14ac:dyDescent="0.25">
      <c r="A1616" t="str">
        <f>_xll.BDP("!!03MF7H Mtge","ID_CUSIP")</f>
        <v>3136BWJC1</v>
      </c>
      <c r="B1616" t="str">
        <f>_xll.BDP("!!03MF7H Mtge","SECURITY_NAME")</f>
        <v>FNR 2025-47 GV</v>
      </c>
      <c r="C1616" t="str">
        <f>_xll.BDP("!!03MF7H Mtge","GENERIC_TICKER_VINTAGE")</f>
        <v>FNCL 6 2025</v>
      </c>
      <c r="D1616" t="str">
        <f>_xll.BDP("!!03MF7H Mtge","CRNCY")</f>
        <v>USD</v>
      </c>
      <c r="E1616">
        <v>8028000</v>
      </c>
      <c r="F1616">
        <f>_xll.BDP("!!03MF7H Mtge","CPN")</f>
        <v>4.5</v>
      </c>
      <c r="G1616">
        <f>_xll.BDP("!!03MF7H Mtge","MTG_FACTOR")</f>
        <v>0.94049185000000002</v>
      </c>
      <c r="H1616">
        <f>_xll.BDP("!!03MF7H Mtge","MTG_WAL")</f>
        <v>3.4142999999999999</v>
      </c>
      <c r="I1616">
        <f>_xll.BDP("!!03MF7H Mtge","MTG_ORIG_WAL")</f>
        <v>5.5394100000000002</v>
      </c>
    </row>
    <row r="1617" spans="1:9" x14ac:dyDescent="0.25">
      <c r="A1617" t="str">
        <f>_xll.BDP("!!03MF7K Mtge","ID_CUSIP")</f>
        <v>3136BWJE7</v>
      </c>
      <c r="B1617" t="str">
        <f>_xll.BDP("!!03MF7K Mtge","SECURITY_NAME")</f>
        <v>FNR 2025-47 FB</v>
      </c>
      <c r="C1617" t="str">
        <f>_xll.BDP("!!03MF7K Mtge","GENERIC_TICKER_VINTAGE")</f>
        <v>FNCL 6 2025</v>
      </c>
      <c r="D1617" t="str">
        <f>_xll.BDP("!!03MF7K Mtge","CRNCY")</f>
        <v>USD</v>
      </c>
      <c r="E1617">
        <v>105000000</v>
      </c>
      <c r="F1617">
        <f>_xll.BDP("!!03MF7K Mtge","CPN")</f>
        <v>4.8372099999999998</v>
      </c>
      <c r="G1617">
        <f>_xll.BDP("!!03MF7K Mtge","MTG_FACTOR")</f>
        <v>0.95188035000000004</v>
      </c>
      <c r="H1617">
        <f>_xll.BDP("!!03MF7K Mtge","MTG_WAL")</f>
        <v>3.1646999999999998</v>
      </c>
      <c r="I1617">
        <f>_xll.BDP("!!03MF7K Mtge","MTG_ORIG_WAL")</f>
        <v>6.3847300000000002</v>
      </c>
    </row>
    <row r="1618" spans="1:9" x14ac:dyDescent="0.25">
      <c r="A1618" t="str">
        <f>_xll.BDP("!!03MF7P Mtge","ID_CUSIP")</f>
        <v>3136BWKD7</v>
      </c>
      <c r="B1618" t="str">
        <f>_xll.BDP("!!03MF7P Mtge","SECURITY_NAME")</f>
        <v>FNR 2025-47 GL</v>
      </c>
      <c r="C1618" t="str">
        <f>_xll.BDP("!!03MF7P Mtge","GENERIC_TICKER_VINTAGE")</f>
        <v>FNCL 6 2025</v>
      </c>
      <c r="D1618" t="str">
        <f>_xll.BDP("!!03MF7P Mtge","CRNCY")</f>
        <v>USD</v>
      </c>
      <c r="E1618">
        <v>20554000</v>
      </c>
      <c r="F1618">
        <f>_xll.BDP("!!03MF7P Mtge","CPN")</f>
        <v>4.5</v>
      </c>
      <c r="G1618">
        <f>_xll.BDP("!!03MF7P Mtge","MTG_FACTOR")</f>
        <v>1</v>
      </c>
      <c r="H1618">
        <f>_xll.BDP("!!03MF7P Mtge","MTG_WAL")</f>
        <v>6.4344000000000001</v>
      </c>
      <c r="I1618">
        <f>_xll.BDP("!!03MF7P Mtge","MTG_ORIG_WAL")</f>
        <v>12.862310000000001</v>
      </c>
    </row>
    <row r="1619" spans="1:9" x14ac:dyDescent="0.25">
      <c r="A1619" t="str">
        <f>_xll.BDP("!!03MG4P Mtge","ID_CUSIP")</f>
        <v>3136BWDA1</v>
      </c>
      <c r="B1619" t="str">
        <f>_xll.BDP("!!03MG4P Mtge","SECURITY_NAME")</f>
        <v>FNR 2025-44 DZ</v>
      </c>
      <c r="C1619" t="str">
        <f>_xll.BDP("!!03MG4P Mtge","GENERIC_TICKER_VINTAGE")</f>
        <v>FNCL 6 2025</v>
      </c>
      <c r="D1619" t="str">
        <f>_xll.BDP("!!03MG4P Mtge","CRNCY")</f>
        <v>USD</v>
      </c>
      <c r="E1619">
        <v>14654416</v>
      </c>
      <c r="F1619">
        <f>_xll.BDP("!!03MG4P Mtge","CPN")</f>
        <v>5</v>
      </c>
      <c r="G1619">
        <f>_xll.BDP("!!03MG4P Mtge","MTG_FACTOR")</f>
        <v>1.04245666</v>
      </c>
      <c r="H1619">
        <f>_xll.BDP("!!03MG4P Mtge","MTG_WAL")</f>
        <v>6.6912000000000003</v>
      </c>
      <c r="I1619">
        <f>_xll.BDP("!!03MG4P Mtge","MTG_ORIG_WAL")</f>
        <v>14.2407</v>
      </c>
    </row>
    <row r="1620" spans="1:9" x14ac:dyDescent="0.25">
      <c r="A1620" t="str">
        <f>_xll.BDP("!!03MGBZ Mtge","ID_CUSIP")</f>
        <v>3137HLLW0</v>
      </c>
      <c r="B1620" t="str">
        <f>_xll.BDP("!!03MGBZ Mtge","SECURITY_NAME")</f>
        <v>FHR 5543 LA</v>
      </c>
      <c r="C1620" t="str">
        <f>_xll.BDP("!!03MGBZ Mtge","GENERIC_TICKER_VINTAGE")</f>
        <v>FNCL 6 2025</v>
      </c>
      <c r="D1620" t="str">
        <f>_xll.BDP("!!03MGBZ Mtge","CRNCY")</f>
        <v>USD</v>
      </c>
      <c r="E1620">
        <v>70000000</v>
      </c>
      <c r="F1620">
        <f>_xll.BDP("!!03MGBZ Mtge","CPN")</f>
        <v>5.75</v>
      </c>
      <c r="G1620">
        <f>_xll.BDP("!!03MGBZ Mtge","MTG_FACTOR")</f>
        <v>0.86713134000000003</v>
      </c>
      <c r="H1620">
        <f>_xll.BDP("!!03MGBZ Mtge","MTG_WAL")</f>
        <v>2.3231000000000002</v>
      </c>
      <c r="I1620">
        <f>_xll.BDP("!!03MGBZ Mtge","MTG_ORIG_WAL")</f>
        <v>4.8</v>
      </c>
    </row>
    <row r="1621" spans="1:9" x14ac:dyDescent="0.25">
      <c r="A1621" t="str">
        <f>_xll.BDP("!!03MGC1 Mtge","ID_CUSIP")</f>
        <v>3137HLLX8</v>
      </c>
      <c r="B1621" t="str">
        <f>_xll.BDP("!!03MGC1 Mtge","SECURITY_NAME")</f>
        <v>FHR 5543 LI</v>
      </c>
      <c r="C1621" t="str">
        <f>_xll.BDP("!!03MGC1 Mtge","GENERIC_TICKER_VINTAGE")</f>
        <v>FNCL 6 2025</v>
      </c>
      <c r="D1621" t="str">
        <f>_xll.BDP("!!03MGC1 Mtge","CRNCY")</f>
        <v>USD</v>
      </c>
      <c r="E1621">
        <v>3177175</v>
      </c>
      <c r="F1621">
        <f>_xll.BDP("!!03MGC1 Mtge","CPN")</f>
        <v>6</v>
      </c>
      <c r="G1621">
        <f>_xll.BDP("!!03MGC1 Mtge","MTG_FACTOR")</f>
        <v>0.88204042999999999</v>
      </c>
      <c r="H1621">
        <f>_xll.BDP("!!03MGC1 Mtge","MTG_WAL")</f>
        <v>3.1297000000000001</v>
      </c>
      <c r="I1621">
        <f>_xll.BDP("!!03MGC1 Mtge","MTG_ORIG_WAL")</f>
        <v>6.4</v>
      </c>
    </row>
    <row r="1622" spans="1:9" x14ac:dyDescent="0.25">
      <c r="A1622" t="str">
        <f>_xll.BDP("!!03MH95 Mtge","ID_CUSIP")</f>
        <v>3137HLJG8</v>
      </c>
      <c r="B1622" t="str">
        <f>_xll.BDP("!!03MH95 Mtge","SECURITY_NAME")</f>
        <v>FHR 5548 AF</v>
      </c>
      <c r="C1622" t="str">
        <f>_xll.BDP("!!03MH95 Mtge","GENERIC_TICKER_VINTAGE")</f>
        <v>FNCL 6 2025</v>
      </c>
      <c r="D1622" t="str">
        <f>_xll.BDP("!!03MH95 Mtge","CRNCY")</f>
        <v>USD</v>
      </c>
      <c r="E1622">
        <v>165000000</v>
      </c>
      <c r="F1622">
        <f>_xll.BDP("!!03MH95 Mtge","CPN")</f>
        <v>4.6672099999999999</v>
      </c>
      <c r="G1622">
        <f>_xll.BDP("!!03MH95 Mtge","MTG_FACTOR")</f>
        <v>0.79173642</v>
      </c>
      <c r="H1622">
        <f>_xll.BDP("!!03MH95 Mtge","MTG_WAL")</f>
        <v>3.1322999999999999</v>
      </c>
      <c r="I1622">
        <f>_xll.BDP("!!03MH95 Mtge","MTG_ORIG_WAL")</f>
        <v>6.6</v>
      </c>
    </row>
    <row r="1623" spans="1:9" x14ac:dyDescent="0.25">
      <c r="A1623" t="str">
        <f>_xll.BDP("!!03MH9P Mtge","ID_CUSIP")</f>
        <v>3136BWFP6</v>
      </c>
      <c r="B1623" t="str">
        <f>_xll.BDP("!!03MH9P Mtge","SECURITY_NAME")</f>
        <v>FNR 2025-45 AY</v>
      </c>
      <c r="C1623" t="str">
        <f>_xll.BDP("!!03MH9P Mtge","GENERIC_TICKER_VINTAGE")</f>
        <v>FNCL 6 2025</v>
      </c>
      <c r="D1623" t="str">
        <f>_xll.BDP("!!03MH9P Mtge","CRNCY")</f>
        <v>USD</v>
      </c>
      <c r="E1623">
        <v>23133000</v>
      </c>
      <c r="F1623">
        <f>_xll.BDP("!!03MH9P Mtge","CPN")</f>
        <v>5</v>
      </c>
      <c r="G1623">
        <f>_xll.BDP("!!03MH9P Mtge","MTG_FACTOR")</f>
        <v>1</v>
      </c>
      <c r="H1623">
        <f>_xll.BDP("!!03MH9P Mtge","MTG_WAL")</f>
        <v>6.2912999999999997</v>
      </c>
      <c r="I1623">
        <f>_xll.BDP("!!03MH9P Mtge","MTG_ORIG_WAL")</f>
        <v>12.8</v>
      </c>
    </row>
    <row r="1624" spans="1:9" x14ac:dyDescent="0.25">
      <c r="A1624" t="str">
        <f>_xll.BDP("!!03MH9S Mtge","ID_CUSIP")</f>
        <v>3136BWFB7</v>
      </c>
      <c r="B1624" t="str">
        <f>_xll.BDP("!!03MH9S Mtge","SECURITY_NAME")</f>
        <v>FNR 2025-45 A</v>
      </c>
      <c r="C1624" t="str">
        <f>_xll.BDP("!!03MH9S Mtge","GENERIC_TICKER_VINTAGE")</f>
        <v>FNCL 6 2025</v>
      </c>
      <c r="D1624" t="str">
        <f>_xll.BDP("!!03MH9S Mtge","CRNCY")</f>
        <v>USD</v>
      </c>
      <c r="E1624">
        <v>45102000</v>
      </c>
      <c r="F1624">
        <f>_xll.BDP("!!03MH9S Mtge","CPN")</f>
        <v>4.5</v>
      </c>
      <c r="G1624">
        <f>_xll.BDP("!!03MH9S Mtge","MTG_FACTOR")</f>
        <v>0.83324962000000002</v>
      </c>
      <c r="H1624">
        <f>_xll.BDP("!!03MH9S Mtge","MTG_WAL")</f>
        <v>1.4986999999999999</v>
      </c>
      <c r="I1624">
        <f>_xll.BDP("!!03MH9S Mtge","MTG_ORIG_WAL")</f>
        <v>3.3</v>
      </c>
    </row>
    <row r="1625" spans="1:9" x14ac:dyDescent="0.25">
      <c r="A1625" t="str">
        <f>_xll.BDP("!!03MHBT Mtge","ID_CUSIP")</f>
        <v>3137HLJZ6</v>
      </c>
      <c r="B1625" t="str">
        <f>_xll.BDP("!!03MHBT Mtge","SECURITY_NAME")</f>
        <v>FHR 5548 LI</v>
      </c>
      <c r="C1625" t="str">
        <f>_xll.BDP("!!03MHBT Mtge","GENERIC_TICKER_VINTAGE")</f>
        <v>FNCL 3 2021</v>
      </c>
      <c r="D1625" t="str">
        <f>_xll.BDP("!!03MHBT Mtge","CRNCY")</f>
        <v>USD</v>
      </c>
      <c r="E1625">
        <v>39771120</v>
      </c>
      <c r="F1625">
        <f>_xll.BDP("!!03MHBT Mtge","CPN")</f>
        <v>3</v>
      </c>
      <c r="G1625">
        <f>_xll.BDP("!!03MHBT Mtge","MTG_FACTOR")</f>
        <v>0.94673518999999995</v>
      </c>
      <c r="H1625">
        <f>_xll.BDP("!!03MHBT Mtge","MTG_WAL")</f>
        <v>6.2610999999999999</v>
      </c>
      <c r="I1625">
        <f>_xll.BDP("!!03MHBT Mtge","MTG_ORIG_WAL")</f>
        <v>7</v>
      </c>
    </row>
    <row r="1626" spans="1:9" x14ac:dyDescent="0.25">
      <c r="A1626" t="str">
        <f>_xll.BDP("!!03MHSM Mtge","ID_CUSIP")</f>
        <v>3137HLSZ6</v>
      </c>
      <c r="B1626" t="str">
        <f>_xll.BDP("!!03MHSM Mtge","SECURITY_NAME")</f>
        <v>FHR 5549 FH</v>
      </c>
      <c r="C1626" t="str">
        <f>_xll.BDP("!!03MHSM Mtge","GENERIC_TICKER_VINTAGE")</f>
        <v>FNCL 6 2025</v>
      </c>
      <c r="D1626" t="str">
        <f>_xll.BDP("!!03MHSM Mtge","CRNCY")</f>
        <v>USD</v>
      </c>
      <c r="E1626">
        <v>100000000</v>
      </c>
      <c r="F1626">
        <f>_xll.BDP("!!03MHSM Mtge","CPN")</f>
        <v>5.2172099999999997</v>
      </c>
      <c r="G1626">
        <f>_xll.BDP("!!03MHSM Mtge","MTG_FACTOR")</f>
        <v>0.75737337999999998</v>
      </c>
      <c r="H1626">
        <f>_xll.BDP("!!03MHSM Mtge","MTG_WAL")</f>
        <v>3.1212</v>
      </c>
      <c r="I1626">
        <f>_xll.BDP("!!03MHSM Mtge","MTG_ORIG_WAL")</f>
        <v>6.7</v>
      </c>
    </row>
    <row r="1627" spans="1:9" x14ac:dyDescent="0.25">
      <c r="A1627" t="str">
        <f>_xll.BDP("!!03MHSN Mtge","ID_CUSIP")</f>
        <v>3137HLTK8</v>
      </c>
      <c r="B1627" t="str">
        <f>_xll.BDP("!!03MHSN Mtge","SECURITY_NAME")</f>
        <v>FHR 5549 SH</v>
      </c>
      <c r="C1627" t="str">
        <f>_xll.BDP("!!03MHSN Mtge","GENERIC_TICKER_VINTAGE")</f>
        <v>FNCL 6 2025</v>
      </c>
      <c r="D1627" t="str">
        <f>_xll.BDP("!!03MHSN Mtge","CRNCY")</f>
        <v>USD</v>
      </c>
      <c r="E1627">
        <v>100000000</v>
      </c>
      <c r="F1627">
        <f>_xll.BDP("!!03MHSN Mtge","CPN")</f>
        <v>0.78278999999999999</v>
      </c>
      <c r="G1627">
        <f>_xll.BDP("!!03MHSN Mtge","MTG_FACTOR")</f>
        <v>0.75737337999999998</v>
      </c>
      <c r="H1627">
        <f>_xll.BDP("!!03MHSN Mtge","MTG_WAL")</f>
        <v>3.1212</v>
      </c>
      <c r="I1627">
        <f>_xll.BDP("!!03MHSN Mtge","MTG_ORIG_WAL")</f>
        <v>6.7</v>
      </c>
    </row>
    <row r="1628" spans="1:9" x14ac:dyDescent="0.25">
      <c r="A1628" t="str">
        <f>_xll.BDP("!!03MJ03 Mtge","ID_CUSIP")</f>
        <v>3137HLS60</v>
      </c>
      <c r="B1628" t="str">
        <f>_xll.BDP("!!03MJ03 Mtge","SECURITY_NAME")</f>
        <v>FHR 5549 CA</v>
      </c>
      <c r="C1628" t="str">
        <f>_xll.BDP("!!03MJ03 Mtge","GENERIC_TICKER_VINTAGE")</f>
        <v>FNCL 6 2025</v>
      </c>
      <c r="D1628" t="str">
        <f>_xll.BDP("!!03MJ03 Mtge","CRNCY")</f>
        <v>USD</v>
      </c>
      <c r="E1628">
        <v>45121000</v>
      </c>
      <c r="F1628">
        <f>_xll.BDP("!!03MJ03 Mtge","CPN")</f>
        <v>5</v>
      </c>
      <c r="G1628">
        <f>_xll.BDP("!!03MJ03 Mtge","MTG_FACTOR")</f>
        <v>0.83218787999999999</v>
      </c>
      <c r="H1628">
        <f>_xll.BDP("!!03MJ03 Mtge","MTG_WAL")</f>
        <v>1.4711000000000001</v>
      </c>
      <c r="I1628">
        <f>_xll.BDP("!!03MJ03 Mtge","MTG_ORIG_WAL")</f>
        <v>3.3</v>
      </c>
    </row>
    <row r="1629" spans="1:9" x14ac:dyDescent="0.25">
      <c r="A1629" t="str">
        <f>_xll.BDP("!!03MJ04 Mtge","ID_CUSIP")</f>
        <v>3137HLSJ2</v>
      </c>
      <c r="B1629" t="str">
        <f>_xll.BDP("!!03MJ04 Mtge","SECURITY_NAME")</f>
        <v>FHR 5549 CN</v>
      </c>
      <c r="C1629" t="str">
        <f>_xll.BDP("!!03MJ04 Mtge","GENERIC_TICKER_VINTAGE")</f>
        <v>FNCL 6 2025</v>
      </c>
      <c r="D1629" t="str">
        <f>_xll.BDP("!!03MJ04 Mtge","CRNCY")</f>
        <v>USD</v>
      </c>
      <c r="E1629">
        <v>6766000</v>
      </c>
      <c r="F1629">
        <f>_xll.BDP("!!03MJ04 Mtge","CPN")</f>
        <v>5</v>
      </c>
      <c r="G1629">
        <f>_xll.BDP("!!03MJ04 Mtge","MTG_FACTOR")</f>
        <v>1</v>
      </c>
      <c r="H1629">
        <f>_xll.BDP("!!03MJ04 Mtge","MTG_WAL")</f>
        <v>3.1698</v>
      </c>
      <c r="I1629">
        <f>_xll.BDP("!!03MJ04 Mtge","MTG_ORIG_WAL")</f>
        <v>7.2</v>
      </c>
    </row>
    <row r="1630" spans="1:9" x14ac:dyDescent="0.25">
      <c r="A1630" t="str">
        <f>_xll.BDP("!!03MJ05 Mtge","ID_CUSIP")</f>
        <v>3137HLSL7</v>
      </c>
      <c r="B1630" t="str">
        <f>_xll.BDP("!!03MJ05 Mtge","SECURITY_NAME")</f>
        <v>FHR 5549 CV</v>
      </c>
      <c r="C1630" t="str">
        <f>_xll.BDP("!!03MJ05 Mtge","GENERIC_TICKER_VINTAGE")</f>
        <v>FNCL 6 2025</v>
      </c>
      <c r="D1630" t="str">
        <f>_xll.BDP("!!03MJ05 Mtge","CRNCY")</f>
        <v>USD</v>
      </c>
      <c r="E1630">
        <v>9724000</v>
      </c>
      <c r="F1630">
        <f>_xll.BDP("!!03MJ05 Mtge","CPN")</f>
        <v>5</v>
      </c>
      <c r="G1630">
        <f>_xll.BDP("!!03MJ05 Mtge","MTG_FACTOR")</f>
        <v>0.94154132000000001</v>
      </c>
      <c r="H1630">
        <f>_xll.BDP("!!03MJ05 Mtge","MTG_WAL")</f>
        <v>3.3243</v>
      </c>
      <c r="I1630">
        <f>_xll.BDP("!!03MJ05 Mtge","MTG_ORIG_WAL")</f>
        <v>5.6</v>
      </c>
    </row>
    <row r="1631" spans="1:9" x14ac:dyDescent="0.25">
      <c r="A1631" t="str">
        <f>_xll.BDP("!!03MJ06 Mtge","ID_CUSIP")</f>
        <v>3137HLSN3</v>
      </c>
      <c r="B1631" t="str">
        <f>_xll.BDP("!!03MJ06 Mtge","SECURITY_NAME")</f>
        <v>FHR 5549 CZ</v>
      </c>
      <c r="C1631" t="str">
        <f>_xll.BDP("!!03MJ06 Mtge","GENERIC_TICKER_VINTAGE")</f>
        <v>FNCL 6 2025</v>
      </c>
      <c r="D1631" t="str">
        <f>_xll.BDP("!!03MJ06 Mtge","CRNCY")</f>
        <v>USD</v>
      </c>
      <c r="E1631">
        <v>13389000</v>
      </c>
      <c r="F1631">
        <f>_xll.BDP("!!03MJ06 Mtge","CPN")</f>
        <v>5</v>
      </c>
      <c r="G1631">
        <f>_xll.BDP("!!03MJ06 Mtge","MTG_FACTOR")</f>
        <v>1.04245666</v>
      </c>
      <c r="H1631">
        <f>_xll.BDP("!!03MJ06 Mtge","MTG_WAL")</f>
        <v>7.0503999999999998</v>
      </c>
      <c r="I1631">
        <f>_xll.BDP("!!03MJ06 Mtge","MTG_ORIG_WAL")</f>
        <v>13.7</v>
      </c>
    </row>
    <row r="1632" spans="1:9" x14ac:dyDescent="0.25">
      <c r="A1632" t="str">
        <f>_xll.BDP("!!03MJ07 Mtge","ID_CUSIP")</f>
        <v>3137HLSM5</v>
      </c>
      <c r="B1632" t="str">
        <f>_xll.BDP("!!03MJ07 Mtge","SECURITY_NAME")</f>
        <v>FHR 5549 CY</v>
      </c>
      <c r="C1632" t="str">
        <f>_xll.BDP("!!03MJ07 Mtge","GENERIC_TICKER_VINTAGE")</f>
        <v>FNCL 6 2025</v>
      </c>
      <c r="D1632" t="str">
        <f>_xll.BDP("!!03MJ07 Mtge","CRNCY")</f>
        <v>USD</v>
      </c>
      <c r="E1632">
        <v>23113000</v>
      </c>
      <c r="F1632">
        <f>_xll.BDP("!!03MJ07 Mtge","CPN")</f>
        <v>5</v>
      </c>
      <c r="G1632">
        <f>_xll.BDP("!!03MJ07 Mtge","MTG_FACTOR")</f>
        <v>1</v>
      </c>
      <c r="H1632">
        <f>_xll.BDP("!!03MJ07 Mtge","MTG_WAL")</f>
        <v>6.2572000000000001</v>
      </c>
      <c r="I1632">
        <f>_xll.BDP("!!03MJ07 Mtge","MTG_ORIG_WAL")</f>
        <v>13.1</v>
      </c>
    </row>
    <row r="1633" spans="1:9" x14ac:dyDescent="0.25">
      <c r="A1633" t="str">
        <f>_xll.BDP("!!03MJ08 Mtge","ID_CUSIP")</f>
        <v>3137HLS78</v>
      </c>
      <c r="B1633" t="str">
        <f>_xll.BDP("!!03MJ08 Mtge","SECURITY_NAME")</f>
        <v>FHR 5549 CB</v>
      </c>
      <c r="C1633" t="str">
        <f>_xll.BDP("!!03MJ08 Mtge","GENERIC_TICKER_VINTAGE")</f>
        <v>FNCL 6 2025</v>
      </c>
      <c r="D1633" t="str">
        <f>_xll.BDP("!!03MJ08 Mtge","CRNCY")</f>
        <v>USD</v>
      </c>
      <c r="E1633">
        <v>29879000</v>
      </c>
      <c r="F1633">
        <f>_xll.BDP("!!03MJ08 Mtge","CPN")</f>
        <v>5</v>
      </c>
      <c r="G1633">
        <f>_xll.BDP("!!03MJ08 Mtge","MTG_FACTOR")</f>
        <v>1</v>
      </c>
      <c r="H1633">
        <f>_xll.BDP("!!03MJ08 Mtge","MTG_WAL")</f>
        <v>5.5580999999999996</v>
      </c>
      <c r="I1633">
        <f>_xll.BDP("!!03MJ08 Mtge","MTG_ORIG_WAL")</f>
        <v>11.7</v>
      </c>
    </row>
    <row r="1634" spans="1:9" x14ac:dyDescent="0.25">
      <c r="A1634" t="str">
        <f>_xll.BDP("!!03MJ09 Mtge","ID_CUSIP")</f>
        <v>3137HLS94</v>
      </c>
      <c r="B1634" t="str">
        <f>_xll.BDP("!!03MJ09 Mtge","SECURITY_NAME")</f>
        <v>FHR 5549 CE</v>
      </c>
      <c r="C1634" t="str">
        <f>_xll.BDP("!!03MJ09 Mtge","GENERIC_TICKER_VINTAGE")</f>
        <v>FNCL 6 2025</v>
      </c>
      <c r="D1634" t="str">
        <f>_xll.BDP("!!03MJ09 Mtge","CRNCY")</f>
        <v>USD</v>
      </c>
      <c r="E1634">
        <v>45121000</v>
      </c>
      <c r="F1634">
        <f>_xll.BDP("!!03MJ09 Mtge","CPN")</f>
        <v>4.75</v>
      </c>
      <c r="G1634">
        <f>_xll.BDP("!!03MJ09 Mtge","MTG_FACTOR")</f>
        <v>0.83218787999999999</v>
      </c>
      <c r="H1634">
        <f>_xll.BDP("!!03MJ09 Mtge","MTG_WAL")</f>
        <v>1.4711000000000001</v>
      </c>
      <c r="I1634">
        <f>_xll.BDP("!!03MJ09 Mtge","MTG_ORIG_WAL")</f>
        <v>3.3</v>
      </c>
    </row>
    <row r="1635" spans="1:9" x14ac:dyDescent="0.25">
      <c r="A1635" t="str">
        <f>_xll.BDP("!!03MJ0B Mtge","ID_CUSIP")</f>
        <v>3137HLSB9</v>
      </c>
      <c r="B1635" t="str">
        <f>_xll.BDP("!!03MJ0B Mtge","SECURITY_NAME")</f>
        <v>FHR 5549 CG</v>
      </c>
      <c r="C1635" t="str">
        <f>_xll.BDP("!!03MJ0B Mtge","GENERIC_TICKER_VINTAGE")</f>
        <v>FNCL 6 2025</v>
      </c>
      <c r="D1635" t="str">
        <f>_xll.BDP("!!03MJ0B Mtge","CRNCY")</f>
        <v>USD</v>
      </c>
      <c r="E1635">
        <v>30080666</v>
      </c>
      <c r="F1635">
        <f>_xll.BDP("!!03MJ0B Mtge","CPN")</f>
        <v>5.25</v>
      </c>
      <c r="G1635">
        <f>_xll.BDP("!!03MJ0B Mtge","MTG_FACTOR")</f>
        <v>0.83218787999999999</v>
      </c>
      <c r="H1635">
        <f>_xll.BDP("!!03MJ0B Mtge","MTG_WAL")</f>
        <v>1.4711000000000001</v>
      </c>
      <c r="I1635">
        <f>_xll.BDP("!!03MJ0B Mtge","MTG_ORIG_WAL")</f>
        <v>3.3</v>
      </c>
    </row>
    <row r="1636" spans="1:9" x14ac:dyDescent="0.25">
      <c r="A1636" t="str">
        <f>_xll.BDP("!!03MJ0C Mtge","ID_CUSIP")</f>
        <v>3137HLSC7</v>
      </c>
      <c r="B1636" t="str">
        <f>_xll.BDP("!!03MJ0C Mtge","SECURITY_NAME")</f>
        <v>FHR 5549 CH</v>
      </c>
      <c r="C1636" t="str">
        <f>_xll.BDP("!!03MJ0C Mtge","GENERIC_TICKER_VINTAGE")</f>
        <v>FNCL 6 2025</v>
      </c>
      <c r="D1636" t="str">
        <f>_xll.BDP("!!03MJ0C Mtge","CRNCY")</f>
        <v>USD</v>
      </c>
      <c r="E1636">
        <v>22560500</v>
      </c>
      <c r="F1636">
        <f>_xll.BDP("!!03MJ0C Mtge","CPN")</f>
        <v>5.5</v>
      </c>
      <c r="G1636">
        <f>_xll.BDP("!!03MJ0C Mtge","MTG_FACTOR")</f>
        <v>0.83218787999999999</v>
      </c>
      <c r="H1636">
        <f>_xll.BDP("!!03MJ0C Mtge","MTG_WAL")</f>
        <v>1.4711000000000001</v>
      </c>
      <c r="I1636">
        <f>_xll.BDP("!!03MJ0C Mtge","MTG_ORIG_WAL")</f>
        <v>3.3</v>
      </c>
    </row>
    <row r="1637" spans="1:9" x14ac:dyDescent="0.25">
      <c r="A1637" t="str">
        <f>_xll.BDP("!!03MJ0D Mtge","ID_CUSIP")</f>
        <v>3137HLSD5</v>
      </c>
      <c r="B1637" t="str">
        <f>_xll.BDP("!!03MJ0D Mtge","SECURITY_NAME")</f>
        <v>FHR 5549 CI</v>
      </c>
      <c r="C1637" t="str">
        <f>_xll.BDP("!!03MJ0D Mtge","GENERIC_TICKER_VINTAGE")</f>
        <v>FNCL 6 2025</v>
      </c>
      <c r="D1637" t="str">
        <f>_xll.BDP("!!03MJ0D Mtge","CRNCY")</f>
        <v>USD</v>
      </c>
      <c r="E1637">
        <v>3760083</v>
      </c>
      <c r="F1637">
        <f>_xll.BDP("!!03MJ0D Mtge","CPN")</f>
        <v>6</v>
      </c>
      <c r="G1637">
        <f>_xll.BDP("!!03MJ0D Mtge","MTG_FACTOR")</f>
        <v>0.83218787999999999</v>
      </c>
      <c r="H1637">
        <f>_xll.BDP("!!03MJ0D Mtge","MTG_WAL")</f>
        <v>1.4711000000000001</v>
      </c>
      <c r="I1637">
        <f>_xll.BDP("!!03MJ0D Mtge","MTG_ORIG_WAL")</f>
        <v>3.3</v>
      </c>
    </row>
    <row r="1638" spans="1:9" x14ac:dyDescent="0.25">
      <c r="A1638" t="str">
        <f>_xll.BDP("!!03MJ0F Mtge","ID_CUSIP")</f>
        <v>3137HLSE3</v>
      </c>
      <c r="B1638" t="str">
        <f>_xll.BDP("!!03MJ0F Mtge","SECURITY_NAME")</f>
        <v>FHR 5549 CJ</v>
      </c>
      <c r="C1638" t="str">
        <f>_xll.BDP("!!03MJ0F Mtge","GENERIC_TICKER_VINTAGE")</f>
        <v>FNCL 6 2025</v>
      </c>
      <c r="D1638" t="str">
        <f>_xll.BDP("!!03MJ0F Mtge","CRNCY")</f>
        <v>USD</v>
      </c>
      <c r="E1638">
        <v>51887000</v>
      </c>
      <c r="F1638">
        <f>_xll.BDP("!!03MJ0F Mtge","CPN")</f>
        <v>4.5</v>
      </c>
      <c r="G1638">
        <f>_xll.BDP("!!03MJ0F Mtge","MTG_FACTOR")</f>
        <v>0.85407036999999997</v>
      </c>
      <c r="H1638">
        <f>_xll.BDP("!!03MJ0F Mtge","MTG_WAL")</f>
        <v>1.7304999999999999</v>
      </c>
      <c r="I1638">
        <f>_xll.BDP("!!03MJ0F Mtge","MTG_ORIG_WAL")</f>
        <v>3.8</v>
      </c>
    </row>
    <row r="1639" spans="1:9" x14ac:dyDescent="0.25">
      <c r="A1639" t="str">
        <f>_xll.BDP("!!03MJ0G Mtge","ID_CUSIP")</f>
        <v>3137HLSF0</v>
      </c>
      <c r="B1639" t="str">
        <f>_xll.BDP("!!03MJ0G Mtge","SECURITY_NAME")</f>
        <v>FHR 5549 CK</v>
      </c>
      <c r="C1639" t="str">
        <f>_xll.BDP("!!03MJ0G Mtge","GENERIC_TICKER_VINTAGE")</f>
        <v>FNCL 6 2025</v>
      </c>
      <c r="D1639" t="str">
        <f>_xll.BDP("!!03MJ0G Mtge","CRNCY")</f>
        <v>USD</v>
      </c>
      <c r="E1639">
        <v>51887000</v>
      </c>
      <c r="F1639">
        <f>_xll.BDP("!!03MJ0G Mtge","CPN")</f>
        <v>4.75</v>
      </c>
      <c r="G1639">
        <f>_xll.BDP("!!03MJ0G Mtge","MTG_FACTOR")</f>
        <v>0.85407036999999997</v>
      </c>
      <c r="H1639">
        <f>_xll.BDP("!!03MJ0G Mtge","MTG_WAL")</f>
        <v>1.7304999999999999</v>
      </c>
      <c r="I1639">
        <f>_xll.BDP("!!03MJ0G Mtge","MTG_ORIG_WAL")</f>
        <v>3.8</v>
      </c>
    </row>
    <row r="1640" spans="1:9" x14ac:dyDescent="0.25">
      <c r="A1640" t="str">
        <f>_xll.BDP("!!03MJ0J Mtge","ID_CUSIP")</f>
        <v>3137HLSG8</v>
      </c>
      <c r="B1640" t="str">
        <f>_xll.BDP("!!03MJ0J Mtge","SECURITY_NAME")</f>
        <v>FHR 5549 CL</v>
      </c>
      <c r="C1640" t="str">
        <f>_xll.BDP("!!03MJ0J Mtge","GENERIC_TICKER_VINTAGE")</f>
        <v>FNCL 6 2025</v>
      </c>
      <c r="D1640" t="str">
        <f>_xll.BDP("!!03MJ0J Mtge","CRNCY")</f>
        <v>USD</v>
      </c>
      <c r="E1640">
        <v>34591333</v>
      </c>
      <c r="F1640">
        <f>_xll.BDP("!!03MJ0J Mtge","CPN")</f>
        <v>5.25</v>
      </c>
      <c r="G1640">
        <f>_xll.BDP("!!03MJ0J Mtge","MTG_FACTOR")</f>
        <v>0.85407036999999997</v>
      </c>
      <c r="H1640">
        <f>_xll.BDP("!!03MJ0J Mtge","MTG_WAL")</f>
        <v>1.7304999999999999</v>
      </c>
      <c r="I1640">
        <f>_xll.BDP("!!03MJ0J Mtge","MTG_ORIG_WAL")</f>
        <v>3.8</v>
      </c>
    </row>
    <row r="1641" spans="1:9" x14ac:dyDescent="0.25">
      <c r="A1641" t="str">
        <f>_xll.BDP("!!03MJ0K Mtge","ID_CUSIP")</f>
        <v>3137HLSH6</v>
      </c>
      <c r="B1641" t="str">
        <f>_xll.BDP("!!03MJ0K Mtge","SECURITY_NAME")</f>
        <v>FHR 5549 CM</v>
      </c>
      <c r="C1641" t="str">
        <f>_xll.BDP("!!03MJ0K Mtge","GENERIC_TICKER_VINTAGE")</f>
        <v>FNCL 6 2025</v>
      </c>
      <c r="D1641" t="str">
        <f>_xll.BDP("!!03MJ0K Mtge","CRNCY")</f>
        <v>USD</v>
      </c>
      <c r="E1641">
        <v>25943500</v>
      </c>
      <c r="F1641">
        <f>_xll.BDP("!!03MJ0K Mtge","CPN")</f>
        <v>5.5</v>
      </c>
      <c r="G1641">
        <f>_xll.BDP("!!03MJ0K Mtge","MTG_FACTOR")</f>
        <v>0.85407036999999997</v>
      </c>
      <c r="H1641">
        <f>_xll.BDP("!!03MJ0K Mtge","MTG_WAL")</f>
        <v>1.7304999999999999</v>
      </c>
      <c r="I1641">
        <f>_xll.BDP("!!03MJ0K Mtge","MTG_ORIG_WAL")</f>
        <v>3.8</v>
      </c>
    </row>
    <row r="1642" spans="1:9" x14ac:dyDescent="0.25">
      <c r="A1642" t="str">
        <f>_xll.BDP("!!03MJ0L Mtge","ID_CUSIP")</f>
        <v>3137HLT69</v>
      </c>
      <c r="B1642" t="str">
        <f>_xll.BDP("!!03MJ0L Mtge","SECURITY_NAME")</f>
        <v>FHR 5549 IC</v>
      </c>
      <c r="C1642" t="str">
        <f>_xll.BDP("!!03MJ0L Mtge","GENERIC_TICKER_VINTAGE")</f>
        <v>FNCL 6 2025</v>
      </c>
      <c r="D1642" t="str">
        <f>_xll.BDP("!!03MJ0L Mtge","CRNCY")</f>
        <v>USD</v>
      </c>
      <c r="E1642">
        <v>4323916</v>
      </c>
      <c r="F1642">
        <f>_xll.BDP("!!03MJ0L Mtge","CPN")</f>
        <v>6</v>
      </c>
      <c r="G1642">
        <f>_xll.BDP("!!03MJ0L Mtge","MTG_FACTOR")</f>
        <v>0.85407036999999997</v>
      </c>
      <c r="H1642">
        <f>_xll.BDP("!!03MJ0L Mtge","MTG_WAL")</f>
        <v>1.7304999999999999</v>
      </c>
      <c r="I1642">
        <f>_xll.BDP("!!03MJ0L Mtge","MTG_ORIG_WAL")</f>
        <v>3.8</v>
      </c>
    </row>
    <row r="1643" spans="1:9" x14ac:dyDescent="0.25">
      <c r="A1643" t="str">
        <f>_xll.BDP("!!03MJC9 Mtge","ID_CUSIP")</f>
        <v>3137HLVL3</v>
      </c>
      <c r="B1643" t="str">
        <f>_xll.BDP("!!03MJC9 Mtge","SECURITY_NAME")</f>
        <v>FHR 5547 HV</v>
      </c>
      <c r="C1643" t="str">
        <f>_xll.BDP("!!03MJC9 Mtge","GENERIC_TICKER_VINTAGE")</f>
        <v>FNCL 6 2025</v>
      </c>
      <c r="D1643" t="str">
        <f>_xll.BDP("!!03MJC9 Mtge","CRNCY")</f>
        <v>USD</v>
      </c>
      <c r="E1643">
        <v>13585086</v>
      </c>
      <c r="F1643">
        <f>_xll.BDP("!!03MJC9 Mtge","CPN")</f>
        <v>5</v>
      </c>
      <c r="G1643">
        <f>_xll.BDP("!!03MJC9 Mtge","MTG_FACTOR")</f>
        <v>0.94149225999999997</v>
      </c>
      <c r="H1643">
        <f>_xll.BDP("!!03MJC9 Mtge","MTG_WAL")</f>
        <v>3.2488999999999999</v>
      </c>
      <c r="I1643">
        <f>_xll.BDP("!!03MJC9 Mtge","MTG_ORIG_WAL")</f>
        <v>5.9</v>
      </c>
    </row>
    <row r="1644" spans="1:9" x14ac:dyDescent="0.25">
      <c r="A1644" t="str">
        <f>_xll.BDP("!!03MJCB Mtge","ID_CUSIP")</f>
        <v>3137HLVM1</v>
      </c>
      <c r="B1644" t="str">
        <f>_xll.BDP("!!03MJCB Mtge","SECURITY_NAME")</f>
        <v>FHR 5547 HZ</v>
      </c>
      <c r="C1644" t="str">
        <f>_xll.BDP("!!03MJCB Mtge","GENERIC_TICKER_VINTAGE")</f>
        <v>FNCL 6 2025</v>
      </c>
      <c r="D1644" t="str">
        <f>_xll.BDP("!!03MJCB Mtge","CRNCY")</f>
        <v>USD</v>
      </c>
      <c r="E1644">
        <v>18721035</v>
      </c>
      <c r="F1644">
        <f>_xll.BDP("!!03MJCB Mtge","CPN")</f>
        <v>5</v>
      </c>
      <c r="G1644">
        <f>_xll.BDP("!!03MJCB Mtge","MTG_FACTOR")</f>
        <v>1.04245666</v>
      </c>
      <c r="H1644">
        <f>_xll.BDP("!!03MJCB Mtge","MTG_WAL")</f>
        <v>6.8795999999999999</v>
      </c>
      <c r="I1644">
        <f>_xll.BDP("!!03MJCB Mtge","MTG_ORIG_WAL")</f>
        <v>15.4</v>
      </c>
    </row>
    <row r="1645" spans="1:9" x14ac:dyDescent="0.25">
      <c r="A1645" t="str">
        <f>_xll.BDP("!!03MJCC Mtge","ID_CUSIP")</f>
        <v>3137HLVK5</v>
      </c>
      <c r="B1645" t="str">
        <f>_xll.BDP("!!03MJCC Mtge","SECURITY_NAME")</f>
        <v>FHR 5547 HT</v>
      </c>
      <c r="C1645" t="str">
        <f>_xll.BDP("!!03MJCC Mtge","GENERIC_TICKER_VINTAGE")</f>
        <v>FNCL 6 2025</v>
      </c>
      <c r="D1645" t="str">
        <f>_xll.BDP("!!03MJCC Mtge","CRNCY")</f>
        <v>USD</v>
      </c>
      <c r="E1645">
        <v>106615275</v>
      </c>
      <c r="F1645">
        <f>_xll.BDP("!!03MJCC Mtge","CPN")</f>
        <v>5</v>
      </c>
      <c r="G1645">
        <f>_xll.BDP("!!03MJCC Mtge","MTG_FACTOR")</f>
        <v>0.88405736000000001</v>
      </c>
      <c r="H1645">
        <f>_xll.BDP("!!03MJCC Mtge","MTG_WAL")</f>
        <v>3.1838000000000002</v>
      </c>
      <c r="I1645">
        <f>_xll.BDP("!!03MJCC Mtge","MTG_ORIG_WAL")</f>
        <v>7.6</v>
      </c>
    </row>
    <row r="1646" spans="1:9" x14ac:dyDescent="0.25">
      <c r="A1646" t="str">
        <f>_xll.BDP("!!03MJFD Mtge","ID_CUSIP")</f>
        <v>3137HLWU2</v>
      </c>
      <c r="B1646" t="str">
        <f>_xll.BDP("!!03MJFD Mtge","SECURITY_NAME")</f>
        <v>FHR 5549 FL</v>
      </c>
      <c r="C1646" t="str">
        <f>_xll.BDP("!!03MJFD Mtge","GENERIC_TICKER_VINTAGE")</f>
        <v>FNCL 6 2025</v>
      </c>
      <c r="D1646" t="str">
        <f>_xll.BDP("!!03MJFD Mtge","CRNCY")</f>
        <v>USD</v>
      </c>
      <c r="E1646">
        <v>178313000</v>
      </c>
      <c r="F1646">
        <f>_xll.BDP("!!03MJFD Mtge","CPN")</f>
        <v>5.2672100000000004</v>
      </c>
      <c r="G1646">
        <f>_xll.BDP("!!03MJFD Mtge","MTG_FACTOR")</f>
        <v>0.75737337999999998</v>
      </c>
      <c r="H1646">
        <f>_xll.BDP("!!03MJFD Mtge","MTG_WAL")</f>
        <v>3.0621999999999998</v>
      </c>
      <c r="I1646">
        <f>_xll.BDP("!!03MJFD Mtge","MTG_ORIG_WAL")</f>
        <v>7</v>
      </c>
    </row>
    <row r="1647" spans="1:9" x14ac:dyDescent="0.25">
      <c r="A1647" t="str">
        <f>_xll.BDP("!!03MJFF Mtge","ID_CUSIP")</f>
        <v>3137HLWY4</v>
      </c>
      <c r="B1647" t="str">
        <f>_xll.BDP("!!03MJFF Mtge","SECURITY_NAME")</f>
        <v>FHR 5549 SL</v>
      </c>
      <c r="C1647" t="str">
        <f>_xll.BDP("!!03MJFF Mtge","GENERIC_TICKER_VINTAGE")</f>
        <v>FNCL 6 2025</v>
      </c>
      <c r="D1647" t="str">
        <f>_xll.BDP("!!03MJFF Mtge","CRNCY")</f>
        <v>USD</v>
      </c>
      <c r="E1647">
        <v>178313000</v>
      </c>
      <c r="F1647">
        <f>_xll.BDP("!!03MJFF Mtge","CPN")</f>
        <v>0.73279000000000005</v>
      </c>
      <c r="G1647">
        <f>_xll.BDP("!!03MJFF Mtge","MTG_FACTOR")</f>
        <v>0.75737337999999998</v>
      </c>
      <c r="H1647">
        <f>_xll.BDP("!!03MJFF Mtge","MTG_WAL")</f>
        <v>3.0621999999999998</v>
      </c>
      <c r="I1647">
        <f>_xll.BDP("!!03MJFF Mtge","MTG_ORIG_WAL")</f>
        <v>7</v>
      </c>
    </row>
    <row r="1648" spans="1:9" x14ac:dyDescent="0.25">
      <c r="A1648" t="str">
        <f>_xll.BDP("!!03MJK9 Mtge","ID_CUSIP")</f>
        <v>3137HLWD0</v>
      </c>
      <c r="B1648" t="str">
        <f>_xll.BDP("!!03MJK9 Mtge","SECURITY_NAME")</f>
        <v>FHR 5551 MV</v>
      </c>
      <c r="C1648" t="str">
        <f>_xll.BDP("!!03MJK9 Mtge","GENERIC_TICKER_VINTAGE")</f>
        <v>FNCL 6 2025</v>
      </c>
      <c r="D1648" t="str">
        <f>_xll.BDP("!!03MJK9 Mtge","CRNCY")</f>
        <v>USD</v>
      </c>
      <c r="E1648">
        <v>2550000</v>
      </c>
      <c r="F1648">
        <f>_xll.BDP("!!03MJK9 Mtge","CPN")</f>
        <v>5</v>
      </c>
      <c r="G1648">
        <f>_xll.BDP("!!03MJK9 Mtge","MTG_FACTOR")</f>
        <v>0.94150971000000006</v>
      </c>
      <c r="H1648">
        <f>_xll.BDP("!!03MJK9 Mtge","MTG_WAL")</f>
        <v>3.1831999999999998</v>
      </c>
      <c r="I1648">
        <f>_xll.BDP("!!03MJK9 Mtge","MTG_ORIG_WAL")</f>
        <v>5.5</v>
      </c>
    </row>
    <row r="1649" spans="1:9" x14ac:dyDescent="0.25">
      <c r="A1649" t="str">
        <f>_xll.BDP("!!03MJKB Mtge","ID_CUSIP")</f>
        <v>3137HLWE8</v>
      </c>
      <c r="B1649" t="str">
        <f>_xll.BDP("!!03MJKB Mtge","SECURITY_NAME")</f>
        <v>FHR 5551 MZ</v>
      </c>
      <c r="C1649" t="str">
        <f>_xll.BDP("!!03MJKB Mtge","GENERIC_TICKER_VINTAGE")</f>
        <v>FNCL 6 2025</v>
      </c>
      <c r="D1649" t="str">
        <f>_xll.BDP("!!03MJKB Mtge","CRNCY")</f>
        <v>USD</v>
      </c>
      <c r="E1649">
        <v>3513000</v>
      </c>
      <c r="F1649">
        <f>_xll.BDP("!!03MJKB Mtge","CPN")</f>
        <v>5</v>
      </c>
      <c r="G1649">
        <f>_xll.BDP("!!03MJKB Mtge","MTG_FACTOR")</f>
        <v>1.04245666</v>
      </c>
      <c r="H1649">
        <f>_xll.BDP("!!03MJKB Mtge","MTG_WAL")</f>
        <v>4.1515000000000004</v>
      </c>
      <c r="I1649">
        <f>_xll.BDP("!!03MJKB Mtge","MTG_ORIG_WAL")</f>
        <v>9</v>
      </c>
    </row>
    <row r="1650" spans="1:9" x14ac:dyDescent="0.25">
      <c r="A1650" t="str">
        <f>_xll.BDP("!!03MJKC Mtge","ID_CUSIP")</f>
        <v>3137HLM74</v>
      </c>
      <c r="B1650" t="str">
        <f>_xll.BDP("!!03MJKC Mtge","SECURITY_NAME")</f>
        <v>FHR 5551 AV</v>
      </c>
      <c r="C1650" t="str">
        <f>_xll.BDP("!!03MJKC Mtge","GENERIC_TICKER_VINTAGE")</f>
        <v>FNCL 6 2025</v>
      </c>
      <c r="D1650" t="str">
        <f>_xll.BDP("!!03MJKC Mtge","CRNCY")</f>
        <v>USD</v>
      </c>
      <c r="E1650">
        <v>6614000</v>
      </c>
      <c r="F1650">
        <f>_xll.BDP("!!03MJKC Mtge","CPN")</f>
        <v>5</v>
      </c>
      <c r="G1650">
        <f>_xll.BDP("!!03MJKC Mtge","MTG_FACTOR")</f>
        <v>0.94148889000000002</v>
      </c>
      <c r="H1650">
        <f>_xll.BDP("!!03MJKC Mtge","MTG_WAL")</f>
        <v>3.8908</v>
      </c>
      <c r="I1650">
        <f>_xll.BDP("!!03MJKC Mtge","MTG_ORIG_WAL")</f>
        <v>5.9</v>
      </c>
    </row>
    <row r="1651" spans="1:9" x14ac:dyDescent="0.25">
      <c r="A1651" t="str">
        <f>_xll.BDP("!!03MJKD Mtge","ID_CUSIP")</f>
        <v>3137HLWA6</v>
      </c>
      <c r="B1651" t="str">
        <f>_xll.BDP("!!03MJKD Mtge","SECURITY_NAME")</f>
        <v>FHR 5551 AZ</v>
      </c>
      <c r="C1651" t="str">
        <f>_xll.BDP("!!03MJKD Mtge","GENERIC_TICKER_VINTAGE")</f>
        <v>FNCL 6 2025</v>
      </c>
      <c r="D1651" t="str">
        <f>_xll.BDP("!!03MJKD Mtge","CRNCY")</f>
        <v>USD</v>
      </c>
      <c r="E1651">
        <v>9115000</v>
      </c>
      <c r="F1651">
        <f>_xll.BDP("!!03MJKD Mtge","CPN")</f>
        <v>5</v>
      </c>
      <c r="G1651">
        <f>_xll.BDP("!!03MJKD Mtge","MTG_FACTOR")</f>
        <v>1.04245666</v>
      </c>
      <c r="H1651">
        <f>_xll.BDP("!!03MJKD Mtge","MTG_WAL")</f>
        <v>7.8011999999999997</v>
      </c>
      <c r="I1651">
        <f>_xll.BDP("!!03MJKD Mtge","MTG_ORIG_WAL")</f>
        <v>15</v>
      </c>
    </row>
    <row r="1652" spans="1:9" x14ac:dyDescent="0.25">
      <c r="A1652" t="str">
        <f>_xll.BDP("!!03MJKH Mtge","ID_CUSIP")</f>
        <v>3137HLTY8</v>
      </c>
      <c r="B1652" t="str">
        <f>_xll.BDP("!!03MJKH Mtge","SECURITY_NAME")</f>
        <v>FHR 5551 BV</v>
      </c>
      <c r="C1652" t="str">
        <f>_xll.BDP("!!03MJKH Mtge","GENERIC_TICKER_VINTAGE")</f>
        <v>FNCL 6 2025</v>
      </c>
      <c r="D1652" t="str">
        <f>_xll.BDP("!!03MJKH Mtge","CRNCY")</f>
        <v>USD</v>
      </c>
      <c r="E1652">
        <v>9164000</v>
      </c>
      <c r="F1652">
        <f>_xll.BDP("!!03MJKH Mtge","CPN")</f>
        <v>5</v>
      </c>
      <c r="G1652">
        <f>_xll.BDP("!!03MJKH Mtge","MTG_FACTOR")</f>
        <v>0.94149468000000003</v>
      </c>
      <c r="H1652">
        <f>_xll.BDP("!!03MJKH Mtge","MTG_WAL")</f>
        <v>3.6939000000000002</v>
      </c>
      <c r="I1652">
        <f>_xll.BDP("!!03MJKH Mtge","MTG_ORIG_WAL")</f>
        <v>5.8</v>
      </c>
    </row>
    <row r="1653" spans="1:9" x14ac:dyDescent="0.25">
      <c r="A1653" t="str">
        <f>_xll.BDP("!!03MJSK Mtge","ID_CUSIP")</f>
        <v>3137HLWW8</v>
      </c>
      <c r="B1653" t="str">
        <f>_xll.BDP("!!03MJSK Mtge","SECURITY_NAME")</f>
        <v>FHR 5549 KF</v>
      </c>
      <c r="C1653" t="str">
        <f>_xll.BDP("!!03MJSK Mtge","GENERIC_TICKER_VINTAGE")</f>
        <v>FNCL 6 2025</v>
      </c>
      <c r="D1653" t="str">
        <f>_xll.BDP("!!03MJSK Mtge","CRNCY")</f>
        <v>USD</v>
      </c>
      <c r="E1653">
        <v>15000000</v>
      </c>
      <c r="F1653">
        <f>_xll.BDP("!!03MJSK Mtge","CPN")</f>
        <v>5.2172099999999997</v>
      </c>
      <c r="G1653">
        <f>_xll.BDP("!!03MJSK Mtge","MTG_FACTOR")</f>
        <v>0.75737337999999998</v>
      </c>
      <c r="H1653">
        <f>_xll.BDP("!!03MJSK Mtge","MTG_WAL")</f>
        <v>3.1212</v>
      </c>
      <c r="I1653">
        <f>_xll.BDP("!!03MJSK Mtge","MTG_ORIG_WAL")</f>
        <v>6.7</v>
      </c>
    </row>
    <row r="1654" spans="1:9" x14ac:dyDescent="0.25">
      <c r="A1654" t="str">
        <f>_xll.BDP("!!03MJSL Mtge","ID_CUSIP")</f>
        <v>3137HLWV0</v>
      </c>
      <c r="B1654" t="str">
        <f>_xll.BDP("!!03MJSL Mtge","SECURITY_NAME")</f>
        <v>FHR 5549 JF</v>
      </c>
      <c r="C1654" t="str">
        <f>_xll.BDP("!!03MJSL Mtge","GENERIC_TICKER_VINTAGE")</f>
        <v>FNCL 6 2025</v>
      </c>
      <c r="D1654" t="str">
        <f>_xll.BDP("!!03MJSL Mtge","CRNCY")</f>
        <v>USD</v>
      </c>
      <c r="E1654">
        <v>85000000</v>
      </c>
      <c r="F1654">
        <f>_xll.BDP("!!03MJSL Mtge","CPN")</f>
        <v>5.2172099999999997</v>
      </c>
      <c r="G1654">
        <f>_xll.BDP("!!03MJSL Mtge","MTG_FACTOR")</f>
        <v>0.75737337999999998</v>
      </c>
      <c r="H1654">
        <f>_xll.BDP("!!03MJSL Mtge","MTG_WAL")</f>
        <v>3.1212</v>
      </c>
      <c r="I1654">
        <f>_xll.BDP("!!03MJSL Mtge","MTG_ORIG_WAL")</f>
        <v>6.7</v>
      </c>
    </row>
    <row r="1655" spans="1:9" x14ac:dyDescent="0.25">
      <c r="A1655" t="str">
        <f>_xll.BDP("!!03MKR3 Mtge","ID_CUSIP")</f>
        <v>3136BWDX1</v>
      </c>
      <c r="B1655" t="str">
        <f>_xll.BDP("!!03MKR3 Mtge","SECURITY_NAME")</f>
        <v>FNR 2025-44 BT</v>
      </c>
      <c r="C1655" t="str">
        <f>_xll.BDP("!!03MKR3 Mtge","GENERIC_TICKER_VINTAGE")</f>
        <v>FNCL 6 2025</v>
      </c>
      <c r="D1655" t="str">
        <f>_xll.BDP("!!03MKR3 Mtge","CRNCY")</f>
        <v>USD</v>
      </c>
      <c r="E1655">
        <v>78199500</v>
      </c>
      <c r="F1655">
        <f>_xll.BDP("!!03MKR3 Mtge","CPN")</f>
        <v>5</v>
      </c>
      <c r="G1655">
        <f>_xll.BDP("!!03MKR3 Mtge","MTG_FACTOR")</f>
        <v>0.88368232000000002</v>
      </c>
      <c r="H1655">
        <f>_xll.BDP("!!03MKR3 Mtge","MTG_WAL")</f>
        <v>3.1928999999999998</v>
      </c>
      <c r="I1655">
        <f>_xll.BDP("!!03MKR3 Mtge","MTG_ORIG_WAL")</f>
        <v>6.9250699999999998</v>
      </c>
    </row>
    <row r="1656" spans="1:9" x14ac:dyDescent="0.25">
      <c r="A1656" t="str">
        <f>_xll.BDP("!!03MKR7 Mtge","ID_CUSIP")</f>
        <v>3136BWCT1</v>
      </c>
      <c r="B1656" t="str">
        <f>_xll.BDP("!!03MKR7 Mtge","SECURITY_NAME")</f>
        <v>FNR 2025-44 SB</v>
      </c>
      <c r="C1656" t="str">
        <f>_xll.BDP("!!03MKR7 Mtge","GENERIC_TICKER_VINTAGE")</f>
        <v>FNCL 6 2025</v>
      </c>
      <c r="D1656" t="str">
        <f>_xll.BDP("!!03MKR7 Mtge","CRNCY")</f>
        <v>USD</v>
      </c>
      <c r="E1656">
        <v>78199500</v>
      </c>
      <c r="F1656">
        <f>_xll.BDP("!!03MKR7 Mtge","CPN")</f>
        <v>1.43279</v>
      </c>
      <c r="G1656">
        <f>_xll.BDP("!!03MKR7 Mtge","MTG_FACTOR")</f>
        <v>0.89678285999999996</v>
      </c>
      <c r="H1656">
        <f>_xll.BDP("!!03MKR7 Mtge","MTG_WAL")</f>
        <v>3.1770999999999998</v>
      </c>
      <c r="I1656">
        <f>_xll.BDP("!!03MKR7 Mtge","MTG_ORIG_WAL")</f>
        <v>6.9292199999999999</v>
      </c>
    </row>
    <row r="1657" spans="1:9" x14ac:dyDescent="0.25">
      <c r="A1657" t="str">
        <f>_xll.BDP("!!03MKRJ Mtge","ID_CUSIP")</f>
        <v>3136BWDD5</v>
      </c>
      <c r="B1657" t="str">
        <f>_xll.BDP("!!03MKRJ Mtge","SECURITY_NAME")</f>
        <v>FNR 2025-44 DS</v>
      </c>
      <c r="C1657" t="str">
        <f>_xll.BDP("!!03MKRJ Mtge","GENERIC_TICKER_VINTAGE")</f>
        <v>FNCL 6 2025</v>
      </c>
      <c r="D1657" t="str">
        <f>_xll.BDP("!!03MKRJ Mtge","CRNCY")</f>
        <v>USD</v>
      </c>
      <c r="E1657">
        <v>74599854</v>
      </c>
      <c r="F1657">
        <f>_xll.BDP("!!03MKRJ Mtge","CPN")</f>
        <v>1.43279</v>
      </c>
      <c r="G1657">
        <f>_xll.BDP("!!03MKRJ Mtge","MTG_FACTOR")</f>
        <v>0.81138259999999995</v>
      </c>
      <c r="H1657">
        <f>_xll.BDP("!!03MKRJ Mtge","MTG_WAL")</f>
        <v>3.1284999999999998</v>
      </c>
      <c r="I1657">
        <f>_xll.BDP("!!03MKRJ Mtge","MTG_ORIG_WAL")</f>
        <v>6.84063</v>
      </c>
    </row>
    <row r="1658" spans="1:9" x14ac:dyDescent="0.25">
      <c r="A1658" t="str">
        <f>_xll.BDP("!!03MKRM Mtge","ID_CUSIP")</f>
        <v>3136BWDC7</v>
      </c>
      <c r="B1658" t="str">
        <f>_xll.BDP("!!03MKRM Mtge","SECURITY_NAME")</f>
        <v>FNR 2025-44 SD</v>
      </c>
      <c r="C1658" t="str">
        <f>_xll.BDP("!!03MKRM Mtge","GENERIC_TICKER_VINTAGE")</f>
        <v>FNCL 6 2025</v>
      </c>
      <c r="D1658" t="str">
        <f>_xll.BDP("!!03MKRM Mtge","CRNCY")</f>
        <v>USD</v>
      </c>
      <c r="E1658">
        <v>93090980</v>
      </c>
      <c r="F1658">
        <f>_xll.BDP("!!03MKRM Mtge","CPN")</f>
        <v>1.43279</v>
      </c>
      <c r="G1658">
        <f>_xll.BDP("!!03MKRM Mtge","MTG_FACTOR")</f>
        <v>0.82261527000000001</v>
      </c>
      <c r="H1658">
        <f>_xll.BDP("!!03MKRM Mtge","MTG_WAL")</f>
        <v>2.9401999999999999</v>
      </c>
      <c r="I1658">
        <f>_xll.BDP("!!03MKRM Mtge","MTG_ORIG_WAL")</f>
        <v>6.84063</v>
      </c>
    </row>
    <row r="1659" spans="1:9" x14ac:dyDescent="0.25">
      <c r="A1659" t="str">
        <f>_xll.BDP("!!03MKRX Mtge","ID_CUSIP")</f>
        <v>3136BWDL7</v>
      </c>
      <c r="B1659" t="str">
        <f>_xll.BDP("!!03MKRX Mtge","SECURITY_NAME")</f>
        <v>FNR 2025-44 AS</v>
      </c>
      <c r="C1659" t="str">
        <f>_xll.BDP("!!03MKRX Mtge","GENERIC_TICKER_VINTAGE")</f>
        <v>FNCL 6 2025</v>
      </c>
      <c r="D1659" t="str">
        <f>_xll.BDP("!!03MKRX Mtge","CRNCY")</f>
        <v>USD</v>
      </c>
      <c r="E1659">
        <v>50000000</v>
      </c>
      <c r="F1659">
        <f>_xll.BDP("!!03MKRX Mtge","CPN")</f>
        <v>0.33278999999999997</v>
      </c>
      <c r="G1659">
        <f>_xll.BDP("!!03MKRX Mtge","MTG_FACTOR")</f>
        <v>0.85852910999999998</v>
      </c>
      <c r="H1659">
        <f>_xll.BDP("!!03MKRX Mtge","MTG_WAL")</f>
        <v>3.1084000000000001</v>
      </c>
      <c r="I1659">
        <f>_xll.BDP("!!03MKRX Mtge","MTG_ORIG_WAL")</f>
        <v>6.4035599999999997</v>
      </c>
    </row>
    <row r="1660" spans="1:9" x14ac:dyDescent="0.25">
      <c r="A1660" t="str">
        <f>_xll.BDP("!!03MLJK Mtge","ID_CUSIP")</f>
        <v>3136BWJH0</v>
      </c>
      <c r="B1660" t="str">
        <f>_xll.BDP("!!03MLJK Mtge","SECURITY_NAME")</f>
        <v>FNR 2025-47 EZ</v>
      </c>
      <c r="C1660" t="str">
        <f>_xll.BDP("!!03MLJK Mtge","GENERIC_TICKER_VINTAGE")</f>
        <v>FNCL 6 2025</v>
      </c>
      <c r="D1660" t="str">
        <f>_xll.BDP("!!03MLJK Mtge","CRNCY")</f>
        <v>USD</v>
      </c>
      <c r="E1660">
        <v>2783170</v>
      </c>
      <c r="F1660">
        <f>_xll.BDP("!!03MLJK Mtge","CPN")</f>
        <v>5.75</v>
      </c>
      <c r="G1660">
        <f>_xll.BDP("!!03MLJK Mtge","MTG_FACTOR")</f>
        <v>1.0489631800000001</v>
      </c>
      <c r="H1660">
        <f>_xll.BDP("!!03MLJK Mtge","MTG_WAL")</f>
        <v>9.8737999999999992</v>
      </c>
      <c r="I1660">
        <f>_xll.BDP("!!03MLJK Mtge","MTG_ORIG_WAL")</f>
        <v>17.784939999999999</v>
      </c>
    </row>
    <row r="1661" spans="1:9" x14ac:dyDescent="0.25">
      <c r="A1661" t="str">
        <f>_xll.BDP("!!03MLJP Mtge","ID_CUSIP")</f>
        <v>3136BWJJ6</v>
      </c>
      <c r="B1661" t="str">
        <f>_xll.BDP("!!03MLJP Mtge","SECURITY_NAME")</f>
        <v>FNR 2025-47 FC</v>
      </c>
      <c r="C1661" t="str">
        <f>_xll.BDP("!!03MLJP Mtge","GENERIC_TICKER_VINTAGE")</f>
        <v>FNCL 6 2025</v>
      </c>
      <c r="D1661" t="str">
        <f>_xll.BDP("!!03MLJP Mtge","CRNCY")</f>
        <v>USD</v>
      </c>
      <c r="E1661">
        <v>13914792</v>
      </c>
      <c r="F1661">
        <f>_xll.BDP("!!03MLJP Mtge","CPN")</f>
        <v>4.86721</v>
      </c>
      <c r="G1661">
        <f>_xll.BDP("!!03MLJP Mtge","MTG_FACTOR")</f>
        <v>0.88754860999999996</v>
      </c>
      <c r="H1661">
        <f>_xll.BDP("!!03MLJP Mtge","MTG_WAL")</f>
        <v>3.1972999999999998</v>
      </c>
      <c r="I1661">
        <f>_xll.BDP("!!03MLJP Mtge","MTG_ORIG_WAL")</f>
        <v>6.4752200000000002</v>
      </c>
    </row>
    <row r="1662" spans="1:9" x14ac:dyDescent="0.25">
      <c r="A1662" t="str">
        <f>_xll.BDP("!!03MLJR Mtge","ID_CUSIP")</f>
        <v>3136BWHW9</v>
      </c>
      <c r="B1662" t="str">
        <f>_xll.BDP("!!03MLJR Mtge","SECURITY_NAME")</f>
        <v>FNR 2025-47 FK</v>
      </c>
      <c r="C1662" t="str">
        <f>_xll.BDP("!!03MLJR Mtge","GENERIC_TICKER_VINTAGE")</f>
        <v>FNCL 6 2025</v>
      </c>
      <c r="D1662" t="str">
        <f>_xll.BDP("!!03MLJR Mtge","CRNCY")</f>
        <v>USD</v>
      </c>
      <c r="E1662">
        <v>36085208</v>
      </c>
      <c r="F1662">
        <f>_xll.BDP("!!03MLJR Mtge","CPN")</f>
        <v>4.86721</v>
      </c>
      <c r="G1662">
        <f>_xll.BDP("!!03MLJR Mtge","MTG_FACTOR")</f>
        <v>0.90068972999999997</v>
      </c>
      <c r="H1662">
        <f>_xll.BDP("!!03MLJR Mtge","MTG_WAL")</f>
        <v>3.1888000000000001</v>
      </c>
      <c r="I1662">
        <f>_xll.BDP("!!03MLJR Mtge","MTG_ORIG_WAL")</f>
        <v>6.4696800000000003</v>
      </c>
    </row>
    <row r="1663" spans="1:9" x14ac:dyDescent="0.25">
      <c r="A1663" t="str">
        <f>_xll.BDP("!!03MLJS Mtge","ID_CUSIP")</f>
        <v>3136BWKQ8</v>
      </c>
      <c r="B1663" t="str">
        <f>_xll.BDP("!!03MLJS Mtge","SECURITY_NAME")</f>
        <v>FNR 2025-47 FM</v>
      </c>
      <c r="C1663" t="str">
        <f>_xll.BDP("!!03MLJS Mtge","GENERIC_TICKER_VINTAGE")</f>
        <v>FNCL 6 2025</v>
      </c>
      <c r="D1663" t="str">
        <f>_xll.BDP("!!03MLJS Mtge","CRNCY")</f>
        <v>USD</v>
      </c>
      <c r="E1663">
        <v>50000000</v>
      </c>
      <c r="F1663">
        <f>_xll.BDP("!!03MLJS Mtge","CPN")</f>
        <v>4.86721</v>
      </c>
      <c r="G1663">
        <f>_xll.BDP("!!03MLJS Mtge","MTG_FACTOR")</f>
        <v>0.89703261000000001</v>
      </c>
      <c r="H1663">
        <f>_xll.BDP("!!03MLJS Mtge","MTG_WAL")</f>
        <v>3.1911999999999998</v>
      </c>
      <c r="I1663">
        <f>_xll.BDP("!!03MLJS Mtge","MTG_ORIG_WAL")</f>
        <v>6.4712199999999998</v>
      </c>
    </row>
    <row r="1664" spans="1:9" x14ac:dyDescent="0.25">
      <c r="A1664" t="str">
        <f>_xll.BDP("!!03MLK2 Mtge","ID_CUSIP")</f>
        <v>3136BWKM7</v>
      </c>
      <c r="B1664" t="str">
        <f>_xll.BDP("!!03MLK2 Mtge","SECURITY_NAME")</f>
        <v>FNR 2025-47 GI</v>
      </c>
      <c r="C1664" t="str">
        <f>_xll.BDP("!!03MLK2 Mtge","GENERIC_TICKER_VINTAGE")</f>
        <v>FNCL 6 2025</v>
      </c>
      <c r="D1664" t="str">
        <f>_xll.BDP("!!03MLK2 Mtge","CRNCY")</f>
        <v>USD</v>
      </c>
      <c r="E1664">
        <v>4120500</v>
      </c>
      <c r="F1664">
        <f>_xll.BDP("!!03MLK2 Mtge","CPN")</f>
        <v>6</v>
      </c>
      <c r="G1664">
        <f>_xll.BDP("!!03MLK2 Mtge","MTG_FACTOR")</f>
        <v>0.93187768999999998</v>
      </c>
      <c r="H1664">
        <f>_xll.BDP("!!03MLK2 Mtge","MTG_WAL")</f>
        <v>1.734</v>
      </c>
      <c r="I1664">
        <f>_xll.BDP("!!03MLK2 Mtge","MTG_ORIG_WAL")</f>
        <v>3.6920899999999999</v>
      </c>
    </row>
    <row r="1665" spans="1:9" x14ac:dyDescent="0.25">
      <c r="A1665" t="str">
        <f>_xll.BDP("!!03MLK9 Mtge","ID_CUSIP")</f>
        <v>3136BWJV9</v>
      </c>
      <c r="B1665" t="str">
        <f>_xll.BDP("!!03MLK9 Mtge","SECURITY_NAME")</f>
        <v>FNR 2025-47 HA</v>
      </c>
      <c r="C1665" t="str">
        <f>_xll.BDP("!!03MLK9 Mtge","GENERIC_TICKER_VINTAGE")</f>
        <v>FNCL 6 2025</v>
      </c>
      <c r="D1665" t="str">
        <f>_xll.BDP("!!03MLK9 Mtge","CRNCY")</f>
        <v>USD</v>
      </c>
      <c r="E1665">
        <v>39997531</v>
      </c>
      <c r="F1665">
        <f>_xll.BDP("!!03MLK9 Mtge","CPN")</f>
        <v>3.2091850000000002</v>
      </c>
      <c r="G1665">
        <f>_xll.BDP("!!03MLK9 Mtge","MTG_FACTOR")</f>
        <v>0.90068972999999997</v>
      </c>
      <c r="H1665">
        <f>_xll.BDP("!!03MLK9 Mtge","MTG_WAL")</f>
        <v>3.1888000000000001</v>
      </c>
      <c r="I1665">
        <f>_xll.BDP("!!03MLK9 Mtge","MTG_ORIG_WAL")</f>
        <v>6.4696800000000003</v>
      </c>
    </row>
    <row r="1666" spans="1:9" x14ac:dyDescent="0.25">
      <c r="A1666" t="str">
        <f>_xll.BDP("!!03MLKB Mtge","ID_CUSIP")</f>
        <v>3136BWJW7</v>
      </c>
      <c r="B1666" t="str">
        <f>_xll.BDP("!!03MLKB Mtge","SECURITY_NAME")</f>
        <v>FNR 2025-47 HB</v>
      </c>
      <c r="C1666" t="str">
        <f>_xll.BDP("!!03MLKB Mtge","GENERIC_TICKER_VINTAGE")</f>
        <v>FNCL 6 2025</v>
      </c>
      <c r="D1666" t="str">
        <f>_xll.BDP("!!03MLKB Mtge","CRNCY")</f>
        <v>USD</v>
      </c>
      <c r="E1666">
        <v>39997531</v>
      </c>
      <c r="F1666">
        <f>_xll.BDP("!!03MLKB Mtge","CPN")</f>
        <v>4.2755799999999997</v>
      </c>
      <c r="G1666">
        <f>_xll.BDP("!!03MLKB Mtge","MTG_FACTOR")</f>
        <v>0.90068972999999997</v>
      </c>
      <c r="H1666">
        <f>_xll.BDP("!!03MLKB Mtge","MTG_WAL")</f>
        <v>3.1888000000000001</v>
      </c>
      <c r="I1666">
        <f>_xll.BDP("!!03MLKB Mtge","MTG_ORIG_WAL")</f>
        <v>6.4696800000000003</v>
      </c>
    </row>
    <row r="1667" spans="1:9" x14ac:dyDescent="0.25">
      <c r="A1667" t="str">
        <f>_xll.BDP("!!03MLKC Mtge","ID_CUSIP")</f>
        <v>3136BWJX5</v>
      </c>
      <c r="B1667" t="str">
        <f>_xll.BDP("!!03MLKC Mtge","SECURITY_NAME")</f>
        <v>FNR 2025-47 HC</v>
      </c>
      <c r="C1667" t="str">
        <f>_xll.BDP("!!03MLKC Mtge","GENERIC_TICKER_VINTAGE")</f>
        <v>FNCL 6 2025</v>
      </c>
      <c r="D1667" t="str">
        <f>_xll.BDP("!!03MLKC Mtge","CRNCY")</f>
        <v>USD</v>
      </c>
      <c r="E1667">
        <v>39997531</v>
      </c>
      <c r="F1667">
        <f>_xll.BDP("!!03MLKC Mtge","CPN")</f>
        <v>5.3419749999999997</v>
      </c>
      <c r="G1667">
        <f>_xll.BDP("!!03MLKC Mtge","MTG_FACTOR")</f>
        <v>0.90068972999999997</v>
      </c>
      <c r="H1667">
        <f>_xll.BDP("!!03MLKC Mtge","MTG_WAL")</f>
        <v>3.1888000000000001</v>
      </c>
      <c r="I1667">
        <f>_xll.BDP("!!03MLKC Mtge","MTG_ORIG_WAL")</f>
        <v>6.4696800000000003</v>
      </c>
    </row>
    <row r="1668" spans="1:9" x14ac:dyDescent="0.25">
      <c r="A1668" t="str">
        <f>_xll.BDP("!!03MLKD Mtge","ID_CUSIP")</f>
        <v>3136BWJY3</v>
      </c>
      <c r="B1668" t="str">
        <f>_xll.BDP("!!03MLKD Mtge","SECURITY_NAME")</f>
        <v>FNR 2025-47 HD</v>
      </c>
      <c r="C1668" t="str">
        <f>_xll.BDP("!!03MLKD Mtge","GENERIC_TICKER_VINTAGE")</f>
        <v>FNCL 6 2025</v>
      </c>
      <c r="D1668" t="str">
        <f>_xll.BDP("!!03MLKD Mtge","CRNCY")</f>
        <v>USD</v>
      </c>
      <c r="E1668">
        <v>39997531</v>
      </c>
      <c r="F1668">
        <f>_xll.BDP("!!03MLKD Mtge","CPN")</f>
        <v>6.4083699999999997</v>
      </c>
      <c r="G1668">
        <f>_xll.BDP("!!03MLKD Mtge","MTG_FACTOR")</f>
        <v>0.90068972999999997</v>
      </c>
      <c r="H1668">
        <f>_xll.BDP("!!03MLKD Mtge","MTG_WAL")</f>
        <v>3.1888000000000001</v>
      </c>
      <c r="I1668">
        <f>_xll.BDP("!!03MLKD Mtge","MTG_ORIG_WAL")</f>
        <v>6.4696800000000003</v>
      </c>
    </row>
    <row r="1669" spans="1:9" x14ac:dyDescent="0.25">
      <c r="A1669" t="str">
        <f>_xll.BDP("!!03MLKF Mtge","ID_CUSIP")</f>
        <v>3136BWJZ0</v>
      </c>
      <c r="B1669" t="str">
        <f>_xll.BDP("!!03MLKF Mtge","SECURITY_NAME")</f>
        <v>FNR 2025-47 HE</v>
      </c>
      <c r="C1669" t="str">
        <f>_xll.BDP("!!03MLKF Mtge","GENERIC_TICKER_VINTAGE")</f>
        <v>FNCL 6 2025</v>
      </c>
      <c r="D1669" t="str">
        <f>_xll.BDP("!!03MLKF Mtge","CRNCY")</f>
        <v>USD</v>
      </c>
      <c r="E1669">
        <v>39997531</v>
      </c>
      <c r="F1669">
        <f>_xll.BDP("!!03MLKF Mtge","CPN")</f>
        <v>7.4747649999999997</v>
      </c>
      <c r="G1669">
        <f>_xll.BDP("!!03MLKF Mtge","MTG_FACTOR")</f>
        <v>0.90068972999999997</v>
      </c>
      <c r="H1669">
        <f>_xll.BDP("!!03MLKF Mtge","MTG_WAL")</f>
        <v>3.1888000000000001</v>
      </c>
      <c r="I1669">
        <f>_xll.BDP("!!03MLKF Mtge","MTG_ORIG_WAL")</f>
        <v>6.4696800000000003</v>
      </c>
    </row>
    <row r="1670" spans="1:9" x14ac:dyDescent="0.25">
      <c r="A1670" t="str">
        <f>_xll.BDP("!!03MLKL Mtge","ID_CUSIP")</f>
        <v>3136BWKN5</v>
      </c>
      <c r="B1670" t="str">
        <f>_xll.BDP("!!03MLKL Mtge","SECURITY_NAME")</f>
        <v>FNR 2025-47 MA</v>
      </c>
      <c r="C1670" t="str">
        <f>_xll.BDP("!!03MLKL Mtge","GENERIC_TICKER_VINTAGE")</f>
        <v>FNCL 6 2025</v>
      </c>
      <c r="D1670" t="str">
        <f>_xll.BDP("!!03MLKL Mtge","CRNCY")</f>
        <v>USD</v>
      </c>
      <c r="E1670">
        <v>80682000</v>
      </c>
      <c r="F1670">
        <f>_xll.BDP("!!03MLKL Mtge","CPN")</f>
        <v>5.75</v>
      </c>
      <c r="G1670">
        <f>_xll.BDP("!!03MLKL Mtge","MTG_FACTOR")</f>
        <v>0.88799203999999998</v>
      </c>
      <c r="H1670">
        <f>_xll.BDP("!!03MLKL Mtge","MTG_WAL")</f>
        <v>2.5929000000000002</v>
      </c>
      <c r="I1670">
        <f>_xll.BDP("!!03MLKL Mtge","MTG_ORIG_WAL")</f>
        <v>5.1766199999999998</v>
      </c>
    </row>
    <row r="1671" spans="1:9" x14ac:dyDescent="0.25">
      <c r="A1671" t="str">
        <f>_xll.BDP("!!03MLKR Mtge","ID_CUSIP")</f>
        <v>3136BWJK3</v>
      </c>
      <c r="B1671" t="str">
        <f>_xll.BDP("!!03MLKR Mtge","SECURITY_NAME")</f>
        <v>FNR 2025-47 SC</v>
      </c>
      <c r="C1671" t="str">
        <f>_xll.BDP("!!03MLKR Mtge","GENERIC_TICKER_VINTAGE")</f>
        <v>FNCL 6 2025</v>
      </c>
      <c r="D1671" t="str">
        <f>_xll.BDP("!!03MLKR Mtge","CRNCY")</f>
        <v>USD</v>
      </c>
      <c r="E1671">
        <v>13914792</v>
      </c>
      <c r="F1671">
        <f>_xll.BDP("!!03MLKR Mtge","CPN")</f>
        <v>2.13279</v>
      </c>
      <c r="G1671">
        <f>_xll.BDP("!!03MLKR Mtge","MTG_FACTOR")</f>
        <v>0.88754860999999996</v>
      </c>
      <c r="H1671">
        <f>_xll.BDP("!!03MLKR Mtge","MTG_WAL")</f>
        <v>3.1972999999999998</v>
      </c>
      <c r="I1671">
        <f>_xll.BDP("!!03MLKR Mtge","MTG_ORIG_WAL")</f>
        <v>6.4752200000000002</v>
      </c>
    </row>
    <row r="1672" spans="1:9" x14ac:dyDescent="0.25">
      <c r="A1672" t="str">
        <f>_xll.BDP("!!03MLKS Mtge","ID_CUSIP")</f>
        <v>3136BWHV1</v>
      </c>
      <c r="B1672" t="str">
        <f>_xll.BDP("!!03MLKS Mtge","SECURITY_NAME")</f>
        <v>FNR 2025-47 SG</v>
      </c>
      <c r="C1672" t="str">
        <f>_xll.BDP("!!03MLKS Mtge","GENERIC_TICKER_VINTAGE")</f>
        <v>FNCL 6 2025</v>
      </c>
      <c r="D1672" t="str">
        <f>_xll.BDP("!!03MLKS Mtge","CRNCY")</f>
        <v>USD</v>
      </c>
      <c r="E1672">
        <v>195000000</v>
      </c>
      <c r="F1672">
        <f>_xll.BDP("!!03MLKS Mtge","CPN")</f>
        <v>0.03</v>
      </c>
      <c r="G1672">
        <f>_xll.BDP("!!03MLKS Mtge","MTG_FACTOR")</f>
        <v>0.90068972999999997</v>
      </c>
      <c r="H1672">
        <f>_xll.BDP("!!03MLKS Mtge","MTG_WAL")</f>
        <v>3.1888000000000001</v>
      </c>
      <c r="I1672">
        <f>_xll.BDP("!!03MLKS Mtge","MTG_ORIG_WAL")</f>
        <v>6.4696800000000003</v>
      </c>
    </row>
    <row r="1673" spans="1:9" x14ac:dyDescent="0.25">
      <c r="A1673" t="str">
        <f>_xll.BDP("!!03MLW9 Mtge","ID_CUSIP")</f>
        <v>3137HLWT5</v>
      </c>
      <c r="B1673" t="str">
        <f>_xll.BDP("!!03MLW9 Mtge","SECURITY_NAME")</f>
        <v>FHR 5549 C</v>
      </c>
      <c r="C1673" t="str">
        <f>_xll.BDP("!!03MLW9 Mtge","GENERIC_TICKER_VINTAGE")</f>
        <v>FNCL 6 2025</v>
      </c>
      <c r="D1673" t="str">
        <f>_xll.BDP("!!03MLW9 Mtge","CRNCY")</f>
        <v>USD</v>
      </c>
      <c r="E1673">
        <v>45121000</v>
      </c>
      <c r="F1673">
        <f>_xll.BDP("!!03MLW9 Mtge","CPN")</f>
        <v>4.5</v>
      </c>
      <c r="G1673">
        <f>_xll.BDP("!!03MLW9 Mtge","MTG_FACTOR")</f>
        <v>0.83218787999999999</v>
      </c>
      <c r="H1673">
        <f>_xll.BDP("!!03MLW9 Mtge","MTG_WAL")</f>
        <v>1.4711000000000001</v>
      </c>
      <c r="I1673">
        <f>_xll.BDP("!!03MLW9 Mtge","MTG_ORIG_WAL")</f>
        <v>3.3</v>
      </c>
    </row>
    <row r="1674" spans="1:9" x14ac:dyDescent="0.25">
      <c r="A1674" t="str">
        <f>_xll.BDP("!!03MLXJ Mtge","ID_CUSIP")</f>
        <v>3137HLU67</v>
      </c>
      <c r="B1674" t="str">
        <f>_xll.BDP("!!03MLXJ Mtge","SECURITY_NAME")</f>
        <v>FHR 5549 QF</v>
      </c>
      <c r="C1674" t="str">
        <f>_xll.BDP("!!03MLXJ Mtge","GENERIC_TICKER_VINTAGE")</f>
        <v>FNCL 6 2025</v>
      </c>
      <c r="D1674" t="str">
        <f>_xll.BDP("!!03MLXJ Mtge","CRNCY")</f>
        <v>USD</v>
      </c>
      <c r="E1674">
        <v>100000000</v>
      </c>
      <c r="F1674">
        <f>_xll.BDP("!!03MLXJ Mtge","CPN")</f>
        <v>5.11721</v>
      </c>
      <c r="G1674">
        <f>_xll.BDP("!!03MLXJ Mtge","MTG_FACTOR")</f>
        <v>0.75737337999999998</v>
      </c>
      <c r="H1674">
        <f>_xll.BDP("!!03MLXJ Mtge","MTG_WAL")</f>
        <v>3.1212</v>
      </c>
      <c r="I1674">
        <f>_xll.BDP("!!03MLXJ Mtge","MTG_ORIG_WAL")</f>
        <v>6.7</v>
      </c>
    </row>
    <row r="1675" spans="1:9" x14ac:dyDescent="0.25">
      <c r="A1675" t="str">
        <f>_xll.BDP("!!03MLXL Mtge","ID_CUSIP")</f>
        <v>3137HLXU1</v>
      </c>
      <c r="B1675" t="str">
        <f>_xll.BDP("!!03MLXL Mtge","SECURITY_NAME")</f>
        <v>FHR 5549 TQ</v>
      </c>
      <c r="C1675" t="str">
        <f>_xll.BDP("!!03MLXL Mtge","GENERIC_TICKER_VINTAGE")</f>
        <v>FNCL 6 2025</v>
      </c>
      <c r="D1675" t="str">
        <f>_xll.BDP("!!03MLXL Mtge","CRNCY")</f>
        <v>USD</v>
      </c>
      <c r="E1675">
        <v>100000000</v>
      </c>
      <c r="F1675">
        <f>_xll.BDP("!!03MLXL Mtge","CPN")</f>
        <v>0.1</v>
      </c>
      <c r="G1675">
        <f>_xll.BDP("!!03MLXL Mtge","MTG_FACTOR")</f>
        <v>0.75737337999999998</v>
      </c>
      <c r="H1675">
        <f>_xll.BDP("!!03MLXL Mtge","MTG_WAL")</f>
        <v>3.1212</v>
      </c>
      <c r="I1675">
        <f>_xll.BDP("!!03MLXL Mtge","MTG_ORIG_WAL")</f>
        <v>6.7</v>
      </c>
    </row>
    <row r="1676" spans="1:9" x14ac:dyDescent="0.25">
      <c r="A1676" t="str">
        <f>_xll.BDP("!!03MLXS Mtge","ID_CUSIP")</f>
        <v>3137HLU42</v>
      </c>
      <c r="B1676" t="str">
        <f>_xll.BDP("!!03MLXS Mtge","SECURITY_NAME")</f>
        <v>FHR 5549 MF</v>
      </c>
      <c r="C1676" t="str">
        <f>_xll.BDP("!!03MLXS Mtge","GENERIC_TICKER_VINTAGE")</f>
        <v>FNCL 6 2025</v>
      </c>
      <c r="D1676" t="str">
        <f>_xll.BDP("!!03MLXS Mtge","CRNCY")</f>
        <v>USD</v>
      </c>
      <c r="E1676">
        <v>178313000</v>
      </c>
      <c r="F1676">
        <f>_xll.BDP("!!03MLXS Mtge","CPN")</f>
        <v>5.0672100000000002</v>
      </c>
      <c r="G1676">
        <f>_xll.BDP("!!03MLXS Mtge","MTG_FACTOR")</f>
        <v>0.75737337999999998</v>
      </c>
      <c r="H1676">
        <f>_xll.BDP("!!03MLXS Mtge","MTG_WAL")</f>
        <v>3.0621999999999998</v>
      </c>
      <c r="I1676">
        <f>_xll.BDP("!!03MLXS Mtge","MTG_ORIG_WAL")</f>
        <v>7</v>
      </c>
    </row>
    <row r="1677" spans="1:9" x14ac:dyDescent="0.25">
      <c r="A1677" t="str">
        <f>_xll.BDP("!!03MLXV Mtge","ID_CUSIP")</f>
        <v>3137HLU75</v>
      </c>
      <c r="B1677" t="str">
        <f>_xll.BDP("!!03MLXV Mtge","SECURITY_NAME")</f>
        <v>FHR 5549 TH</v>
      </c>
      <c r="C1677" t="str">
        <f>_xll.BDP("!!03MLXV Mtge","GENERIC_TICKER_VINTAGE")</f>
        <v>FNCL 6 2025</v>
      </c>
      <c r="D1677" t="str">
        <f>_xll.BDP("!!03MLXV Mtge","CRNCY")</f>
        <v>USD</v>
      </c>
      <c r="E1677">
        <v>178313000</v>
      </c>
      <c r="F1677">
        <f>_xll.BDP("!!03MLXV Mtge","CPN")</f>
        <v>0.1</v>
      </c>
      <c r="G1677">
        <f>_xll.BDP("!!03MLXV Mtge","MTG_FACTOR")</f>
        <v>0.75737337999999998</v>
      </c>
      <c r="H1677">
        <f>_xll.BDP("!!03MLXV Mtge","MTG_WAL")</f>
        <v>3.0621999999999998</v>
      </c>
      <c r="I1677">
        <f>_xll.BDP("!!03MLXV Mtge","MTG_ORIG_WAL")</f>
        <v>7</v>
      </c>
    </row>
    <row r="1678" spans="1:9" x14ac:dyDescent="0.25">
      <c r="A1678" t="str">
        <f>_xll.BDP("!!03MLXW Mtge","ID_CUSIP")</f>
        <v>3137HLXT4</v>
      </c>
      <c r="B1678" t="str">
        <f>_xll.BDP("!!03MLXW Mtge","SECURITY_NAME")</f>
        <v>FHR 5549 TJ</v>
      </c>
      <c r="C1678" t="str">
        <f>_xll.BDP("!!03MLXW Mtge","GENERIC_TICKER_VINTAGE")</f>
        <v>FNCL 6 2025</v>
      </c>
      <c r="D1678" t="str">
        <f>_xll.BDP("!!03MLXW Mtge","CRNCY")</f>
        <v>USD</v>
      </c>
      <c r="E1678">
        <v>178313000</v>
      </c>
      <c r="F1678">
        <f>_xll.BDP("!!03MLXW Mtge","CPN")</f>
        <v>0.2</v>
      </c>
      <c r="G1678">
        <f>_xll.BDP("!!03MLXW Mtge","MTG_FACTOR")</f>
        <v>0.75737337999999998</v>
      </c>
      <c r="H1678">
        <f>_xll.BDP("!!03MLXW Mtge","MTG_WAL")</f>
        <v>3.0621999999999998</v>
      </c>
      <c r="I1678">
        <f>_xll.BDP("!!03MLXW Mtge","MTG_ORIG_WAL")</f>
        <v>7</v>
      </c>
    </row>
    <row r="1679" spans="1:9" x14ac:dyDescent="0.25">
      <c r="A1679" t="str">
        <f>_xll.BDP("!!03MM1H Mtge","ID_CUSIP")</f>
        <v>3137HLUG5</v>
      </c>
      <c r="B1679" t="str">
        <f>_xll.BDP("!!03MM1H Mtge","SECURITY_NAME")</f>
        <v>FHR 5553 B</v>
      </c>
      <c r="C1679" t="str">
        <f>_xll.BDP("!!03MM1H Mtge","GENERIC_TICKER_VINTAGE")</f>
        <v>FNCL 6 2025</v>
      </c>
      <c r="D1679" t="str">
        <f>_xll.BDP("!!03MM1H Mtge","CRNCY")</f>
        <v>USD</v>
      </c>
      <c r="E1679">
        <v>28137000</v>
      </c>
      <c r="F1679">
        <f>_xll.BDP("!!03MM1H Mtge","CPN")</f>
        <v>4.5</v>
      </c>
      <c r="G1679">
        <f>_xll.BDP("!!03MM1H Mtge","MTG_FACTOR")</f>
        <v>0.88494196999999997</v>
      </c>
      <c r="H1679">
        <f>_xll.BDP("!!03MM1H Mtge","MTG_WAL")</f>
        <v>1.2479</v>
      </c>
      <c r="I1679">
        <f>_xll.BDP("!!03MM1H Mtge","MTG_ORIG_WAL")</f>
        <v>2.7</v>
      </c>
    </row>
    <row r="1680" spans="1:9" x14ac:dyDescent="0.25">
      <c r="A1680" t="str">
        <f>_xll.BDP("!!03MM1J Mtge","ID_CUSIP")</f>
        <v>3137HLUH3</v>
      </c>
      <c r="B1680" t="str">
        <f>_xll.BDP("!!03MM1J Mtge","SECURITY_NAME")</f>
        <v>FHR 5553 BA</v>
      </c>
      <c r="C1680" t="str">
        <f>_xll.BDP("!!03MM1J Mtge","GENERIC_TICKER_VINTAGE")</f>
        <v>FNCL 6 2025</v>
      </c>
      <c r="D1680" t="str">
        <f>_xll.BDP("!!03MM1J Mtge","CRNCY")</f>
        <v>USD</v>
      </c>
      <c r="E1680">
        <v>38305000</v>
      </c>
      <c r="F1680">
        <f>_xll.BDP("!!03MM1J Mtge","CPN")</f>
        <v>4.5</v>
      </c>
      <c r="G1680">
        <f>_xll.BDP("!!03MM1J Mtge","MTG_FACTOR")</f>
        <v>0.91548394</v>
      </c>
      <c r="H1680">
        <f>_xll.BDP("!!03MM1J Mtge","MTG_WAL")</f>
        <v>1.7528999999999999</v>
      </c>
      <c r="I1680">
        <f>_xll.BDP("!!03MM1J Mtge","MTG_ORIG_WAL")</f>
        <v>3.7</v>
      </c>
    </row>
    <row r="1681" spans="1:9" x14ac:dyDescent="0.25">
      <c r="A1681" t="str">
        <f>_xll.BDP("!!03MM1K Mtge","ID_CUSIP")</f>
        <v>3137HLUJ9</v>
      </c>
      <c r="B1681" t="str">
        <f>_xll.BDP("!!03MM1K Mtge","SECURITY_NAME")</f>
        <v>FHR 5553 BC</v>
      </c>
      <c r="C1681" t="str">
        <f>_xll.BDP("!!03MM1K Mtge","GENERIC_TICKER_VINTAGE")</f>
        <v>FNCL 6 2025</v>
      </c>
      <c r="D1681" t="str">
        <f>_xll.BDP("!!03MM1K Mtge","CRNCY")</f>
        <v>USD</v>
      </c>
      <c r="E1681">
        <v>38305000</v>
      </c>
      <c r="F1681">
        <f>_xll.BDP("!!03MM1K Mtge","CPN")</f>
        <v>4</v>
      </c>
      <c r="G1681">
        <f>_xll.BDP("!!03MM1K Mtge","MTG_FACTOR")</f>
        <v>0.91548394</v>
      </c>
      <c r="H1681">
        <f>_xll.BDP("!!03MM1K Mtge","MTG_WAL")</f>
        <v>1.7528999999999999</v>
      </c>
      <c r="I1681">
        <f>_xll.BDP("!!03MM1K Mtge","MTG_ORIG_WAL")</f>
        <v>3.7</v>
      </c>
    </row>
    <row r="1682" spans="1:9" x14ac:dyDescent="0.25">
      <c r="A1682" t="str">
        <f>_xll.BDP("!!03MM1L Mtge","ID_CUSIP")</f>
        <v>3137HLUK6</v>
      </c>
      <c r="B1682" t="str">
        <f>_xll.BDP("!!03MM1L Mtge","SECURITY_NAME")</f>
        <v>FHR 5553 BD</v>
      </c>
      <c r="C1682" t="str">
        <f>_xll.BDP("!!03MM1L Mtge","GENERIC_TICKER_VINTAGE")</f>
        <v>FNCL 6 2025</v>
      </c>
      <c r="D1682" t="str">
        <f>_xll.BDP("!!03MM1L Mtge","CRNCY")</f>
        <v>USD</v>
      </c>
      <c r="E1682">
        <v>38305000</v>
      </c>
      <c r="F1682">
        <f>_xll.BDP("!!03MM1L Mtge","CPN")</f>
        <v>4.25</v>
      </c>
      <c r="G1682">
        <f>_xll.BDP("!!03MM1L Mtge","MTG_FACTOR")</f>
        <v>0.91548394</v>
      </c>
      <c r="H1682">
        <f>_xll.BDP("!!03MM1L Mtge","MTG_WAL")</f>
        <v>1.7528999999999999</v>
      </c>
      <c r="I1682">
        <f>_xll.BDP("!!03MM1L Mtge","MTG_ORIG_WAL")</f>
        <v>3.7</v>
      </c>
    </row>
    <row r="1683" spans="1:9" x14ac:dyDescent="0.25">
      <c r="A1683" t="str">
        <f>_xll.BDP("!!03MM1M Mtge","ID_CUSIP")</f>
        <v>3137HLUL4</v>
      </c>
      <c r="B1683" t="str">
        <f>_xll.BDP("!!03MM1M Mtge","SECURITY_NAME")</f>
        <v>FHR 5553 BE</v>
      </c>
      <c r="C1683" t="str">
        <f>_xll.BDP("!!03MM1M Mtge","GENERIC_TICKER_VINTAGE")</f>
        <v>FNCL 6 2025</v>
      </c>
      <c r="D1683" t="str">
        <f>_xll.BDP("!!03MM1M Mtge","CRNCY")</f>
        <v>USD</v>
      </c>
      <c r="E1683">
        <v>25536666</v>
      </c>
      <c r="F1683">
        <f>_xll.BDP("!!03MM1M Mtge","CPN")</f>
        <v>4.75</v>
      </c>
      <c r="G1683">
        <f>_xll.BDP("!!03MM1M Mtge","MTG_FACTOR")</f>
        <v>0.91548394</v>
      </c>
      <c r="H1683">
        <f>_xll.BDP("!!03MM1M Mtge","MTG_WAL")</f>
        <v>1.7528999999999999</v>
      </c>
      <c r="I1683">
        <f>_xll.BDP("!!03MM1M Mtge","MTG_ORIG_WAL")</f>
        <v>3.7</v>
      </c>
    </row>
    <row r="1684" spans="1:9" x14ac:dyDescent="0.25">
      <c r="A1684" t="str">
        <f>_xll.BDP("!!03MM1N Mtge","ID_CUSIP")</f>
        <v>3137HLUM2</v>
      </c>
      <c r="B1684" t="str">
        <f>_xll.BDP("!!03MM1N Mtge","SECURITY_NAME")</f>
        <v>FHR 5553 BG</v>
      </c>
      <c r="C1684" t="str">
        <f>_xll.BDP("!!03MM1N Mtge","GENERIC_TICKER_VINTAGE")</f>
        <v>FNCL 6 2025</v>
      </c>
      <c r="D1684" t="str">
        <f>_xll.BDP("!!03MM1N Mtge","CRNCY")</f>
        <v>USD</v>
      </c>
      <c r="E1684">
        <v>19152500</v>
      </c>
      <c r="F1684">
        <f>_xll.BDP("!!03MM1N Mtge","CPN")</f>
        <v>5</v>
      </c>
      <c r="G1684">
        <f>_xll.BDP("!!03MM1N Mtge","MTG_FACTOR")</f>
        <v>0.91548394</v>
      </c>
      <c r="H1684">
        <f>_xll.BDP("!!03MM1N Mtge","MTG_WAL")</f>
        <v>1.7528999999999999</v>
      </c>
      <c r="I1684">
        <f>_xll.BDP("!!03MM1N Mtge","MTG_ORIG_WAL")</f>
        <v>3.7</v>
      </c>
    </row>
    <row r="1685" spans="1:9" x14ac:dyDescent="0.25">
      <c r="A1685" t="str">
        <f>_xll.BDP("!!03MM1P Mtge","ID_CUSIP")</f>
        <v>3137HLUN0</v>
      </c>
      <c r="B1685" t="str">
        <f>_xll.BDP("!!03MM1P Mtge","SECURITY_NAME")</f>
        <v>FHR 5553 BI</v>
      </c>
      <c r="C1685" t="str">
        <f>_xll.BDP("!!03MM1P Mtge","GENERIC_TICKER_VINTAGE")</f>
        <v>FNCL 6 2025</v>
      </c>
      <c r="D1685" t="str">
        <f>_xll.BDP("!!03MM1P Mtge","CRNCY")</f>
        <v>USD</v>
      </c>
      <c r="E1685">
        <v>3192083</v>
      </c>
      <c r="F1685">
        <f>_xll.BDP("!!03MM1P Mtge","CPN")</f>
        <v>6</v>
      </c>
      <c r="G1685">
        <f>_xll.BDP("!!03MM1P Mtge","MTG_FACTOR")</f>
        <v>0.91548394</v>
      </c>
      <c r="H1685">
        <f>_xll.BDP("!!03MM1P Mtge","MTG_WAL")</f>
        <v>1.7528999999999999</v>
      </c>
      <c r="I1685">
        <f>_xll.BDP("!!03MM1P Mtge","MTG_ORIG_WAL")</f>
        <v>3.7</v>
      </c>
    </row>
    <row r="1686" spans="1:9" x14ac:dyDescent="0.25">
      <c r="A1686" t="str">
        <f>_xll.BDP("!!03MM1Q Mtge","ID_CUSIP")</f>
        <v>3137HLUP5</v>
      </c>
      <c r="B1686" t="str">
        <f>_xll.BDP("!!03MM1Q Mtge","SECURITY_NAME")</f>
        <v>FHR 5553 BJ</v>
      </c>
      <c r="C1686" t="str">
        <f>_xll.BDP("!!03MM1Q Mtge","GENERIC_TICKER_VINTAGE")</f>
        <v>FNCL 6 2025</v>
      </c>
      <c r="D1686" t="str">
        <f>_xll.BDP("!!03MM1Q Mtge","CRNCY")</f>
        <v>USD</v>
      </c>
      <c r="E1686">
        <v>15322000</v>
      </c>
      <c r="F1686">
        <f>_xll.BDP("!!03MM1Q Mtge","CPN")</f>
        <v>5.25</v>
      </c>
      <c r="G1686">
        <f>_xll.BDP("!!03MM1Q Mtge","MTG_FACTOR")</f>
        <v>0.91548394</v>
      </c>
      <c r="H1686">
        <f>_xll.BDP("!!03MM1Q Mtge","MTG_WAL")</f>
        <v>1.7528999999999999</v>
      </c>
      <c r="I1686">
        <f>_xll.BDP("!!03MM1Q Mtge","MTG_ORIG_WAL")</f>
        <v>3.7</v>
      </c>
    </row>
    <row r="1687" spans="1:9" x14ac:dyDescent="0.25">
      <c r="A1687" t="str">
        <f>_xll.BDP("!!03MM1R Mtge","ID_CUSIP")</f>
        <v>3137HLUQ3</v>
      </c>
      <c r="B1687" t="str">
        <f>_xll.BDP("!!03MM1R Mtge","SECURITY_NAME")</f>
        <v>FHR 5553 BK</v>
      </c>
      <c r="C1687" t="str">
        <f>_xll.BDP("!!03MM1R Mtge","GENERIC_TICKER_VINTAGE")</f>
        <v>FNCL 6 2025</v>
      </c>
      <c r="D1687" t="str">
        <f>_xll.BDP("!!03MM1R Mtge","CRNCY")</f>
        <v>USD</v>
      </c>
      <c r="E1687">
        <v>12768333</v>
      </c>
      <c r="F1687">
        <f>_xll.BDP("!!03MM1R Mtge","CPN")</f>
        <v>5.5</v>
      </c>
      <c r="G1687">
        <f>_xll.BDP("!!03MM1R Mtge","MTG_FACTOR")</f>
        <v>0.91548394</v>
      </c>
      <c r="H1687">
        <f>_xll.BDP("!!03MM1R Mtge","MTG_WAL")</f>
        <v>1.7528999999999999</v>
      </c>
      <c r="I1687">
        <f>_xll.BDP("!!03MM1R Mtge","MTG_ORIG_WAL")</f>
        <v>3.7</v>
      </c>
    </row>
    <row r="1688" spans="1:9" x14ac:dyDescent="0.25">
      <c r="A1688" t="str">
        <f>_xll.BDP("!!03MM1W Mtge","ID_CUSIP")</f>
        <v>3137HLUU4</v>
      </c>
      <c r="B1688" t="str">
        <f>_xll.BDP("!!03MM1W Mtge","SECURITY_NAME")</f>
        <v>FHR 5553 BV</v>
      </c>
      <c r="C1688" t="str">
        <f>_xll.BDP("!!03MM1W Mtge","GENERIC_TICKER_VINTAGE")</f>
        <v>FNCL 6 2025</v>
      </c>
      <c r="D1688" t="str">
        <f>_xll.BDP("!!03MM1W Mtge","CRNCY")</f>
        <v>USD</v>
      </c>
      <c r="E1688">
        <v>6210000</v>
      </c>
      <c r="F1688">
        <f>_xll.BDP("!!03MM1W Mtge","CPN")</f>
        <v>4.5</v>
      </c>
      <c r="G1688">
        <f>_xll.BDP("!!03MM1W Mtge","MTG_FACTOR")</f>
        <v>0.94049521999999997</v>
      </c>
      <c r="H1688">
        <f>_xll.BDP("!!03MM1W Mtge","MTG_WAL")</f>
        <v>3.4174000000000002</v>
      </c>
      <c r="I1688">
        <f>_xll.BDP("!!03MM1W Mtge","MTG_ORIG_WAL")</f>
        <v>5.5</v>
      </c>
    </row>
    <row r="1689" spans="1:9" x14ac:dyDescent="0.25">
      <c r="A1689" t="str">
        <f>_xll.BDP("!!03MM1Z Mtge","ID_CUSIP")</f>
        <v>3137HLUX8</v>
      </c>
      <c r="B1689" t="str">
        <f>_xll.BDP("!!03MM1Z Mtge","SECURITY_NAME")</f>
        <v>FHR 5553 MT</v>
      </c>
      <c r="C1689" t="str">
        <f>_xll.BDP("!!03MM1Z Mtge","GENERIC_TICKER_VINTAGE")</f>
        <v>FNCL 6 2025</v>
      </c>
      <c r="D1689" t="str">
        <f>_xll.BDP("!!03MM1Z Mtge","CRNCY")</f>
        <v>USD</v>
      </c>
      <c r="E1689">
        <v>3387740</v>
      </c>
      <c r="F1689">
        <f>_xll.BDP("!!03MM1Z Mtge","CPN")</f>
        <v>6.2172099999999997</v>
      </c>
      <c r="G1689">
        <f>_xll.BDP("!!03MM1Z Mtge","MTG_FACTOR")</f>
        <v>0.94027384000000003</v>
      </c>
      <c r="H1689">
        <f>_xll.BDP("!!03MM1Z Mtge","MTG_WAL")</f>
        <v>3.1821000000000002</v>
      </c>
      <c r="I1689">
        <f>_xll.BDP("!!03MM1Z Mtge","MTG_ORIG_WAL")</f>
        <v>6.4</v>
      </c>
    </row>
    <row r="1690" spans="1:9" x14ac:dyDescent="0.25">
      <c r="A1690" t="str">
        <f>_xll.BDP("!!03MM21 Mtge","ID_CUSIP")</f>
        <v>3137HLUZ3</v>
      </c>
      <c r="B1690" t="str">
        <f>_xll.BDP("!!03MM21 Mtge","SECURITY_NAME")</f>
        <v>FHR 5553 SG</v>
      </c>
      <c r="C1690" t="str">
        <f>_xll.BDP("!!03MM21 Mtge","GENERIC_TICKER_VINTAGE")</f>
        <v>FNCL 6 2025</v>
      </c>
      <c r="D1690" t="str">
        <f>_xll.BDP("!!03MM21 Mtge","CRNCY")</f>
        <v>USD</v>
      </c>
      <c r="E1690">
        <v>54203847</v>
      </c>
      <c r="F1690">
        <f>_xll.BDP("!!03MM21 Mtge","CPN")</f>
        <v>2.7827899999999999</v>
      </c>
      <c r="G1690">
        <f>_xll.BDP("!!03MM21 Mtge","MTG_FACTOR")</f>
        <v>0.94027384000000003</v>
      </c>
      <c r="H1690">
        <f>_xll.BDP("!!03MM21 Mtge","MTG_WAL")</f>
        <v>3.1821000000000002</v>
      </c>
      <c r="I1690">
        <f>_xll.BDP("!!03MM21 Mtge","MTG_ORIG_WAL")</f>
        <v>6.4</v>
      </c>
    </row>
    <row r="1691" spans="1:9" x14ac:dyDescent="0.25">
      <c r="A1691" t="str">
        <f>_xll.BDP("!!03MMML Mtge","ID_CUSIP")</f>
        <v>3137HLQ54</v>
      </c>
      <c r="B1691" t="str">
        <f>_xll.BDP("!!03MMML Mtge","SECURITY_NAME")</f>
        <v>FHR 5545 DG</v>
      </c>
      <c r="C1691" t="str">
        <f>_xll.BDP("!!03MMML Mtge","GENERIC_TICKER_VINTAGE")</f>
        <v>FNCL 6 2025</v>
      </c>
      <c r="D1691" t="str">
        <f>_xll.BDP("!!03MMML Mtge","CRNCY")</f>
        <v>USD</v>
      </c>
      <c r="E1691">
        <v>194288000</v>
      </c>
      <c r="F1691">
        <f>_xll.BDP("!!03MMML Mtge","CPN")</f>
        <v>5.125</v>
      </c>
      <c r="G1691">
        <f>_xll.BDP("!!03MMML Mtge","MTG_FACTOR")</f>
        <v>0.69056574000000004</v>
      </c>
      <c r="H1691">
        <f>_xll.BDP("!!03MMML Mtge","MTG_WAL")</f>
        <v>1.7331000000000001</v>
      </c>
      <c r="I1691">
        <f>_xll.BDP("!!03MMML Mtge","MTG_ORIG_WAL")</f>
        <v>3.8</v>
      </c>
    </row>
    <row r="1692" spans="1:9" x14ac:dyDescent="0.25">
      <c r="A1692" t="str">
        <f>_xll.BDP("!!03MMMN Mtge","ID_CUSIP")</f>
        <v>3137HLQB1</v>
      </c>
      <c r="B1692" t="str">
        <f>_xll.BDP("!!03MMMN Mtge","SECURITY_NAME")</f>
        <v>FHR 5545 DZ</v>
      </c>
      <c r="C1692" t="str">
        <f>_xll.BDP("!!03MMMN Mtge","GENERIC_TICKER_VINTAGE")</f>
        <v>FNCL 6 2025</v>
      </c>
      <c r="D1692" t="str">
        <f>_xll.BDP("!!03MMMN Mtge","CRNCY")</f>
        <v>USD</v>
      </c>
      <c r="E1692">
        <v>50000000</v>
      </c>
      <c r="F1692">
        <f>_xll.BDP("!!03MMMN Mtge","CPN")</f>
        <v>6</v>
      </c>
      <c r="G1692">
        <f>_xll.BDP("!!03MMMN Mtge","MTG_FACTOR")</f>
        <v>1.0511401300000001</v>
      </c>
      <c r="H1692">
        <f>_xll.BDP("!!03MMMN Mtge","MTG_WAL")</f>
        <v>6.2401</v>
      </c>
      <c r="I1692">
        <f>_xll.BDP("!!03MMMN Mtge","MTG_ORIG_WAL")</f>
        <v>12.8</v>
      </c>
    </row>
    <row r="1693" spans="1:9" x14ac:dyDescent="0.25">
      <c r="A1693" t="str">
        <f>_xll.BDP("!!03MMQ7 Mtge","ID_CUSIP")</f>
        <v>3137HLQP0</v>
      </c>
      <c r="B1693" t="str">
        <f>_xll.BDP("!!03MMQ7 Mtge","SECURITY_NAME")</f>
        <v>FHR 5545 FE</v>
      </c>
      <c r="C1693" t="str">
        <f>_xll.BDP("!!03MMQ7 Mtge","GENERIC_TICKER_VINTAGE")</f>
        <v>FNCL 6 2025</v>
      </c>
      <c r="D1693" t="str">
        <f>_xll.BDP("!!03MMQ7 Mtge","CRNCY")</f>
        <v>USD</v>
      </c>
      <c r="E1693">
        <v>150000000</v>
      </c>
      <c r="F1693">
        <f>_xll.BDP("!!03MMQ7 Mtge","CPN")</f>
        <v>5.2172099999999997</v>
      </c>
      <c r="G1693">
        <f>_xll.BDP("!!03MMQ7 Mtge","MTG_FACTOR")</f>
        <v>0.75737337000000005</v>
      </c>
      <c r="H1693">
        <f>_xll.BDP("!!03MMQ7 Mtge","MTG_WAL")</f>
        <v>3.1212</v>
      </c>
      <c r="I1693">
        <f>_xll.BDP("!!03MMQ7 Mtge","MTG_ORIG_WAL")</f>
        <v>6.6</v>
      </c>
    </row>
    <row r="1694" spans="1:9" x14ac:dyDescent="0.25">
      <c r="A1694" t="str">
        <f>_xll.BDP("!!03MMQ8 Mtge","ID_CUSIP")</f>
        <v>3137HLRR5</v>
      </c>
      <c r="B1694" t="str">
        <f>_xll.BDP("!!03MMQ8 Mtge","SECURITY_NAME")</f>
        <v>FHR 5545 SE</v>
      </c>
      <c r="C1694" t="str">
        <f>_xll.BDP("!!03MMQ8 Mtge","GENERIC_TICKER_VINTAGE")</f>
        <v>FNCL 6 2025</v>
      </c>
      <c r="D1694" t="str">
        <f>_xll.BDP("!!03MMQ8 Mtge","CRNCY")</f>
        <v>USD</v>
      </c>
      <c r="E1694">
        <v>150000000</v>
      </c>
      <c r="F1694">
        <f>_xll.BDP("!!03MMQ8 Mtge","CPN")</f>
        <v>0.78278999999999999</v>
      </c>
      <c r="G1694">
        <f>_xll.BDP("!!03MMQ8 Mtge","MTG_FACTOR")</f>
        <v>0.75737337000000005</v>
      </c>
      <c r="H1694">
        <f>_xll.BDP("!!03MMQ8 Mtge","MTG_WAL")</f>
        <v>3.1212</v>
      </c>
      <c r="I1694">
        <f>_xll.BDP("!!03MMQ8 Mtge","MTG_ORIG_WAL")</f>
        <v>6.6</v>
      </c>
    </row>
    <row r="1695" spans="1:9" x14ac:dyDescent="0.25">
      <c r="A1695" t="str">
        <f>_xll.BDP("!!03MMT6 Mtge","ID_CUSIP")</f>
        <v>3137HLNJ7</v>
      </c>
      <c r="B1695" t="str">
        <f>_xll.BDP("!!03MMT6 Mtge","SECURITY_NAME")</f>
        <v>FHR 5544 CX</v>
      </c>
      <c r="C1695" t="str">
        <f>_xll.BDP("!!03MMT6 Mtge","GENERIC_TICKER_VINTAGE")</f>
        <v>FNCL 6 2025</v>
      </c>
      <c r="D1695" t="str">
        <f>_xll.BDP("!!03MMT6 Mtge","CRNCY")</f>
        <v>USD</v>
      </c>
      <c r="E1695">
        <v>116666667</v>
      </c>
      <c r="F1695">
        <f>_xll.BDP("!!03MMT6 Mtge","CPN")</f>
        <v>6</v>
      </c>
      <c r="G1695">
        <f>_xll.BDP("!!03MMT6 Mtge","MTG_FACTOR")</f>
        <v>0.63147333999999999</v>
      </c>
      <c r="H1695">
        <f>_xll.BDP("!!03MMT6 Mtge","MTG_WAL")</f>
        <v>1.361</v>
      </c>
      <c r="I1695">
        <f>_xll.BDP("!!03MMT6 Mtge","MTG_ORIG_WAL")</f>
        <v>2.8</v>
      </c>
    </row>
    <row r="1696" spans="1:9" x14ac:dyDescent="0.25">
      <c r="A1696" t="str">
        <f>_xll.BDP("!!03MMW8 Mtge","ID_CUSIP")</f>
        <v>3137HLNQ1</v>
      </c>
      <c r="B1696" t="str">
        <f>_xll.BDP("!!03MMW8 Mtge","SECURITY_NAME")</f>
        <v>FHR 5544 FD</v>
      </c>
      <c r="C1696" t="str">
        <f>_xll.BDP("!!03MMW8 Mtge","GENERIC_TICKER_VINTAGE")</f>
        <v>FNCL 6 2025</v>
      </c>
      <c r="D1696" t="str">
        <f>_xll.BDP("!!03MMW8 Mtge","CRNCY")</f>
        <v>USD</v>
      </c>
      <c r="E1696">
        <v>213573937</v>
      </c>
      <c r="F1696">
        <f>_xll.BDP("!!03MMW8 Mtge","CPN")</f>
        <v>5.11721</v>
      </c>
      <c r="G1696">
        <f>_xll.BDP("!!03MMW8 Mtge","MTG_FACTOR")</f>
        <v>0.91962586999999996</v>
      </c>
      <c r="H1696">
        <f>_xll.BDP("!!03MMW8 Mtge","MTG_WAL")</f>
        <v>3.1554000000000002</v>
      </c>
      <c r="I1696">
        <f>_xll.BDP("!!03MMW8 Mtge","MTG_ORIG_WAL")</f>
        <v>6.3</v>
      </c>
    </row>
    <row r="1697" spans="1:9" x14ac:dyDescent="0.25">
      <c r="A1697" t="str">
        <f>_xll.BDP("!!03MMWC Mtge","ID_CUSIP")</f>
        <v>3137HLPH9</v>
      </c>
      <c r="B1697" t="str">
        <f>_xll.BDP("!!03MMWC Mtge","SECURITY_NAME")</f>
        <v>FHR 5544 VD</v>
      </c>
      <c r="C1697" t="str">
        <f>_xll.BDP("!!03MMWC Mtge","GENERIC_TICKER_VINTAGE")</f>
        <v>FNCL 6 2025</v>
      </c>
      <c r="D1697" t="str">
        <f>_xll.BDP("!!03MMWC Mtge","CRNCY")</f>
        <v>USD</v>
      </c>
      <c r="E1697">
        <v>13211342</v>
      </c>
      <c r="F1697">
        <f>_xll.BDP("!!03MMWC Mtge","CPN")</f>
        <v>5</v>
      </c>
      <c r="G1697">
        <f>_xll.BDP("!!03MMWC Mtge","MTG_FACTOR")</f>
        <v>0.94153911000000001</v>
      </c>
      <c r="H1697">
        <f>_xll.BDP("!!03MMWC Mtge","MTG_WAL")</f>
        <v>3.3877000000000002</v>
      </c>
      <c r="I1697">
        <f>_xll.BDP("!!03MMWC Mtge","MTG_ORIG_WAL")</f>
        <v>5.5</v>
      </c>
    </row>
    <row r="1698" spans="1:9" x14ac:dyDescent="0.25">
      <c r="A1698" t="str">
        <f>_xll.BDP("!!03MMWR Mtge","ID_CUSIP")</f>
        <v>3137HLVA7</v>
      </c>
      <c r="B1698" t="str">
        <f>_xll.BDP("!!03MMWR Mtge","SECURITY_NAME")</f>
        <v>FHR 5547 CF</v>
      </c>
      <c r="C1698" t="str">
        <f>_xll.BDP("!!03MMWR Mtge","GENERIC_TICKER_VINTAGE")</f>
        <v>FNCL 6 2025</v>
      </c>
      <c r="D1698" t="str">
        <f>_xll.BDP("!!03MMWR Mtge","CRNCY")</f>
        <v>USD</v>
      </c>
      <c r="E1698">
        <v>98279797</v>
      </c>
      <c r="F1698">
        <f>_xll.BDP("!!03MMWR Mtge","CPN")</f>
        <v>4.6672099999999999</v>
      </c>
      <c r="G1698">
        <f>_xll.BDP("!!03MMWR Mtge","MTG_FACTOR")</f>
        <v>0.75737337999999998</v>
      </c>
      <c r="H1698">
        <f>_xll.BDP("!!03MMWR Mtge","MTG_WAL")</f>
        <v>3.0621999999999998</v>
      </c>
      <c r="I1698">
        <f>_xll.BDP("!!03MMWR Mtge","MTG_ORIG_WAL")</f>
        <v>7.7</v>
      </c>
    </row>
    <row r="1699" spans="1:9" x14ac:dyDescent="0.25">
      <c r="A1699" t="str">
        <f>_xll.BDP("!!03MMWS Mtge","ID_CUSIP")</f>
        <v>3137HLVB5</v>
      </c>
      <c r="B1699" t="str">
        <f>_xll.BDP("!!03MMWS Mtge","SECURITY_NAME")</f>
        <v>FHR 5547 CP</v>
      </c>
      <c r="C1699" t="str">
        <f>_xll.BDP("!!03MMWS Mtge","GENERIC_TICKER_VINTAGE")</f>
        <v>FNCL 6 2025</v>
      </c>
      <c r="D1699" t="str">
        <f>_xll.BDP("!!03MMWS Mtge","CRNCY")</f>
        <v>USD</v>
      </c>
      <c r="E1699">
        <v>27297000</v>
      </c>
      <c r="F1699">
        <f>_xll.BDP("!!03MMWS Mtge","CPN")</f>
        <v>7.2672100000000004</v>
      </c>
      <c r="G1699">
        <f>_xll.BDP("!!03MMWS Mtge","MTG_FACTOR")</f>
        <v>0.90894604999999995</v>
      </c>
      <c r="H1699">
        <f>_xll.BDP("!!03MMWS Mtge","MTG_WAL")</f>
        <v>3.0621999999999998</v>
      </c>
      <c r="I1699">
        <f>_xll.BDP("!!03MMWS Mtge","MTG_ORIG_WAL")</f>
        <v>7.4</v>
      </c>
    </row>
    <row r="1700" spans="1:9" x14ac:dyDescent="0.25">
      <c r="A1700" t="str">
        <f>_xll.BDP("!!03MMWV Mtge","ID_CUSIP")</f>
        <v>3137HLVC3</v>
      </c>
      <c r="B1700" t="str">
        <f>_xll.BDP("!!03MMWV Mtge","SECURITY_NAME")</f>
        <v>FHR 5547 FA</v>
      </c>
      <c r="C1700" t="str">
        <f>_xll.BDP("!!03MMWV Mtge","GENERIC_TICKER_VINTAGE")</f>
        <v>FNCL 6 2025</v>
      </c>
      <c r="D1700" t="str">
        <f>_xll.BDP("!!03MMWV Mtge","CRNCY")</f>
        <v>USD</v>
      </c>
      <c r="E1700">
        <v>62625000</v>
      </c>
      <c r="F1700">
        <f>_xll.BDP("!!03MMWV Mtge","CPN")</f>
        <v>4.61721</v>
      </c>
      <c r="G1700">
        <f>_xll.BDP("!!03MMWV Mtge","MTG_FACTOR")</f>
        <v>0.75737337000000005</v>
      </c>
      <c r="H1700">
        <f>_xll.BDP("!!03MMWV Mtge","MTG_WAL")</f>
        <v>3.0621999999999998</v>
      </c>
      <c r="I1700">
        <f>_xll.BDP("!!03MMWV Mtge","MTG_ORIG_WAL")</f>
        <v>7.1</v>
      </c>
    </row>
    <row r="1701" spans="1:9" x14ac:dyDescent="0.25">
      <c r="A1701" t="str">
        <f>_xll.BDP("!!03MMX2 Mtge","ID_CUSIP")</f>
        <v>3137HLVT6</v>
      </c>
      <c r="B1701" t="str">
        <f>_xll.BDP("!!03MMX2 Mtge","SECURITY_NAME")</f>
        <v>FHR 5547 PO</v>
      </c>
      <c r="C1701" t="str">
        <f>_xll.BDP("!!03MMX2 Mtge","GENERIC_TICKER_VINTAGE")</f>
        <v>FNCL 6 2025</v>
      </c>
      <c r="D1701" t="str">
        <f>_xll.BDP("!!03MMX2 Mtge","CRNCY")</f>
        <v>USD</v>
      </c>
      <c r="E1701">
        <v>20875000</v>
      </c>
      <c r="F1701">
        <f>_xll.BDP("!!03MMX2 Mtge","CPN")</f>
        <v>0</v>
      </c>
      <c r="G1701">
        <f>_xll.BDP("!!03MMX2 Mtge","MTG_FACTOR")</f>
        <v>0.75737337000000005</v>
      </c>
      <c r="H1701">
        <f>_xll.BDP("!!03MMX2 Mtge","MTG_WAL")</f>
        <v>3.0621999999999998</v>
      </c>
      <c r="I1701">
        <f>_xll.BDP("!!03MMX2 Mtge","MTG_ORIG_WAL")</f>
        <v>7.1</v>
      </c>
    </row>
    <row r="1702" spans="1:9" x14ac:dyDescent="0.25">
      <c r="A1702" t="str">
        <f>_xll.BDP("!!03MMX4 Mtge","ID_CUSIP")</f>
        <v>3137HLVW9</v>
      </c>
      <c r="B1702" t="str">
        <f>_xll.BDP("!!03MMX4 Mtge","SECURITY_NAME")</f>
        <v>FHR 5547 S</v>
      </c>
      <c r="C1702" t="str">
        <f>_xll.BDP("!!03MMX4 Mtge","GENERIC_TICKER_VINTAGE")</f>
        <v>FNCL 6 2025</v>
      </c>
      <c r="D1702" t="str">
        <f>_xll.BDP("!!03MMX4 Mtge","CRNCY")</f>
        <v>USD</v>
      </c>
      <c r="E1702">
        <v>20875000</v>
      </c>
      <c r="F1702">
        <f>_xll.BDP("!!03MMX4 Mtge","CPN")</f>
        <v>5.0741849999999999</v>
      </c>
      <c r="G1702">
        <f>_xll.BDP("!!03MMX4 Mtge","MTG_FACTOR")</f>
        <v>0.75737337000000005</v>
      </c>
      <c r="H1702">
        <f>_xll.BDP("!!03MMX4 Mtge","MTG_WAL")</f>
        <v>3.0621999999999998</v>
      </c>
      <c r="I1702">
        <f>_xll.BDP("!!03MMX4 Mtge","MTG_ORIG_WAL")</f>
        <v>7.1</v>
      </c>
    </row>
    <row r="1703" spans="1:9" x14ac:dyDescent="0.25">
      <c r="A1703" t="str">
        <f>_xll.BDP("!!03MMX5 Mtge","ID_CUSIP")</f>
        <v>3137HLVX7</v>
      </c>
      <c r="B1703" t="str">
        <f>_xll.BDP("!!03MMX5 Mtge","SECURITY_NAME")</f>
        <v>FHR 5547 SA</v>
      </c>
      <c r="C1703" t="str">
        <f>_xll.BDP("!!03MMX5 Mtge","GENERIC_TICKER_VINTAGE")</f>
        <v>FNCL 6 2025</v>
      </c>
      <c r="D1703" t="str">
        <f>_xll.BDP("!!03MMX5 Mtge","CRNCY")</f>
        <v>USD</v>
      </c>
      <c r="E1703">
        <v>62625000</v>
      </c>
      <c r="F1703">
        <f>_xll.BDP("!!03MMX5 Mtge","CPN")</f>
        <v>3.3327900000000001</v>
      </c>
      <c r="G1703">
        <f>_xll.BDP("!!03MMX5 Mtge","MTG_FACTOR")</f>
        <v>0.75737337000000005</v>
      </c>
      <c r="H1703">
        <f>_xll.BDP("!!03MMX5 Mtge","MTG_WAL")</f>
        <v>3.0621999999999998</v>
      </c>
      <c r="I1703">
        <f>_xll.BDP("!!03MMX5 Mtge","MTG_ORIG_WAL")</f>
        <v>7.1</v>
      </c>
    </row>
    <row r="1704" spans="1:9" x14ac:dyDescent="0.25">
      <c r="A1704" t="str">
        <f>_xll.BDP("!!03MMX6 Mtge","ID_CUSIP")</f>
        <v>3137HLVZ2</v>
      </c>
      <c r="B1704" t="str">
        <f>_xll.BDP("!!03MMX6 Mtge","SECURITY_NAME")</f>
        <v>FHR 5547 SC</v>
      </c>
      <c r="C1704" t="str">
        <f>_xll.BDP("!!03MMX6 Mtge","GENERIC_TICKER_VINTAGE")</f>
        <v>FNCL 6 2025</v>
      </c>
      <c r="D1704" t="str">
        <f>_xll.BDP("!!03MMX6 Mtge","CRNCY")</f>
        <v>USD</v>
      </c>
      <c r="E1704">
        <v>131039729</v>
      </c>
      <c r="F1704">
        <f>_xll.BDP("!!03MMX6 Mtge","CPN")</f>
        <v>0.68279000000000001</v>
      </c>
      <c r="G1704">
        <f>_xll.BDP("!!03MMX6 Mtge","MTG_FACTOR")</f>
        <v>0.75737337999999998</v>
      </c>
      <c r="H1704">
        <f>_xll.BDP("!!03MMX6 Mtge","MTG_WAL")</f>
        <v>3.0621999999999998</v>
      </c>
      <c r="I1704">
        <f>_xll.BDP("!!03MMX6 Mtge","MTG_ORIG_WAL")</f>
        <v>7.7</v>
      </c>
    </row>
    <row r="1705" spans="1:9" x14ac:dyDescent="0.25">
      <c r="A1705" t="str">
        <f>_xll.BDP("!!03MMX8 Mtge","ID_CUSIP")</f>
        <v>3137HLW57</v>
      </c>
      <c r="B1705" t="str">
        <f>_xll.BDP("!!03MMX8 Mtge","SECURITY_NAME")</f>
        <v>FHR 5547 TA</v>
      </c>
      <c r="C1705" t="str">
        <f>_xll.BDP("!!03MMX8 Mtge","GENERIC_TICKER_VINTAGE")</f>
        <v>FNCL 6 2025</v>
      </c>
      <c r="D1705" t="str">
        <f>_xll.BDP("!!03MMX8 Mtge","CRNCY")</f>
        <v>USD</v>
      </c>
      <c r="E1705">
        <v>62625000</v>
      </c>
      <c r="F1705">
        <f>_xll.BDP("!!03MMX8 Mtge","CPN")</f>
        <v>0.05</v>
      </c>
      <c r="G1705">
        <f>_xll.BDP("!!03MMX8 Mtge","MTG_FACTOR")</f>
        <v>0.75737337000000005</v>
      </c>
      <c r="H1705">
        <f>_xll.BDP("!!03MMX8 Mtge","MTG_WAL")</f>
        <v>3.0621999999999998</v>
      </c>
      <c r="I1705">
        <f>_xll.BDP("!!03MMX8 Mtge","MTG_ORIG_WAL")</f>
        <v>7.1</v>
      </c>
    </row>
    <row r="1706" spans="1:9" x14ac:dyDescent="0.25">
      <c r="A1706" t="str">
        <f>_xll.BDP("!!03MMXP Mtge","ID_CUSIP")</f>
        <v>3137HLV25</v>
      </c>
      <c r="B1706" t="str">
        <f>_xll.BDP("!!03MMXP Mtge","SECURITY_NAME")</f>
        <v>FHR 5547 AF</v>
      </c>
      <c r="C1706" t="str">
        <f>_xll.BDP("!!03MMXP Mtge","GENERIC_TICKER_VINTAGE")</f>
        <v>FNCL 6 2025</v>
      </c>
      <c r="D1706" t="str">
        <f>_xll.BDP("!!03MMXP Mtge","CRNCY")</f>
        <v>USD</v>
      </c>
      <c r="E1706">
        <v>100000000</v>
      </c>
      <c r="F1706">
        <f>_xll.BDP("!!03MMXP Mtge","CPN")</f>
        <v>5.6672099999999999</v>
      </c>
      <c r="G1706">
        <f>_xll.BDP("!!03MMXP Mtge","MTG_FACTOR")</f>
        <v>0.86854750000000003</v>
      </c>
      <c r="H1706">
        <f>_xll.BDP("!!03MMXP Mtge","MTG_WAL")</f>
        <v>3.0771000000000002</v>
      </c>
      <c r="I1706">
        <f>_xll.BDP("!!03MMXP Mtge","MTG_ORIG_WAL")</f>
        <v>7.5</v>
      </c>
    </row>
    <row r="1707" spans="1:9" x14ac:dyDescent="0.25">
      <c r="A1707" t="str">
        <f>_xll.BDP("!!03MMXQ Mtge","ID_CUSIP")</f>
        <v>3137HLV33</v>
      </c>
      <c r="B1707" t="str">
        <f>_xll.BDP("!!03MMXQ Mtge","SECURITY_NAME")</f>
        <v>FHR 5547 AS</v>
      </c>
      <c r="C1707" t="str">
        <f>_xll.BDP("!!03MMXQ Mtge","GENERIC_TICKER_VINTAGE")</f>
        <v>FNCL 6 2025</v>
      </c>
      <c r="D1707" t="str">
        <f>_xll.BDP("!!03MMXQ Mtge","CRNCY")</f>
        <v>USD</v>
      </c>
      <c r="E1707">
        <v>100000000</v>
      </c>
      <c r="F1707">
        <f>_xll.BDP("!!03MMXQ Mtge","CPN")</f>
        <v>0.33278999999999997</v>
      </c>
      <c r="G1707">
        <f>_xll.BDP("!!03MMXQ Mtge","MTG_FACTOR")</f>
        <v>0.86854750000000003</v>
      </c>
      <c r="H1707">
        <f>_xll.BDP("!!03MMXQ Mtge","MTG_WAL")</f>
        <v>3.0771000000000002</v>
      </c>
      <c r="I1707">
        <f>_xll.BDP("!!03MMXQ Mtge","MTG_ORIG_WAL")</f>
        <v>7.5</v>
      </c>
    </row>
    <row r="1708" spans="1:9" x14ac:dyDescent="0.25">
      <c r="A1708" t="str">
        <f>_xll.BDP("!!03MN00 Mtge","ID_CUSIP")</f>
        <v>3137HLJK9</v>
      </c>
      <c r="B1708" t="str">
        <f>_xll.BDP("!!03MN00 Mtge","SECURITY_NAME")</f>
        <v>FHR 5548 AV</v>
      </c>
      <c r="C1708" t="str">
        <f>_xll.BDP("!!03MN00 Mtge","GENERIC_TICKER_VINTAGE")</f>
        <v>FNCL 6 2025</v>
      </c>
      <c r="D1708" t="str">
        <f>_xll.BDP("!!03MN00 Mtge","CRNCY")</f>
        <v>USD</v>
      </c>
      <c r="E1708">
        <v>6210259</v>
      </c>
      <c r="F1708">
        <f>_xll.BDP("!!03MN00 Mtge","CPN")</f>
        <v>5</v>
      </c>
      <c r="G1708">
        <f>_xll.BDP("!!03MN00 Mtge","MTG_FACTOR")</f>
        <v>0.94154963000000003</v>
      </c>
      <c r="H1708">
        <f>_xll.BDP("!!03MN00 Mtge","MTG_WAL")</f>
        <v>3.2955999999999999</v>
      </c>
      <c r="I1708">
        <f>_xll.BDP("!!03MN00 Mtge","MTG_ORIG_WAL")</f>
        <v>5.6</v>
      </c>
    </row>
    <row r="1709" spans="1:9" x14ac:dyDescent="0.25">
      <c r="A1709" t="str">
        <f>_xll.BDP("!!03MN01 Mtge","ID_CUSIP")</f>
        <v>3137HLJL7</v>
      </c>
      <c r="B1709" t="str">
        <f>_xll.BDP("!!03MN01 Mtge","SECURITY_NAME")</f>
        <v>FHR 5548 AY</v>
      </c>
      <c r="C1709" t="str">
        <f>_xll.BDP("!!03MN01 Mtge","GENERIC_TICKER_VINTAGE")</f>
        <v>FNCL 6 2025</v>
      </c>
      <c r="D1709" t="str">
        <f>_xll.BDP("!!03MN01 Mtge","CRNCY")</f>
        <v>USD</v>
      </c>
      <c r="E1709">
        <v>14759964</v>
      </c>
      <c r="F1709">
        <f>_xll.BDP("!!03MN01 Mtge","CPN")</f>
        <v>5</v>
      </c>
      <c r="G1709">
        <f>_xll.BDP("!!03MN01 Mtge","MTG_FACTOR")</f>
        <v>1</v>
      </c>
      <c r="H1709">
        <f>_xll.BDP("!!03MN01 Mtge","MTG_WAL")</f>
        <v>6.2129000000000003</v>
      </c>
      <c r="I1709">
        <f>_xll.BDP("!!03MN01 Mtge","MTG_ORIG_WAL")</f>
        <v>12.9</v>
      </c>
    </row>
    <row r="1710" spans="1:9" x14ac:dyDescent="0.25">
      <c r="A1710" t="str">
        <f>_xll.BDP("!!03MN02 Mtge","ID_CUSIP")</f>
        <v>3137HLJM5</v>
      </c>
      <c r="B1710" t="str">
        <f>_xll.BDP("!!03MN02 Mtge","SECURITY_NAME")</f>
        <v>FHR 5548 AZ</v>
      </c>
      <c r="C1710" t="str">
        <f>_xll.BDP("!!03MN02 Mtge","GENERIC_TICKER_VINTAGE")</f>
        <v>FNCL 6 2025</v>
      </c>
      <c r="D1710" t="str">
        <f>_xll.BDP("!!03MN02 Mtge","CRNCY")</f>
        <v>USD</v>
      </c>
      <c r="E1710">
        <v>8549705</v>
      </c>
      <c r="F1710">
        <f>_xll.BDP("!!03MN02 Mtge","CPN")</f>
        <v>5</v>
      </c>
      <c r="G1710">
        <f>_xll.BDP("!!03MN02 Mtge","MTG_FACTOR")</f>
        <v>1.04245666</v>
      </c>
      <c r="H1710">
        <f>_xll.BDP("!!03MN02 Mtge","MTG_WAL")</f>
        <v>7.0179</v>
      </c>
      <c r="I1710">
        <f>_xll.BDP("!!03MN02 Mtge","MTG_ORIG_WAL")</f>
        <v>13.6</v>
      </c>
    </row>
    <row r="1711" spans="1:9" x14ac:dyDescent="0.25">
      <c r="A1711" t="str">
        <f>_xll.BDP("!!03MN03 Mtge","ID_CUSIP")</f>
        <v>3137HLJR4</v>
      </c>
      <c r="B1711" t="str">
        <f>_xll.BDP("!!03MN03 Mtge","SECURITY_NAME")</f>
        <v>FHR 5548 FA</v>
      </c>
      <c r="C1711" t="str">
        <f>_xll.BDP("!!03MN03 Mtge","GENERIC_TICKER_VINTAGE")</f>
        <v>FNCL 6 2025</v>
      </c>
      <c r="D1711" t="str">
        <f>_xll.BDP("!!03MN03 Mtge","CRNCY")</f>
        <v>USD</v>
      </c>
      <c r="E1711">
        <v>100000000</v>
      </c>
      <c r="F1711">
        <f>_xll.BDP("!!03MN03 Mtge","CPN")</f>
        <v>5.11721</v>
      </c>
      <c r="G1711">
        <f>_xll.BDP("!!03MN03 Mtge","MTG_FACTOR")</f>
        <v>0.85866036000000001</v>
      </c>
      <c r="H1711">
        <f>_xll.BDP("!!03MN03 Mtge","MTG_WAL")</f>
        <v>3.1528999999999998</v>
      </c>
      <c r="I1711">
        <f>_xll.BDP("!!03MN03 Mtge","MTG_ORIG_WAL")</f>
        <v>6.5</v>
      </c>
    </row>
    <row r="1712" spans="1:9" x14ac:dyDescent="0.25">
      <c r="A1712" t="str">
        <f>_xll.BDP("!!03MN08 Mtge","ID_CUSIP")</f>
        <v>3137HLJS2</v>
      </c>
      <c r="B1712" t="str">
        <f>_xll.BDP("!!03MN08 Mtge","SECURITY_NAME")</f>
        <v>FHR 5548 FB</v>
      </c>
      <c r="C1712" t="str">
        <f>_xll.BDP("!!03MN08 Mtge","GENERIC_TICKER_VINTAGE")</f>
        <v>FNCL 6 2025</v>
      </c>
      <c r="D1712" t="str">
        <f>_xll.BDP("!!03MN08 Mtge","CRNCY")</f>
        <v>USD</v>
      </c>
      <c r="E1712">
        <v>64125000</v>
      </c>
      <c r="F1712">
        <f>_xll.BDP("!!03MN08 Mtge","CPN")</f>
        <v>4.6672099999999999</v>
      </c>
      <c r="G1712">
        <f>_xll.BDP("!!03MN08 Mtge","MTG_FACTOR")</f>
        <v>0.72985520000000004</v>
      </c>
      <c r="H1712">
        <f>_xll.BDP("!!03MN08 Mtge","MTG_WAL")</f>
        <v>3</v>
      </c>
      <c r="I1712">
        <f>_xll.BDP("!!03MN08 Mtge","MTG_ORIG_WAL")</f>
        <v>6.4</v>
      </c>
    </row>
    <row r="1713" spans="1:9" x14ac:dyDescent="0.25">
      <c r="A1713" t="str">
        <f>_xll.BDP("!!03MN0B Mtge","ID_CUSIP")</f>
        <v>3137HLJU7</v>
      </c>
      <c r="B1713" t="str">
        <f>_xll.BDP("!!03MN0B Mtge","SECURITY_NAME")</f>
        <v>FHR 5548 FT</v>
      </c>
      <c r="C1713" t="str">
        <f>_xll.BDP("!!03MN0B Mtge","GENERIC_TICKER_VINTAGE")</f>
        <v>FNCL 6 2025</v>
      </c>
      <c r="D1713" t="str">
        <f>_xll.BDP("!!03MN0B Mtge","CRNCY")</f>
        <v>USD</v>
      </c>
      <c r="E1713">
        <v>35681049</v>
      </c>
      <c r="F1713">
        <f>_xll.BDP("!!03MN0B Mtge","CPN")</f>
        <v>4.6672099999999999</v>
      </c>
      <c r="G1713">
        <f>_xll.BDP("!!03MN0B Mtge","MTG_FACTOR")</f>
        <v>0.81183329000000004</v>
      </c>
      <c r="H1713">
        <f>_xll.BDP("!!03MN0B Mtge","MTG_WAL")</f>
        <v>2.9481000000000002</v>
      </c>
      <c r="I1713">
        <f>_xll.BDP("!!03MN0B Mtge","MTG_ORIG_WAL")</f>
        <v>6.1</v>
      </c>
    </row>
    <row r="1714" spans="1:9" x14ac:dyDescent="0.25">
      <c r="A1714" t="str">
        <f>_xll.BDP("!!03MN0D Mtge","ID_CUSIP")</f>
        <v>3137HLK50</v>
      </c>
      <c r="B1714" t="str">
        <f>_xll.BDP("!!03MN0D Mtge","SECURITY_NAME")</f>
        <v>FHR 5548 SB</v>
      </c>
      <c r="C1714" t="str">
        <f>_xll.BDP("!!03MN0D Mtge","GENERIC_TICKER_VINTAGE")</f>
        <v>FNCL 6 2025</v>
      </c>
      <c r="D1714" t="str">
        <f>_xll.BDP("!!03MN0D Mtge","CRNCY")</f>
        <v>USD</v>
      </c>
      <c r="E1714">
        <v>28500000</v>
      </c>
      <c r="F1714">
        <f>_xll.BDP("!!03MN0D Mtge","CPN")</f>
        <v>3.3327900000000001</v>
      </c>
      <c r="G1714">
        <f>_xll.BDP("!!03MN0D Mtge","MTG_FACTOR")</f>
        <v>0.72985520000000004</v>
      </c>
      <c r="H1714">
        <f>_xll.BDP("!!03MN0D Mtge","MTG_WAL")</f>
        <v>3</v>
      </c>
      <c r="I1714">
        <f>_xll.BDP("!!03MN0D Mtge","MTG_ORIG_WAL")</f>
        <v>6.4</v>
      </c>
    </row>
    <row r="1715" spans="1:9" x14ac:dyDescent="0.25">
      <c r="A1715" t="str">
        <f>_xll.BDP("!!03MPG9 Mtge","ID_CUSIP")</f>
        <v>3137HM2T6</v>
      </c>
      <c r="B1715" t="str">
        <f>_xll.BDP("!!03MPG9 Mtge","SECURITY_NAME")</f>
        <v>FHR 5555 SA</v>
      </c>
      <c r="C1715" t="str">
        <f>_xll.BDP("!!03MPG9 Mtge","GENERIC_TICKER_VINTAGE")</f>
        <v>FNCL 6 2025</v>
      </c>
      <c r="D1715" t="str">
        <f>_xll.BDP("!!03MPG9 Mtge","CRNCY")</f>
        <v>USD</v>
      </c>
      <c r="E1715">
        <v>100000000</v>
      </c>
      <c r="F1715">
        <f>_xll.BDP("!!03MPG9 Mtge","CPN")</f>
        <v>1.2327900000000001</v>
      </c>
      <c r="G1715">
        <f>_xll.BDP("!!03MPG9 Mtge","MTG_FACTOR")</f>
        <v>0.79721315999999998</v>
      </c>
      <c r="H1715">
        <f>_xll.BDP("!!03MPG9 Mtge","MTG_WAL")</f>
        <v>3.1322999999999999</v>
      </c>
      <c r="I1715">
        <f>_xll.BDP("!!03MPG9 Mtge","MTG_ORIG_WAL")</f>
        <v>6.8</v>
      </c>
    </row>
    <row r="1716" spans="1:9" x14ac:dyDescent="0.25">
      <c r="A1716" t="str">
        <f>_xll.BDP("!!03MPGB Mtge","ID_CUSIP")</f>
        <v>3137HLZJ4</v>
      </c>
      <c r="B1716" t="str">
        <f>_xll.BDP("!!03MPGB Mtge","SECURITY_NAME")</f>
        <v>FHR 5555 AF</v>
      </c>
      <c r="C1716" t="str">
        <f>_xll.BDP("!!03MPGB Mtge","GENERIC_TICKER_VINTAGE")</f>
        <v>FNCL 6 2025</v>
      </c>
      <c r="D1716" t="str">
        <f>_xll.BDP("!!03MPGB Mtge","CRNCY")</f>
        <v>USD</v>
      </c>
      <c r="E1716">
        <v>100000000</v>
      </c>
      <c r="F1716">
        <f>_xll.BDP("!!03MPGB Mtge","CPN")</f>
        <v>4.5172100000000004</v>
      </c>
      <c r="G1716">
        <f>_xll.BDP("!!03MPGB Mtge","MTG_FACTOR")</f>
        <v>0.79721315999999998</v>
      </c>
      <c r="H1716">
        <f>_xll.BDP("!!03MPGB Mtge","MTG_WAL")</f>
        <v>3.1322999999999999</v>
      </c>
      <c r="I1716">
        <f>_xll.BDP("!!03MPGB Mtge","MTG_ORIG_WAL")</f>
        <v>6.8</v>
      </c>
    </row>
    <row r="1717" spans="1:9" x14ac:dyDescent="0.25">
      <c r="A1717" t="str">
        <f>_xll.BDP("!!03MPN7 Mtge","ID_CUSIP")</f>
        <v>3137HLZK1</v>
      </c>
      <c r="B1717" t="str">
        <f>_xll.BDP("!!03MPN7 Mtge","SECURITY_NAME")</f>
        <v>FHR 5555 AS</v>
      </c>
      <c r="C1717" t="str">
        <f>_xll.BDP("!!03MPN7 Mtge","GENERIC_TICKER_VINTAGE")</f>
        <v>FNCL 6 2025</v>
      </c>
      <c r="D1717" t="str">
        <f>_xll.BDP("!!03MPN7 Mtge","CRNCY")</f>
        <v>USD</v>
      </c>
      <c r="E1717">
        <v>10000000</v>
      </c>
      <c r="F1717">
        <f>_xll.BDP("!!03MPN7 Mtge","CPN")</f>
        <v>12.3279</v>
      </c>
      <c r="G1717">
        <f>_xll.BDP("!!03MPN7 Mtge","MTG_FACTOR")</f>
        <v>0.79721315999999998</v>
      </c>
      <c r="H1717">
        <f>_xll.BDP("!!03MPN7 Mtge","MTG_WAL")</f>
        <v>3.1322999999999999</v>
      </c>
      <c r="I1717">
        <f>_xll.BDP("!!03MPN7 Mtge","MTG_ORIG_WAL")</f>
        <v>6.8</v>
      </c>
    </row>
    <row r="1718" spans="1:9" x14ac:dyDescent="0.25">
      <c r="A1718" t="str">
        <f>_xll.BDP("!!03MR1V Mtge","ID_CUSIP")</f>
        <v>3137HLZ96</v>
      </c>
      <c r="B1718" t="str">
        <f>_xll.BDP("!!03MR1V Mtge","SECURITY_NAME")</f>
        <v>FHR 5557 UF</v>
      </c>
      <c r="C1718" t="str">
        <f>_xll.BDP("!!03MR1V Mtge","GENERIC_TICKER_VINTAGE")</f>
        <v>FNCL 6 2025</v>
      </c>
      <c r="D1718" t="str">
        <f>_xll.BDP("!!03MR1V Mtge","CRNCY")</f>
        <v>USD</v>
      </c>
      <c r="E1718">
        <v>75000000</v>
      </c>
      <c r="F1718">
        <f>_xll.BDP("!!03MR1V Mtge","CPN")</f>
        <v>4.6872100000000003</v>
      </c>
      <c r="G1718">
        <f>_xll.BDP("!!03MR1V Mtge","MTG_FACTOR")</f>
        <v>0.79721315999999998</v>
      </c>
      <c r="H1718">
        <f>_xll.BDP("!!03MR1V Mtge","MTG_WAL")</f>
        <v>3.1322999999999999</v>
      </c>
      <c r="I1718">
        <f>_xll.BDP("!!03MR1V Mtge","MTG_ORIG_WAL")</f>
        <v>7.1</v>
      </c>
    </row>
    <row r="1719" spans="1:9" x14ac:dyDescent="0.25">
      <c r="A1719" t="str">
        <f>_xll.BDP("!!03MR1X Mtge","ID_CUSIP")</f>
        <v>3137HLZ88</v>
      </c>
      <c r="B1719" t="str">
        <f>_xll.BDP("!!03MR1X Mtge","SECURITY_NAME")</f>
        <v>FHR 5557 SY</v>
      </c>
      <c r="C1719" t="str">
        <f>_xll.BDP("!!03MR1X Mtge","GENERIC_TICKER_VINTAGE")</f>
        <v>FNCL 6 2025</v>
      </c>
      <c r="D1719" t="str">
        <f>_xll.BDP("!!03MR1X Mtge","CRNCY")</f>
        <v>USD</v>
      </c>
      <c r="E1719">
        <v>100000000</v>
      </c>
      <c r="F1719">
        <f>_xll.BDP("!!03MR1X Mtge","CPN")</f>
        <v>0.53278999999999999</v>
      </c>
      <c r="G1719">
        <f>_xll.BDP("!!03MR1X Mtge","MTG_FACTOR")</f>
        <v>0.79721315999999998</v>
      </c>
      <c r="H1719">
        <f>_xll.BDP("!!03MR1X Mtge","MTG_WAL")</f>
        <v>3.1322999999999999</v>
      </c>
      <c r="I1719">
        <f>_xll.BDP("!!03MR1X Mtge","MTG_ORIG_WAL")</f>
        <v>7.1</v>
      </c>
    </row>
    <row r="1720" spans="1:9" x14ac:dyDescent="0.25">
      <c r="A1720" t="str">
        <f>_xll.BDP("!!03MRZQ Mtge","ID_CUSIP")</f>
        <v>3137HLZG0</v>
      </c>
      <c r="B1720" t="str">
        <f>_xll.BDP("!!03MRZQ Mtge","SECURITY_NAME")</f>
        <v>FHR 5560 SA</v>
      </c>
      <c r="C1720" t="str">
        <f>_xll.BDP("!!03MRZQ Mtge","GENERIC_TICKER_VINTAGE")</f>
        <v>FNCL 6 2025</v>
      </c>
      <c r="D1720" t="str">
        <f>_xll.BDP("!!03MRZQ Mtge","CRNCY")</f>
        <v>USD</v>
      </c>
      <c r="E1720">
        <v>378920965</v>
      </c>
      <c r="F1720">
        <f>_xll.BDP("!!03MRZQ Mtge","CPN")</f>
        <v>0.40278999999999998</v>
      </c>
      <c r="G1720">
        <f>_xll.BDP("!!03MRZQ Mtge","MTG_FACTOR")</f>
        <v>0.79721315999999998</v>
      </c>
      <c r="H1720">
        <f>_xll.BDP("!!03MRZQ Mtge","MTG_WAL")</f>
        <v>3.1916000000000002</v>
      </c>
      <c r="I1720">
        <f>_xll.BDP("!!03MRZQ Mtge","MTG_ORIG_WAL")</f>
        <v>6.9</v>
      </c>
    </row>
    <row r="1721" spans="1:9" x14ac:dyDescent="0.25">
      <c r="A1721" t="str">
        <f>_xll.BDP("!!03MS0Z Mtge","ID_CUSIP")</f>
        <v>3137HMBN9</v>
      </c>
      <c r="B1721" t="str">
        <f>_xll.BDP("!!03MS0Z Mtge","SECURITY_NAME")</f>
        <v>FHR 5559 JS</v>
      </c>
      <c r="C1721" t="str">
        <f>_xll.BDP("!!03MS0Z Mtge","GENERIC_TICKER_VINTAGE")</f>
        <v>FNCL 6 2025</v>
      </c>
      <c r="D1721" t="str">
        <f>_xll.BDP("!!03MS0Z Mtge","CRNCY")</f>
        <v>USD</v>
      </c>
      <c r="E1721">
        <v>200000000</v>
      </c>
      <c r="F1721">
        <f>_xll.BDP("!!03MS0Z Mtge","CPN")</f>
        <v>0.40278999999999998</v>
      </c>
      <c r="G1721">
        <f>_xll.BDP("!!03MS0Z Mtge","MTG_FACTOR")</f>
        <v>0.79721315999999998</v>
      </c>
      <c r="H1721">
        <f>_xll.BDP("!!03MS0Z Mtge","MTG_WAL")</f>
        <v>3.1322999999999999</v>
      </c>
      <c r="I1721">
        <f>_xll.BDP("!!03MS0Z Mtge","MTG_ORIG_WAL")</f>
        <v>6.5</v>
      </c>
    </row>
    <row r="1722" spans="1:9" x14ac:dyDescent="0.25">
      <c r="A1722" t="str">
        <f>_xll.BDP("!!03MS10 Mtge","ID_CUSIP")</f>
        <v>3137HMBR0</v>
      </c>
      <c r="B1722" t="str">
        <f>_xll.BDP("!!03MS10 Mtge","SECURITY_NAME")</f>
        <v>FHR 5559 SJ</v>
      </c>
      <c r="C1722" t="str">
        <f>_xll.BDP("!!03MS10 Mtge","GENERIC_TICKER_VINTAGE")</f>
        <v>FNCL 6 2025</v>
      </c>
      <c r="D1722" t="str">
        <f>_xll.BDP("!!03MS10 Mtge","CRNCY")</f>
        <v>USD</v>
      </c>
      <c r="E1722">
        <v>20000000</v>
      </c>
      <c r="F1722">
        <f>_xll.BDP("!!03MS10 Mtge","CPN")</f>
        <v>4.0278999999999998</v>
      </c>
      <c r="G1722">
        <f>_xll.BDP("!!03MS10 Mtge","MTG_FACTOR")</f>
        <v>0.79721315999999998</v>
      </c>
      <c r="H1722">
        <f>_xll.BDP("!!03MS10 Mtge","MTG_WAL")</f>
        <v>3.1322999999999999</v>
      </c>
      <c r="I1722">
        <f>_xll.BDP("!!03MS10 Mtge","MTG_ORIG_WAL")</f>
        <v>6.5</v>
      </c>
    </row>
    <row r="1723" spans="1:9" x14ac:dyDescent="0.25">
      <c r="A1723" t="str">
        <f>_xll.BDP("!!03MTQK Mtge","ID_CUSIP")</f>
        <v>3137HM5X4</v>
      </c>
      <c r="B1723" t="str">
        <f>_xll.BDP("!!03MTQK Mtge","SECURITY_NAME")</f>
        <v>FHR 5561 GD</v>
      </c>
      <c r="C1723" t="str">
        <f>_xll.BDP("!!03MTQK Mtge","GENERIC_TICKER_VINTAGE")</f>
        <v>FNCL 6 2025</v>
      </c>
      <c r="D1723" t="str">
        <f>_xll.BDP("!!03MTQK Mtge","CRNCY")</f>
        <v>USD</v>
      </c>
      <c r="E1723">
        <v>100000000</v>
      </c>
      <c r="F1723">
        <f>_xll.BDP("!!03MTQK Mtge","CPN")</f>
        <v>5.25</v>
      </c>
      <c r="G1723">
        <f>_xll.BDP("!!03MTQK Mtge","MTG_FACTOR")</f>
        <v>0.79721315999999998</v>
      </c>
      <c r="H1723">
        <f>_xll.BDP("!!03MTQK Mtge","MTG_WAL")</f>
        <v>3.1694</v>
      </c>
      <c r="I1723">
        <f>_xll.BDP("!!03MTQK Mtge","MTG_ORIG_WAL")</f>
        <v>5.8</v>
      </c>
    </row>
    <row r="1724" spans="1:9" x14ac:dyDescent="0.25">
      <c r="A1724" t="str">
        <f>_xll.BDP("!!03MTQL Mtge","ID_CUSIP")</f>
        <v>3137HM5Y2</v>
      </c>
      <c r="B1724" t="str">
        <f>_xll.BDP("!!03MTQL Mtge","SECURITY_NAME")</f>
        <v>FHR 5561 GE</v>
      </c>
      <c r="C1724" t="str">
        <f>_xll.BDP("!!03MTQL Mtge","GENERIC_TICKER_VINTAGE")</f>
        <v>FNCL 6 2025</v>
      </c>
      <c r="D1724" t="str">
        <f>_xll.BDP("!!03MTQL Mtge","CRNCY")</f>
        <v>USD</v>
      </c>
      <c r="E1724">
        <v>100000000</v>
      </c>
      <c r="F1724">
        <f>_xll.BDP("!!03MTQL Mtge","CPN")</f>
        <v>5.5</v>
      </c>
      <c r="G1724">
        <f>_xll.BDP("!!03MTQL Mtge","MTG_FACTOR")</f>
        <v>0.79721315999999998</v>
      </c>
      <c r="H1724">
        <f>_xll.BDP("!!03MTQL Mtge","MTG_WAL")</f>
        <v>3.1694</v>
      </c>
      <c r="I1724">
        <f>_xll.BDP("!!03MTQL Mtge","MTG_ORIG_WAL")</f>
        <v>5.8</v>
      </c>
    </row>
    <row r="1725" spans="1:9" x14ac:dyDescent="0.25">
      <c r="A1725" t="str">
        <f>_xll.BDP("!!03MTQM Mtge","ID_CUSIP")</f>
        <v>3137HM5Z9</v>
      </c>
      <c r="B1725" t="str">
        <f>_xll.BDP("!!03MTQM Mtge","SECURITY_NAME")</f>
        <v>FHR 5561 GH</v>
      </c>
      <c r="C1725" t="str">
        <f>_xll.BDP("!!03MTQM Mtge","GENERIC_TICKER_VINTAGE")</f>
        <v>FNCL 6 2025</v>
      </c>
      <c r="D1725" t="str">
        <f>_xll.BDP("!!03MTQM Mtge","CRNCY")</f>
        <v>USD</v>
      </c>
      <c r="E1725">
        <v>100000000</v>
      </c>
      <c r="F1725">
        <f>_xll.BDP("!!03MTQM Mtge","CPN")</f>
        <v>5.75</v>
      </c>
      <c r="G1725">
        <f>_xll.BDP("!!03MTQM Mtge","MTG_FACTOR")</f>
        <v>0.79721315999999998</v>
      </c>
      <c r="H1725">
        <f>_xll.BDP("!!03MTQM Mtge","MTG_WAL")</f>
        <v>3.1694</v>
      </c>
      <c r="I1725">
        <f>_xll.BDP("!!03MTQM Mtge","MTG_ORIG_WAL")</f>
        <v>5.8</v>
      </c>
    </row>
    <row r="1726" spans="1:9" x14ac:dyDescent="0.25">
      <c r="A1726" t="str">
        <f>_xll.BDP("!!03MZDS Mtge","ID_CUSIP")</f>
        <v>3137HLZH8</v>
      </c>
      <c r="B1726" t="str">
        <f>_xll.BDP("!!03MZDS Mtge","SECURITY_NAME")</f>
        <v>FHR 5560 SB</v>
      </c>
      <c r="C1726" t="str">
        <f>_xll.BDP("!!03MZDS Mtge","GENERIC_TICKER_VINTAGE")</f>
        <v>FNCL 6 2025</v>
      </c>
      <c r="D1726" t="str">
        <f>_xll.BDP("!!03MZDS Mtge","CRNCY")</f>
        <v>USD</v>
      </c>
      <c r="E1726">
        <v>200000000</v>
      </c>
      <c r="F1726">
        <f>_xll.BDP("!!03MZDS Mtge","CPN")</f>
        <v>0.43279000000000001</v>
      </c>
      <c r="G1726">
        <f>_xll.BDP("!!03MZDS Mtge","MTG_FACTOR")</f>
        <v>0.79721315999999998</v>
      </c>
      <c r="H1726">
        <f>_xll.BDP("!!03MZDS Mtge","MTG_WAL")</f>
        <v>3.1322999999999999</v>
      </c>
      <c r="I1726">
        <f>_xll.BDP("!!03MZDS Mtge","MTG_ORIG_WAL")</f>
        <v>6.9</v>
      </c>
    </row>
    <row r="1727" spans="1:9" x14ac:dyDescent="0.25">
      <c r="A1727" t="str">
        <f>_xll.BDP("!!03MZG4 Mtge","ID_CUSIP")</f>
        <v>3137HM2Q2</v>
      </c>
      <c r="B1727" t="str">
        <f>_xll.BDP("!!03MZG4 Mtge","SECURITY_NAME")</f>
        <v>FHR 5555 FE</v>
      </c>
      <c r="C1727" t="str">
        <f>_xll.BDP("!!03MZG4 Mtge","GENERIC_TICKER_VINTAGE")</f>
        <v>FNCL 6 2025</v>
      </c>
      <c r="D1727" t="str">
        <f>_xll.BDP("!!03MZG4 Mtge","CRNCY")</f>
        <v>USD</v>
      </c>
      <c r="E1727">
        <v>41217632</v>
      </c>
      <c r="F1727">
        <f>_xll.BDP("!!03MZG4 Mtge","CPN")</f>
        <v>4.8172100000000002</v>
      </c>
      <c r="G1727">
        <f>_xll.BDP("!!03MZG4 Mtge","MTG_FACTOR")</f>
        <v>0.94529512000000004</v>
      </c>
      <c r="H1727">
        <f>_xll.BDP("!!03MZG4 Mtge","MTG_WAL")</f>
        <v>3.0996000000000001</v>
      </c>
      <c r="I1727">
        <f>_xll.BDP("!!03MZG4 Mtge","MTG_ORIG_WAL")</f>
        <v>6.5</v>
      </c>
    </row>
    <row r="1728" spans="1:9" x14ac:dyDescent="0.25">
      <c r="A1728" t="str">
        <f>_xll.BDP("!!03N1J2 Mtge","ID_CUSIP")</f>
        <v>3137HLZT2</v>
      </c>
      <c r="B1728" t="str">
        <f>_xll.BDP("!!03N1J2 Mtge","SECURITY_NAME")</f>
        <v>FHR 5555 DL</v>
      </c>
      <c r="C1728" t="str">
        <f>_xll.BDP("!!03N1J2 Mtge","GENERIC_TICKER_VINTAGE")</f>
        <v>FNCL 6 2025</v>
      </c>
      <c r="D1728" t="str">
        <f>_xll.BDP("!!03N1J2 Mtge","CRNCY")</f>
        <v>USD</v>
      </c>
      <c r="E1728">
        <v>5644000</v>
      </c>
      <c r="F1728">
        <f>_xll.BDP("!!03N1J2 Mtge","CPN")</f>
        <v>5</v>
      </c>
      <c r="G1728">
        <f>_xll.BDP("!!03N1J2 Mtge","MTG_FACTOR")</f>
        <v>1</v>
      </c>
      <c r="H1728">
        <f>_xll.BDP("!!03N1J2 Mtge","MTG_WAL")</f>
        <v>3.2684000000000002</v>
      </c>
      <c r="I1728">
        <f>_xll.BDP("!!03N1J2 Mtge","MTG_ORIG_WAL")</f>
        <v>7.2</v>
      </c>
    </row>
    <row r="1729" spans="1:9" x14ac:dyDescent="0.25">
      <c r="A1729" t="str">
        <f>_xll.BDP("!!03N1J3 Mtge","ID_CUSIP")</f>
        <v>3137HM2Y5</v>
      </c>
      <c r="B1729" t="str">
        <f>_xll.BDP("!!03N1J3 Mtge","SECURITY_NAME")</f>
        <v>FHR 5555 VD</v>
      </c>
      <c r="C1729" t="str">
        <f>_xll.BDP("!!03N1J3 Mtge","GENERIC_TICKER_VINTAGE")</f>
        <v>FNCL 6 2025</v>
      </c>
      <c r="D1729" t="str">
        <f>_xll.BDP("!!03N1J3 Mtge","CRNCY")</f>
        <v>USD</v>
      </c>
      <c r="E1729">
        <v>8078000</v>
      </c>
      <c r="F1729">
        <f>_xll.BDP("!!03N1J3 Mtge","CPN")</f>
        <v>5</v>
      </c>
      <c r="G1729">
        <f>_xll.BDP("!!03N1J3 Mtge","MTG_FACTOR")</f>
        <v>0.94749064999999999</v>
      </c>
      <c r="H1729">
        <f>_xll.BDP("!!03N1J3 Mtge","MTG_WAL")</f>
        <v>3.3871000000000002</v>
      </c>
      <c r="I1729">
        <f>_xll.BDP("!!03N1J3 Mtge","MTG_ORIG_WAL")</f>
        <v>5.6</v>
      </c>
    </row>
    <row r="1730" spans="1:9" x14ac:dyDescent="0.25">
      <c r="A1730" t="str">
        <f>_xll.BDP("!!03N1J4 Mtge","ID_CUSIP")</f>
        <v>3137HM3C2</v>
      </c>
      <c r="B1730" t="str">
        <f>_xll.BDP("!!03N1J4 Mtge","SECURITY_NAME")</f>
        <v>FHR 5555 ZD</v>
      </c>
      <c r="C1730" t="str">
        <f>_xll.BDP("!!03N1J4 Mtge","GENERIC_TICKER_VINTAGE")</f>
        <v>FNCL 6 2025</v>
      </c>
      <c r="D1730" t="str">
        <f>_xll.BDP("!!03N1J4 Mtge","CRNCY")</f>
        <v>USD</v>
      </c>
      <c r="E1730">
        <v>11124000</v>
      </c>
      <c r="F1730">
        <f>_xll.BDP("!!03N1J4 Mtge","CPN")</f>
        <v>5</v>
      </c>
      <c r="G1730">
        <f>_xll.BDP("!!03N1J4 Mtge","MTG_FACTOR")</f>
        <v>1.0381311099999999</v>
      </c>
      <c r="H1730">
        <f>_xll.BDP("!!03N1J4 Mtge","MTG_WAL")</f>
        <v>7.0670999999999999</v>
      </c>
      <c r="I1730">
        <f>_xll.BDP("!!03N1J4 Mtge","MTG_ORIG_WAL")</f>
        <v>13.7</v>
      </c>
    </row>
    <row r="1731" spans="1:9" x14ac:dyDescent="0.25">
      <c r="A1731" t="str">
        <f>_xll.BDP("!!03N1J6 Mtge","ID_CUSIP")</f>
        <v>3137HLZV7</v>
      </c>
      <c r="B1731" t="str">
        <f>_xll.BDP("!!03N1J6 Mtge","SECURITY_NAME")</f>
        <v>FHR 5555 DY</v>
      </c>
      <c r="C1731" t="str">
        <f>_xll.BDP("!!03N1J6 Mtge","GENERIC_TICKER_VINTAGE")</f>
        <v>FNCL 6 2025</v>
      </c>
      <c r="D1731" t="str">
        <f>_xll.BDP("!!03N1J6 Mtge","CRNCY")</f>
        <v>USD</v>
      </c>
      <c r="E1731">
        <v>19202000</v>
      </c>
      <c r="F1731">
        <f>_xll.BDP("!!03N1J6 Mtge","CPN")</f>
        <v>5</v>
      </c>
      <c r="G1731">
        <f>_xll.BDP("!!03N1J6 Mtge","MTG_FACTOR")</f>
        <v>1</v>
      </c>
      <c r="H1731">
        <f>_xll.BDP("!!03N1J6 Mtge","MTG_WAL")</f>
        <v>6.2910000000000004</v>
      </c>
      <c r="I1731">
        <f>_xll.BDP("!!03N1J6 Mtge","MTG_ORIG_WAL")</f>
        <v>13.1</v>
      </c>
    </row>
    <row r="1732" spans="1:9" x14ac:dyDescent="0.25">
      <c r="A1732" t="str">
        <f>_xll.BDP("!!03N1J7 Mtge","ID_CUSIP")</f>
        <v>3137HM3A6</v>
      </c>
      <c r="B1732" t="str">
        <f>_xll.BDP("!!03N1J7 Mtge","SECURITY_NAME")</f>
        <v>FHR 5555 YD</v>
      </c>
      <c r="C1732" t="str">
        <f>_xll.BDP("!!03N1J7 Mtge","GENERIC_TICKER_VINTAGE")</f>
        <v>FNCL 6 2025</v>
      </c>
      <c r="D1732" t="str">
        <f>_xll.BDP("!!03N1J7 Mtge","CRNCY")</f>
        <v>USD</v>
      </c>
      <c r="E1732">
        <v>24846000</v>
      </c>
      <c r="F1732">
        <f>_xll.BDP("!!03N1J7 Mtge","CPN")</f>
        <v>5</v>
      </c>
      <c r="G1732">
        <f>_xll.BDP("!!03N1J7 Mtge","MTG_FACTOR")</f>
        <v>1</v>
      </c>
      <c r="H1732">
        <f>_xll.BDP("!!03N1J7 Mtge","MTG_WAL")</f>
        <v>5.6044</v>
      </c>
      <c r="I1732">
        <f>_xll.BDP("!!03N1J7 Mtge","MTG_ORIG_WAL")</f>
        <v>11.7</v>
      </c>
    </row>
    <row r="1733" spans="1:9" x14ac:dyDescent="0.25">
      <c r="A1733" t="str">
        <f>_xll.BDP("!!03N1J9 Mtge","ID_CUSIP")</f>
        <v>3137HLZN5</v>
      </c>
      <c r="B1733" t="str">
        <f>_xll.BDP("!!03N1J9 Mtge","SECURITY_NAME")</f>
        <v>FHR 5555 DE</v>
      </c>
      <c r="C1733" t="str">
        <f>_xll.BDP("!!03N1J9 Mtge","GENERIC_TICKER_VINTAGE")</f>
        <v>FNCL 6 2025</v>
      </c>
      <c r="D1733" t="str">
        <f>_xll.BDP("!!03N1J9 Mtge","CRNCY")</f>
        <v>USD</v>
      </c>
      <c r="E1733">
        <v>43298000</v>
      </c>
      <c r="F1733">
        <f>_xll.BDP("!!03N1J9 Mtge","CPN")</f>
        <v>4.75</v>
      </c>
      <c r="G1733">
        <f>_xll.BDP("!!03N1J9 Mtge","MTG_FACTOR")</f>
        <v>0.89574715000000005</v>
      </c>
      <c r="H1733">
        <f>_xll.BDP("!!03N1J9 Mtge","MTG_WAL")</f>
        <v>1.7894000000000001</v>
      </c>
      <c r="I1733">
        <f>_xll.BDP("!!03N1J9 Mtge","MTG_ORIG_WAL")</f>
        <v>3.8</v>
      </c>
    </row>
    <row r="1734" spans="1:9" x14ac:dyDescent="0.25">
      <c r="A1734" t="str">
        <f>_xll.BDP("!!03N1JB Mtge","ID_CUSIP")</f>
        <v>3137HLZM7</v>
      </c>
      <c r="B1734" t="str">
        <f>_xll.BDP("!!03N1JB Mtge","SECURITY_NAME")</f>
        <v>FHR 5555 DC</v>
      </c>
      <c r="C1734" t="str">
        <f>_xll.BDP("!!03N1JB Mtge","GENERIC_TICKER_VINTAGE")</f>
        <v>FNCL 6 2025</v>
      </c>
      <c r="D1734" t="str">
        <f>_xll.BDP("!!03N1JB Mtge","CRNCY")</f>
        <v>USD</v>
      </c>
      <c r="E1734">
        <v>43298000</v>
      </c>
      <c r="F1734">
        <f>_xll.BDP("!!03N1JB Mtge","CPN")</f>
        <v>5</v>
      </c>
      <c r="G1734">
        <f>_xll.BDP("!!03N1JB Mtge","MTG_FACTOR")</f>
        <v>0.89574715000000005</v>
      </c>
      <c r="H1734">
        <f>_xll.BDP("!!03N1JB Mtge","MTG_WAL")</f>
        <v>1.7894000000000001</v>
      </c>
      <c r="I1734">
        <f>_xll.BDP("!!03N1JB Mtge","MTG_ORIG_WAL")</f>
        <v>3.8</v>
      </c>
    </row>
    <row r="1735" spans="1:9" x14ac:dyDescent="0.25">
      <c r="A1735" t="str">
        <f>_xll.BDP("!!03N1JC Mtge","ID_CUSIP")</f>
        <v>3137HLZQ8</v>
      </c>
      <c r="B1735" t="str">
        <f>_xll.BDP("!!03N1JC Mtge","SECURITY_NAME")</f>
        <v>FHR 5555 DH</v>
      </c>
      <c r="C1735" t="str">
        <f>_xll.BDP("!!03N1JC Mtge","GENERIC_TICKER_VINTAGE")</f>
        <v>FNCL 6 2025</v>
      </c>
      <c r="D1735" t="str">
        <f>_xll.BDP("!!03N1JC Mtge","CRNCY")</f>
        <v>USD</v>
      </c>
      <c r="E1735">
        <v>28865333</v>
      </c>
      <c r="F1735">
        <f>_xll.BDP("!!03N1JC Mtge","CPN")</f>
        <v>5.25</v>
      </c>
      <c r="G1735">
        <f>_xll.BDP("!!03N1JC Mtge","MTG_FACTOR")</f>
        <v>0.89574715000000005</v>
      </c>
      <c r="H1735">
        <f>_xll.BDP("!!03N1JC Mtge","MTG_WAL")</f>
        <v>1.7894000000000001</v>
      </c>
      <c r="I1735">
        <f>_xll.BDP("!!03N1JC Mtge","MTG_ORIG_WAL")</f>
        <v>3.8</v>
      </c>
    </row>
    <row r="1736" spans="1:9" x14ac:dyDescent="0.25">
      <c r="A1736" t="str">
        <f>_xll.BDP("!!03N1JD Mtge","ID_CUSIP")</f>
        <v>3137HLZS4</v>
      </c>
      <c r="B1736" t="str">
        <f>_xll.BDP("!!03N1JD Mtge","SECURITY_NAME")</f>
        <v>FHR 5555 DJ</v>
      </c>
      <c r="C1736" t="str">
        <f>_xll.BDP("!!03N1JD Mtge","GENERIC_TICKER_VINTAGE")</f>
        <v>FNCL 6 2025</v>
      </c>
      <c r="D1736" t="str">
        <f>_xll.BDP("!!03N1JD Mtge","CRNCY")</f>
        <v>USD</v>
      </c>
      <c r="E1736">
        <v>21649000</v>
      </c>
      <c r="F1736">
        <f>_xll.BDP("!!03N1JD Mtge","CPN")</f>
        <v>5.5</v>
      </c>
      <c r="G1736">
        <f>_xll.BDP("!!03N1JD Mtge","MTG_FACTOR")</f>
        <v>0.89574715000000005</v>
      </c>
      <c r="H1736">
        <f>_xll.BDP("!!03N1JD Mtge","MTG_WAL")</f>
        <v>1.7894000000000001</v>
      </c>
      <c r="I1736">
        <f>_xll.BDP("!!03N1JD Mtge","MTG_ORIG_WAL")</f>
        <v>3.8</v>
      </c>
    </row>
    <row r="1737" spans="1:9" x14ac:dyDescent="0.25">
      <c r="A1737" t="str">
        <f>_xll.BDP("!!03N1JF Mtge","ID_CUSIP")</f>
        <v>3137HLZR6</v>
      </c>
      <c r="B1737" t="str">
        <f>_xll.BDP("!!03N1JF Mtge","SECURITY_NAME")</f>
        <v>FHR 5555 DI</v>
      </c>
      <c r="C1737" t="str">
        <f>_xll.BDP("!!03N1JF Mtge","GENERIC_TICKER_VINTAGE")</f>
        <v>FNCL 6 2025</v>
      </c>
      <c r="D1737" t="str">
        <f>_xll.BDP("!!03N1JF Mtge","CRNCY")</f>
        <v>USD</v>
      </c>
      <c r="E1737">
        <v>3608166</v>
      </c>
      <c r="F1737">
        <f>_xll.BDP("!!03N1JF Mtge","CPN")</f>
        <v>6</v>
      </c>
      <c r="G1737">
        <f>_xll.BDP("!!03N1JF Mtge","MTG_FACTOR")</f>
        <v>0.89574715000000005</v>
      </c>
      <c r="H1737">
        <f>_xll.BDP("!!03N1JF Mtge","MTG_WAL")</f>
        <v>1.7894000000000001</v>
      </c>
      <c r="I1737">
        <f>_xll.BDP("!!03N1JF Mtge","MTG_ORIG_WAL")</f>
        <v>3.8</v>
      </c>
    </row>
    <row r="1738" spans="1:9" x14ac:dyDescent="0.25">
      <c r="A1738" t="str">
        <f>_xll.BDP("!!03N1JJ Mtge","ID_CUSIP")</f>
        <v>3137HLZW5</v>
      </c>
      <c r="B1738" t="str">
        <f>_xll.BDP("!!03N1JJ Mtge","SECURITY_NAME")</f>
        <v>FHR 5555 EA</v>
      </c>
      <c r="C1738" t="str">
        <f>_xll.BDP("!!03N1JJ Mtge","GENERIC_TICKER_VINTAGE")</f>
        <v>FNCL 6 2025</v>
      </c>
      <c r="D1738" t="str">
        <f>_xll.BDP("!!03N1JJ Mtge","CRNCY")</f>
        <v>USD</v>
      </c>
      <c r="E1738">
        <v>25675000</v>
      </c>
      <c r="F1738">
        <f>_xll.BDP("!!03N1JJ Mtge","CPN")</f>
        <v>5</v>
      </c>
      <c r="G1738">
        <f>_xll.BDP("!!03N1JJ Mtge","MTG_FACTOR")</f>
        <v>0.91217893999999999</v>
      </c>
      <c r="H1738">
        <f>_xll.BDP("!!03N1JJ Mtge","MTG_WAL")</f>
        <v>1.4681999999999999</v>
      </c>
      <c r="I1738">
        <f>_xll.BDP("!!03N1JJ Mtge","MTG_ORIG_WAL")</f>
        <v>3.2</v>
      </c>
    </row>
    <row r="1739" spans="1:9" x14ac:dyDescent="0.25">
      <c r="A1739" t="str">
        <f>_xll.BDP("!!03N1JK Mtge","ID_CUSIP")</f>
        <v>3137HM2F6</v>
      </c>
      <c r="B1739" t="str">
        <f>_xll.BDP("!!03N1JK Mtge","SECURITY_NAME")</f>
        <v>FHR 5555 EL</v>
      </c>
      <c r="C1739" t="str">
        <f>_xll.BDP("!!03N1JK Mtge","GENERIC_TICKER_VINTAGE")</f>
        <v>FNCL 6 2025</v>
      </c>
      <c r="D1739" t="str">
        <f>_xll.BDP("!!03N1JK Mtge","CRNCY")</f>
        <v>USD</v>
      </c>
      <c r="E1739">
        <v>3672000</v>
      </c>
      <c r="F1739">
        <f>_xll.BDP("!!03N1JK Mtge","CPN")</f>
        <v>5</v>
      </c>
      <c r="G1739">
        <f>_xll.BDP("!!03N1JK Mtge","MTG_FACTOR")</f>
        <v>1</v>
      </c>
      <c r="H1739">
        <f>_xll.BDP("!!03N1JK Mtge","MTG_WAL")</f>
        <v>3.3087</v>
      </c>
      <c r="I1739">
        <f>_xll.BDP("!!03N1JK Mtge","MTG_ORIG_WAL")</f>
        <v>7.3</v>
      </c>
    </row>
    <row r="1740" spans="1:9" x14ac:dyDescent="0.25">
      <c r="A1740" t="str">
        <f>_xll.BDP("!!03N1JQ Mtge","ID_CUSIP")</f>
        <v>3137HM3B4</v>
      </c>
      <c r="B1740" t="str">
        <f>_xll.BDP("!!03N1JQ Mtge","SECURITY_NAME")</f>
        <v>FHR 5555 YE</v>
      </c>
      <c r="C1740" t="str">
        <f>_xll.BDP("!!03N1JQ Mtge","GENERIC_TICKER_VINTAGE")</f>
        <v>FNCL 6 2025</v>
      </c>
      <c r="D1740" t="str">
        <f>_xll.BDP("!!03N1JQ Mtge","CRNCY")</f>
        <v>USD</v>
      </c>
      <c r="E1740">
        <v>15542632</v>
      </c>
      <c r="F1740">
        <f>_xll.BDP("!!03N1JQ Mtge","CPN")</f>
        <v>5</v>
      </c>
      <c r="G1740">
        <f>_xll.BDP("!!03N1JQ Mtge","MTG_FACTOR")</f>
        <v>1</v>
      </c>
      <c r="H1740">
        <f>_xll.BDP("!!03N1JQ Mtge","MTG_WAL")</f>
        <v>5.6233000000000004</v>
      </c>
      <c r="I1740">
        <f>_xll.BDP("!!03N1JQ Mtge","MTG_ORIG_WAL")</f>
        <v>11.8</v>
      </c>
    </row>
    <row r="1741" spans="1:9" x14ac:dyDescent="0.25">
      <c r="A1741" t="str">
        <f>_xll.BDP("!!03N1JR Mtge","ID_CUSIP")</f>
        <v>3137HM2D1</v>
      </c>
      <c r="B1741" t="str">
        <f>_xll.BDP("!!03N1JR Mtge","SECURITY_NAME")</f>
        <v>FHR 5555 EJ</v>
      </c>
      <c r="C1741" t="str">
        <f>_xll.BDP("!!03N1JR Mtge","GENERIC_TICKER_VINTAGE")</f>
        <v>FNCL 6 2025</v>
      </c>
      <c r="D1741" t="str">
        <f>_xll.BDP("!!03N1JR Mtge","CRNCY")</f>
        <v>USD</v>
      </c>
      <c r="E1741">
        <v>29347000</v>
      </c>
      <c r="F1741">
        <f>_xll.BDP("!!03N1JR Mtge","CPN")</f>
        <v>4.5</v>
      </c>
      <c r="G1741">
        <f>_xll.BDP("!!03N1JR Mtge","MTG_FACTOR")</f>
        <v>0.92316741999999996</v>
      </c>
      <c r="H1741">
        <f>_xll.BDP("!!03N1JR Mtge","MTG_WAL")</f>
        <v>1.7176</v>
      </c>
      <c r="I1741">
        <f>_xll.BDP("!!03N1JR Mtge","MTG_ORIG_WAL")</f>
        <v>3.7</v>
      </c>
    </row>
    <row r="1742" spans="1:9" x14ac:dyDescent="0.25">
      <c r="A1742" t="str">
        <f>_xll.BDP("!!03N1JS Mtge","ID_CUSIP")</f>
        <v>3137HM2E9</v>
      </c>
      <c r="B1742" t="str">
        <f>_xll.BDP("!!03N1JS Mtge","SECURITY_NAME")</f>
        <v>FHR 5555 EK</v>
      </c>
      <c r="C1742" t="str">
        <f>_xll.BDP("!!03N1JS Mtge","GENERIC_TICKER_VINTAGE")</f>
        <v>FNCL 6 2025</v>
      </c>
      <c r="D1742" t="str">
        <f>_xll.BDP("!!03N1JS Mtge","CRNCY")</f>
        <v>USD</v>
      </c>
      <c r="E1742">
        <v>29347000</v>
      </c>
      <c r="F1742">
        <f>_xll.BDP("!!03N1JS Mtge","CPN")</f>
        <v>4.75</v>
      </c>
      <c r="G1742">
        <f>_xll.BDP("!!03N1JS Mtge","MTG_FACTOR")</f>
        <v>0.92316741999999996</v>
      </c>
      <c r="H1742">
        <f>_xll.BDP("!!03N1JS Mtge","MTG_WAL")</f>
        <v>1.7176</v>
      </c>
      <c r="I1742">
        <f>_xll.BDP("!!03N1JS Mtge","MTG_ORIG_WAL")</f>
        <v>3.7</v>
      </c>
    </row>
    <row r="1743" spans="1:9" x14ac:dyDescent="0.25">
      <c r="A1743" t="str">
        <f>_xll.BDP("!!03N1JV Mtge","ID_CUSIP")</f>
        <v>3137HM2G4</v>
      </c>
      <c r="B1743" t="str">
        <f>_xll.BDP("!!03N1JV Mtge","SECURITY_NAME")</f>
        <v>FHR 5555 EM</v>
      </c>
      <c r="C1743" t="str">
        <f>_xll.BDP("!!03N1JV Mtge","GENERIC_TICKER_VINTAGE")</f>
        <v>FNCL 6 2025</v>
      </c>
      <c r="D1743" t="str">
        <f>_xll.BDP("!!03N1JV Mtge","CRNCY")</f>
        <v>USD</v>
      </c>
      <c r="E1743">
        <v>19564666</v>
      </c>
      <c r="F1743">
        <f>_xll.BDP("!!03N1JV Mtge","CPN")</f>
        <v>5.25</v>
      </c>
      <c r="G1743">
        <f>_xll.BDP("!!03N1JV Mtge","MTG_FACTOR")</f>
        <v>0.92316741999999996</v>
      </c>
      <c r="H1743">
        <f>_xll.BDP("!!03N1JV Mtge","MTG_WAL")</f>
        <v>1.7176</v>
      </c>
      <c r="I1743">
        <f>_xll.BDP("!!03N1JV Mtge","MTG_ORIG_WAL")</f>
        <v>3.7</v>
      </c>
    </row>
    <row r="1744" spans="1:9" x14ac:dyDescent="0.25">
      <c r="A1744" t="str">
        <f>_xll.BDP("!!03N1JX Mtge","ID_CUSIP")</f>
        <v>3137HM2R0</v>
      </c>
      <c r="B1744" t="str">
        <f>_xll.BDP("!!03N1JX Mtge","SECURITY_NAME")</f>
        <v>FHR 5555 IE</v>
      </c>
      <c r="C1744" t="str">
        <f>_xll.BDP("!!03N1JX Mtge","GENERIC_TICKER_VINTAGE")</f>
        <v>FNCL 6 2025</v>
      </c>
      <c r="D1744" t="str">
        <f>_xll.BDP("!!03N1JX Mtge","CRNCY")</f>
        <v>USD</v>
      </c>
      <c r="E1744">
        <v>2445583</v>
      </c>
      <c r="F1744">
        <f>_xll.BDP("!!03N1JX Mtge","CPN")</f>
        <v>6</v>
      </c>
      <c r="G1744">
        <f>_xll.BDP("!!03N1JX Mtge","MTG_FACTOR")</f>
        <v>0.92316741999999996</v>
      </c>
      <c r="H1744">
        <f>_xll.BDP("!!03N1JX Mtge","MTG_WAL")</f>
        <v>1.7176</v>
      </c>
      <c r="I1744">
        <f>_xll.BDP("!!03N1JX Mtge","MTG_ORIG_WAL")</f>
        <v>3.7</v>
      </c>
    </row>
    <row r="1745" spans="1:9" x14ac:dyDescent="0.25">
      <c r="A1745" t="str">
        <f>_xll.BDP("!!03N1JY Mtge","ID_CUSIP")</f>
        <v>3137HLZX3</v>
      </c>
      <c r="B1745" t="str">
        <f>_xll.BDP("!!03N1JY Mtge","SECURITY_NAME")</f>
        <v>FHR 5555 EB</v>
      </c>
      <c r="C1745" t="str">
        <f>_xll.BDP("!!03N1JY Mtge","GENERIC_TICKER_VINTAGE")</f>
        <v>FNCL 6 2025</v>
      </c>
      <c r="D1745" t="str">
        <f>_xll.BDP("!!03N1JY Mtge","CRNCY")</f>
        <v>USD</v>
      </c>
      <c r="E1745">
        <v>25675000</v>
      </c>
      <c r="F1745">
        <f>_xll.BDP("!!03N1JY Mtge","CPN")</f>
        <v>4.5</v>
      </c>
      <c r="G1745">
        <f>_xll.BDP("!!03N1JY Mtge","MTG_FACTOR")</f>
        <v>0.91217893999999999</v>
      </c>
      <c r="H1745">
        <f>_xll.BDP("!!03N1JY Mtge","MTG_WAL")</f>
        <v>1.4681999999999999</v>
      </c>
      <c r="I1745">
        <f>_xll.BDP("!!03N1JY Mtge","MTG_ORIG_WAL")</f>
        <v>3.2</v>
      </c>
    </row>
    <row r="1746" spans="1:9" x14ac:dyDescent="0.25">
      <c r="A1746" t="str">
        <f>_xll.BDP("!!03N1JZ Mtge","ID_CUSIP")</f>
        <v>3137HLZZ8</v>
      </c>
      <c r="B1746" t="str">
        <f>_xll.BDP("!!03N1JZ Mtge","SECURITY_NAME")</f>
        <v>FHR 5555 ED</v>
      </c>
      <c r="C1746" t="str">
        <f>_xll.BDP("!!03N1JZ Mtge","GENERIC_TICKER_VINTAGE")</f>
        <v>FNCL 6 2025</v>
      </c>
      <c r="D1746" t="str">
        <f>_xll.BDP("!!03N1JZ Mtge","CRNCY")</f>
        <v>USD</v>
      </c>
      <c r="E1746">
        <v>25675000</v>
      </c>
      <c r="F1746">
        <f>_xll.BDP("!!03N1JZ Mtge","CPN")</f>
        <v>4.75</v>
      </c>
      <c r="G1746">
        <f>_xll.BDP("!!03N1JZ Mtge","MTG_FACTOR")</f>
        <v>0.91217893999999999</v>
      </c>
      <c r="H1746">
        <f>_xll.BDP("!!03N1JZ Mtge","MTG_WAL")</f>
        <v>1.4681999999999999</v>
      </c>
      <c r="I1746">
        <f>_xll.BDP("!!03N1JZ Mtge","MTG_ORIG_WAL")</f>
        <v>3.2</v>
      </c>
    </row>
    <row r="1747" spans="1:9" x14ac:dyDescent="0.25">
      <c r="A1747" t="str">
        <f>_xll.BDP("!!03N1K0 Mtge","ID_CUSIP")</f>
        <v>3137HM2A7</v>
      </c>
      <c r="B1747" t="str">
        <f>_xll.BDP("!!03N1K0 Mtge","SECURITY_NAME")</f>
        <v>FHR 5555 EG</v>
      </c>
      <c r="C1747" t="str">
        <f>_xll.BDP("!!03N1K0 Mtge","GENERIC_TICKER_VINTAGE")</f>
        <v>FNCL 6 2025</v>
      </c>
      <c r="D1747" t="str">
        <f>_xll.BDP("!!03N1K0 Mtge","CRNCY")</f>
        <v>USD</v>
      </c>
      <c r="E1747">
        <v>17116666</v>
      </c>
      <c r="F1747">
        <f>_xll.BDP("!!03N1K0 Mtge","CPN")</f>
        <v>5.25</v>
      </c>
      <c r="G1747">
        <f>_xll.BDP("!!03N1K0 Mtge","MTG_FACTOR")</f>
        <v>0.91217893999999999</v>
      </c>
      <c r="H1747">
        <f>_xll.BDP("!!03N1K0 Mtge","MTG_WAL")</f>
        <v>1.4681999999999999</v>
      </c>
      <c r="I1747">
        <f>_xll.BDP("!!03N1K0 Mtge","MTG_ORIG_WAL")</f>
        <v>3.2</v>
      </c>
    </row>
    <row r="1748" spans="1:9" x14ac:dyDescent="0.25">
      <c r="A1748" t="str">
        <f>_xll.BDP("!!03N1K1 Mtge","ID_CUSIP")</f>
        <v>3137HM2B5</v>
      </c>
      <c r="B1748" t="str">
        <f>_xll.BDP("!!03N1K1 Mtge","SECURITY_NAME")</f>
        <v>FHR 5555 EH</v>
      </c>
      <c r="C1748" t="str">
        <f>_xll.BDP("!!03N1K1 Mtge","GENERIC_TICKER_VINTAGE")</f>
        <v>FNCL 6 2025</v>
      </c>
      <c r="D1748" t="str">
        <f>_xll.BDP("!!03N1K1 Mtge","CRNCY")</f>
        <v>USD</v>
      </c>
      <c r="E1748">
        <v>12837500</v>
      </c>
      <c r="F1748">
        <f>_xll.BDP("!!03N1K1 Mtge","CPN")</f>
        <v>5.5</v>
      </c>
      <c r="G1748">
        <f>_xll.BDP("!!03N1K1 Mtge","MTG_FACTOR")</f>
        <v>0.91217893999999999</v>
      </c>
      <c r="H1748">
        <f>_xll.BDP("!!03N1K1 Mtge","MTG_WAL")</f>
        <v>1.4681999999999999</v>
      </c>
      <c r="I1748">
        <f>_xll.BDP("!!03N1K1 Mtge","MTG_ORIG_WAL")</f>
        <v>3.2</v>
      </c>
    </row>
    <row r="1749" spans="1:9" x14ac:dyDescent="0.25">
      <c r="A1749" t="str">
        <f>_xll.BDP("!!03N3BQ Mtge","ID_CUSIP")</f>
        <v>3137HMBY5</v>
      </c>
      <c r="B1749" t="str">
        <f>_xll.BDP("!!03N3BQ Mtge","SECURITY_NAME")</f>
        <v>FHR 5562 TB</v>
      </c>
      <c r="C1749" t="str">
        <f>_xll.BDP("!!03N3BQ Mtge","GENERIC_TICKER_VINTAGE")</f>
        <v>FNCL 6 2025</v>
      </c>
      <c r="D1749" t="str">
        <f>_xll.BDP("!!03N3BQ Mtge","CRNCY")</f>
        <v>USD</v>
      </c>
      <c r="E1749">
        <v>75816552</v>
      </c>
      <c r="F1749">
        <f>_xll.BDP("!!03N3BQ Mtge","CPN")</f>
        <v>0.1</v>
      </c>
      <c r="G1749">
        <f>_xll.BDP("!!03N3BQ Mtge","MTG_FACTOR")</f>
        <v>0.96733733</v>
      </c>
      <c r="H1749">
        <f>_xll.BDP("!!03N3BQ Mtge","MTG_WAL")</f>
        <v>3.4138999999999999</v>
      </c>
      <c r="I1749">
        <f>_xll.BDP("!!03N3BQ Mtge","MTG_ORIG_WAL")</f>
        <v>6.4</v>
      </c>
    </row>
    <row r="1750" spans="1:9" x14ac:dyDescent="0.25">
      <c r="A1750" t="str">
        <f>_xll.BDP("!!03N3C3 Mtge","ID_CUSIP")</f>
        <v>3137HMBX7</v>
      </c>
      <c r="B1750" t="str">
        <f>_xll.BDP("!!03N3C3 Mtge","SECURITY_NAME")</f>
        <v>FHR 5562 PI</v>
      </c>
      <c r="C1750" t="str">
        <f>_xll.BDP("!!03N3C3 Mtge","GENERIC_TICKER_VINTAGE")</f>
        <v>FNCL 6 2025</v>
      </c>
      <c r="D1750" t="str">
        <f>_xll.BDP("!!03N3C3 Mtge","CRNCY")</f>
        <v>USD</v>
      </c>
      <c r="E1750">
        <v>10970166</v>
      </c>
      <c r="F1750">
        <f>_xll.BDP("!!03N3C3 Mtge","CPN")</f>
        <v>6</v>
      </c>
      <c r="G1750">
        <f>_xll.BDP("!!03N3C3 Mtge","MTG_FACTOR")</f>
        <v>0.96237718999999999</v>
      </c>
      <c r="H1750">
        <f>_xll.BDP("!!03N3C3 Mtge","MTG_WAL")</f>
        <v>2.5884</v>
      </c>
      <c r="I1750">
        <f>_xll.BDP("!!03N3C3 Mtge","MTG_ORIG_WAL")</f>
        <v>4.9000000000000004</v>
      </c>
    </row>
    <row r="1751" spans="1:9" x14ac:dyDescent="0.25">
      <c r="A1751" t="str">
        <f>_xll.BDP("!!03N3C4 Mtge","ID_CUSIP")</f>
        <v>3137HLY71</v>
      </c>
      <c r="B1751" t="str">
        <f>_xll.BDP("!!03N3C4 Mtge","SECURITY_NAME")</f>
        <v>FHR 5562 AP</v>
      </c>
      <c r="C1751" t="str">
        <f>_xll.BDP("!!03N3C4 Mtge","GENERIC_TICKER_VINTAGE")</f>
        <v>FNCL 6 2025</v>
      </c>
      <c r="D1751" t="str">
        <f>_xll.BDP("!!03N3C4 Mtge","CRNCY")</f>
        <v>USD</v>
      </c>
      <c r="E1751">
        <v>75816552</v>
      </c>
      <c r="F1751">
        <f>_xll.BDP("!!03N3C4 Mtge","CPN")</f>
        <v>4</v>
      </c>
      <c r="G1751">
        <f>_xll.BDP("!!03N3C4 Mtge","MTG_FACTOR")</f>
        <v>0.96733733</v>
      </c>
      <c r="H1751">
        <f>_xll.BDP("!!03N3C4 Mtge","MTG_WAL")</f>
        <v>3.4312999999999998</v>
      </c>
      <c r="I1751">
        <f>_xll.BDP("!!03N3C4 Mtge","MTG_ORIG_WAL")</f>
        <v>6.4</v>
      </c>
    </row>
    <row r="1752" spans="1:9" x14ac:dyDescent="0.25">
      <c r="A1752" t="str">
        <f>_xll.BDP("!!03N3CF Mtge","ID_CUSIP")</f>
        <v>3137HMBW9</v>
      </c>
      <c r="B1752" t="str">
        <f>_xll.BDP("!!03N3CF Mtge","SECURITY_NAME")</f>
        <v>FHR 5562 IP</v>
      </c>
      <c r="C1752" t="str">
        <f>_xll.BDP("!!03N3CF Mtge","GENERIC_TICKER_VINTAGE")</f>
        <v>FNCL 6 2025</v>
      </c>
      <c r="D1752" t="str">
        <f>_xll.BDP("!!03N3CF Mtge","CRNCY")</f>
        <v>USD</v>
      </c>
      <c r="E1752">
        <v>12636092</v>
      </c>
      <c r="F1752">
        <f>_xll.BDP("!!03N3CF Mtge","CPN")</f>
        <v>6</v>
      </c>
      <c r="G1752">
        <f>_xll.BDP("!!03N3CF Mtge","MTG_FACTOR")</f>
        <v>0.96733733</v>
      </c>
      <c r="H1752">
        <f>_xll.BDP("!!03N3CF Mtge","MTG_WAL")</f>
        <v>3.4312999999999998</v>
      </c>
      <c r="I1752">
        <f>_xll.BDP("!!03N3CF Mtge","MTG_ORIG_WAL")</f>
        <v>6.4</v>
      </c>
    </row>
    <row r="1753" spans="1:9" x14ac:dyDescent="0.25">
      <c r="A1753" t="str">
        <f>_xll.BDP("!!03N3CG Mtge","ID_CUSIP")</f>
        <v>3137HMBV1</v>
      </c>
      <c r="B1753" t="str">
        <f>_xll.BDP("!!03N3CG Mtge","SECURITY_NAME")</f>
        <v>FHR 5562 FP</v>
      </c>
      <c r="C1753" t="str">
        <f>_xll.BDP("!!03N3CG Mtge","GENERIC_TICKER_VINTAGE")</f>
        <v>FNCL 6 2025</v>
      </c>
      <c r="D1753" t="str">
        <f>_xll.BDP("!!03N3CG Mtge","CRNCY")</f>
        <v>USD</v>
      </c>
      <c r="E1753">
        <v>75816552</v>
      </c>
      <c r="F1753">
        <f>_xll.BDP("!!03N3CG Mtge","CPN")</f>
        <v>4.8172100000000002</v>
      </c>
      <c r="G1753">
        <f>_xll.BDP("!!03N3CG Mtge","MTG_FACTOR")</f>
        <v>0.96733733</v>
      </c>
      <c r="H1753">
        <f>_xll.BDP("!!03N3CG Mtge","MTG_WAL")</f>
        <v>3.4138999999999999</v>
      </c>
      <c r="I1753">
        <f>_xll.BDP("!!03N3CG Mtge","MTG_ORIG_WAL")</f>
        <v>6.4</v>
      </c>
    </row>
    <row r="1754" spans="1:9" x14ac:dyDescent="0.25">
      <c r="A1754" t="str">
        <f>_xll.BDP("!!03N5CY Mtge","ID_CUSIP")</f>
        <v>3137HM4R8</v>
      </c>
      <c r="B1754" t="str">
        <f>_xll.BDP("!!03N5CY Mtge","SECURITY_NAME")</f>
        <v>FHR 5561 AQ</v>
      </c>
      <c r="C1754" t="str">
        <f>_xll.BDP("!!03N5CY Mtge","GENERIC_TICKER_VINTAGE")</f>
        <v>FNCL 6 2025</v>
      </c>
      <c r="D1754" t="str">
        <f>_xll.BDP("!!03N5CY Mtge","CRNCY")</f>
        <v>USD</v>
      </c>
      <c r="E1754">
        <v>9776922</v>
      </c>
      <c r="F1754">
        <f>_xll.BDP("!!03N5CY Mtge","CPN")</f>
        <v>13.8279</v>
      </c>
      <c r="G1754">
        <f>_xll.BDP("!!03N5CY Mtge","MTG_FACTOR")</f>
        <v>0.76909846000000004</v>
      </c>
      <c r="H1754">
        <f>_xll.BDP("!!03N5CY Mtge","MTG_WAL")</f>
        <v>3.0621999999999998</v>
      </c>
      <c r="I1754">
        <f>_xll.BDP("!!03N5CY Mtge","MTG_ORIG_WAL")</f>
        <v>6.7</v>
      </c>
    </row>
    <row r="1755" spans="1:9" x14ac:dyDescent="0.25">
      <c r="A1755" t="str">
        <f>_xll.BDP("!!03N5CZ Mtge","ID_CUSIP")</f>
        <v>3137HM4S6</v>
      </c>
      <c r="B1755" t="str">
        <f>_xll.BDP("!!03N5CZ Mtge","SECURITY_NAME")</f>
        <v>FHR 5561 AS</v>
      </c>
      <c r="C1755" t="str">
        <f>_xll.BDP("!!03N5CZ Mtge","GENERIC_TICKER_VINTAGE")</f>
        <v>FNCL 6 2025</v>
      </c>
      <c r="D1755" t="str">
        <f>_xll.BDP("!!03N5CZ Mtge","CRNCY")</f>
        <v>USD</v>
      </c>
      <c r="E1755">
        <v>97769221</v>
      </c>
      <c r="F1755">
        <f>_xll.BDP("!!03N5CZ Mtge","CPN")</f>
        <v>1.38279</v>
      </c>
      <c r="G1755">
        <f>_xll.BDP("!!03N5CZ Mtge","MTG_FACTOR")</f>
        <v>0.76909846000000004</v>
      </c>
      <c r="H1755">
        <f>_xll.BDP("!!03N5CZ Mtge","MTG_WAL")</f>
        <v>3.0621999999999998</v>
      </c>
      <c r="I1755">
        <f>_xll.BDP("!!03N5CZ Mtge","MTG_ORIG_WAL")</f>
        <v>6.7</v>
      </c>
    </row>
    <row r="1756" spans="1:9" x14ac:dyDescent="0.25">
      <c r="A1756" t="str">
        <f>_xll.BDP("!!03N5D0 Mtge","ID_CUSIP")</f>
        <v>3137HM4T4</v>
      </c>
      <c r="B1756" t="str">
        <f>_xll.BDP("!!03N5D0 Mtge","SECURITY_NAME")</f>
        <v>FHR 5561 BQ</v>
      </c>
      <c r="C1756" t="str">
        <f>_xll.BDP("!!03N5D0 Mtge","GENERIC_TICKER_VINTAGE")</f>
        <v>FNCL 6 2025</v>
      </c>
      <c r="D1756" t="str">
        <f>_xll.BDP("!!03N5D0 Mtge","CRNCY")</f>
        <v>USD</v>
      </c>
      <c r="E1756">
        <v>9776922</v>
      </c>
      <c r="F1756">
        <f>_xll.BDP("!!03N5D0 Mtge","CPN")</f>
        <v>7.8278999999999996</v>
      </c>
      <c r="G1756">
        <f>_xll.BDP("!!03N5D0 Mtge","MTG_FACTOR")</f>
        <v>0.76909846000000004</v>
      </c>
      <c r="H1756">
        <f>_xll.BDP("!!03N5D0 Mtge","MTG_WAL")</f>
        <v>3.0621999999999998</v>
      </c>
      <c r="I1756">
        <f>_xll.BDP("!!03N5D0 Mtge","MTG_ORIG_WAL")</f>
        <v>6.7</v>
      </c>
    </row>
    <row r="1757" spans="1:9" x14ac:dyDescent="0.25">
      <c r="A1757" t="str">
        <f>_xll.BDP("!!03N5D1 Mtge","ID_CUSIP")</f>
        <v>3137HM4U1</v>
      </c>
      <c r="B1757" t="str">
        <f>_xll.BDP("!!03N5D1 Mtge","SECURITY_NAME")</f>
        <v>FHR 5561 BS</v>
      </c>
      <c r="C1757" t="str">
        <f>_xll.BDP("!!03N5D1 Mtge","GENERIC_TICKER_VINTAGE")</f>
        <v>FNCL 6 2025</v>
      </c>
      <c r="D1757" t="str">
        <f>_xll.BDP("!!03N5D1 Mtge","CRNCY")</f>
        <v>USD</v>
      </c>
      <c r="E1757">
        <v>97769221</v>
      </c>
      <c r="F1757">
        <f>_xll.BDP("!!03N5D1 Mtge","CPN")</f>
        <v>0.78278999999999999</v>
      </c>
      <c r="G1757">
        <f>_xll.BDP("!!03N5D1 Mtge","MTG_FACTOR")</f>
        <v>0.76909846000000004</v>
      </c>
      <c r="H1757">
        <f>_xll.BDP("!!03N5D1 Mtge","MTG_WAL")</f>
        <v>3.0621999999999998</v>
      </c>
      <c r="I1757">
        <f>_xll.BDP("!!03N5D1 Mtge","MTG_ORIG_WAL")</f>
        <v>6.7</v>
      </c>
    </row>
    <row r="1758" spans="1:9" x14ac:dyDescent="0.25">
      <c r="A1758" t="str">
        <f>_xll.BDP("!!03N5D2 Mtge","ID_CUSIP")</f>
        <v>3137HM5B2</v>
      </c>
      <c r="B1758" t="str">
        <f>_xll.BDP("!!03N5D2 Mtge","SECURITY_NAME")</f>
        <v>FHR 5561 CQ</v>
      </c>
      <c r="C1758" t="str">
        <f>_xll.BDP("!!03N5D2 Mtge","GENERIC_TICKER_VINTAGE")</f>
        <v>FNCL 6 2025</v>
      </c>
      <c r="D1758" t="str">
        <f>_xll.BDP("!!03N5D2 Mtge","CRNCY")</f>
        <v>USD</v>
      </c>
      <c r="E1758">
        <v>19372830</v>
      </c>
      <c r="F1758">
        <f>_xll.BDP("!!03N5D2 Mtge","CPN")</f>
        <v>10.3279</v>
      </c>
      <c r="G1758">
        <f>_xll.BDP("!!03N5D2 Mtge","MTG_FACTOR")</f>
        <v>0.72849684000000003</v>
      </c>
      <c r="H1758">
        <f>_xll.BDP("!!03N5D2 Mtge","MTG_WAL")</f>
        <v>2.9784999999999999</v>
      </c>
      <c r="I1758">
        <f>_xll.BDP("!!03N5D2 Mtge","MTG_ORIG_WAL")</f>
        <v>6.6</v>
      </c>
    </row>
    <row r="1759" spans="1:9" x14ac:dyDescent="0.25">
      <c r="A1759" t="str">
        <f>_xll.BDP("!!03N5D3 Mtge","ID_CUSIP")</f>
        <v>3137HM5C0</v>
      </c>
      <c r="B1759" t="str">
        <f>_xll.BDP("!!03N5D3 Mtge","SECURITY_NAME")</f>
        <v>FHR 5561 CS</v>
      </c>
      <c r="C1759" t="str">
        <f>_xll.BDP("!!03N5D3 Mtge","GENERIC_TICKER_VINTAGE")</f>
        <v>FNCL 6 2025</v>
      </c>
      <c r="D1759" t="str">
        <f>_xll.BDP("!!03N5D3 Mtge","CRNCY")</f>
        <v>USD</v>
      </c>
      <c r="E1759">
        <v>193728306</v>
      </c>
      <c r="F1759">
        <f>_xll.BDP("!!03N5D3 Mtge","CPN")</f>
        <v>1.0327900000000001</v>
      </c>
      <c r="G1759">
        <f>_xll.BDP("!!03N5D3 Mtge","MTG_FACTOR")</f>
        <v>0.72849684000000003</v>
      </c>
      <c r="H1759">
        <f>_xll.BDP("!!03N5D3 Mtge","MTG_WAL")</f>
        <v>2.9784999999999999</v>
      </c>
      <c r="I1759">
        <f>_xll.BDP("!!03N5D3 Mtge","MTG_ORIG_WAL")</f>
        <v>6.6</v>
      </c>
    </row>
    <row r="1760" spans="1:9" x14ac:dyDescent="0.25">
      <c r="A1760" t="str">
        <f>_xll.BDP("!!03N5D4 Mtge","ID_CUSIP")</f>
        <v>3137HM5H9</v>
      </c>
      <c r="B1760" t="str">
        <f>_xll.BDP("!!03N5D4 Mtge","SECURITY_NAME")</f>
        <v>FHR 5561 DQ</v>
      </c>
      <c r="C1760" t="str">
        <f>_xll.BDP("!!03N5D4 Mtge","GENERIC_TICKER_VINTAGE")</f>
        <v>FNCL 6 2025</v>
      </c>
      <c r="D1760" t="str">
        <f>_xll.BDP("!!03N5D4 Mtge","CRNCY")</f>
        <v>USD</v>
      </c>
      <c r="E1760">
        <v>29239390</v>
      </c>
      <c r="F1760">
        <f>_xll.BDP("!!03N5D4 Mtge","CPN")</f>
        <v>7.3278999999999996</v>
      </c>
      <c r="G1760">
        <f>_xll.BDP("!!03N5D4 Mtge","MTG_FACTOR")</f>
        <v>0.72849684000000003</v>
      </c>
      <c r="H1760">
        <f>_xll.BDP("!!03N5D4 Mtge","MTG_WAL")</f>
        <v>2.9784999999999999</v>
      </c>
      <c r="I1760">
        <f>_xll.BDP("!!03N5D4 Mtge","MTG_ORIG_WAL")</f>
        <v>6.6</v>
      </c>
    </row>
    <row r="1761" spans="1:9" x14ac:dyDescent="0.25">
      <c r="A1761" t="str">
        <f>_xll.BDP("!!03N5D5 Mtge","ID_CUSIP")</f>
        <v>3137HM5J5</v>
      </c>
      <c r="B1761" t="str">
        <f>_xll.BDP("!!03N5D5 Mtge","SECURITY_NAME")</f>
        <v>FHR 5561 DS</v>
      </c>
      <c r="C1761" t="str">
        <f>_xll.BDP("!!03N5D5 Mtge","GENERIC_TICKER_VINTAGE")</f>
        <v>FNCL 6 2025</v>
      </c>
      <c r="D1761" t="str">
        <f>_xll.BDP("!!03N5D5 Mtge","CRNCY")</f>
        <v>USD</v>
      </c>
      <c r="E1761">
        <v>292393908</v>
      </c>
      <c r="F1761">
        <f>_xll.BDP("!!03N5D5 Mtge","CPN")</f>
        <v>0.73279000000000005</v>
      </c>
      <c r="G1761">
        <f>_xll.BDP("!!03N5D5 Mtge","MTG_FACTOR")</f>
        <v>0.72849684000000003</v>
      </c>
      <c r="H1761">
        <f>_xll.BDP("!!03N5D5 Mtge","MTG_WAL")</f>
        <v>2.9784999999999999</v>
      </c>
      <c r="I1761">
        <f>_xll.BDP("!!03N5D5 Mtge","MTG_ORIG_WAL")</f>
        <v>6.6</v>
      </c>
    </row>
    <row r="1762" spans="1:9" x14ac:dyDescent="0.25">
      <c r="A1762" t="str">
        <f>_xll.BDP("!!03N5D7 Mtge","ID_CUSIP")</f>
        <v>3137HM5Q9</v>
      </c>
      <c r="B1762" t="str">
        <f>_xll.BDP("!!03N5D7 Mtge","SECURITY_NAME")</f>
        <v>FHR 5561 ES</v>
      </c>
      <c r="C1762" t="str">
        <f>_xll.BDP("!!03N5D7 Mtge","GENERIC_TICKER_VINTAGE")</f>
        <v>FNCL 6 2025</v>
      </c>
      <c r="D1762" t="str">
        <f>_xll.BDP("!!03N5D7 Mtge","CRNCY")</f>
        <v>USD</v>
      </c>
      <c r="E1762">
        <v>143494781</v>
      </c>
      <c r="F1762">
        <f>_xll.BDP("!!03N5D7 Mtge","CPN")</f>
        <v>1.0827899999999999</v>
      </c>
      <c r="G1762">
        <f>_xll.BDP("!!03N5D7 Mtge","MTG_FACTOR")</f>
        <v>0.72849684000000003</v>
      </c>
      <c r="H1762">
        <f>_xll.BDP("!!03N5D7 Mtge","MTG_WAL")</f>
        <v>3.0367000000000002</v>
      </c>
      <c r="I1762">
        <f>_xll.BDP("!!03N5D7 Mtge","MTG_ORIG_WAL")</f>
        <v>6.6</v>
      </c>
    </row>
    <row r="1763" spans="1:9" x14ac:dyDescent="0.25">
      <c r="A1763" t="str">
        <f>_xll.BDP("!!03N5D9 Mtge","ID_CUSIP")</f>
        <v>3137HMA59</v>
      </c>
      <c r="B1763" t="str">
        <f>_xll.BDP("!!03N5D9 Mtge","SECURITY_NAME")</f>
        <v>FHR 5561 WS</v>
      </c>
      <c r="C1763" t="str">
        <f>_xll.BDP("!!03N5D9 Mtge","GENERIC_TICKER_VINTAGE")</f>
        <v>FNCL 6 2025</v>
      </c>
      <c r="D1763" t="str">
        <f>_xll.BDP("!!03N5D9 Mtge","CRNCY")</f>
        <v>USD</v>
      </c>
      <c r="E1763">
        <v>190106868</v>
      </c>
      <c r="F1763">
        <f>_xll.BDP("!!03N5D9 Mtge","CPN")</f>
        <v>0.98279000000000005</v>
      </c>
      <c r="G1763">
        <f>_xll.BDP("!!03N5D9 Mtge","MTG_FACTOR")</f>
        <v>0.74066622999999998</v>
      </c>
      <c r="H1763">
        <f>_xll.BDP("!!03N5D9 Mtge","MTG_WAL")</f>
        <v>2.9415</v>
      </c>
      <c r="I1763">
        <f>_xll.BDP("!!03N5D9 Mtge","MTG_ORIG_WAL")</f>
        <v>6.5</v>
      </c>
    </row>
    <row r="1764" spans="1:9" x14ac:dyDescent="0.25">
      <c r="A1764" t="str">
        <f>_xll.BDP("!!03N5DW Mtge","ID_CUSIP")</f>
        <v>3137HM7E4</v>
      </c>
      <c r="B1764" t="str">
        <f>_xll.BDP("!!03N5DW Mtge","SECURITY_NAME")</f>
        <v>FHR 5561 PS</v>
      </c>
      <c r="C1764" t="str">
        <f>_xll.BDP("!!03N5DW Mtge","GENERIC_TICKER_VINTAGE")</f>
        <v>FNCL 6 2025</v>
      </c>
      <c r="D1764" t="str">
        <f>_xll.BDP("!!03N5DW Mtge","CRNCY")</f>
        <v>USD</v>
      </c>
      <c r="E1764">
        <v>49237738</v>
      </c>
      <c r="F1764">
        <f>_xll.BDP("!!03N5DW Mtge","CPN")</f>
        <v>1.13279</v>
      </c>
      <c r="G1764">
        <f>_xll.BDP("!!03N5DW Mtge","MTG_FACTOR")</f>
        <v>0.76909846000000004</v>
      </c>
      <c r="H1764">
        <f>_xll.BDP("!!03N5DW Mtge","MTG_WAL")</f>
        <v>3.0621999999999998</v>
      </c>
      <c r="I1764">
        <f>_xll.BDP("!!03N5DW Mtge","MTG_ORIG_WAL")</f>
        <v>6.7</v>
      </c>
    </row>
    <row r="1765" spans="1:9" x14ac:dyDescent="0.25">
      <c r="A1765" t="str">
        <f>_xll.BDP("!!03N5F0 Mtge","ID_CUSIP")</f>
        <v>3137HM7M6</v>
      </c>
      <c r="B1765" t="str">
        <f>_xll.BDP("!!03N5F0 Mtge","SECURITY_NAME")</f>
        <v>FHR 5561 US</v>
      </c>
      <c r="C1765" t="str">
        <f>_xll.BDP("!!03N5F0 Mtge","GENERIC_TICKER_VINTAGE")</f>
        <v>FNCL 6 2025</v>
      </c>
      <c r="D1765" t="str">
        <f>_xll.BDP("!!03N5F0 Mtge","CRNCY")</f>
        <v>USD</v>
      </c>
      <c r="E1765">
        <v>98475477</v>
      </c>
      <c r="F1765">
        <f>_xll.BDP("!!03N5F0 Mtge","CPN")</f>
        <v>0.78278999999999999</v>
      </c>
      <c r="G1765">
        <f>_xll.BDP("!!03N5F0 Mtge","MTG_FACTOR")</f>
        <v>0.76909846000000004</v>
      </c>
      <c r="H1765">
        <f>_xll.BDP("!!03N5F0 Mtge","MTG_WAL")</f>
        <v>3.1212</v>
      </c>
      <c r="I1765">
        <f>_xll.BDP("!!03N5F0 Mtge","MTG_ORIG_WAL")</f>
        <v>6.7</v>
      </c>
    </row>
    <row r="1766" spans="1:9" x14ac:dyDescent="0.25">
      <c r="A1766" t="str">
        <f>_xll.BDP("!!03N6W6 Mtge","ID_CUSIP")</f>
        <v>3137HMK66</v>
      </c>
      <c r="B1766" t="str">
        <f>_xll.BDP("!!03N6W6 Mtge","SECURITY_NAME")</f>
        <v>FHR 5563 DF</v>
      </c>
      <c r="C1766" t="str">
        <f>_xll.BDP("!!03N6W6 Mtge","GENERIC_TICKER_VINTAGE")</f>
        <v>FNCL 6 2025</v>
      </c>
      <c r="D1766" t="str">
        <f>_xll.BDP("!!03N6W6 Mtge","CRNCY")</f>
        <v>USD</v>
      </c>
      <c r="E1766">
        <v>225000000</v>
      </c>
      <c r="F1766">
        <f>_xll.BDP("!!03N6W6 Mtge","CPN")</f>
        <v>4.11721</v>
      </c>
      <c r="G1766">
        <f>_xll.BDP("!!03N6W6 Mtge","MTG_FACTOR")</f>
        <v>0.80760430000000005</v>
      </c>
      <c r="H1766">
        <f>_xll.BDP("!!03N6W6 Mtge","MTG_WAL")</f>
        <v>3.1322999999999999</v>
      </c>
      <c r="I1766">
        <f>_xll.BDP("!!03N6W6 Mtge","MTG_ORIG_WAL")</f>
        <v>6.2</v>
      </c>
    </row>
    <row r="1767" spans="1:9" x14ac:dyDescent="0.25">
      <c r="A1767" t="str">
        <f>_xll.BDP("!!03N6W8 Mtge","ID_CUSIP")</f>
        <v>3137HMKX7</v>
      </c>
      <c r="B1767" t="str">
        <f>_xll.BDP("!!03N6W8 Mtge","SECURITY_NAME")</f>
        <v>FHR 5563 JS</v>
      </c>
      <c r="C1767" t="str">
        <f>_xll.BDP("!!03N6W8 Mtge","GENERIC_TICKER_VINTAGE")</f>
        <v>FNCL 6 2025</v>
      </c>
      <c r="D1767" t="str">
        <f>_xll.BDP("!!03N6W8 Mtge","CRNCY")</f>
        <v>USD</v>
      </c>
      <c r="E1767">
        <v>83500000</v>
      </c>
      <c r="F1767">
        <f>_xll.BDP("!!03N6W8 Mtge","CPN")</f>
        <v>0.58279000000000003</v>
      </c>
      <c r="G1767">
        <f>_xll.BDP("!!03N6W8 Mtge","MTG_FACTOR")</f>
        <v>0.80760430000000005</v>
      </c>
      <c r="H1767">
        <f>_xll.BDP("!!03N6W8 Mtge","MTG_WAL")</f>
        <v>3.1322999999999999</v>
      </c>
      <c r="I1767">
        <f>_xll.BDP("!!03N6W8 Mtge","MTG_ORIG_WAL")</f>
        <v>5.9</v>
      </c>
    </row>
    <row r="1768" spans="1:9" x14ac:dyDescent="0.25">
      <c r="A1768" t="str">
        <f>_xll.BDP("!!03N6X4 Mtge","ID_CUSIP")</f>
        <v>3137HMDJ6</v>
      </c>
      <c r="B1768" t="str">
        <f>_xll.BDP("!!03N6X4 Mtge","SECURITY_NAME")</f>
        <v>FHR 5564 PA</v>
      </c>
      <c r="C1768" t="str">
        <f>_xll.BDP("!!03N6X4 Mtge","GENERIC_TICKER_VINTAGE")</f>
        <v>FNCL 6 2025</v>
      </c>
      <c r="D1768" t="str">
        <f>_xll.BDP("!!03N6X4 Mtge","CRNCY")</f>
        <v>USD</v>
      </c>
      <c r="E1768">
        <v>247602000</v>
      </c>
      <c r="F1768">
        <f>_xll.BDP("!!03N6X4 Mtge","CPN")</f>
        <v>4</v>
      </c>
      <c r="G1768">
        <f>_xll.BDP("!!03N6X4 Mtge","MTG_FACTOR")</f>
        <v>0.96240170999999997</v>
      </c>
      <c r="H1768">
        <f>_xll.BDP("!!03N6X4 Mtge","MTG_WAL")</f>
        <v>2.8997000000000002</v>
      </c>
      <c r="I1768">
        <f>_xll.BDP("!!03N6X4 Mtge","MTG_ORIG_WAL")</f>
        <v>5</v>
      </c>
    </row>
    <row r="1769" spans="1:9" x14ac:dyDescent="0.25">
      <c r="A1769" t="str">
        <f>_xll.BDP("!!03N6X6 Mtge","ID_CUSIP")</f>
        <v>3137HMDL1</v>
      </c>
      <c r="B1769" t="str">
        <f>_xll.BDP("!!03N6X6 Mtge","SECURITY_NAME")</f>
        <v>FHR 5564 PC</v>
      </c>
      <c r="C1769" t="str">
        <f>_xll.BDP("!!03N6X6 Mtge","GENERIC_TICKER_VINTAGE")</f>
        <v>FNCL 6 2025</v>
      </c>
      <c r="D1769" t="str">
        <f>_xll.BDP("!!03N6X6 Mtge","CRNCY")</f>
        <v>USD</v>
      </c>
      <c r="E1769">
        <v>247602000</v>
      </c>
      <c r="F1769">
        <f>_xll.BDP("!!03N6X6 Mtge","CPN")</f>
        <v>4.5</v>
      </c>
      <c r="G1769">
        <f>_xll.BDP("!!03N6X6 Mtge","MTG_FACTOR")</f>
        <v>0.96240170999999997</v>
      </c>
      <c r="H1769">
        <f>_xll.BDP("!!03N6X6 Mtge","MTG_WAL")</f>
        <v>2.8997000000000002</v>
      </c>
      <c r="I1769">
        <f>_xll.BDP("!!03N6X6 Mtge","MTG_ORIG_WAL")</f>
        <v>5</v>
      </c>
    </row>
    <row r="1770" spans="1:9" x14ac:dyDescent="0.25">
      <c r="A1770" t="str">
        <f>_xll.BDP("!!03N6XC Mtge","ID_CUSIP")</f>
        <v>3137HMDT4</v>
      </c>
      <c r="B1770" t="str">
        <f>_xll.BDP("!!03N6XC Mtge","SECURITY_NAME")</f>
        <v>FHR 5564 PJ</v>
      </c>
      <c r="C1770" t="str">
        <f>_xll.BDP("!!03N6XC Mtge","GENERIC_TICKER_VINTAGE")</f>
        <v>FNCL 6 2025</v>
      </c>
      <c r="D1770" t="str">
        <f>_xll.BDP("!!03N6XC Mtge","CRNCY")</f>
        <v>USD</v>
      </c>
      <c r="E1770">
        <v>141486857</v>
      </c>
      <c r="F1770">
        <f>_xll.BDP("!!03N6XC Mtge","CPN")</f>
        <v>5.75</v>
      </c>
      <c r="G1770">
        <f>_xll.BDP("!!03N6XC Mtge","MTG_FACTOR")</f>
        <v>0.96240170999999997</v>
      </c>
      <c r="H1770">
        <f>_xll.BDP("!!03N6XC Mtge","MTG_WAL")</f>
        <v>2.8997000000000002</v>
      </c>
      <c r="I1770">
        <f>_xll.BDP("!!03N6XC Mtge","MTG_ORIG_WAL")</f>
        <v>5</v>
      </c>
    </row>
    <row r="1771" spans="1:9" x14ac:dyDescent="0.25">
      <c r="A1771" t="str">
        <f>_xll.BDP("!!03N6XD Mtge","ID_CUSIP")</f>
        <v>3137HMDU1</v>
      </c>
      <c r="B1771" t="str">
        <f>_xll.BDP("!!03N6XD Mtge","SECURITY_NAME")</f>
        <v>FHR 5564 PK</v>
      </c>
      <c r="C1771" t="str">
        <f>_xll.BDP("!!03N6XD Mtge","GENERIC_TICKER_VINTAGE")</f>
        <v>FNCL 6 2025</v>
      </c>
      <c r="D1771" t="str">
        <f>_xll.BDP("!!03N6XD Mtge","CRNCY")</f>
        <v>USD</v>
      </c>
      <c r="E1771">
        <v>123801000</v>
      </c>
      <c r="F1771">
        <f>_xll.BDP("!!03N6XD Mtge","CPN")</f>
        <v>6</v>
      </c>
      <c r="G1771">
        <f>_xll.BDP("!!03N6XD Mtge","MTG_FACTOR")</f>
        <v>0.96240170999999997</v>
      </c>
      <c r="H1771">
        <f>_xll.BDP("!!03N6XD Mtge","MTG_WAL")</f>
        <v>2.8997000000000002</v>
      </c>
      <c r="I1771">
        <f>_xll.BDP("!!03N6XD Mtge","MTG_ORIG_WAL")</f>
        <v>5</v>
      </c>
    </row>
    <row r="1772" spans="1:9" x14ac:dyDescent="0.25">
      <c r="A1772" t="str">
        <f>_xll.BDP("!!03N7R9 Mtge","ID_CUSIP")</f>
        <v>3137HMGV6</v>
      </c>
      <c r="B1772" t="str">
        <f>_xll.BDP("!!03N7R9 Mtge","SECURITY_NAME")</f>
        <v>FHR 5565 PS</v>
      </c>
      <c r="C1772" t="str">
        <f>_xll.BDP("!!03N7R9 Mtge","GENERIC_TICKER_VINTAGE")</f>
        <v>FNCL 6 2025</v>
      </c>
      <c r="D1772" t="str">
        <f>_xll.BDP("!!03N7R9 Mtge","CRNCY")</f>
        <v>USD</v>
      </c>
      <c r="E1772">
        <v>10000000</v>
      </c>
      <c r="F1772">
        <f>_xll.BDP("!!03N7R9 Mtge","CPN")</f>
        <v>3.38279</v>
      </c>
      <c r="G1772">
        <f>_xll.BDP("!!03N7R9 Mtge","MTG_FACTOR")</f>
        <v>0.91767821000000005</v>
      </c>
      <c r="H1772">
        <f>_xll.BDP("!!03N7R9 Mtge","MTG_WAL")</f>
        <v>3.1566000000000001</v>
      </c>
      <c r="I1772">
        <f>_xll.BDP("!!03N7R9 Mtge","MTG_ORIG_WAL")</f>
        <v>7</v>
      </c>
    </row>
    <row r="1773" spans="1:9" x14ac:dyDescent="0.25">
      <c r="A1773" t="str">
        <f>_xll.BDP("!!03N8GS Mtge","ID_CUSIP")</f>
        <v>3137HMCQ1</v>
      </c>
      <c r="B1773" t="str">
        <f>_xll.BDP("!!03N8GS Mtge","SECURITY_NAME")</f>
        <v>FHR 5564 BZ</v>
      </c>
      <c r="C1773" t="str">
        <f>_xll.BDP("!!03N8GS Mtge","GENERIC_TICKER_VINTAGE")</f>
        <v>FNCL 6 2025</v>
      </c>
      <c r="D1773" t="str">
        <f>_xll.BDP("!!03N8GS Mtge","CRNCY")</f>
        <v>USD</v>
      </c>
      <c r="E1773">
        <v>23542000</v>
      </c>
      <c r="F1773">
        <f>_xll.BDP("!!03N8GS Mtge","CPN")</f>
        <v>5</v>
      </c>
      <c r="G1773">
        <f>_xll.BDP("!!03N8GS Mtge","MTG_FACTOR")</f>
        <v>1.0338235200000001</v>
      </c>
      <c r="H1773">
        <f>_xll.BDP("!!03N8GS Mtge","MTG_WAL")</f>
        <v>7.3526999999999996</v>
      </c>
      <c r="I1773">
        <f>_xll.BDP("!!03N8GS Mtge","MTG_ORIG_WAL")</f>
        <v>13.6</v>
      </c>
    </row>
    <row r="1774" spans="1:9" x14ac:dyDescent="0.25">
      <c r="A1774" t="str">
        <f>_xll.BDP("!!03NC40 Mtge","ID_CUSIP")</f>
        <v>3137HMCZ1</v>
      </c>
      <c r="B1774" t="str">
        <f>_xll.BDP("!!03NC40 Mtge","SECURITY_NAME")</f>
        <v>FHR 5564 DZ</v>
      </c>
      <c r="C1774" t="str">
        <f>_xll.BDP("!!03NC40 Mtge","GENERIC_TICKER_VINTAGE")</f>
        <v>FNCL 6 2025</v>
      </c>
      <c r="D1774" t="str">
        <f>_xll.BDP("!!03NC40 Mtge","CRNCY")</f>
        <v>USD</v>
      </c>
      <c r="E1774">
        <v>23144000</v>
      </c>
      <c r="F1774">
        <f>_xll.BDP("!!03NC40 Mtge","CPN")</f>
        <v>5</v>
      </c>
      <c r="G1774">
        <f>_xll.BDP("!!03NC40 Mtge","MTG_FACTOR")</f>
        <v>1.0338235200000001</v>
      </c>
      <c r="H1774">
        <f>_xll.BDP("!!03NC40 Mtge","MTG_WAL")</f>
        <v>6.7763</v>
      </c>
      <c r="I1774">
        <f>_xll.BDP("!!03NC40 Mtge","MTG_ORIG_WAL")</f>
        <v>12.5</v>
      </c>
    </row>
    <row r="1775" spans="1:9" x14ac:dyDescent="0.25">
      <c r="A1775" t="str">
        <f>_xll.BDP("!!03NC42 Mtge","ID_CUSIP")</f>
        <v>3137HME71</v>
      </c>
      <c r="B1775" t="str">
        <f>_xll.BDP("!!03NC42 Mtge","SECURITY_NAME")</f>
        <v>FHR 5564 SD</v>
      </c>
      <c r="C1775" t="str">
        <f>_xll.BDP("!!03NC42 Mtge","GENERIC_TICKER_VINTAGE")</f>
        <v>FNCL 6 2025</v>
      </c>
      <c r="D1775" t="str">
        <f>_xll.BDP("!!03NC42 Mtge","CRNCY")</f>
        <v>USD</v>
      </c>
      <c r="E1775">
        <v>35000000</v>
      </c>
      <c r="F1775">
        <f>_xll.BDP("!!03NC42 Mtge","CPN")</f>
        <v>2.13279</v>
      </c>
      <c r="G1775">
        <f>_xll.BDP("!!03NC42 Mtge","MTG_FACTOR")</f>
        <v>0.94635550000000002</v>
      </c>
      <c r="H1775">
        <f>_xll.BDP("!!03NC42 Mtge","MTG_WAL")</f>
        <v>3.3397999999999999</v>
      </c>
      <c r="I1775">
        <f>_xll.BDP("!!03NC42 Mtge","MTG_ORIG_WAL")</f>
        <v>6.5</v>
      </c>
    </row>
    <row r="1776" spans="1:9" x14ac:dyDescent="0.25">
      <c r="A1776" t="str">
        <f>_xll.BDP("!!03NM8G Mtge","ID_CUSIP")</f>
        <v>3137HMHV5</v>
      </c>
      <c r="B1776" t="str">
        <f>_xll.BDP("!!03NM8G Mtge","SECURITY_NAME")</f>
        <v>FHR 5566 EZ</v>
      </c>
      <c r="C1776" t="str">
        <f>_xll.BDP("!!03NM8G Mtge","GENERIC_TICKER_VINTAGE")</f>
        <v>FNCL 6 2025</v>
      </c>
      <c r="D1776" t="str">
        <f>_xll.BDP("!!03NM8G Mtge","CRNCY")</f>
        <v>USD</v>
      </c>
      <c r="E1776">
        <v>28989104</v>
      </c>
      <c r="F1776">
        <f>_xll.BDP("!!03NM8G Mtge","CPN")</f>
        <v>5</v>
      </c>
      <c r="G1776">
        <f>_xll.BDP("!!03NM8G Mtge","MTG_FACTOR")</f>
        <v>1.0338235200000001</v>
      </c>
      <c r="H1776">
        <f>_xll.BDP("!!03NM8G Mtge","MTG_WAL")</f>
        <v>7.0919999999999996</v>
      </c>
      <c r="I1776">
        <f>_xll.BDP("!!03NM8G Mtge","MTG_ORIG_WAL")</f>
        <v>13.5</v>
      </c>
    </row>
    <row r="1777" spans="1:9" x14ac:dyDescent="0.25">
      <c r="A1777" t="str">
        <f>_xll.BDP("!!03NMXZ Mtge","ID_CUSIP")</f>
        <v>3137HMEN6</v>
      </c>
      <c r="B1777" t="str">
        <f>_xll.BDP("!!03NMXZ Mtge","SECURITY_NAME")</f>
        <v>FHR 5571 SA</v>
      </c>
      <c r="C1777" t="str">
        <f>_xll.BDP("!!03NMXZ Mtge","GENERIC_TICKER_VINTAGE")</f>
        <v>FNCL 6 2025</v>
      </c>
      <c r="D1777" t="str">
        <f>_xll.BDP("!!03NMXZ Mtge","CRNCY")</f>
        <v>USD</v>
      </c>
      <c r="E1777">
        <v>147609000</v>
      </c>
      <c r="F1777">
        <f>_xll.BDP("!!03NMXZ Mtge","CPN")</f>
        <v>2.13279</v>
      </c>
      <c r="G1777">
        <f>_xll.BDP("!!03NMXZ Mtge","MTG_FACTOR")</f>
        <v>0.89373493000000004</v>
      </c>
      <c r="H1777">
        <f>_xll.BDP("!!03NMXZ Mtge","MTG_WAL")</f>
        <v>3.2153999999999998</v>
      </c>
      <c r="I1777">
        <f>_xll.BDP("!!03NMXZ Mtge","MTG_ORIG_WAL")</f>
        <v>7.9</v>
      </c>
    </row>
    <row r="1778" spans="1:9" x14ac:dyDescent="0.25">
      <c r="A1778" t="str">
        <f>_xll.BDP("!!03NMY1 Mtge","ID_CUSIP")</f>
        <v>3137HMEC0</v>
      </c>
      <c r="B1778" t="str">
        <f>_xll.BDP("!!03NMY1 Mtge","SECURITY_NAME")</f>
        <v>FHR 5571 BV</v>
      </c>
      <c r="C1778" t="str">
        <f>_xll.BDP("!!03NMY1 Mtge","GENERIC_TICKER_VINTAGE")</f>
        <v>FNCL 6 2025</v>
      </c>
      <c r="D1778" t="str">
        <f>_xll.BDP("!!03NMY1 Mtge","CRNCY")</f>
        <v>USD</v>
      </c>
      <c r="E1778">
        <v>18914854</v>
      </c>
      <c r="F1778">
        <f>_xll.BDP("!!03NMY1 Mtge","CPN")</f>
        <v>5</v>
      </c>
      <c r="G1778">
        <f>_xll.BDP("!!03NMY1 Mtge","MTG_FACTOR")</f>
        <v>0.95338928000000001</v>
      </c>
      <c r="H1778">
        <f>_xll.BDP("!!03NMY1 Mtge","MTG_WAL")</f>
        <v>3.3580000000000001</v>
      </c>
      <c r="I1778">
        <f>_xll.BDP("!!03NMY1 Mtge","MTG_ORIG_WAL")</f>
        <v>5.9</v>
      </c>
    </row>
    <row r="1779" spans="1:9" x14ac:dyDescent="0.25">
      <c r="A1779" t="str">
        <f>_xll.BDP("!!03NN3X Mtge","ID_CUSIP")</f>
        <v>3137HMFZ8</v>
      </c>
      <c r="B1779" t="str">
        <f>_xll.BDP("!!03NN3X Mtge","SECURITY_NAME")</f>
        <v>FHR 5565 CZ</v>
      </c>
      <c r="C1779" t="str">
        <f>_xll.BDP("!!03NN3X Mtge","GENERIC_TICKER_VINTAGE")</f>
        <v>FNCL 6 2025</v>
      </c>
      <c r="D1779" t="str">
        <f>_xll.BDP("!!03NN3X Mtge","CRNCY")</f>
        <v>USD</v>
      </c>
      <c r="E1779">
        <v>18139349</v>
      </c>
      <c r="F1779">
        <f>_xll.BDP("!!03NN3X Mtge","CPN")</f>
        <v>5</v>
      </c>
      <c r="G1779">
        <f>_xll.BDP("!!03NN3X Mtge","MTG_FACTOR")</f>
        <v>1.0338235200000001</v>
      </c>
      <c r="H1779">
        <f>_xll.BDP("!!03NN3X Mtge","MTG_WAL")</f>
        <v>8.2219999999999995</v>
      </c>
      <c r="I1779">
        <f>_xll.BDP("!!03NN3X Mtge","MTG_ORIG_WAL")</f>
        <v>14.6</v>
      </c>
    </row>
    <row r="1780" spans="1:9" x14ac:dyDescent="0.25">
      <c r="A1780" t="str">
        <f>_xll.BDP("!!03NN44 Mtge","ID_CUSIP")</f>
        <v>3137HMFV7</v>
      </c>
      <c r="B1780" t="str">
        <f>_xll.BDP("!!03NN44 Mtge","SECURITY_NAME")</f>
        <v>FHR 5565 CJ</v>
      </c>
      <c r="C1780" t="str">
        <f>_xll.BDP("!!03NN44 Mtge","GENERIC_TICKER_VINTAGE")</f>
        <v>FNCL 6 2025</v>
      </c>
      <c r="D1780" t="str">
        <f>_xll.BDP("!!03NN44 Mtge","CRNCY")</f>
        <v>USD</v>
      </c>
      <c r="E1780">
        <v>91456800</v>
      </c>
      <c r="F1780">
        <f>_xll.BDP("!!03NN44 Mtge","CPN")</f>
        <v>5.25</v>
      </c>
      <c r="G1780">
        <f>_xll.BDP("!!03NN44 Mtge","MTG_FACTOR")</f>
        <v>0.89886507000000004</v>
      </c>
      <c r="H1780">
        <f>_xll.BDP("!!03NN44 Mtge","MTG_WAL")</f>
        <v>1.8308</v>
      </c>
      <c r="I1780">
        <f>_xll.BDP("!!03NN44 Mtge","MTG_ORIG_WAL")</f>
        <v>3.6</v>
      </c>
    </row>
    <row r="1781" spans="1:9" x14ac:dyDescent="0.25">
      <c r="A1781" t="str">
        <f>_xll.BDP("!!03NN46 Mtge","ID_CUSIP")</f>
        <v>3137HMFU9</v>
      </c>
      <c r="B1781" t="str">
        <f>_xll.BDP("!!03NN46 Mtge","SECURITY_NAME")</f>
        <v>FHR 5565 CI</v>
      </c>
      <c r="C1781" t="str">
        <f>_xll.BDP("!!03NN46 Mtge","GENERIC_TICKER_VINTAGE")</f>
        <v>FNCL 6 2025</v>
      </c>
      <c r="D1781" t="str">
        <f>_xll.BDP("!!03NN46 Mtge","CRNCY")</f>
        <v>USD</v>
      </c>
      <c r="E1781">
        <v>19053500</v>
      </c>
      <c r="F1781">
        <f>_xll.BDP("!!03NN46 Mtge","CPN")</f>
        <v>6</v>
      </c>
      <c r="G1781">
        <f>_xll.BDP("!!03NN46 Mtge","MTG_FACTOR")</f>
        <v>0.89886507000000004</v>
      </c>
      <c r="H1781">
        <f>_xll.BDP("!!03NN46 Mtge","MTG_WAL")</f>
        <v>1.8308</v>
      </c>
      <c r="I1781">
        <f>_xll.BDP("!!03NN46 Mtge","MTG_ORIG_WAL")</f>
        <v>3.6</v>
      </c>
    </row>
    <row r="1782" spans="1:9" x14ac:dyDescent="0.25">
      <c r="A1782" t="str">
        <f>_xll.BDP("!!03NN7B Mtge","ID_CUSIP")</f>
        <v>3137HMNJ5</v>
      </c>
      <c r="B1782" t="str">
        <f>_xll.BDP("!!03NN7B Mtge","SECURITY_NAME")</f>
        <v>FHR 5565 MS</v>
      </c>
      <c r="C1782" t="str">
        <f>_xll.BDP("!!03NN7B Mtge","GENERIC_TICKER_VINTAGE")</f>
        <v>FNCL 6 2025</v>
      </c>
      <c r="D1782" t="str">
        <f>_xll.BDP("!!03NN7B Mtge","CRNCY")</f>
        <v>USD</v>
      </c>
      <c r="E1782">
        <v>14456664</v>
      </c>
      <c r="F1782">
        <f>_xll.BDP("!!03NN7B Mtge","CPN")</f>
        <v>14.027900000000001</v>
      </c>
      <c r="G1782">
        <f>_xll.BDP("!!03NN7B Mtge","MTG_FACTOR")</f>
        <v>0.73671222999999997</v>
      </c>
      <c r="H1782">
        <f>_xll.BDP("!!03NN7B Mtge","MTG_WAL")</f>
        <v>2.9784999999999999</v>
      </c>
      <c r="I1782">
        <f>_xll.BDP("!!03NN7B Mtge","MTG_ORIG_WAL")</f>
        <v>6.1</v>
      </c>
    </row>
    <row r="1783" spans="1:9" x14ac:dyDescent="0.25">
      <c r="A1783" t="str">
        <f>_xll.BDP("!!03NNF2 Mtge","ID_CUSIP")</f>
        <v>3137HMDW7</v>
      </c>
      <c r="B1783" t="str">
        <f>_xll.BDP("!!03NNF2 Mtge","SECURITY_NAME")</f>
        <v>FHR 5564 PM</v>
      </c>
      <c r="C1783" t="str">
        <f>_xll.BDP("!!03NNF2 Mtge","GENERIC_TICKER_VINTAGE")</f>
        <v>FNCL 6 2025</v>
      </c>
      <c r="D1783" t="str">
        <f>_xll.BDP("!!03NNF2 Mtge","CRNCY")</f>
        <v>USD</v>
      </c>
      <c r="E1783">
        <v>188777000</v>
      </c>
      <c r="F1783">
        <f>_xll.BDP("!!03NNF2 Mtge","CPN")</f>
        <v>5</v>
      </c>
      <c r="G1783">
        <f>_xll.BDP("!!03NNF2 Mtge","MTG_FACTOR")</f>
        <v>0.95068565999999999</v>
      </c>
      <c r="H1783">
        <f>_xll.BDP("!!03NNF2 Mtge","MTG_WAL")</f>
        <v>2.0952999999999999</v>
      </c>
      <c r="I1783">
        <f>_xll.BDP("!!03NNF2 Mtge","MTG_ORIG_WAL")</f>
        <v>3.6</v>
      </c>
    </row>
    <row r="1784" spans="1:9" x14ac:dyDescent="0.25">
      <c r="A1784" t="str">
        <f>_xll.BDP("!!03NNF3 Mtge","ID_CUSIP")</f>
        <v>3137HMDX5</v>
      </c>
      <c r="B1784" t="str">
        <f>_xll.BDP("!!03NNF3 Mtge","SECURITY_NAME")</f>
        <v>FHR 5564 PN</v>
      </c>
      <c r="C1784" t="str">
        <f>_xll.BDP("!!03NNF3 Mtge","GENERIC_TICKER_VINTAGE")</f>
        <v>FNCL 6 2025</v>
      </c>
      <c r="D1784" t="str">
        <f>_xll.BDP("!!03NNF3 Mtge","CRNCY")</f>
        <v>USD</v>
      </c>
      <c r="E1784">
        <v>58825000</v>
      </c>
      <c r="F1784">
        <f>_xll.BDP("!!03NNF3 Mtge","CPN")</f>
        <v>5</v>
      </c>
      <c r="G1784">
        <f>_xll.BDP("!!03NNF3 Mtge","MTG_FACTOR")</f>
        <v>1</v>
      </c>
      <c r="H1784">
        <f>_xll.BDP("!!03NNF3 Mtge","MTG_WAL")</f>
        <v>5.3540999999999999</v>
      </c>
      <c r="I1784">
        <f>_xll.BDP("!!03NNF3 Mtge","MTG_ORIG_WAL")</f>
        <v>9.5</v>
      </c>
    </row>
    <row r="1785" spans="1:9" x14ac:dyDescent="0.25">
      <c r="A1785" t="str">
        <f>_xll.BDP("!!03NNF6 Mtge","ID_CUSIP")</f>
        <v>3137HMEA4</v>
      </c>
      <c r="B1785" t="str">
        <f>_xll.BDP("!!03NNF6 Mtge","SECURITY_NAME")</f>
        <v>FHR 5564 TP</v>
      </c>
      <c r="C1785" t="str">
        <f>_xll.BDP("!!03NNF6 Mtge","GENERIC_TICKER_VINTAGE")</f>
        <v>FNCL 6 2025</v>
      </c>
      <c r="D1785" t="str">
        <f>_xll.BDP("!!03NNF6 Mtge","CRNCY")</f>
        <v>USD</v>
      </c>
      <c r="E1785">
        <v>272855827</v>
      </c>
      <c r="F1785">
        <f>_xll.BDP("!!03NNF6 Mtge","CPN")</f>
        <v>0.05</v>
      </c>
      <c r="G1785">
        <f>_xll.BDP("!!03NNF6 Mtge","MTG_FACTOR")</f>
        <v>0.96588156999999997</v>
      </c>
      <c r="H1785">
        <f>_xll.BDP("!!03NNF6 Mtge","MTG_WAL")</f>
        <v>3.5581</v>
      </c>
      <c r="I1785">
        <f>_xll.BDP("!!03NNF6 Mtge","MTG_ORIG_WAL")</f>
        <v>6.1</v>
      </c>
    </row>
    <row r="1786" spans="1:9" x14ac:dyDescent="0.25">
      <c r="A1786" t="str">
        <f>_xll.BDP("!!03NNFM Mtge","ID_CUSIP")</f>
        <v>3137HMD72</v>
      </c>
      <c r="B1786" t="str">
        <f>_xll.BDP("!!03NNFM Mtge","SECURITY_NAME")</f>
        <v>FHR 5564 MA</v>
      </c>
      <c r="C1786" t="str">
        <f>_xll.BDP("!!03NNFM Mtge","GENERIC_TICKER_VINTAGE")</f>
        <v>FNCL 6 2025</v>
      </c>
      <c r="D1786" t="str">
        <f>_xll.BDP("!!03NNFM Mtge","CRNCY")</f>
        <v>USD</v>
      </c>
      <c r="E1786">
        <v>272855828</v>
      </c>
      <c r="F1786">
        <f>_xll.BDP("!!03NNFM Mtge","CPN")</f>
        <v>4</v>
      </c>
      <c r="G1786">
        <f>_xll.BDP("!!03NNFM Mtge","MTG_FACTOR")</f>
        <v>0.96588156999999997</v>
      </c>
      <c r="H1786">
        <f>_xll.BDP("!!03NNFM Mtge","MTG_WAL")</f>
        <v>3.5781000000000001</v>
      </c>
      <c r="I1786">
        <f>_xll.BDP("!!03NNFM Mtge","MTG_ORIG_WAL")</f>
        <v>6.1</v>
      </c>
    </row>
    <row r="1787" spans="1:9" x14ac:dyDescent="0.25">
      <c r="A1787" t="str">
        <f>_xll.BDP("!!03NNFN Mtge","ID_CUSIP")</f>
        <v>3137HMD80</v>
      </c>
      <c r="B1787" t="str">
        <f>_xll.BDP("!!03NNFN Mtge","SECURITY_NAME")</f>
        <v>FHR 5564 MB</v>
      </c>
      <c r="C1787" t="str">
        <f>_xll.BDP("!!03NNFN Mtge","GENERIC_TICKER_VINTAGE")</f>
        <v>FNCL 6 2025</v>
      </c>
      <c r="D1787" t="str">
        <f>_xll.BDP("!!03NNFN Mtge","CRNCY")</f>
        <v>USD</v>
      </c>
      <c r="E1787">
        <v>272855828</v>
      </c>
      <c r="F1787">
        <f>_xll.BDP("!!03NNFN Mtge","CPN")</f>
        <v>4.25</v>
      </c>
      <c r="G1787">
        <f>_xll.BDP("!!03NNFN Mtge","MTG_FACTOR")</f>
        <v>0.96588156999999997</v>
      </c>
      <c r="H1787">
        <f>_xll.BDP("!!03NNFN Mtge","MTG_WAL")</f>
        <v>3.5781000000000001</v>
      </c>
      <c r="I1787">
        <f>_xll.BDP("!!03NNFN Mtge","MTG_ORIG_WAL")</f>
        <v>6.1</v>
      </c>
    </row>
    <row r="1788" spans="1:9" x14ac:dyDescent="0.25">
      <c r="A1788" t="str">
        <f>_xll.BDP("!!03NNFQ Mtge","ID_CUSIP")</f>
        <v>3137HMDA5</v>
      </c>
      <c r="B1788" t="str">
        <f>_xll.BDP("!!03NNFQ Mtge","SECURITY_NAME")</f>
        <v>FHR 5564 MD</v>
      </c>
      <c r="C1788" t="str">
        <f>_xll.BDP("!!03NNFQ Mtge","GENERIC_TICKER_VINTAGE")</f>
        <v>FNCL 6 2025</v>
      </c>
      <c r="D1788" t="str">
        <f>_xll.BDP("!!03NNFQ Mtge","CRNCY")</f>
        <v>USD</v>
      </c>
      <c r="E1788">
        <v>272855828</v>
      </c>
      <c r="F1788">
        <f>_xll.BDP("!!03NNFQ Mtge","CPN")</f>
        <v>4.75</v>
      </c>
      <c r="G1788">
        <f>_xll.BDP("!!03NNFQ Mtge","MTG_FACTOR")</f>
        <v>0.96588156999999997</v>
      </c>
      <c r="H1788">
        <f>_xll.BDP("!!03NNFQ Mtge","MTG_WAL")</f>
        <v>3.5781000000000001</v>
      </c>
      <c r="I1788">
        <f>_xll.BDP("!!03NNFQ Mtge","MTG_ORIG_WAL")</f>
        <v>6.1</v>
      </c>
    </row>
    <row r="1789" spans="1:9" x14ac:dyDescent="0.25">
      <c r="A1789" t="str">
        <f>_xll.BDP("!!03NNFS Mtge","ID_CUSIP")</f>
        <v>3137HMDC1</v>
      </c>
      <c r="B1789" t="str">
        <f>_xll.BDP("!!03NNFS Mtge","SECURITY_NAME")</f>
        <v>FHR 5564 MG</v>
      </c>
      <c r="C1789" t="str">
        <f>_xll.BDP("!!03NNFS Mtge","GENERIC_TICKER_VINTAGE")</f>
        <v>FNCL 6 2025</v>
      </c>
      <c r="D1789" t="str">
        <f>_xll.BDP("!!03NNFS Mtge","CRNCY")</f>
        <v>USD</v>
      </c>
      <c r="E1789">
        <v>218284662</v>
      </c>
      <c r="F1789">
        <f>_xll.BDP("!!03NNFS Mtge","CPN")</f>
        <v>5.25</v>
      </c>
      <c r="G1789">
        <f>_xll.BDP("!!03NNFS Mtge","MTG_FACTOR")</f>
        <v>0.96588156999999997</v>
      </c>
      <c r="H1789">
        <f>_xll.BDP("!!03NNFS Mtge","MTG_WAL")</f>
        <v>3.5781000000000001</v>
      </c>
      <c r="I1789">
        <f>_xll.BDP("!!03NNFS Mtge","MTG_ORIG_WAL")</f>
        <v>6.1</v>
      </c>
    </row>
    <row r="1790" spans="1:9" x14ac:dyDescent="0.25">
      <c r="A1790" t="str">
        <f>_xll.BDP("!!03NNFT Mtge","ID_CUSIP")</f>
        <v>3137HMDD9</v>
      </c>
      <c r="B1790" t="str">
        <f>_xll.BDP("!!03NNFT Mtge","SECURITY_NAME")</f>
        <v>FHR 5564 MH</v>
      </c>
      <c r="C1790" t="str">
        <f>_xll.BDP("!!03NNFT Mtge","GENERIC_TICKER_VINTAGE")</f>
        <v>FNCL 6 2025</v>
      </c>
      <c r="D1790" t="str">
        <f>_xll.BDP("!!03NNFT Mtge","CRNCY")</f>
        <v>USD</v>
      </c>
      <c r="E1790">
        <v>181903885</v>
      </c>
      <c r="F1790">
        <f>_xll.BDP("!!03NNFT Mtge","CPN")</f>
        <v>5.5</v>
      </c>
      <c r="G1790">
        <f>_xll.BDP("!!03NNFT Mtge","MTG_FACTOR")</f>
        <v>0.96588156999999997</v>
      </c>
      <c r="H1790">
        <f>_xll.BDP("!!03NNFT Mtge","MTG_WAL")</f>
        <v>3.5781000000000001</v>
      </c>
      <c r="I1790">
        <f>_xll.BDP("!!03NNFT Mtge","MTG_ORIG_WAL")</f>
        <v>6.1</v>
      </c>
    </row>
    <row r="1791" spans="1:9" x14ac:dyDescent="0.25">
      <c r="A1791" t="str">
        <f>_xll.BDP("!!03NNFV Mtge","ID_CUSIP")</f>
        <v>3137HMDF4</v>
      </c>
      <c r="B1791" t="str">
        <f>_xll.BDP("!!03NNFV Mtge","SECURITY_NAME")</f>
        <v>FHR 5564 MJ</v>
      </c>
      <c r="C1791" t="str">
        <f>_xll.BDP("!!03NNFV Mtge","GENERIC_TICKER_VINTAGE")</f>
        <v>FNCL 6 2025</v>
      </c>
      <c r="D1791" t="str">
        <f>_xll.BDP("!!03NNFV Mtge","CRNCY")</f>
        <v>USD</v>
      </c>
      <c r="E1791">
        <v>155917616</v>
      </c>
      <c r="F1791">
        <f>_xll.BDP("!!03NNFV Mtge","CPN")</f>
        <v>5.75</v>
      </c>
      <c r="G1791">
        <f>_xll.BDP("!!03NNFV Mtge","MTG_FACTOR")</f>
        <v>0.96588156999999997</v>
      </c>
      <c r="H1791">
        <f>_xll.BDP("!!03NNFV Mtge","MTG_WAL")</f>
        <v>3.5781000000000001</v>
      </c>
      <c r="I1791">
        <f>_xll.BDP("!!03NNFV Mtge","MTG_ORIG_WAL")</f>
        <v>6.1</v>
      </c>
    </row>
    <row r="1792" spans="1:9" x14ac:dyDescent="0.25">
      <c r="A1792" t="str">
        <f>_xll.BDP("!!03NNFX Mtge","ID_CUSIP")</f>
        <v>3137HMDE7</v>
      </c>
      <c r="B1792" t="str">
        <f>_xll.BDP("!!03NNFX Mtge","SECURITY_NAME")</f>
        <v>FHR 5564 MI</v>
      </c>
      <c r="C1792" t="str">
        <f>_xll.BDP("!!03NNFX Mtge","GENERIC_TICKER_VINTAGE")</f>
        <v>FNCL 6 2025</v>
      </c>
      <c r="D1792" t="str">
        <f>_xll.BDP("!!03NNFX Mtge","CRNCY")</f>
        <v>USD</v>
      </c>
      <c r="E1792">
        <v>45475971</v>
      </c>
      <c r="F1792">
        <f>_xll.BDP("!!03NNFX Mtge","CPN")</f>
        <v>6</v>
      </c>
      <c r="G1792">
        <f>_xll.BDP("!!03NNFX Mtge","MTG_FACTOR")</f>
        <v>0.96588156999999997</v>
      </c>
      <c r="H1792">
        <f>_xll.BDP("!!03NNFX Mtge","MTG_WAL")</f>
        <v>3.5781000000000001</v>
      </c>
      <c r="I1792">
        <f>_xll.BDP("!!03NNFX Mtge","MTG_ORIG_WAL")</f>
        <v>6.1</v>
      </c>
    </row>
    <row r="1793" spans="1:9" x14ac:dyDescent="0.25">
      <c r="A1793" t="str">
        <f>_xll.BDP("!!03NNGG Mtge","ID_CUSIP")</f>
        <v>3137HME89</v>
      </c>
      <c r="B1793" t="str">
        <f>_xll.BDP("!!03NNGG Mtge","SECURITY_NAME")</f>
        <v>FHR 5564 TD</v>
      </c>
      <c r="C1793" t="str">
        <f>_xll.BDP("!!03NNGG Mtge","GENERIC_TICKER_VINTAGE")</f>
        <v>FNCL 6 2025</v>
      </c>
      <c r="D1793" t="str">
        <f>_xll.BDP("!!03NNGG Mtge","CRNCY")</f>
        <v>USD</v>
      </c>
      <c r="E1793">
        <v>35000000</v>
      </c>
      <c r="F1793">
        <f>_xll.BDP("!!03NNGG Mtge","CPN")</f>
        <v>0.02</v>
      </c>
      <c r="G1793">
        <f>_xll.BDP("!!03NNGG Mtge","MTG_FACTOR")</f>
        <v>0.94635550000000002</v>
      </c>
      <c r="H1793">
        <f>_xll.BDP("!!03NNGG Mtge","MTG_WAL")</f>
        <v>3.3397999999999999</v>
      </c>
      <c r="I1793">
        <f>_xll.BDP("!!03NNGG Mtge","MTG_ORIG_WAL")</f>
        <v>6.5</v>
      </c>
    </row>
    <row r="1794" spans="1:9" x14ac:dyDescent="0.25">
      <c r="A1794" t="str">
        <f>_xll.BDP("!!03NNGJ Mtge","ID_CUSIP")</f>
        <v>3137HMD56</v>
      </c>
      <c r="B1794" t="str">
        <f>_xll.BDP("!!03NNGJ Mtge","SECURITY_NAME")</f>
        <v>FHR 5564 FE</v>
      </c>
      <c r="C1794" t="str">
        <f>_xll.BDP("!!03NNGJ Mtge","GENERIC_TICKER_VINTAGE")</f>
        <v>FNCL 6 2025</v>
      </c>
      <c r="D1794" t="str">
        <f>_xll.BDP("!!03NNGJ Mtge","CRNCY")</f>
        <v>USD</v>
      </c>
      <c r="E1794">
        <v>70641000</v>
      </c>
      <c r="F1794">
        <f>_xll.BDP("!!03NNGJ Mtge","CPN")</f>
        <v>4.4172099999999999</v>
      </c>
      <c r="G1794">
        <f>_xll.BDP("!!03NNGJ Mtge","MTG_FACTOR")</f>
        <v>0.94635550000000002</v>
      </c>
      <c r="H1794">
        <f>_xll.BDP("!!03NNGJ Mtge","MTG_WAL")</f>
        <v>3.3397999999999999</v>
      </c>
      <c r="I1794">
        <f>_xll.BDP("!!03NNGJ Mtge","MTG_ORIG_WAL")</f>
        <v>6.5</v>
      </c>
    </row>
    <row r="1795" spans="1:9" x14ac:dyDescent="0.25">
      <c r="A1795" t="str">
        <f>_xll.BDP("!!03NNGL Mtge","ID_CUSIP")</f>
        <v>3137HMCW8</v>
      </c>
      <c r="B1795" t="str">
        <f>_xll.BDP("!!03NNGL Mtge","SECURITY_NAME")</f>
        <v>FHR 5564 DS</v>
      </c>
      <c r="C1795" t="str">
        <f>_xll.BDP("!!03NNGL Mtge","GENERIC_TICKER_VINTAGE")</f>
        <v>FNCL 6 2025</v>
      </c>
      <c r="D1795" t="str">
        <f>_xll.BDP("!!03NNGL Mtge","CRNCY")</f>
        <v>USD</v>
      </c>
      <c r="E1795">
        <v>70641000</v>
      </c>
      <c r="F1795">
        <f>_xll.BDP("!!03NNGL Mtge","CPN")</f>
        <v>2.13279</v>
      </c>
      <c r="G1795">
        <f>_xll.BDP("!!03NNGL Mtge","MTG_FACTOR")</f>
        <v>0.94635550000000002</v>
      </c>
      <c r="H1795">
        <f>_xll.BDP("!!03NNGL Mtge","MTG_WAL")</f>
        <v>3.3397999999999999</v>
      </c>
      <c r="I1795">
        <f>_xll.BDP("!!03NNGL Mtge","MTG_ORIG_WAL")</f>
        <v>6.5</v>
      </c>
    </row>
    <row r="1796" spans="1:9" x14ac:dyDescent="0.25">
      <c r="A1796" t="str">
        <f>_xll.BDP("!!03NR41 Mtge","ID_CUSIP")</f>
        <v>3137HMHG8</v>
      </c>
      <c r="B1796" t="str">
        <f>_xll.BDP("!!03NR41 Mtge","SECURITY_NAME")</f>
        <v>FHR 5566 BO</v>
      </c>
      <c r="C1796" t="str">
        <f>_xll.BDP("!!03NR41 Mtge","GENERIC_TICKER_VINTAGE")</f>
        <v>FNCL 6 2025</v>
      </c>
      <c r="D1796" t="str">
        <f>_xll.BDP("!!03NR41 Mtge","CRNCY")</f>
        <v>USD</v>
      </c>
      <c r="E1796">
        <v>10700000</v>
      </c>
      <c r="F1796">
        <f>_xll.BDP("!!03NR41 Mtge","CPN")</f>
        <v>0</v>
      </c>
      <c r="G1796">
        <f>_xll.BDP("!!03NR41 Mtge","MTG_FACTOR")</f>
        <v>0.80760430000000005</v>
      </c>
      <c r="H1796">
        <f>_xll.BDP("!!03NR41 Mtge","MTG_WAL")</f>
        <v>3.1322999999999999</v>
      </c>
      <c r="I1796">
        <f>_xll.BDP("!!03NR41 Mtge","MTG_ORIG_WAL")</f>
        <v>6.5</v>
      </c>
    </row>
    <row r="1797" spans="1:9" x14ac:dyDescent="0.25">
      <c r="A1797" t="str">
        <f>_xll.BDP("!!03NR43 Mtge","ID_CUSIP")</f>
        <v>3137HMJS0</v>
      </c>
      <c r="B1797" t="str">
        <f>_xll.BDP("!!03NR43 Mtge","SECURITY_NAME")</f>
        <v>FHR 5566 SB</v>
      </c>
      <c r="C1797" t="str">
        <f>_xll.BDP("!!03NR43 Mtge","GENERIC_TICKER_VINTAGE")</f>
        <v>FNCL 6 2025</v>
      </c>
      <c r="D1797" t="str">
        <f>_xll.BDP("!!03NR43 Mtge","CRNCY")</f>
        <v>USD</v>
      </c>
      <c r="E1797">
        <v>32100000</v>
      </c>
      <c r="F1797">
        <f>_xll.BDP("!!03NR43 Mtge","CPN")</f>
        <v>3.38279</v>
      </c>
      <c r="G1797">
        <f>_xll.BDP("!!03NR43 Mtge","MTG_FACTOR")</f>
        <v>0.80760430000000005</v>
      </c>
      <c r="H1797">
        <f>_xll.BDP("!!03NR43 Mtge","MTG_WAL")</f>
        <v>3.1322999999999999</v>
      </c>
      <c r="I1797">
        <f>_xll.BDP("!!03NR43 Mtge","MTG_ORIG_WAL")</f>
        <v>6.5</v>
      </c>
    </row>
    <row r="1798" spans="1:9" x14ac:dyDescent="0.25">
      <c r="A1798" t="str">
        <f>_xll.BDP("!!03NR48 Mtge","ID_CUSIP")</f>
        <v>3137HMJX9</v>
      </c>
      <c r="B1798" t="str">
        <f>_xll.BDP("!!03NR48 Mtge","SECURITY_NAME")</f>
        <v>FHR 5566 TC</v>
      </c>
      <c r="C1798" t="str">
        <f>_xll.BDP("!!03NR48 Mtge","GENERIC_TICKER_VINTAGE")</f>
        <v>FNCL 6 2025</v>
      </c>
      <c r="D1798" t="str">
        <f>_xll.BDP("!!03NR48 Mtge","CRNCY")</f>
        <v>USD</v>
      </c>
      <c r="E1798">
        <v>160000000</v>
      </c>
      <c r="F1798">
        <f>_xll.BDP("!!03NR48 Mtge","CPN")</f>
        <v>0.03</v>
      </c>
      <c r="G1798">
        <f>_xll.BDP("!!03NR48 Mtge","MTG_FACTOR")</f>
        <v>0.80760430000000005</v>
      </c>
      <c r="H1798">
        <f>_xll.BDP("!!03NR48 Mtge","MTG_WAL")</f>
        <v>3.1322999999999999</v>
      </c>
      <c r="I1798">
        <f>_xll.BDP("!!03NR48 Mtge","MTG_ORIG_WAL")</f>
        <v>6.5</v>
      </c>
    </row>
    <row r="1799" spans="1:9" x14ac:dyDescent="0.25">
      <c r="A1799" t="str">
        <f>_xll.BDP("!!03NR5G Mtge","ID_CUSIP")</f>
        <v>3137HMHN3</v>
      </c>
      <c r="B1799" t="str">
        <f>_xll.BDP("!!03NR5G Mtge","SECURITY_NAME")</f>
        <v>FHR 5566 DS</v>
      </c>
      <c r="C1799" t="str">
        <f>_xll.BDP("!!03NR5G Mtge","GENERIC_TICKER_VINTAGE")</f>
        <v>FNCL 3 2021</v>
      </c>
      <c r="D1799" t="str">
        <f>_xll.BDP("!!03NR5G Mtge","CRNCY")</f>
        <v>USD</v>
      </c>
      <c r="E1799">
        <v>15655932</v>
      </c>
      <c r="F1799">
        <f>_xll.BDP("!!03NR5G Mtge","CPN")</f>
        <v>2.88279</v>
      </c>
      <c r="G1799">
        <f>_xll.BDP("!!03NR5G Mtge","MTG_FACTOR")</f>
        <v>0.93836925000000004</v>
      </c>
      <c r="H1799">
        <f>_xll.BDP("!!03NR5G Mtge","MTG_WAL")</f>
        <v>8.2375000000000007</v>
      </c>
      <c r="I1799">
        <f>_xll.BDP("!!03NR5G Mtge","MTG_ORIG_WAL")</f>
        <v>9</v>
      </c>
    </row>
    <row r="1800" spans="1:9" x14ac:dyDescent="0.25">
      <c r="A1800" t="str">
        <f>_xll.BDP("!!03NRLY Mtge","ID_CUSIP")</f>
        <v>3137HMF88</v>
      </c>
      <c r="B1800" t="str">
        <f>_xll.BDP("!!03NRLY Mtge","SECURITY_NAME")</f>
        <v>FHR 5567 PO</v>
      </c>
      <c r="C1800" t="str">
        <f>_xll.BDP("!!03NRLY Mtge","GENERIC_TICKER_VINTAGE")</f>
        <v>FNCL 6 2025</v>
      </c>
      <c r="D1800" t="str">
        <f>_xll.BDP("!!03NRLY Mtge","CRNCY")</f>
        <v>USD</v>
      </c>
      <c r="E1800">
        <v>40000000</v>
      </c>
      <c r="F1800">
        <f>_xll.BDP("!!03NRLY Mtge","CPN")</f>
        <v>0</v>
      </c>
      <c r="G1800">
        <f>_xll.BDP("!!03NRLY Mtge","MTG_FACTOR")</f>
        <v>0.80760430000000005</v>
      </c>
      <c r="H1800">
        <f>_xll.BDP("!!03NRLY Mtge","MTG_WAL")</f>
        <v>3.1322999999999999</v>
      </c>
      <c r="I1800">
        <f>_xll.BDP("!!03NRLY Mtge","MTG_ORIG_WAL")</f>
        <v>6.1</v>
      </c>
    </row>
    <row r="1801" spans="1:9" x14ac:dyDescent="0.25">
      <c r="A1801" t="str">
        <f>_xll.BDP("!!03NRLZ Mtge","ID_CUSIP")</f>
        <v>3137HMFB1</v>
      </c>
      <c r="B1801" t="str">
        <f>_xll.BDP("!!03NRLZ Mtge","SECURITY_NAME")</f>
        <v>FHR 5567 SB</v>
      </c>
      <c r="C1801" t="str">
        <f>_xll.BDP("!!03NRLZ Mtge","GENERIC_TICKER_VINTAGE")</f>
        <v>FNCL 6 2025</v>
      </c>
      <c r="D1801" t="str">
        <f>_xll.BDP("!!03NRLZ Mtge","CRNCY")</f>
        <v>USD</v>
      </c>
      <c r="E1801">
        <v>135000000</v>
      </c>
      <c r="F1801">
        <f>_xll.BDP("!!03NRLZ Mtge","CPN")</f>
        <v>0.58279000000000003</v>
      </c>
      <c r="G1801">
        <f>_xll.BDP("!!03NRLZ Mtge","MTG_FACTOR")</f>
        <v>0.80760430999999999</v>
      </c>
      <c r="H1801">
        <f>_xll.BDP("!!03NRLZ Mtge","MTG_WAL")</f>
        <v>3.1322999999999999</v>
      </c>
      <c r="I1801">
        <f>_xll.BDP("!!03NRLZ Mtge","MTG_ORIG_WAL")</f>
        <v>6.1</v>
      </c>
    </row>
    <row r="1802" spans="1:9" x14ac:dyDescent="0.25">
      <c r="A1802" t="str">
        <f>_xll.BDP("!!03NS7R Mtge","ID_CUSIP")</f>
        <v>3137HMNW6</v>
      </c>
      <c r="B1802" t="str">
        <f>_xll.BDP("!!03NS7R Mtge","SECURITY_NAME")</f>
        <v>FHR 5563 SV</v>
      </c>
      <c r="C1802" t="str">
        <f>_xll.BDP("!!03NS7R Mtge","GENERIC_TICKER_VINTAGE")</f>
        <v>FNCL 6 2025</v>
      </c>
      <c r="D1802" t="str">
        <f>_xll.BDP("!!03NS7R Mtge","CRNCY")</f>
        <v>USD</v>
      </c>
      <c r="E1802">
        <v>150000000</v>
      </c>
      <c r="F1802">
        <f>_xll.BDP("!!03NS7R Mtge","CPN")</f>
        <v>0.63278999999999996</v>
      </c>
      <c r="G1802">
        <f>_xll.BDP("!!03NS7R Mtge","MTG_FACTOR")</f>
        <v>0.82181945999999995</v>
      </c>
      <c r="H1802">
        <f>_xll.BDP("!!03NS7R Mtge","MTG_WAL")</f>
        <v>3.2414000000000001</v>
      </c>
      <c r="I1802">
        <f>_xll.BDP("!!03NS7R Mtge","MTG_ORIG_WAL")</f>
        <v>6.4</v>
      </c>
    </row>
    <row r="1803" spans="1:9" x14ac:dyDescent="0.25">
      <c r="A1803" t="str">
        <f>_xll.BDP("!!03NT90 Mtge","ID_CUSIP")</f>
        <v>3137HMPZ7</v>
      </c>
      <c r="B1803" t="str">
        <f>_xll.BDP("!!03NT90 Mtge","SECURITY_NAME")</f>
        <v>FHR 5572 GI</v>
      </c>
      <c r="C1803" t="str">
        <f>_xll.BDP("!!03NT90 Mtge","GENERIC_TICKER_VINTAGE")</f>
        <v>FNCL 6 2025</v>
      </c>
      <c r="D1803" t="str">
        <f>_xll.BDP("!!03NT90 Mtge","CRNCY")</f>
        <v>USD</v>
      </c>
      <c r="E1803">
        <v>26794666</v>
      </c>
      <c r="F1803">
        <f>_xll.BDP("!!03NT90 Mtge","CPN")</f>
        <v>6</v>
      </c>
      <c r="G1803">
        <f>_xll.BDP("!!03NT90 Mtge","MTG_FACTOR")</f>
        <v>0.76541141000000001</v>
      </c>
      <c r="H1803">
        <f>_xll.BDP("!!03NT90 Mtge","MTG_WAL")</f>
        <v>1.8494999999999999</v>
      </c>
      <c r="I1803">
        <f>_xll.BDP("!!03NT90 Mtge","MTG_ORIG_WAL")</f>
        <v>3.6</v>
      </c>
    </row>
    <row r="1804" spans="1:9" x14ac:dyDescent="0.25">
      <c r="A1804" t="str">
        <f>_xll.BDP("!!03NTDJ Mtge","ID_CUSIP")</f>
        <v>3137HMPV6</v>
      </c>
      <c r="B1804" t="str">
        <f>_xll.BDP("!!03NTDJ Mtge","SECURITY_NAME")</f>
        <v>FHR 5572 GA</v>
      </c>
      <c r="C1804" t="str">
        <f>_xll.BDP("!!03NTDJ Mtge","GENERIC_TICKER_VINTAGE")</f>
        <v>FNCL 6 2025</v>
      </c>
      <c r="D1804" t="str">
        <f>_xll.BDP("!!03NTDJ Mtge","CRNCY")</f>
        <v>USD</v>
      </c>
      <c r="E1804">
        <v>80384000</v>
      </c>
      <c r="F1804">
        <f>_xll.BDP("!!03NTDJ Mtge","CPN")</f>
        <v>4.25</v>
      </c>
      <c r="G1804">
        <f>_xll.BDP("!!03NTDJ Mtge","MTG_FACTOR")</f>
        <v>0.76541141000000001</v>
      </c>
      <c r="H1804">
        <f>_xll.BDP("!!03NTDJ Mtge","MTG_WAL")</f>
        <v>1.8494999999999999</v>
      </c>
      <c r="I1804">
        <f>_xll.BDP("!!03NTDJ Mtge","MTG_ORIG_WAL")</f>
        <v>3.6</v>
      </c>
    </row>
    <row r="1805" spans="1:9" x14ac:dyDescent="0.25">
      <c r="A1805" t="str">
        <f>_xll.BDP("!!03NVRW Mtge","ID_CUSIP")</f>
        <v>3137HMPL8</v>
      </c>
      <c r="B1805" t="str">
        <f>_xll.BDP("!!03NVRW Mtge","SECURITY_NAME")</f>
        <v>FHR 5577 FA</v>
      </c>
      <c r="C1805" t="str">
        <f>_xll.BDP("!!03NVRW Mtge","GENERIC_TICKER_VINTAGE")</f>
        <v>FNCL 6 2025</v>
      </c>
      <c r="D1805" t="str">
        <f>_xll.BDP("!!03NVRW Mtge","CRNCY")</f>
        <v>USD</v>
      </c>
      <c r="E1805">
        <v>119591702</v>
      </c>
      <c r="F1805">
        <f>_xll.BDP("!!03NVRW Mtge","CPN")</f>
        <v>5.0172100000000004</v>
      </c>
      <c r="G1805">
        <f>_xll.BDP("!!03NVRW Mtge","MTG_FACTOR")</f>
        <v>0.90553170000000005</v>
      </c>
      <c r="H1805">
        <f>_xll.BDP("!!03NVRW Mtge","MTG_WAL")</f>
        <v>3.1680999999999999</v>
      </c>
      <c r="I1805">
        <f>_xll.BDP("!!03NVRW Mtge","MTG_ORIG_WAL")</f>
        <v>5.0999999999999996</v>
      </c>
    </row>
    <row r="1806" spans="1:9" x14ac:dyDescent="0.25">
      <c r="A1806" t="str">
        <f>_xll.BDP("!!03NVRX Mtge","ID_CUSIP")</f>
        <v>3137HMPP9</v>
      </c>
      <c r="B1806" t="str">
        <f>_xll.BDP("!!03NVRX Mtge","SECURITY_NAME")</f>
        <v>FHR 5577 SA</v>
      </c>
      <c r="C1806" t="str">
        <f>_xll.BDP("!!03NVRX Mtge","GENERIC_TICKER_VINTAGE")</f>
        <v>FNCL 6 2025</v>
      </c>
      <c r="D1806" t="str">
        <f>_xll.BDP("!!03NVRX Mtge","CRNCY")</f>
        <v>USD</v>
      </c>
      <c r="E1806">
        <v>119591702</v>
      </c>
      <c r="F1806">
        <f>_xll.BDP("!!03NVRX Mtge","CPN")</f>
        <v>1.4827900000000001</v>
      </c>
      <c r="G1806">
        <f>_xll.BDP("!!03NVRX Mtge","MTG_FACTOR")</f>
        <v>0.90553170000000005</v>
      </c>
      <c r="H1806">
        <f>_xll.BDP("!!03NVRX Mtge","MTG_WAL")</f>
        <v>3.1680999999999999</v>
      </c>
      <c r="I1806">
        <f>_xll.BDP("!!03NVRX Mtge","MTG_ORIG_WAL")</f>
        <v>5.0999999999999996</v>
      </c>
    </row>
    <row r="1807" spans="1:9" x14ac:dyDescent="0.25">
      <c r="A1807" t="str">
        <f>_xll.BDP("FNBN9152 Mtge","ID_CUSIP")</f>
        <v>3140JSE21</v>
      </c>
      <c r="B1807" t="str">
        <f>_xll.BDP("FNBN9152 Mtge","SECURITY_NAME")</f>
        <v>FN BN9152</v>
      </c>
      <c r="C1807" t="str">
        <f>_xll.BDP("FNBN9152 Mtge","GENERIC_TICKER_VINTAGE")</f>
        <v>FNCL 3 2021</v>
      </c>
      <c r="D1807" t="str">
        <f>_xll.BDP("FNBN9152 Mtge","CRNCY")</f>
        <v>USD</v>
      </c>
      <c r="E1807">
        <v>8537431</v>
      </c>
      <c r="F1807">
        <f>_xll.BDP("FNBN9152 Mtge","CPN")</f>
        <v>3</v>
      </c>
      <c r="G1807">
        <f>_xll.BDP("FNBN9152 Mtge","MTG_FACTOR")</f>
        <v>0.87789107</v>
      </c>
      <c r="H1807">
        <f>_xll.BDP("FNBN9152 Mtge","MTG_WAL")</f>
        <v>8.1639999999999997</v>
      </c>
      <c r="I1807" t="str">
        <f>_xll.BDP("FNBN9152 Mtge","MTG_ORIG_WAL")</f>
        <v>#N/A N/A</v>
      </c>
    </row>
    <row r="1808" spans="1:9" x14ac:dyDescent="0.25">
      <c r="A1808" t="str">
        <f>_xll.BDP("FNBQ6646 Mtge","ID_CUSIP")</f>
        <v>3140KSL47</v>
      </c>
      <c r="B1808" t="str">
        <f>_xll.BDP("FNBQ6646 Mtge","SECURITY_NAME")</f>
        <v>FN BQ6646</v>
      </c>
      <c r="C1808" t="str">
        <f>_xll.BDP("FNBQ6646 Mtge","GENERIC_TICKER_VINTAGE")</f>
        <v>FNCL 3 2021</v>
      </c>
      <c r="D1808" t="str">
        <f>_xll.BDP("FNBQ6646 Mtge","CRNCY")</f>
        <v>USD</v>
      </c>
      <c r="E1808">
        <v>27452081</v>
      </c>
      <c r="F1808">
        <f>_xll.BDP("FNBQ6646 Mtge","CPN")</f>
        <v>3</v>
      </c>
      <c r="G1808">
        <f>_xll.BDP("FNBQ6646 Mtge","MTG_FACTOR")</f>
        <v>0.73690862000000001</v>
      </c>
      <c r="H1808">
        <f>_xll.BDP("FNBQ6646 Mtge","MTG_WAL")</f>
        <v>8.2492000000000001</v>
      </c>
      <c r="I1808" t="str">
        <f>_xll.BDP("FNBQ6646 Mtge","MTG_ORIG_WAL")</f>
        <v>#N/A N/A</v>
      </c>
    </row>
    <row r="1809" spans="1:9" x14ac:dyDescent="0.25">
      <c r="A1809" t="str">
        <f>_xll.BDP("FNBQ6658 Mtge","ID_CUSIP")</f>
        <v>3140KSMG9</v>
      </c>
      <c r="B1809" t="str">
        <f>_xll.BDP("FNBQ6658 Mtge","SECURITY_NAME")</f>
        <v>FN BQ6658</v>
      </c>
      <c r="C1809" t="str">
        <f>_xll.BDP("FNBQ6658 Mtge","GENERIC_TICKER_VINTAGE")</f>
        <v>FNCL 3 2021</v>
      </c>
      <c r="D1809" t="str">
        <f>_xll.BDP("FNBQ6658 Mtge","CRNCY")</f>
        <v>USD</v>
      </c>
      <c r="E1809">
        <v>10960263</v>
      </c>
      <c r="F1809">
        <f>_xll.BDP("FNBQ6658 Mtge","CPN")</f>
        <v>3</v>
      </c>
      <c r="G1809">
        <f>_xll.BDP("FNBQ6658 Mtge","MTG_FACTOR")</f>
        <v>0.61536539000000001</v>
      </c>
      <c r="H1809">
        <f>_xll.BDP("FNBQ6658 Mtge","MTG_WAL")</f>
        <v>8.1165000000000003</v>
      </c>
      <c r="I1809" t="str">
        <f>_xll.BDP("FNBQ6658 Mtge","MTG_ORIG_WAL")</f>
        <v>#N/A N/A</v>
      </c>
    </row>
    <row r="1810" spans="1:9" x14ac:dyDescent="0.25">
      <c r="A1810" t="str">
        <f>_xll.BDP("FNBR2037 Mtge","ID_CUSIP")</f>
        <v>3140L0HP5</v>
      </c>
      <c r="B1810" t="str">
        <f>_xll.BDP("FNBR2037 Mtge","SECURITY_NAME")</f>
        <v>FN BR2037</v>
      </c>
      <c r="C1810" t="str">
        <f>_xll.BDP("FNBR2037 Mtge","GENERIC_TICKER_VINTAGE")</f>
        <v>FNCL 3 2021</v>
      </c>
      <c r="D1810" t="str">
        <f>_xll.BDP("FNBR2037 Mtge","CRNCY")</f>
        <v>USD</v>
      </c>
      <c r="E1810">
        <v>61509157</v>
      </c>
      <c r="F1810">
        <f>_xll.BDP("FNBR2037 Mtge","CPN")</f>
        <v>3</v>
      </c>
      <c r="G1810">
        <f>_xll.BDP("FNBR2037 Mtge","MTG_FACTOR")</f>
        <v>0.64032675999999999</v>
      </c>
      <c r="H1810">
        <f>_xll.BDP("FNBR2037 Mtge","MTG_WAL")</f>
        <v>8.1492000000000004</v>
      </c>
      <c r="I1810" t="str">
        <f>_xll.BDP("FNBR2037 Mtge","MTG_ORIG_WAL")</f>
        <v>#N/A N/A</v>
      </c>
    </row>
    <row r="1811" spans="1:9" x14ac:dyDescent="0.25">
      <c r="A1811" t="str">
        <f>_xll.BDP("FNBR2249 Mtge","ID_CUSIP")</f>
        <v>3140L0QB6</v>
      </c>
      <c r="B1811" t="str">
        <f>_xll.BDP("FNBR2249 Mtge","SECURITY_NAME")</f>
        <v>FN BR2249</v>
      </c>
      <c r="C1811" t="str">
        <f>_xll.BDP("FNBR2249 Mtge","GENERIC_TICKER_VINTAGE")</f>
        <v>FNCL 3 2021</v>
      </c>
      <c r="D1811" t="str">
        <f>_xll.BDP("FNBR2249 Mtge","CRNCY")</f>
        <v>USD</v>
      </c>
      <c r="E1811">
        <v>18812438</v>
      </c>
      <c r="F1811">
        <f>_xll.BDP("FNBR2249 Mtge","CPN")</f>
        <v>3</v>
      </c>
      <c r="G1811">
        <f>_xll.BDP("FNBR2249 Mtge","MTG_FACTOR")</f>
        <v>0.66921390999999997</v>
      </c>
      <c r="H1811">
        <f>_xll.BDP("FNBR2249 Mtge","MTG_WAL")</f>
        <v>8.2040000000000006</v>
      </c>
      <c r="I1811" t="str">
        <f>_xll.BDP("FNBR2249 Mtge","MTG_ORIG_WAL")</f>
        <v>#N/A N/A</v>
      </c>
    </row>
    <row r="1812" spans="1:9" x14ac:dyDescent="0.25">
      <c r="A1812" t="str">
        <f>_xll.BDP("FNBR2303 Mtge","ID_CUSIP")</f>
        <v>3140L0RZ2</v>
      </c>
      <c r="B1812" t="str">
        <f>_xll.BDP("FNBR2303 Mtge","SECURITY_NAME")</f>
        <v>FN BR2303</v>
      </c>
      <c r="C1812" t="str">
        <f>_xll.BDP("FNBR2303 Mtge","GENERIC_TICKER_VINTAGE")</f>
        <v>FNCL 3 2021</v>
      </c>
      <c r="D1812" t="str">
        <f>_xll.BDP("FNBR2303 Mtge","CRNCY")</f>
        <v>USD</v>
      </c>
      <c r="E1812">
        <v>6436007</v>
      </c>
      <c r="F1812">
        <f>_xll.BDP("FNBR2303 Mtge","CPN")</f>
        <v>3</v>
      </c>
      <c r="G1812">
        <f>_xll.BDP("FNBR2303 Mtge","MTG_FACTOR")</f>
        <v>0.67502401999999995</v>
      </c>
      <c r="H1812">
        <f>_xll.BDP("FNBR2303 Mtge","MTG_WAL")</f>
        <v>8.1800999999999995</v>
      </c>
      <c r="I1812" t="str">
        <f>_xll.BDP("FNBR2303 Mtge","MTG_ORIG_WAL")</f>
        <v>#N/A N/A</v>
      </c>
    </row>
    <row r="1813" spans="1:9" x14ac:dyDescent="0.25">
      <c r="A1813" t="str">
        <f>_xll.BDP("FNBR7707 Mtge","ID_CUSIP")</f>
        <v>3140L6R55</v>
      </c>
      <c r="B1813" t="str">
        <f>_xll.BDP("FNBR7707 Mtge","SECURITY_NAME")</f>
        <v>FN BR7707</v>
      </c>
      <c r="C1813" t="str">
        <f>_xll.BDP("FNBR7707 Mtge","GENERIC_TICKER_VINTAGE")</f>
        <v>FNCL 3 2021</v>
      </c>
      <c r="D1813" t="str">
        <f>_xll.BDP("FNBR7707 Mtge","CRNCY")</f>
        <v>USD</v>
      </c>
      <c r="E1813">
        <v>7613111</v>
      </c>
      <c r="F1813">
        <f>_xll.BDP("FNBR7707 Mtge","CPN")</f>
        <v>3</v>
      </c>
      <c r="G1813">
        <f>_xll.BDP("FNBR7707 Mtge","MTG_FACTOR")</f>
        <v>0.41171025999999999</v>
      </c>
      <c r="H1813">
        <f>_xll.BDP("FNBR7707 Mtge","MTG_WAL")</f>
        <v>8.1572999999999993</v>
      </c>
      <c r="I1813" t="str">
        <f>_xll.BDP("FNBR7707 Mtge","MTG_ORIG_WAL")</f>
        <v>#N/A N/A</v>
      </c>
    </row>
    <row r="1814" spans="1:9" x14ac:dyDescent="0.25">
      <c r="A1814" t="str">
        <f>_xll.BDP("FNBR7709 Mtge","ID_CUSIP")</f>
        <v>3140L6R71</v>
      </c>
      <c r="B1814" t="str">
        <f>_xll.BDP("FNBR7709 Mtge","SECURITY_NAME")</f>
        <v>FN BR7709</v>
      </c>
      <c r="C1814" t="str">
        <f>_xll.BDP("FNBR7709 Mtge","GENERIC_TICKER_VINTAGE")</f>
        <v>FNCL 3 2021</v>
      </c>
      <c r="D1814" t="str">
        <f>_xll.BDP("FNBR7709 Mtge","CRNCY")</f>
        <v>USD</v>
      </c>
      <c r="E1814">
        <v>13495721</v>
      </c>
      <c r="F1814">
        <f>_xll.BDP("FNBR7709 Mtge","CPN")</f>
        <v>3</v>
      </c>
      <c r="G1814">
        <f>_xll.BDP("FNBR7709 Mtge","MTG_FACTOR")</f>
        <v>0.54182262999999997</v>
      </c>
      <c r="H1814">
        <f>_xll.BDP("FNBR7709 Mtge","MTG_WAL")</f>
        <v>8.2110000000000003</v>
      </c>
      <c r="I1814" t="str">
        <f>_xll.BDP("FNBR7709 Mtge","MTG_ORIG_WAL")</f>
        <v>#N/A N/A</v>
      </c>
    </row>
    <row r="1815" spans="1:9" x14ac:dyDescent="0.25">
      <c r="A1815" t="str">
        <f>_xll.BDP("FNBR9160 Mtge","ID_CUSIP")</f>
        <v>3140L8FA3</v>
      </c>
      <c r="B1815" t="str">
        <f>_xll.BDP("FNBR9160 Mtge","SECURITY_NAME")</f>
        <v>FN BR9160</v>
      </c>
      <c r="C1815" t="str">
        <f>_xll.BDP("FNBR9160 Mtge","GENERIC_TICKER_VINTAGE")</f>
        <v>FNCL 3 2021</v>
      </c>
      <c r="D1815" t="str">
        <f>_xll.BDP("FNBR9160 Mtge","CRNCY")</f>
        <v>USD</v>
      </c>
      <c r="E1815">
        <v>5606379</v>
      </c>
      <c r="F1815">
        <f>_xll.BDP("FNBR9160 Mtge","CPN")</f>
        <v>3</v>
      </c>
      <c r="G1815">
        <f>_xll.BDP("FNBR9160 Mtge","MTG_FACTOR")</f>
        <v>0.59495315999999998</v>
      </c>
      <c r="H1815">
        <f>_xll.BDP("FNBR9160 Mtge","MTG_WAL")</f>
        <v>8.298</v>
      </c>
      <c r="I1815" t="str">
        <f>_xll.BDP("FNBR9160 Mtge","MTG_ORIG_WAL")</f>
        <v>#N/A N/A</v>
      </c>
    </row>
    <row r="1816" spans="1:9" x14ac:dyDescent="0.25">
      <c r="A1816" t="str">
        <f>_xll.BDP("FNBR9518 Mtge","ID_CUSIP")</f>
        <v>3140L8SG6</v>
      </c>
      <c r="B1816" t="str">
        <f>_xll.BDP("FNBR9518 Mtge","SECURITY_NAME")</f>
        <v>FN BR9518</v>
      </c>
      <c r="C1816" t="str">
        <f>_xll.BDP("FNBR9518 Mtge","GENERIC_TICKER_VINTAGE")</f>
        <v>FNCL 3 2021</v>
      </c>
      <c r="D1816" t="str">
        <f>_xll.BDP("FNBR9518 Mtge","CRNCY")</f>
        <v>USD</v>
      </c>
      <c r="E1816">
        <v>6671755</v>
      </c>
      <c r="F1816">
        <f>_xll.BDP("FNBR9518 Mtge","CPN")</f>
        <v>3</v>
      </c>
      <c r="G1816">
        <f>_xll.BDP("FNBR9518 Mtge","MTG_FACTOR")</f>
        <v>0.75663404000000001</v>
      </c>
      <c r="H1816">
        <f>_xll.BDP("FNBR9518 Mtge","MTG_WAL")</f>
        <v>8.1677</v>
      </c>
      <c r="I1816" t="str">
        <f>_xll.BDP("FNBR9518 Mtge","MTG_ORIG_WAL")</f>
        <v>#N/A N/A</v>
      </c>
    </row>
    <row r="1817" spans="1:9" x14ac:dyDescent="0.25">
      <c r="A1817" t="str">
        <f>_xll.BDP("FNBR9844 Mtge","ID_CUSIP")</f>
        <v>3140L85E6</v>
      </c>
      <c r="B1817" t="str">
        <f>_xll.BDP("FNBR9844 Mtge","SECURITY_NAME")</f>
        <v>FN BR9844</v>
      </c>
      <c r="C1817" t="str">
        <f>_xll.BDP("FNBR9844 Mtge","GENERIC_TICKER_VINTAGE")</f>
        <v>FNCL 3 2021</v>
      </c>
      <c r="D1817" t="str">
        <f>_xll.BDP("FNBR9844 Mtge","CRNCY")</f>
        <v>USD</v>
      </c>
      <c r="E1817">
        <v>25895664</v>
      </c>
      <c r="F1817">
        <f>_xll.BDP("FNBR9844 Mtge","CPN")</f>
        <v>3</v>
      </c>
      <c r="G1817">
        <f>_xll.BDP("FNBR9844 Mtge","MTG_FACTOR")</f>
        <v>0.59683878000000001</v>
      </c>
      <c r="H1817">
        <f>_xll.BDP("FNBR9844 Mtge","MTG_WAL")</f>
        <v>8.3149999999999995</v>
      </c>
      <c r="I1817" t="str">
        <f>_xll.BDP("FNBR9844 Mtge","MTG_ORIG_WAL")</f>
        <v>#N/A N/A</v>
      </c>
    </row>
    <row r="1818" spans="1:9" x14ac:dyDescent="0.25">
      <c r="A1818" t="str">
        <f>_xll.BDP("FNBT0144 Mtge","ID_CUSIP")</f>
        <v>3140LNES2</v>
      </c>
      <c r="B1818" t="str">
        <f>_xll.BDP("FNBT0144 Mtge","SECURITY_NAME")</f>
        <v>FN BT0144</v>
      </c>
      <c r="C1818" t="str">
        <f>_xll.BDP("FNBT0144 Mtge","GENERIC_TICKER_VINTAGE")</f>
        <v>FNCL 3 2021</v>
      </c>
      <c r="D1818" t="str">
        <f>_xll.BDP("FNBT0144 Mtge","CRNCY")</f>
        <v>USD</v>
      </c>
      <c r="E1818">
        <v>5395660</v>
      </c>
      <c r="F1818">
        <f>_xll.BDP("FNBT0144 Mtge","CPN")</f>
        <v>3</v>
      </c>
      <c r="G1818">
        <f>_xll.BDP("FNBT0144 Mtge","MTG_FACTOR")</f>
        <v>0.52317049999999998</v>
      </c>
      <c r="H1818">
        <f>_xll.BDP("FNBT0144 Mtge","MTG_WAL")</f>
        <v>8.2426999999999992</v>
      </c>
      <c r="I1818" t="str">
        <f>_xll.BDP("FNBT0144 Mtge","MTG_ORIG_WAL")</f>
        <v>#N/A N/A</v>
      </c>
    </row>
    <row r="1819" spans="1:9" x14ac:dyDescent="0.25">
      <c r="A1819" t="str">
        <f>_xll.BDP("FNBT0186 Mtge","ID_CUSIP")</f>
        <v>3140LNF44</v>
      </c>
      <c r="B1819" t="str">
        <f>_xll.BDP("FNBT0186 Mtge","SECURITY_NAME")</f>
        <v>FN BT0186</v>
      </c>
      <c r="C1819" t="str">
        <f>_xll.BDP("FNBT0186 Mtge","GENERIC_TICKER_VINTAGE")</f>
        <v>FNCL 3 2021</v>
      </c>
      <c r="D1819" t="str">
        <f>_xll.BDP("FNBT0186 Mtge","CRNCY")</f>
        <v>USD</v>
      </c>
      <c r="E1819">
        <v>3401420</v>
      </c>
      <c r="F1819">
        <f>_xll.BDP("FNBT0186 Mtge","CPN")</f>
        <v>3</v>
      </c>
      <c r="G1819">
        <f>_xll.BDP("FNBT0186 Mtge","MTG_FACTOR")</f>
        <v>0.72997303999999996</v>
      </c>
      <c r="H1819">
        <f>_xll.BDP("FNBT0186 Mtge","MTG_WAL")</f>
        <v>8.0277999999999992</v>
      </c>
      <c r="I1819" t="str">
        <f>_xll.BDP("FNBT0186 Mtge","MTG_ORIG_WAL")</f>
        <v>#N/A N/A</v>
      </c>
    </row>
    <row r="1820" spans="1:9" x14ac:dyDescent="0.25">
      <c r="A1820" t="str">
        <f>_xll.BDP("FNBT0262 Mtge","ID_CUSIP")</f>
        <v>3140LNJG3</v>
      </c>
      <c r="B1820" t="str">
        <f>_xll.BDP("FNBT0262 Mtge","SECURITY_NAME")</f>
        <v>FN BT0262</v>
      </c>
      <c r="C1820" t="str">
        <f>_xll.BDP("FNBT0262 Mtge","GENERIC_TICKER_VINTAGE")</f>
        <v>FNCL 3 2021</v>
      </c>
      <c r="D1820" t="str">
        <f>_xll.BDP("FNBT0262 Mtge","CRNCY")</f>
        <v>USD</v>
      </c>
      <c r="E1820">
        <v>106554054</v>
      </c>
      <c r="F1820">
        <f>_xll.BDP("FNBT0262 Mtge","CPN")</f>
        <v>3</v>
      </c>
      <c r="G1820">
        <f>_xll.BDP("FNBT0262 Mtge","MTG_FACTOR")</f>
        <v>0.64638611000000001</v>
      </c>
      <c r="H1820">
        <f>_xll.BDP("FNBT0262 Mtge","MTG_WAL")</f>
        <v>8.2899999999999991</v>
      </c>
      <c r="I1820" t="str">
        <f>_xll.BDP("FNBT0262 Mtge","MTG_ORIG_WAL")</f>
        <v>#N/A N/A</v>
      </c>
    </row>
    <row r="1821" spans="1:9" x14ac:dyDescent="0.25">
      <c r="A1821" t="str">
        <f>_xll.BDP("FNBT0266 Mtge","ID_CUSIP")</f>
        <v>3140LNJL2</v>
      </c>
      <c r="B1821" t="str">
        <f>_xll.BDP("FNBT0266 Mtge","SECURITY_NAME")</f>
        <v>FN BT0266</v>
      </c>
      <c r="C1821" t="str">
        <f>_xll.BDP("FNBT0266 Mtge","GENERIC_TICKER_VINTAGE")</f>
        <v>FNCL 3 2021</v>
      </c>
      <c r="D1821" t="str">
        <f>_xll.BDP("FNBT0266 Mtge","CRNCY")</f>
        <v>USD</v>
      </c>
      <c r="E1821">
        <v>12088527</v>
      </c>
      <c r="F1821">
        <f>_xll.BDP("FNBT0266 Mtge","CPN")</f>
        <v>3</v>
      </c>
      <c r="G1821">
        <f>_xll.BDP("FNBT0266 Mtge","MTG_FACTOR")</f>
        <v>0.62374198000000003</v>
      </c>
      <c r="H1821">
        <f>_xll.BDP("FNBT0266 Mtge","MTG_WAL")</f>
        <v>8.3120999999999992</v>
      </c>
      <c r="I1821" t="str">
        <f>_xll.BDP("FNBT0266 Mtge","MTG_ORIG_WAL")</f>
        <v>#N/A N/A</v>
      </c>
    </row>
    <row r="1822" spans="1:9" x14ac:dyDescent="0.25">
      <c r="A1822" t="str">
        <f>_xll.BDP("FNBT0421 Mtge","ID_CUSIP")</f>
        <v>3140LNPF8</v>
      </c>
      <c r="B1822" t="str">
        <f>_xll.BDP("FNBT0421 Mtge","SECURITY_NAME")</f>
        <v>FN BT0421</v>
      </c>
      <c r="C1822" t="str">
        <f>_xll.BDP("FNBT0421 Mtge","GENERIC_TICKER_VINTAGE")</f>
        <v>FNCL 3 2021</v>
      </c>
      <c r="D1822" t="str">
        <f>_xll.BDP("FNBT0421 Mtge","CRNCY")</f>
        <v>USD</v>
      </c>
      <c r="E1822">
        <v>28217008</v>
      </c>
      <c r="F1822">
        <f>_xll.BDP("FNBT0421 Mtge","CPN")</f>
        <v>3</v>
      </c>
      <c r="G1822">
        <f>_xll.BDP("FNBT0421 Mtge","MTG_FACTOR")</f>
        <v>0.60831776000000004</v>
      </c>
      <c r="H1822">
        <f>_xll.BDP("FNBT0421 Mtge","MTG_WAL")</f>
        <v>8.2972000000000001</v>
      </c>
      <c r="I1822" t="str">
        <f>_xll.BDP("FNBT0421 Mtge","MTG_ORIG_WAL")</f>
        <v>#N/A N/A</v>
      </c>
    </row>
    <row r="1823" spans="1:9" x14ac:dyDescent="0.25">
      <c r="A1823" t="str">
        <f>_xll.BDP("FNBT0707 Mtge","ID_CUSIP")</f>
        <v>3140LNYD3</v>
      </c>
      <c r="B1823" t="str">
        <f>_xll.BDP("FNBT0707 Mtge","SECURITY_NAME")</f>
        <v>FN BT0707</v>
      </c>
      <c r="C1823" t="str">
        <f>_xll.BDP("FNBT0707 Mtge","GENERIC_TICKER_VINTAGE")</f>
        <v>FNCL 3 2021</v>
      </c>
      <c r="D1823" t="str">
        <f>_xll.BDP("FNBT0707 Mtge","CRNCY")</f>
        <v>USD</v>
      </c>
      <c r="E1823">
        <v>20879084</v>
      </c>
      <c r="F1823">
        <f>_xll.BDP("FNBT0707 Mtge","CPN")</f>
        <v>3</v>
      </c>
      <c r="G1823">
        <f>_xll.BDP("FNBT0707 Mtge","MTG_FACTOR")</f>
        <v>0.79257666999999998</v>
      </c>
      <c r="H1823">
        <f>_xll.BDP("FNBT0707 Mtge","MTG_WAL")</f>
        <v>8.3130000000000006</v>
      </c>
      <c r="I1823" t="str">
        <f>_xll.BDP("FNBT0707 Mtge","MTG_ORIG_WAL")</f>
        <v>#N/A N/A</v>
      </c>
    </row>
    <row r="1824" spans="1:9" x14ac:dyDescent="0.25">
      <c r="A1824" t="str">
        <f>_xll.BDP("FNBT0984 Mtge","ID_CUSIP")</f>
        <v>3140LPCW0</v>
      </c>
      <c r="B1824" t="str">
        <f>_xll.BDP("FNBT0984 Mtge","SECURITY_NAME")</f>
        <v>FN BT0984</v>
      </c>
      <c r="C1824" t="str">
        <f>_xll.BDP("FNBT0984 Mtge","GENERIC_TICKER_VINTAGE")</f>
        <v>FNCL 3 2021</v>
      </c>
      <c r="D1824" t="str">
        <f>_xll.BDP("FNBT0984 Mtge","CRNCY")</f>
        <v>USD</v>
      </c>
      <c r="E1824">
        <v>1129425</v>
      </c>
      <c r="F1824">
        <f>_xll.BDP("FNBT0984 Mtge","CPN")</f>
        <v>3</v>
      </c>
      <c r="G1824">
        <f>_xll.BDP("FNBT0984 Mtge","MTG_FACTOR")</f>
        <v>0.69729218999999998</v>
      </c>
      <c r="H1824">
        <f>_xll.BDP("FNBT0984 Mtge","MTG_WAL")</f>
        <v>8.1760000000000002</v>
      </c>
      <c r="I1824" t="str">
        <f>_xll.BDP("FNBT0984 Mtge","MTG_ORIG_WAL")</f>
        <v>#N/A N/A</v>
      </c>
    </row>
    <row r="1825" spans="1:9" x14ac:dyDescent="0.25">
      <c r="A1825" t="str">
        <f>_xll.BDP("FNBT1126 Mtge","ID_CUSIP")</f>
        <v>3140LPHC9</v>
      </c>
      <c r="B1825" t="str">
        <f>_xll.BDP("FNBT1126 Mtge","SECURITY_NAME")</f>
        <v>FN BT1126</v>
      </c>
      <c r="C1825" t="str">
        <f>_xll.BDP("FNBT1126 Mtge","GENERIC_TICKER_VINTAGE")</f>
        <v>FNCL 3 2021</v>
      </c>
      <c r="D1825" t="str">
        <f>_xll.BDP("FNBT1126 Mtge","CRNCY")</f>
        <v>USD</v>
      </c>
      <c r="E1825">
        <v>3734932</v>
      </c>
      <c r="F1825">
        <f>_xll.BDP("FNBT1126 Mtge","CPN")</f>
        <v>3</v>
      </c>
      <c r="G1825">
        <f>_xll.BDP("FNBT1126 Mtge","MTG_FACTOR")</f>
        <v>0.51711810000000002</v>
      </c>
      <c r="H1825">
        <f>_xll.BDP("FNBT1126 Mtge","MTG_WAL")</f>
        <v>8.1681000000000008</v>
      </c>
      <c r="I1825" t="str">
        <f>_xll.BDP("FNBT1126 Mtge","MTG_ORIG_WAL")</f>
        <v>#N/A N/A</v>
      </c>
    </row>
    <row r="1826" spans="1:9" x14ac:dyDescent="0.25">
      <c r="A1826" t="str">
        <f>_xll.BDP("FNBT1316 Mtge","ID_CUSIP")</f>
        <v>3140LPPA4</v>
      </c>
      <c r="B1826" t="str">
        <f>_xll.BDP("FNBT1316 Mtge","SECURITY_NAME")</f>
        <v>FN BT1316</v>
      </c>
      <c r="C1826" t="str">
        <f>_xll.BDP("FNBT1316 Mtge","GENERIC_TICKER_VINTAGE")</f>
        <v>FNCL 3 2021</v>
      </c>
      <c r="D1826" t="str">
        <f>_xll.BDP("FNBT1316 Mtge","CRNCY")</f>
        <v>USD</v>
      </c>
      <c r="E1826">
        <v>7055096</v>
      </c>
      <c r="F1826">
        <f>_xll.BDP("FNBT1316 Mtge","CPN")</f>
        <v>3</v>
      </c>
      <c r="G1826">
        <f>_xll.BDP("FNBT1316 Mtge","MTG_FACTOR")</f>
        <v>0.58235274000000004</v>
      </c>
      <c r="H1826">
        <f>_xll.BDP("FNBT1316 Mtge","MTG_WAL")</f>
        <v>8.2179000000000002</v>
      </c>
      <c r="I1826" t="str">
        <f>_xll.BDP("FNBT1316 Mtge","MTG_ORIG_WAL")</f>
        <v>#N/A N/A</v>
      </c>
    </row>
    <row r="1827" spans="1:9" x14ac:dyDescent="0.25">
      <c r="A1827" t="str">
        <f>_xll.BDP("FNBT1920 Mtge","ID_CUSIP")</f>
        <v>3140LQD23</v>
      </c>
      <c r="B1827" t="str">
        <f>_xll.BDP("FNBT1920 Mtge","SECURITY_NAME")</f>
        <v>FN BT1920</v>
      </c>
      <c r="C1827" t="str">
        <f>_xll.BDP("FNBT1920 Mtge","GENERIC_TICKER_VINTAGE")</f>
        <v>FNCL 3 2021</v>
      </c>
      <c r="D1827" t="str">
        <f>_xll.BDP("FNBT1920 Mtge","CRNCY")</f>
        <v>USD</v>
      </c>
      <c r="E1827">
        <v>18349688</v>
      </c>
      <c r="F1827">
        <f>_xll.BDP("FNBT1920 Mtge","CPN")</f>
        <v>3</v>
      </c>
      <c r="G1827">
        <f>_xll.BDP("FNBT1920 Mtge","MTG_FACTOR")</f>
        <v>0.69452544999999999</v>
      </c>
      <c r="H1827">
        <f>_xll.BDP("FNBT1920 Mtge","MTG_WAL")</f>
        <v>8.2822999999999993</v>
      </c>
      <c r="I1827" t="str">
        <f>_xll.BDP("FNBT1920 Mtge","MTG_ORIG_WAL")</f>
        <v>#N/A N/A</v>
      </c>
    </row>
    <row r="1828" spans="1:9" x14ac:dyDescent="0.25">
      <c r="A1828" t="str">
        <f>_xll.BDP("FNBT1925 Mtge","ID_CUSIP")</f>
        <v>3140LQD72</v>
      </c>
      <c r="B1828" t="str">
        <f>_xll.BDP("FNBT1925 Mtge","SECURITY_NAME")</f>
        <v>FN BT1925</v>
      </c>
      <c r="C1828" t="str">
        <f>_xll.BDP("FNBT1925 Mtge","GENERIC_TICKER_VINTAGE")</f>
        <v>FNCL 3 2021</v>
      </c>
      <c r="D1828" t="str">
        <f>_xll.BDP("FNBT1925 Mtge","CRNCY")</f>
        <v>USD</v>
      </c>
      <c r="E1828">
        <v>10870794</v>
      </c>
      <c r="F1828">
        <f>_xll.BDP("FNBT1925 Mtge","CPN")</f>
        <v>3</v>
      </c>
      <c r="G1828">
        <f>_xll.BDP("FNBT1925 Mtge","MTG_FACTOR")</f>
        <v>0.81323303000000002</v>
      </c>
      <c r="H1828">
        <f>_xll.BDP("FNBT1925 Mtge","MTG_WAL")</f>
        <v>8.4015000000000004</v>
      </c>
      <c r="I1828" t="str">
        <f>_xll.BDP("FNBT1925 Mtge","MTG_ORIG_WAL")</f>
        <v>#N/A N/A</v>
      </c>
    </row>
    <row r="1829" spans="1:9" x14ac:dyDescent="0.25">
      <c r="A1829" t="str">
        <f>_xll.BDP("FNBT3132 Mtge","ID_CUSIP")</f>
        <v>3140LRPS1</v>
      </c>
      <c r="B1829" t="str">
        <f>_xll.BDP("FNBT3132 Mtge","SECURITY_NAME")</f>
        <v>FN BT3132</v>
      </c>
      <c r="C1829" t="str">
        <f>_xll.BDP("FNBT3132 Mtge","GENERIC_TICKER_VINTAGE")</f>
        <v>FNCL 3 2021</v>
      </c>
      <c r="D1829" t="str">
        <f>_xll.BDP("FNBT3132 Mtge","CRNCY")</f>
        <v>USD</v>
      </c>
      <c r="E1829">
        <v>1526725</v>
      </c>
      <c r="F1829">
        <f>_xll.BDP("FNBT3132 Mtge","CPN")</f>
        <v>3</v>
      </c>
      <c r="G1829">
        <f>_xll.BDP("FNBT3132 Mtge","MTG_FACTOR")</f>
        <v>0.90752337999999999</v>
      </c>
      <c r="H1829">
        <f>_xll.BDP("FNBT3132 Mtge","MTG_WAL")</f>
        <v>8.3740000000000006</v>
      </c>
      <c r="I1829" t="str">
        <f>_xll.BDP("FNBT3132 Mtge","MTG_ORIG_WAL")</f>
        <v>#N/A N/A</v>
      </c>
    </row>
    <row r="1830" spans="1:9" x14ac:dyDescent="0.25">
      <c r="A1830" t="str">
        <f>_xll.BDP("FNBT4204 Mtge","ID_CUSIP")</f>
        <v>3140LSU61</v>
      </c>
      <c r="B1830" t="str">
        <f>_xll.BDP("FNBT4204 Mtge","SECURITY_NAME")</f>
        <v>FN BT4204</v>
      </c>
      <c r="C1830" t="str">
        <f>_xll.BDP("FNBT4204 Mtge","GENERIC_TICKER_VINTAGE")</f>
        <v>FNCL 3 2021</v>
      </c>
      <c r="D1830" t="str">
        <f>_xll.BDP("FNBT4204 Mtge","CRNCY")</f>
        <v>USD</v>
      </c>
      <c r="E1830">
        <v>35170550</v>
      </c>
      <c r="F1830">
        <f>_xll.BDP("FNBT4204 Mtge","CPN")</f>
        <v>3</v>
      </c>
      <c r="G1830">
        <f>_xll.BDP("FNBT4204 Mtge","MTG_FACTOR")</f>
        <v>0.53576175999999998</v>
      </c>
      <c r="H1830">
        <f>_xll.BDP("FNBT4204 Mtge","MTG_WAL")</f>
        <v>8.3543000000000003</v>
      </c>
      <c r="I1830" t="str">
        <f>_xll.BDP("FNBT4204 Mtge","MTG_ORIG_WAL")</f>
        <v>#N/A N/A</v>
      </c>
    </row>
    <row r="1831" spans="1:9" x14ac:dyDescent="0.25">
      <c r="A1831" t="str">
        <f>_xll.BDP("FNBT4231 Mtge","ID_CUSIP")</f>
        <v>3140LSVZ6</v>
      </c>
      <c r="B1831" t="str">
        <f>_xll.BDP("FNBT4231 Mtge","SECURITY_NAME")</f>
        <v>FN BT4231</v>
      </c>
      <c r="C1831" t="str">
        <f>_xll.BDP("FNBT4231 Mtge","GENERIC_TICKER_VINTAGE")</f>
        <v>FNCL 3 2021</v>
      </c>
      <c r="D1831" t="str">
        <f>_xll.BDP("FNBT4231 Mtge","CRNCY")</f>
        <v>USD</v>
      </c>
      <c r="E1831">
        <v>1468268</v>
      </c>
      <c r="F1831">
        <f>_xll.BDP("FNBT4231 Mtge","CPN")</f>
        <v>3</v>
      </c>
      <c r="G1831">
        <f>_xll.BDP("FNBT4231 Mtge","MTG_FACTOR")</f>
        <v>0.52343033000000005</v>
      </c>
      <c r="H1831">
        <f>_xll.BDP("FNBT4231 Mtge","MTG_WAL")</f>
        <v>8.3748000000000005</v>
      </c>
      <c r="I1831" t="str">
        <f>_xll.BDP("FNBT4231 Mtge","MTG_ORIG_WAL")</f>
        <v>#N/A N/A</v>
      </c>
    </row>
    <row r="1832" spans="1:9" x14ac:dyDescent="0.25">
      <c r="A1832" t="str">
        <f>_xll.BDP("FNBT5096 Mtge","ID_CUSIP")</f>
        <v>3140LTUW2</v>
      </c>
      <c r="B1832" t="str">
        <f>_xll.BDP("FNBT5096 Mtge","SECURITY_NAME")</f>
        <v>FN BT5096</v>
      </c>
      <c r="C1832" t="str">
        <f>_xll.BDP("FNBT5096 Mtge","GENERIC_TICKER_VINTAGE")</f>
        <v>FNCL 3 2021</v>
      </c>
      <c r="D1832" t="str">
        <f>_xll.BDP("FNBT5096 Mtge","CRNCY")</f>
        <v>USD</v>
      </c>
      <c r="E1832">
        <v>4224330</v>
      </c>
      <c r="F1832">
        <f>_xll.BDP("FNBT5096 Mtge","CPN")</f>
        <v>3</v>
      </c>
      <c r="G1832">
        <f>_xll.BDP("FNBT5096 Mtge","MTG_FACTOR")</f>
        <v>0.66113814999999998</v>
      </c>
      <c r="H1832">
        <f>_xll.BDP("FNBT5096 Mtge","MTG_WAL")</f>
        <v>8.2996999999999996</v>
      </c>
      <c r="I1832" t="str">
        <f>_xll.BDP("FNBT5096 Mtge","MTG_ORIG_WAL")</f>
        <v>#N/A N/A</v>
      </c>
    </row>
    <row r="1833" spans="1:9" x14ac:dyDescent="0.25">
      <c r="A1833" t="str">
        <f>_xll.BDP("FNBT5537 Mtge","ID_CUSIP")</f>
        <v>3140LUEK3</v>
      </c>
      <c r="B1833" t="str">
        <f>_xll.BDP("FNBT5537 Mtge","SECURITY_NAME")</f>
        <v>FN BT5537</v>
      </c>
      <c r="C1833" t="str">
        <f>_xll.BDP("FNBT5537 Mtge","GENERIC_TICKER_VINTAGE")</f>
        <v>FNCL 3 2021</v>
      </c>
      <c r="D1833" t="str">
        <f>_xll.BDP("FNBT5537 Mtge","CRNCY")</f>
        <v>USD</v>
      </c>
      <c r="E1833">
        <v>20053644</v>
      </c>
      <c r="F1833">
        <f>_xll.BDP("FNBT5537 Mtge","CPN")</f>
        <v>3</v>
      </c>
      <c r="G1833">
        <f>_xll.BDP("FNBT5537 Mtge","MTG_FACTOR")</f>
        <v>0.64624725999999999</v>
      </c>
      <c r="H1833">
        <f>_xll.BDP("FNBT5537 Mtge","MTG_WAL")</f>
        <v>8.1704000000000008</v>
      </c>
      <c r="I1833" t="str">
        <f>_xll.BDP("FNBT5537 Mtge","MTG_ORIG_WAL")</f>
        <v>#N/A N/A</v>
      </c>
    </row>
    <row r="1834" spans="1:9" x14ac:dyDescent="0.25">
      <c r="A1834" t="str">
        <f>_xll.BDP("FNBT5650 Mtge","ID_CUSIP")</f>
        <v>3140LUH46</v>
      </c>
      <c r="B1834" t="str">
        <f>_xll.BDP("FNBT5650 Mtge","SECURITY_NAME")</f>
        <v>FN BT5650</v>
      </c>
      <c r="C1834" t="str">
        <f>_xll.BDP("FNBT5650 Mtge","GENERIC_TICKER_VINTAGE")</f>
        <v>FNCL 3 2021</v>
      </c>
      <c r="D1834" t="str">
        <f>_xll.BDP("FNBT5650 Mtge","CRNCY")</f>
        <v>USD</v>
      </c>
      <c r="E1834">
        <v>1125978</v>
      </c>
      <c r="F1834">
        <f>_xll.BDP("FNBT5650 Mtge","CPN")</f>
        <v>3</v>
      </c>
      <c r="G1834">
        <f>_xll.BDP("FNBT5650 Mtge","MTG_FACTOR")</f>
        <v>0.60447094000000001</v>
      </c>
      <c r="H1834">
        <f>_xll.BDP("FNBT5650 Mtge","MTG_WAL")</f>
        <v>7.9352</v>
      </c>
      <c r="I1834" t="str">
        <f>_xll.BDP("FNBT5650 Mtge","MTG_ORIG_WAL")</f>
        <v>#N/A N/A</v>
      </c>
    </row>
    <row r="1835" spans="1:9" x14ac:dyDescent="0.25">
      <c r="A1835" t="str">
        <f>_xll.BDP("FNBT6671 Mtge","ID_CUSIP")</f>
        <v>3140LVMV8</v>
      </c>
      <c r="B1835" t="str">
        <f>_xll.BDP("FNBT6671 Mtge","SECURITY_NAME")</f>
        <v>FN BT6671</v>
      </c>
      <c r="C1835" t="str">
        <f>_xll.BDP("FNBT6671 Mtge","GENERIC_TICKER_VINTAGE")</f>
        <v>FNCL 3 2021</v>
      </c>
      <c r="D1835" t="str">
        <f>_xll.BDP("FNBT6671 Mtge","CRNCY")</f>
        <v>USD</v>
      </c>
      <c r="E1835">
        <v>2044634</v>
      </c>
      <c r="F1835">
        <f>_xll.BDP("FNBT6671 Mtge","CPN")</f>
        <v>3</v>
      </c>
      <c r="G1835">
        <f>_xll.BDP("FNBT6671 Mtge","MTG_FACTOR")</f>
        <v>0.76687145999999995</v>
      </c>
      <c r="H1835">
        <f>_xll.BDP("FNBT6671 Mtge","MTG_WAL")</f>
        <v>8.0977999999999994</v>
      </c>
      <c r="I1835" t="str">
        <f>_xll.BDP("FNBT6671 Mtge","MTG_ORIG_WAL")</f>
        <v>#N/A N/A</v>
      </c>
    </row>
    <row r="1836" spans="1:9" x14ac:dyDescent="0.25">
      <c r="A1836" t="str">
        <f>_xll.BDP("FNBT6813 Mtge","ID_CUSIP")</f>
        <v>3140LVSB6</v>
      </c>
      <c r="B1836" t="str">
        <f>_xll.BDP("FNBT6813 Mtge","SECURITY_NAME")</f>
        <v>FN BT6813</v>
      </c>
      <c r="C1836" t="str">
        <f>_xll.BDP("FNBT6813 Mtge","GENERIC_TICKER_VINTAGE")</f>
        <v>FNCL 3 2021</v>
      </c>
      <c r="D1836" t="str">
        <f>_xll.BDP("FNBT6813 Mtge","CRNCY")</f>
        <v>USD</v>
      </c>
      <c r="E1836">
        <v>10179318</v>
      </c>
      <c r="F1836">
        <f>_xll.BDP("FNBT6813 Mtge","CPN")</f>
        <v>3</v>
      </c>
      <c r="G1836">
        <f>_xll.BDP("FNBT6813 Mtge","MTG_FACTOR")</f>
        <v>0.54331456</v>
      </c>
      <c r="H1836">
        <f>_xll.BDP("FNBT6813 Mtge","MTG_WAL")</f>
        <v>8.2439999999999998</v>
      </c>
      <c r="I1836" t="str">
        <f>_xll.BDP("FNBT6813 Mtge","MTG_ORIG_WAL")</f>
        <v>#N/A N/A</v>
      </c>
    </row>
    <row r="1837" spans="1:9" x14ac:dyDescent="0.25">
      <c r="A1837" t="str">
        <f>_xll.BDP("FNBT6815 Mtge","ID_CUSIP")</f>
        <v>3140LVSD2</v>
      </c>
      <c r="B1837" t="str">
        <f>_xll.BDP("FNBT6815 Mtge","SECURITY_NAME")</f>
        <v>FN BT6815</v>
      </c>
      <c r="C1837" t="str">
        <f>_xll.BDP("FNBT6815 Mtge","GENERIC_TICKER_VINTAGE")</f>
        <v>FNCL 3 2021</v>
      </c>
      <c r="D1837" t="str">
        <f>_xll.BDP("FNBT6815 Mtge","CRNCY")</f>
        <v>USD</v>
      </c>
      <c r="E1837">
        <v>9688197</v>
      </c>
      <c r="F1837">
        <f>_xll.BDP("FNBT6815 Mtge","CPN")</f>
        <v>3</v>
      </c>
      <c r="G1837">
        <f>_xll.BDP("FNBT6815 Mtge","MTG_FACTOR")</f>
        <v>0.69472354999999997</v>
      </c>
      <c r="H1837">
        <f>_xll.BDP("FNBT6815 Mtge","MTG_WAL")</f>
        <v>8.0358000000000001</v>
      </c>
      <c r="I1837" t="str">
        <f>_xll.BDP("FNBT6815 Mtge","MTG_ORIG_WAL")</f>
        <v>#N/A N/A</v>
      </c>
    </row>
    <row r="1838" spans="1:9" x14ac:dyDescent="0.25">
      <c r="A1838" t="str">
        <f>_xll.BDP("FNBT6828 Mtge","ID_CUSIP")</f>
        <v>3140LVSS9</v>
      </c>
      <c r="B1838" t="str">
        <f>_xll.BDP("FNBT6828 Mtge","SECURITY_NAME")</f>
        <v>FN BT6828</v>
      </c>
      <c r="C1838" t="str">
        <f>_xll.BDP("FNBT6828 Mtge","GENERIC_TICKER_VINTAGE")</f>
        <v>FNCL 3 2021</v>
      </c>
      <c r="D1838" t="str">
        <f>_xll.BDP("FNBT6828 Mtge","CRNCY")</f>
        <v>USD</v>
      </c>
      <c r="E1838">
        <v>18419101</v>
      </c>
      <c r="F1838">
        <f>_xll.BDP("FNBT6828 Mtge","CPN")</f>
        <v>3</v>
      </c>
      <c r="G1838">
        <f>_xll.BDP("FNBT6828 Mtge","MTG_FACTOR")</f>
        <v>0.65485629000000001</v>
      </c>
      <c r="H1838">
        <f>_xll.BDP("FNBT6828 Mtge","MTG_WAL")</f>
        <v>8.218</v>
      </c>
      <c r="I1838" t="str">
        <f>_xll.BDP("FNBT6828 Mtge","MTG_ORIG_WAL")</f>
        <v>#N/A N/A</v>
      </c>
    </row>
    <row r="1839" spans="1:9" x14ac:dyDescent="0.25">
      <c r="A1839" t="str">
        <f>_xll.BDP("FNBT6829 Mtge","ID_CUSIP")</f>
        <v>3140LVST7</v>
      </c>
      <c r="B1839" t="str">
        <f>_xll.BDP("FNBT6829 Mtge","SECURITY_NAME")</f>
        <v>FN BT6829</v>
      </c>
      <c r="C1839" t="str">
        <f>_xll.BDP("FNBT6829 Mtge","GENERIC_TICKER_VINTAGE")</f>
        <v>FNCL 3 2021</v>
      </c>
      <c r="D1839" t="str">
        <f>_xll.BDP("FNBT6829 Mtge","CRNCY")</f>
        <v>USD</v>
      </c>
      <c r="E1839">
        <v>11232649</v>
      </c>
      <c r="F1839">
        <f>_xll.BDP("FNBT6829 Mtge","CPN")</f>
        <v>3</v>
      </c>
      <c r="G1839">
        <f>_xll.BDP("FNBT6829 Mtge","MTG_FACTOR")</f>
        <v>0.63626024000000003</v>
      </c>
      <c r="H1839">
        <f>_xll.BDP("FNBT6829 Mtge","MTG_WAL")</f>
        <v>8.1163000000000007</v>
      </c>
      <c r="I1839" t="str">
        <f>_xll.BDP("FNBT6829 Mtge","MTG_ORIG_WAL")</f>
        <v>#N/A N/A</v>
      </c>
    </row>
    <row r="1840" spans="1:9" x14ac:dyDescent="0.25">
      <c r="A1840" t="str">
        <f>_xll.BDP("FNBT6838 Mtge","ID_CUSIP")</f>
        <v>3140LVS42</v>
      </c>
      <c r="B1840" t="str">
        <f>_xll.BDP("FNBT6838 Mtge","SECURITY_NAME")</f>
        <v>FN BT6838</v>
      </c>
      <c r="C1840" t="str">
        <f>_xll.BDP("FNBT6838 Mtge","GENERIC_TICKER_VINTAGE")</f>
        <v>FNCL 3 2021</v>
      </c>
      <c r="D1840" t="str">
        <f>_xll.BDP("FNBT6838 Mtge","CRNCY")</f>
        <v>USD</v>
      </c>
      <c r="E1840">
        <v>169728008</v>
      </c>
      <c r="F1840">
        <f>_xll.BDP("FNBT6838 Mtge","CPN")</f>
        <v>3</v>
      </c>
      <c r="G1840">
        <f>_xll.BDP("FNBT6838 Mtge","MTG_FACTOR")</f>
        <v>0.67742736999999997</v>
      </c>
      <c r="H1840">
        <f>_xll.BDP("FNBT6838 Mtge","MTG_WAL")</f>
        <v>8.3697999999999997</v>
      </c>
      <c r="I1840" t="str">
        <f>_xll.BDP("FNBT6838 Mtge","MTG_ORIG_WAL")</f>
        <v>#N/A N/A</v>
      </c>
    </row>
    <row r="1841" spans="1:9" x14ac:dyDescent="0.25">
      <c r="A1841" t="str">
        <f>_xll.BDP("FNBT7078 Mtge","ID_CUSIP")</f>
        <v>3140LV2L2</v>
      </c>
      <c r="B1841" t="str">
        <f>_xll.BDP("FNBT7078 Mtge","SECURITY_NAME")</f>
        <v>FN BT7078</v>
      </c>
      <c r="C1841" t="str">
        <f>_xll.BDP("FNBT7078 Mtge","GENERIC_TICKER_VINTAGE")</f>
        <v>FNCL 3 2021</v>
      </c>
      <c r="D1841" t="str">
        <f>_xll.BDP("FNBT7078 Mtge","CRNCY")</f>
        <v>USD</v>
      </c>
      <c r="E1841">
        <v>24976986</v>
      </c>
      <c r="F1841">
        <f>_xll.BDP("FNBT7078 Mtge","CPN")</f>
        <v>3</v>
      </c>
      <c r="G1841">
        <f>_xll.BDP("FNBT7078 Mtge","MTG_FACTOR")</f>
        <v>0.56910788000000001</v>
      </c>
      <c r="H1841">
        <f>_xll.BDP("FNBT7078 Mtge","MTG_WAL")</f>
        <v>8.3843999999999994</v>
      </c>
      <c r="I1841" t="str">
        <f>_xll.BDP("FNBT7078 Mtge","MTG_ORIG_WAL")</f>
        <v>#N/A N/A</v>
      </c>
    </row>
    <row r="1842" spans="1:9" x14ac:dyDescent="0.25">
      <c r="A1842" t="str">
        <f>_xll.BDP("FNBT7104 Mtge","ID_CUSIP")</f>
        <v>3140LV3N7</v>
      </c>
      <c r="B1842" t="str">
        <f>_xll.BDP("FNBT7104 Mtge","SECURITY_NAME")</f>
        <v>FN BT7104</v>
      </c>
      <c r="C1842" t="str">
        <f>_xll.BDP("FNBT7104 Mtge","GENERIC_TICKER_VINTAGE")</f>
        <v>FNCL 3 2021</v>
      </c>
      <c r="D1842" t="str">
        <f>_xll.BDP("FNBT7104 Mtge","CRNCY")</f>
        <v>USD</v>
      </c>
      <c r="E1842">
        <v>4905395</v>
      </c>
      <c r="F1842">
        <f>_xll.BDP("FNBT7104 Mtge","CPN")</f>
        <v>3</v>
      </c>
      <c r="G1842">
        <f>_xll.BDP("FNBT7104 Mtge","MTG_FACTOR")</f>
        <v>0.41217548999999998</v>
      </c>
      <c r="H1842">
        <f>_xll.BDP("FNBT7104 Mtge","MTG_WAL")</f>
        <v>8.4143000000000008</v>
      </c>
      <c r="I1842" t="str">
        <f>_xll.BDP("FNBT7104 Mtge","MTG_ORIG_WAL")</f>
        <v>#N/A N/A</v>
      </c>
    </row>
    <row r="1843" spans="1:9" x14ac:dyDescent="0.25">
      <c r="A1843" t="str">
        <f>_xll.BDP("FNBT7165 Mtge","ID_CUSIP")</f>
        <v>3140LV6B0</v>
      </c>
      <c r="B1843" t="str">
        <f>_xll.BDP("FNBT7165 Mtge","SECURITY_NAME")</f>
        <v>FN BT7165</v>
      </c>
      <c r="C1843" t="str">
        <f>_xll.BDP("FNBT7165 Mtge","GENERIC_TICKER_VINTAGE")</f>
        <v>FNCL 3 2021</v>
      </c>
      <c r="D1843" t="str">
        <f>_xll.BDP("FNBT7165 Mtge","CRNCY")</f>
        <v>USD</v>
      </c>
      <c r="E1843">
        <v>20579891</v>
      </c>
      <c r="F1843">
        <f>_xll.BDP("FNBT7165 Mtge","CPN")</f>
        <v>3</v>
      </c>
      <c r="G1843">
        <f>_xll.BDP("FNBT7165 Mtge","MTG_FACTOR")</f>
        <v>0.48876586999999999</v>
      </c>
      <c r="H1843">
        <f>_xll.BDP("FNBT7165 Mtge","MTG_WAL")</f>
        <v>8.3359000000000005</v>
      </c>
      <c r="I1843" t="str">
        <f>_xll.BDP("FNBT7165 Mtge","MTG_ORIG_WAL")</f>
        <v>#N/A N/A</v>
      </c>
    </row>
    <row r="1844" spans="1:9" x14ac:dyDescent="0.25">
      <c r="A1844" t="str">
        <f>_xll.BDP("FNBT7188 Mtge","ID_CUSIP")</f>
        <v>3140LV7A1</v>
      </c>
      <c r="B1844" t="str">
        <f>_xll.BDP("FNBT7188 Mtge","SECURITY_NAME")</f>
        <v>FN BT7188</v>
      </c>
      <c r="C1844" t="str">
        <f>_xll.BDP("FNBT7188 Mtge","GENERIC_TICKER_VINTAGE")</f>
        <v>FNCL 3 2021</v>
      </c>
      <c r="D1844" t="str">
        <f>_xll.BDP("FNBT7188 Mtge","CRNCY")</f>
        <v>USD</v>
      </c>
      <c r="E1844">
        <v>14847798</v>
      </c>
      <c r="F1844">
        <f>_xll.BDP("FNBT7188 Mtge","CPN")</f>
        <v>3</v>
      </c>
      <c r="G1844">
        <f>_xll.BDP("FNBT7188 Mtge","MTG_FACTOR")</f>
        <v>0.46390650999999999</v>
      </c>
      <c r="H1844">
        <f>_xll.BDP("FNBT7188 Mtge","MTG_WAL")</f>
        <v>8.3841999999999999</v>
      </c>
      <c r="I1844" t="str">
        <f>_xll.BDP("FNBT7188 Mtge","MTG_ORIG_WAL")</f>
        <v>#N/A N/A</v>
      </c>
    </row>
    <row r="1845" spans="1:9" x14ac:dyDescent="0.25">
      <c r="A1845" t="str">
        <f>_xll.BDP("FNBT7265 Mtge","ID_CUSIP")</f>
        <v>3140LWCB1</v>
      </c>
      <c r="B1845" t="str">
        <f>_xll.BDP("FNBT7265 Mtge","SECURITY_NAME")</f>
        <v>FN BT7265</v>
      </c>
      <c r="C1845" t="str">
        <f>_xll.BDP("FNBT7265 Mtge","GENERIC_TICKER_VINTAGE")</f>
        <v>FNCL 3 2021</v>
      </c>
      <c r="D1845" t="str">
        <f>_xll.BDP("FNBT7265 Mtge","CRNCY")</f>
        <v>USD</v>
      </c>
      <c r="E1845">
        <v>17434038</v>
      </c>
      <c r="F1845">
        <f>_xll.BDP("FNBT7265 Mtge","CPN")</f>
        <v>3</v>
      </c>
      <c r="G1845">
        <f>_xll.BDP("FNBT7265 Mtge","MTG_FACTOR")</f>
        <v>0.59529270000000001</v>
      </c>
      <c r="H1845">
        <f>_xll.BDP("FNBT7265 Mtge","MTG_WAL")</f>
        <v>8.3325999999999993</v>
      </c>
      <c r="I1845" t="str">
        <f>_xll.BDP("FNBT7265 Mtge","MTG_ORIG_WAL")</f>
        <v>#N/A N/A</v>
      </c>
    </row>
    <row r="1846" spans="1:9" x14ac:dyDescent="0.25">
      <c r="A1846" t="str">
        <f>_xll.BDP("FNBT9223 Mtge","ID_CUSIP")</f>
        <v>3140LYG98</v>
      </c>
      <c r="B1846" t="str">
        <f>_xll.BDP("FNBT9223 Mtge","SECURITY_NAME")</f>
        <v>FN BT9223</v>
      </c>
      <c r="C1846" t="str">
        <f>_xll.BDP("FNBT9223 Mtge","GENERIC_TICKER_VINTAGE")</f>
        <v>FNCL 3 2021</v>
      </c>
      <c r="D1846" t="str">
        <f>_xll.BDP("FNBT9223 Mtge","CRNCY")</f>
        <v>USD</v>
      </c>
      <c r="E1846">
        <v>1094000</v>
      </c>
      <c r="F1846">
        <f>_xll.BDP("FNBT9223 Mtge","CPN")</f>
        <v>3</v>
      </c>
      <c r="G1846">
        <f>_xll.BDP("FNBT9223 Mtge","MTG_FACTOR")</f>
        <v>0.85152837999999997</v>
      </c>
      <c r="H1846">
        <f>_xll.BDP("FNBT9223 Mtge","MTG_WAL")</f>
        <v>7.8921000000000001</v>
      </c>
      <c r="I1846" t="str">
        <f>_xll.BDP("FNBT9223 Mtge","MTG_ORIG_WAL")</f>
        <v>#N/A N/A</v>
      </c>
    </row>
    <row r="1847" spans="1:9" x14ac:dyDescent="0.25">
      <c r="A1847" t="str">
        <f>_xll.BDP("FNBT9390 Mtge","ID_CUSIP")</f>
        <v>3140LYNG4</v>
      </c>
      <c r="B1847" t="str">
        <f>_xll.BDP("FNBT9390 Mtge","SECURITY_NAME")</f>
        <v>FN BT9390</v>
      </c>
      <c r="C1847" t="str">
        <f>_xll.BDP("FNBT9390 Mtge","GENERIC_TICKER_VINTAGE")</f>
        <v>FNCL 3 2021</v>
      </c>
      <c r="D1847" t="str">
        <f>_xll.BDP("FNBT9390 Mtge","CRNCY")</f>
        <v>USD</v>
      </c>
      <c r="E1847">
        <v>124820618</v>
      </c>
      <c r="F1847">
        <f>_xll.BDP("FNBT9390 Mtge","CPN")</f>
        <v>3</v>
      </c>
      <c r="G1847">
        <f>_xll.BDP("FNBT9390 Mtge","MTG_FACTOR")</f>
        <v>0.68829839000000004</v>
      </c>
      <c r="H1847">
        <f>_xll.BDP("FNBT9390 Mtge","MTG_WAL")</f>
        <v>8.3681999999999999</v>
      </c>
      <c r="I1847" t="str">
        <f>_xll.BDP("FNBT9390 Mtge","MTG_ORIG_WAL")</f>
        <v>#N/A N/A</v>
      </c>
    </row>
    <row r="1848" spans="1:9" x14ac:dyDescent="0.25">
      <c r="A1848" t="str">
        <f>_xll.BDP("FNBT9496 Mtge","ID_CUSIP")</f>
        <v>3140LYRS4</v>
      </c>
      <c r="B1848" t="str">
        <f>_xll.BDP("FNBT9496 Mtge","SECURITY_NAME")</f>
        <v>FN BT9496</v>
      </c>
      <c r="C1848" t="str">
        <f>_xll.BDP("FNBT9496 Mtge","GENERIC_TICKER_VINTAGE")</f>
        <v>FNCL 3 2021</v>
      </c>
      <c r="D1848" t="str">
        <f>_xll.BDP("FNBT9496 Mtge","CRNCY")</f>
        <v>USD</v>
      </c>
      <c r="E1848">
        <v>32142969</v>
      </c>
      <c r="F1848">
        <f>_xll.BDP("FNBT9496 Mtge","CPN")</f>
        <v>3</v>
      </c>
      <c r="G1848">
        <f>_xll.BDP("FNBT9496 Mtge","MTG_FACTOR")</f>
        <v>0.70862723999999999</v>
      </c>
      <c r="H1848">
        <f>_xll.BDP("FNBT9496 Mtge","MTG_WAL")</f>
        <v>8.2843</v>
      </c>
      <c r="I1848" t="str">
        <f>_xll.BDP("FNBT9496 Mtge","MTG_ORIG_WAL")</f>
        <v>#N/A N/A</v>
      </c>
    </row>
    <row r="1849" spans="1:9" x14ac:dyDescent="0.25">
      <c r="A1849" t="str">
        <f>_xll.BDP("FNBT9503 Mtge","ID_CUSIP")</f>
        <v>3140LYRZ8</v>
      </c>
      <c r="B1849" t="str">
        <f>_xll.BDP("FNBT9503 Mtge","SECURITY_NAME")</f>
        <v>FN BT9503</v>
      </c>
      <c r="C1849" t="str">
        <f>_xll.BDP("FNBT9503 Mtge","GENERIC_TICKER_VINTAGE")</f>
        <v>FNCL 3 2021</v>
      </c>
      <c r="D1849" t="str">
        <f>_xll.BDP("FNBT9503 Mtge","CRNCY")</f>
        <v>USD</v>
      </c>
      <c r="E1849">
        <v>81413445</v>
      </c>
      <c r="F1849">
        <f>_xll.BDP("FNBT9503 Mtge","CPN")</f>
        <v>3</v>
      </c>
      <c r="G1849">
        <f>_xll.BDP("FNBT9503 Mtge","MTG_FACTOR")</f>
        <v>0.73155707999999997</v>
      </c>
      <c r="H1849">
        <f>_xll.BDP("FNBT9503 Mtge","MTG_WAL")</f>
        <v>8.3897999999999993</v>
      </c>
      <c r="I1849" t="str">
        <f>_xll.BDP("FNBT9503 Mtge","MTG_ORIG_WAL")</f>
        <v>#N/A N/A</v>
      </c>
    </row>
    <row r="1850" spans="1:9" x14ac:dyDescent="0.25">
      <c r="A1850" t="str">
        <f>_xll.BDP("FNBU0076 Mtge","ID_CUSIP")</f>
        <v>3140M1CN2</v>
      </c>
      <c r="B1850" t="str">
        <f>_xll.BDP("FNBU0076 Mtge","SECURITY_NAME")</f>
        <v>FN BU0076</v>
      </c>
      <c r="C1850" t="str">
        <f>_xll.BDP("FNBU0076 Mtge","GENERIC_TICKER_VINTAGE")</f>
        <v>FNCL 3 2021</v>
      </c>
      <c r="D1850" t="str">
        <f>_xll.BDP("FNBU0076 Mtge","CRNCY")</f>
        <v>USD</v>
      </c>
      <c r="E1850">
        <v>45834364</v>
      </c>
      <c r="F1850">
        <f>_xll.BDP("FNBU0076 Mtge","CPN")</f>
        <v>3</v>
      </c>
      <c r="G1850">
        <f>_xll.BDP("FNBU0076 Mtge","MTG_FACTOR")</f>
        <v>0.68418551000000005</v>
      </c>
      <c r="H1850">
        <f>_xll.BDP("FNBU0076 Mtge","MTG_WAL")</f>
        <v>8.3178999999999998</v>
      </c>
      <c r="I1850" t="str">
        <f>_xll.BDP("FNBU0076 Mtge","MTG_ORIG_WAL")</f>
        <v>#N/A N/A</v>
      </c>
    </row>
    <row r="1851" spans="1:9" x14ac:dyDescent="0.25">
      <c r="A1851" t="str">
        <f>_xll.BDP("FNBU0254 Mtge","ID_CUSIP")</f>
        <v>3140M1H80</v>
      </c>
      <c r="B1851" t="str">
        <f>_xll.BDP("FNBU0254 Mtge","SECURITY_NAME")</f>
        <v>FN BU0254</v>
      </c>
      <c r="C1851" t="str">
        <f>_xll.BDP("FNBU0254 Mtge","GENERIC_TICKER_VINTAGE")</f>
        <v>FNCL 3 2021</v>
      </c>
      <c r="D1851" t="str">
        <f>_xll.BDP("FNBU0254 Mtge","CRNCY")</f>
        <v>USD</v>
      </c>
      <c r="E1851">
        <v>1646411</v>
      </c>
      <c r="F1851">
        <f>_xll.BDP("FNBU0254 Mtge","CPN")</f>
        <v>3</v>
      </c>
      <c r="G1851">
        <f>_xll.BDP("FNBU0254 Mtge","MTG_FACTOR")</f>
        <v>0.58371726999999995</v>
      </c>
      <c r="H1851">
        <f>_xll.BDP("FNBU0254 Mtge","MTG_WAL")</f>
        <v>7.9596999999999998</v>
      </c>
      <c r="I1851" t="str">
        <f>_xll.BDP("FNBU0254 Mtge","MTG_ORIG_WAL")</f>
        <v>#N/A N/A</v>
      </c>
    </row>
    <row r="1852" spans="1:9" x14ac:dyDescent="0.25">
      <c r="A1852" t="str">
        <f>_xll.BDP("FNBU0500 Mtge","ID_CUSIP")</f>
        <v>3140M1RW6</v>
      </c>
      <c r="B1852" t="str">
        <f>_xll.BDP("FNBU0500 Mtge","SECURITY_NAME")</f>
        <v>FN BU0500</v>
      </c>
      <c r="C1852" t="str">
        <f>_xll.BDP("FNBU0500 Mtge","GENERIC_TICKER_VINTAGE")</f>
        <v>FNCL 3 2021</v>
      </c>
      <c r="D1852" t="str">
        <f>_xll.BDP("FNBU0500 Mtge","CRNCY")</f>
        <v>USD</v>
      </c>
      <c r="E1852">
        <v>11653840</v>
      </c>
      <c r="F1852">
        <f>_xll.BDP("FNBU0500 Mtge","CPN")</f>
        <v>3</v>
      </c>
      <c r="G1852">
        <f>_xll.BDP("FNBU0500 Mtge","MTG_FACTOR")</f>
        <v>0.66818299000000003</v>
      </c>
      <c r="H1852">
        <f>_xll.BDP("FNBU0500 Mtge","MTG_WAL")</f>
        <v>8.4023000000000003</v>
      </c>
      <c r="I1852" t="str">
        <f>_xll.BDP("FNBU0500 Mtge","MTG_ORIG_WAL")</f>
        <v>#N/A N/A</v>
      </c>
    </row>
    <row r="1853" spans="1:9" x14ac:dyDescent="0.25">
      <c r="A1853" t="str">
        <f>_xll.BDP("FNBU0997 Mtge","ID_CUSIP")</f>
        <v>3140M2DB5</v>
      </c>
      <c r="B1853" t="str">
        <f>_xll.BDP("FNBU0997 Mtge","SECURITY_NAME")</f>
        <v>FN BU0997</v>
      </c>
      <c r="C1853" t="str">
        <f>_xll.BDP("FNBU0997 Mtge","GENERIC_TICKER_VINTAGE")</f>
        <v>FNCL 3 2021</v>
      </c>
      <c r="D1853" t="str">
        <f>_xll.BDP("FNBU0997 Mtge","CRNCY")</f>
        <v>USD</v>
      </c>
      <c r="E1853">
        <v>32327802</v>
      </c>
      <c r="F1853">
        <f>_xll.BDP("FNBU0997 Mtge","CPN")</f>
        <v>3</v>
      </c>
      <c r="G1853">
        <f>_xll.BDP("FNBU0997 Mtge","MTG_FACTOR")</f>
        <v>0.71877796999999999</v>
      </c>
      <c r="H1853">
        <f>_xll.BDP("FNBU0997 Mtge","MTG_WAL")</f>
        <v>8.3341999999999992</v>
      </c>
      <c r="I1853" t="str">
        <f>_xll.BDP("FNBU0997 Mtge","MTG_ORIG_WAL")</f>
        <v>#N/A N/A</v>
      </c>
    </row>
    <row r="1854" spans="1:9" x14ac:dyDescent="0.25">
      <c r="A1854" t="str">
        <f>_xll.BDP("FNBU1320 Mtge","ID_CUSIP")</f>
        <v>3140M2PE6</v>
      </c>
      <c r="B1854" t="str">
        <f>_xll.BDP("FNBU1320 Mtge","SECURITY_NAME")</f>
        <v>FN BU1320</v>
      </c>
      <c r="C1854" t="str">
        <f>_xll.BDP("FNBU1320 Mtge","GENERIC_TICKER_VINTAGE")</f>
        <v>FNCL 3 2021</v>
      </c>
      <c r="D1854" t="str">
        <f>_xll.BDP("FNBU1320 Mtge","CRNCY")</f>
        <v>USD</v>
      </c>
      <c r="E1854">
        <v>20032259</v>
      </c>
      <c r="F1854">
        <f>_xll.BDP("FNBU1320 Mtge","CPN")</f>
        <v>3</v>
      </c>
      <c r="G1854">
        <f>_xll.BDP("FNBU1320 Mtge","MTG_FACTOR")</f>
        <v>0.68728553999999997</v>
      </c>
      <c r="H1854">
        <f>_xll.BDP("FNBU1320 Mtge","MTG_WAL")</f>
        <v>8.2538</v>
      </c>
      <c r="I1854" t="str">
        <f>_xll.BDP("FNBU1320 Mtge","MTG_ORIG_WAL")</f>
        <v>#N/A N/A</v>
      </c>
    </row>
    <row r="1855" spans="1:9" x14ac:dyDescent="0.25">
      <c r="A1855" t="str">
        <f>_xll.BDP("FNBU1417 Mtge","ID_CUSIP")</f>
        <v>3140M2SF0</v>
      </c>
      <c r="B1855" t="str">
        <f>_xll.BDP("FNBU1417 Mtge","SECURITY_NAME")</f>
        <v>FN BU1417</v>
      </c>
      <c r="C1855" t="str">
        <f>_xll.BDP("FNBU1417 Mtge","GENERIC_TICKER_VINTAGE")</f>
        <v>FNCL 3 2021</v>
      </c>
      <c r="D1855" t="str">
        <f>_xll.BDP("FNBU1417 Mtge","CRNCY")</f>
        <v>USD</v>
      </c>
      <c r="E1855">
        <v>215906751</v>
      </c>
      <c r="F1855">
        <f>_xll.BDP("FNBU1417 Mtge","CPN")</f>
        <v>3</v>
      </c>
      <c r="G1855">
        <f>_xll.BDP("FNBU1417 Mtge","MTG_FACTOR")</f>
        <v>0.73906340000000004</v>
      </c>
      <c r="H1855">
        <f>_xll.BDP("FNBU1417 Mtge","MTG_WAL")</f>
        <v>8.4240999999999993</v>
      </c>
      <c r="I1855" t="str">
        <f>_xll.BDP("FNBU1417 Mtge","MTG_ORIG_WAL")</f>
        <v>#N/A N/A</v>
      </c>
    </row>
    <row r="1856" spans="1:9" x14ac:dyDescent="0.25">
      <c r="A1856" t="str">
        <f>_xll.BDP("FNBU1639 Mtge","ID_CUSIP")</f>
        <v>3140M2ZD7</v>
      </c>
      <c r="B1856" t="str">
        <f>_xll.BDP("FNBU1639 Mtge","SECURITY_NAME")</f>
        <v>FN BU1639</v>
      </c>
      <c r="C1856" t="str">
        <f>_xll.BDP("FNBU1639 Mtge","GENERIC_TICKER_VINTAGE")</f>
        <v>FNCL 3 2021</v>
      </c>
      <c r="D1856" t="str">
        <f>_xll.BDP("FNBU1639 Mtge","CRNCY")</f>
        <v>USD</v>
      </c>
      <c r="E1856">
        <v>6023502</v>
      </c>
      <c r="F1856">
        <f>_xll.BDP("FNBU1639 Mtge","CPN")</f>
        <v>3</v>
      </c>
      <c r="G1856">
        <f>_xll.BDP("FNBU1639 Mtge","MTG_FACTOR")</f>
        <v>0.61218424000000005</v>
      </c>
      <c r="H1856">
        <f>_xll.BDP("FNBU1639 Mtge","MTG_WAL")</f>
        <v>8.4153000000000002</v>
      </c>
      <c r="I1856" t="str">
        <f>_xll.BDP("FNBU1639 Mtge","MTG_ORIG_WAL")</f>
        <v>#N/A N/A</v>
      </c>
    </row>
    <row r="1857" spans="1:9" x14ac:dyDescent="0.25">
      <c r="A1857" t="str">
        <f>_xll.BDP("FNBU1789 Mtge","ID_CUSIP")</f>
        <v>3140M27B2</v>
      </c>
      <c r="B1857" t="str">
        <f>_xll.BDP("FNBU1789 Mtge","SECURITY_NAME")</f>
        <v>FN BU1789</v>
      </c>
      <c r="C1857" t="str">
        <f>_xll.BDP("FNBU1789 Mtge","GENERIC_TICKER_VINTAGE")</f>
        <v>FNCL 3 2021</v>
      </c>
      <c r="D1857" t="str">
        <f>_xll.BDP("FNBU1789 Mtge","CRNCY")</f>
        <v>USD</v>
      </c>
      <c r="E1857">
        <v>1006352</v>
      </c>
      <c r="F1857">
        <f>_xll.BDP("FNBU1789 Mtge","CPN")</f>
        <v>3</v>
      </c>
      <c r="G1857">
        <f>_xll.BDP("FNBU1789 Mtge","MTG_FACTOR")</f>
        <v>0.73362784000000003</v>
      </c>
      <c r="H1857">
        <f>_xll.BDP("FNBU1789 Mtge","MTG_WAL")</f>
        <v>8.3292999999999999</v>
      </c>
      <c r="I1857" t="str">
        <f>_xll.BDP("FNBU1789 Mtge","MTG_ORIG_WAL")</f>
        <v>#N/A N/A</v>
      </c>
    </row>
    <row r="1858" spans="1:9" x14ac:dyDescent="0.25">
      <c r="A1858" t="str">
        <f>_xll.BDP("FNBU1950 Mtge","ID_CUSIP")</f>
        <v>3140M3EY2</v>
      </c>
      <c r="B1858" t="str">
        <f>_xll.BDP("FNBU1950 Mtge","SECURITY_NAME")</f>
        <v>FN BU1950</v>
      </c>
      <c r="C1858" t="str">
        <f>_xll.BDP("FNBU1950 Mtge","GENERIC_TICKER_VINTAGE")</f>
        <v>FNCL 3 2021</v>
      </c>
      <c r="D1858" t="str">
        <f>_xll.BDP("FNBU1950 Mtge","CRNCY")</f>
        <v>USD</v>
      </c>
      <c r="E1858">
        <v>1968369</v>
      </c>
      <c r="F1858">
        <f>_xll.BDP("FNBU1950 Mtge","CPN")</f>
        <v>3</v>
      </c>
      <c r="G1858">
        <f>_xll.BDP("FNBU1950 Mtge","MTG_FACTOR")</f>
        <v>0.79610101</v>
      </c>
      <c r="H1858">
        <f>_xll.BDP("FNBU1950 Mtge","MTG_WAL")</f>
        <v>8.4123000000000001</v>
      </c>
      <c r="I1858" t="str">
        <f>_xll.BDP("FNBU1950 Mtge","MTG_ORIG_WAL")</f>
        <v>#N/A N/A</v>
      </c>
    </row>
    <row r="1859" spans="1:9" x14ac:dyDescent="0.25">
      <c r="A1859" t="str">
        <f>_xll.BDP("FNBU1963 Mtge","ID_CUSIP")</f>
        <v>3140M3FD7</v>
      </c>
      <c r="B1859" t="str">
        <f>_xll.BDP("FNBU1963 Mtge","SECURITY_NAME")</f>
        <v>FN BU1963</v>
      </c>
      <c r="C1859" t="str">
        <f>_xll.BDP("FNBU1963 Mtge","GENERIC_TICKER_VINTAGE")</f>
        <v>FNCL 3 2021</v>
      </c>
      <c r="D1859" t="str">
        <f>_xll.BDP("FNBU1963 Mtge","CRNCY")</f>
        <v>USD</v>
      </c>
      <c r="E1859">
        <v>10623943</v>
      </c>
      <c r="F1859">
        <f>_xll.BDP("FNBU1963 Mtge","CPN")</f>
        <v>3</v>
      </c>
      <c r="G1859">
        <f>_xll.BDP("FNBU1963 Mtge","MTG_FACTOR")</f>
        <v>0.58263768999999999</v>
      </c>
      <c r="H1859">
        <f>_xll.BDP("FNBU1963 Mtge","MTG_WAL")</f>
        <v>8.3937000000000008</v>
      </c>
      <c r="I1859" t="str">
        <f>_xll.BDP("FNBU1963 Mtge","MTG_ORIG_WAL")</f>
        <v>#N/A N/A</v>
      </c>
    </row>
    <row r="1860" spans="1:9" x14ac:dyDescent="0.25">
      <c r="A1860" t="str">
        <f>_xll.BDP("FNBU2016 Mtge","ID_CUSIP")</f>
        <v>3140M3G20</v>
      </c>
      <c r="B1860" t="str">
        <f>_xll.BDP("FNBU2016 Mtge","SECURITY_NAME")</f>
        <v>FN BU2016</v>
      </c>
      <c r="C1860" t="str">
        <f>_xll.BDP("FNBU2016 Mtge","GENERIC_TICKER_VINTAGE")</f>
        <v>FNCL 3 2021</v>
      </c>
      <c r="D1860" t="str">
        <f>_xll.BDP("FNBU2016 Mtge","CRNCY")</f>
        <v>USD</v>
      </c>
      <c r="E1860">
        <v>4381215</v>
      </c>
      <c r="F1860">
        <f>_xll.BDP("FNBU2016 Mtge","CPN")</f>
        <v>3</v>
      </c>
      <c r="G1860">
        <f>_xll.BDP("FNBU2016 Mtge","MTG_FACTOR")</f>
        <v>0.86186605000000005</v>
      </c>
      <c r="H1860">
        <f>_xll.BDP("FNBU2016 Mtge","MTG_WAL")</f>
        <v>8.3531999999999993</v>
      </c>
      <c r="I1860" t="str">
        <f>_xll.BDP("FNBU2016 Mtge","MTG_ORIG_WAL")</f>
        <v>#N/A N/A</v>
      </c>
    </row>
    <row r="1861" spans="1:9" x14ac:dyDescent="0.25">
      <c r="A1861" t="str">
        <f>_xll.BDP("FNBU2503 Mtge","ID_CUSIP")</f>
        <v>3140M3X96</v>
      </c>
      <c r="B1861" t="str">
        <f>_xll.BDP("FNBU2503 Mtge","SECURITY_NAME")</f>
        <v>FN BU2503</v>
      </c>
      <c r="C1861" t="str">
        <f>_xll.BDP("FNBU2503 Mtge","GENERIC_TICKER_VINTAGE")</f>
        <v>FNCL 3 2021</v>
      </c>
      <c r="D1861" t="str">
        <f>_xll.BDP("FNBU2503 Mtge","CRNCY")</f>
        <v>USD</v>
      </c>
      <c r="E1861">
        <v>2518906</v>
      </c>
      <c r="F1861">
        <f>_xll.BDP("FNBU2503 Mtge","CPN")</f>
        <v>3</v>
      </c>
      <c r="G1861">
        <f>_xll.BDP("FNBU2503 Mtge","MTG_FACTOR")</f>
        <v>0.78911323</v>
      </c>
      <c r="H1861">
        <f>_xll.BDP("FNBU2503 Mtge","MTG_WAL")</f>
        <v>8.4338999999999995</v>
      </c>
      <c r="I1861" t="str">
        <f>_xll.BDP("FNBU2503 Mtge","MTG_ORIG_WAL")</f>
        <v>#N/A N/A</v>
      </c>
    </row>
    <row r="1862" spans="1:9" x14ac:dyDescent="0.25">
      <c r="A1862" t="str">
        <f>_xll.BDP("FNBU3024 Mtge","ID_CUSIP")</f>
        <v>3140M4LE6</v>
      </c>
      <c r="B1862" t="str">
        <f>_xll.BDP("FNBU3024 Mtge","SECURITY_NAME")</f>
        <v>FN BU3024</v>
      </c>
      <c r="C1862" t="str">
        <f>_xll.BDP("FNBU3024 Mtge","GENERIC_TICKER_VINTAGE")</f>
        <v>FNCL 3 2021</v>
      </c>
      <c r="D1862" t="str">
        <f>_xll.BDP("FNBU3024 Mtge","CRNCY")</f>
        <v>USD</v>
      </c>
      <c r="E1862">
        <v>14151250</v>
      </c>
      <c r="F1862">
        <f>_xll.BDP("FNBU3024 Mtge","CPN")</f>
        <v>3</v>
      </c>
      <c r="G1862">
        <f>_xll.BDP("FNBU3024 Mtge","MTG_FACTOR")</f>
        <v>0.81089796000000003</v>
      </c>
      <c r="H1862">
        <f>_xll.BDP("FNBU3024 Mtge","MTG_WAL")</f>
        <v>8.3531999999999993</v>
      </c>
      <c r="I1862" t="str">
        <f>_xll.BDP("FNBU3024 Mtge","MTG_ORIG_WAL")</f>
        <v>#N/A N/A</v>
      </c>
    </row>
    <row r="1863" spans="1:9" x14ac:dyDescent="0.25">
      <c r="A1863" t="str">
        <f>_xll.BDP("FNBU3079 Mtge","ID_CUSIP")</f>
        <v>3140M4M54</v>
      </c>
      <c r="B1863" t="str">
        <f>_xll.BDP("FNBU3079 Mtge","SECURITY_NAME")</f>
        <v>FN BU3079</v>
      </c>
      <c r="C1863" t="str">
        <f>_xll.BDP("FNBU3079 Mtge","GENERIC_TICKER_VINTAGE")</f>
        <v>FNCL 3 2021</v>
      </c>
      <c r="D1863" t="str">
        <f>_xll.BDP("FNBU3079 Mtge","CRNCY")</f>
        <v>USD</v>
      </c>
      <c r="E1863">
        <v>2126009</v>
      </c>
      <c r="F1863">
        <f>_xll.BDP("FNBU3079 Mtge","CPN")</f>
        <v>3</v>
      </c>
      <c r="G1863">
        <f>_xll.BDP("FNBU3079 Mtge","MTG_FACTOR")</f>
        <v>0.78186199000000001</v>
      </c>
      <c r="H1863">
        <f>_xll.BDP("FNBU3079 Mtge","MTG_WAL")</f>
        <v>8.4466000000000001</v>
      </c>
      <c r="I1863" t="str">
        <f>_xll.BDP("FNBU3079 Mtge","MTG_ORIG_WAL")</f>
        <v>#N/A N/A</v>
      </c>
    </row>
    <row r="1864" spans="1:9" x14ac:dyDescent="0.25">
      <c r="A1864" t="str">
        <f>_xll.BDP("FNBU3391 Mtge","ID_CUSIP")</f>
        <v>3140M4XV5</v>
      </c>
      <c r="B1864" t="str">
        <f>_xll.BDP("FNBU3391 Mtge","SECURITY_NAME")</f>
        <v>FN BU3391</v>
      </c>
      <c r="C1864" t="str">
        <f>_xll.BDP("FNBU3391 Mtge","GENERIC_TICKER_VINTAGE")</f>
        <v>FNCL 3 2021</v>
      </c>
      <c r="D1864" t="str">
        <f>_xll.BDP("FNBU3391 Mtge","CRNCY")</f>
        <v>USD</v>
      </c>
      <c r="E1864">
        <v>3189896</v>
      </c>
      <c r="F1864">
        <f>_xll.BDP("FNBU3391 Mtge","CPN")</f>
        <v>3</v>
      </c>
      <c r="G1864">
        <f>_xll.BDP("FNBU3391 Mtge","MTG_FACTOR")</f>
        <v>0.81958127999999997</v>
      </c>
      <c r="H1864">
        <f>_xll.BDP("FNBU3391 Mtge","MTG_WAL")</f>
        <v>8.4515999999999991</v>
      </c>
      <c r="I1864" t="str">
        <f>_xll.BDP("FNBU3391 Mtge","MTG_ORIG_WAL")</f>
        <v>#N/A N/A</v>
      </c>
    </row>
    <row r="1865" spans="1:9" x14ac:dyDescent="0.25">
      <c r="A1865" t="str">
        <f>_xll.BDP("FNBU3893 Mtge","ID_CUSIP")</f>
        <v>3140M5KF1</v>
      </c>
      <c r="B1865" t="str">
        <f>_xll.BDP("FNBU3893 Mtge","SECURITY_NAME")</f>
        <v>FN BU3893</v>
      </c>
      <c r="C1865" t="str">
        <f>_xll.BDP("FNBU3893 Mtge","GENERIC_TICKER_VINTAGE")</f>
        <v>FNCL 3 2021</v>
      </c>
      <c r="D1865" t="str">
        <f>_xll.BDP("FNBU3893 Mtge","CRNCY")</f>
        <v>USD</v>
      </c>
      <c r="E1865">
        <v>4968182</v>
      </c>
      <c r="F1865">
        <f>_xll.BDP("FNBU3893 Mtge","CPN")</f>
        <v>3</v>
      </c>
      <c r="G1865">
        <f>_xll.BDP("FNBU3893 Mtge","MTG_FACTOR")</f>
        <v>0.62161438000000002</v>
      </c>
      <c r="H1865">
        <f>_xll.BDP("FNBU3893 Mtge","MTG_WAL")</f>
        <v>8.4642999999999997</v>
      </c>
      <c r="I1865" t="str">
        <f>_xll.BDP("FNBU3893 Mtge","MTG_ORIG_WAL")</f>
        <v>#N/A N/A</v>
      </c>
    </row>
    <row r="1866" spans="1:9" x14ac:dyDescent="0.25">
      <c r="A1866" t="str">
        <f>_xll.BDP("FNBU5672 Mtge","ID_CUSIP")</f>
        <v>3140M7JS1</v>
      </c>
      <c r="B1866" t="str">
        <f>_xll.BDP("FNBU5672 Mtge","SECURITY_NAME")</f>
        <v>FN BU5672</v>
      </c>
      <c r="C1866" t="str">
        <f>_xll.BDP("FNBU5672 Mtge","GENERIC_TICKER_VINTAGE")</f>
        <v>FNCL 6 2025</v>
      </c>
      <c r="D1866" t="str">
        <f>_xll.BDP("FNBU5672 Mtge","CRNCY")</f>
        <v>USD</v>
      </c>
      <c r="E1866">
        <v>45832728</v>
      </c>
      <c r="F1866">
        <f>_xll.BDP("FNBU5672 Mtge","CPN")</f>
        <v>6</v>
      </c>
      <c r="G1866">
        <f>_xll.BDP("FNBU5672 Mtge","MTG_FACTOR")</f>
        <v>0.85958610000000002</v>
      </c>
      <c r="H1866">
        <f>_xll.BDP("FNBU5672 Mtge","MTG_WAL")</f>
        <v>3.1526999999999998</v>
      </c>
      <c r="I1866" t="str">
        <f>_xll.BDP("FNBU5672 Mtge","MTG_ORIG_WAL")</f>
        <v>#N/A N/A</v>
      </c>
    </row>
    <row r="1867" spans="1:9" x14ac:dyDescent="0.25">
      <c r="A1867" t="str">
        <f>_xll.BDP("FNBU5747 Mtge","ID_CUSIP")</f>
        <v>3140M7L58</v>
      </c>
      <c r="B1867" t="str">
        <f>_xll.BDP("FNBU5747 Mtge","SECURITY_NAME")</f>
        <v>FN BU5747</v>
      </c>
      <c r="C1867" t="str">
        <f>_xll.BDP("FNBU5747 Mtge","GENERIC_TICKER_VINTAGE")</f>
        <v>FNCL 6 2025</v>
      </c>
      <c r="D1867" t="str">
        <f>_xll.BDP("FNBU5747 Mtge","CRNCY")</f>
        <v>USD</v>
      </c>
      <c r="E1867">
        <v>1212001</v>
      </c>
      <c r="F1867">
        <f>_xll.BDP("FNBU5747 Mtge","CPN")</f>
        <v>6</v>
      </c>
      <c r="G1867">
        <f>_xll.BDP("FNBU5747 Mtge","MTG_FACTOR")</f>
        <v>0.71214624000000004</v>
      </c>
      <c r="H1867">
        <f>_xll.BDP("FNBU5747 Mtge","MTG_WAL")</f>
        <v>3.1621000000000001</v>
      </c>
      <c r="I1867" t="str">
        <f>_xll.BDP("FNBU5747 Mtge","MTG_ORIG_WAL")</f>
        <v>#N/A N/A</v>
      </c>
    </row>
    <row r="1868" spans="1:9" x14ac:dyDescent="0.25">
      <c r="A1868" t="str">
        <f>_xll.BDP("FNBU5758 Mtge","ID_CUSIP")</f>
        <v>3140M7MG3</v>
      </c>
      <c r="B1868" t="str">
        <f>_xll.BDP("FNBU5758 Mtge","SECURITY_NAME")</f>
        <v>FN BU5758</v>
      </c>
      <c r="C1868" t="str">
        <f>_xll.BDP("FNBU5758 Mtge","GENERIC_TICKER_VINTAGE")</f>
        <v>FNCL 6 2025</v>
      </c>
      <c r="D1868" t="str">
        <f>_xll.BDP("FNBU5758 Mtge","CRNCY")</f>
        <v>USD</v>
      </c>
      <c r="E1868">
        <v>2535178</v>
      </c>
      <c r="F1868">
        <f>_xll.BDP("FNBU5758 Mtge","CPN")</f>
        <v>6</v>
      </c>
      <c r="G1868">
        <f>_xll.BDP("FNBU5758 Mtge","MTG_FACTOR")</f>
        <v>0.86145945999999995</v>
      </c>
      <c r="H1868">
        <f>_xll.BDP("FNBU5758 Mtge","MTG_WAL")</f>
        <v>3.2025999999999999</v>
      </c>
      <c r="I1868" t="str">
        <f>_xll.BDP("FNBU5758 Mtge","MTG_ORIG_WAL")</f>
        <v>#N/A N/A</v>
      </c>
    </row>
    <row r="1869" spans="1:9" x14ac:dyDescent="0.25">
      <c r="A1869" t="str">
        <f>_xll.BDP("FNBU5772 Mtge","ID_CUSIP")</f>
        <v>3140M7MW8</v>
      </c>
      <c r="B1869" t="str">
        <f>_xll.BDP("FNBU5772 Mtge","SECURITY_NAME")</f>
        <v>FN BU5772</v>
      </c>
      <c r="C1869" t="str">
        <f>_xll.BDP("FNBU5772 Mtge","GENERIC_TICKER_VINTAGE")</f>
        <v>FNCL 6 2025</v>
      </c>
      <c r="D1869" t="str">
        <f>_xll.BDP("FNBU5772 Mtge","CRNCY")</f>
        <v>USD</v>
      </c>
      <c r="E1869">
        <v>2589462</v>
      </c>
      <c r="F1869">
        <f>_xll.BDP("FNBU5772 Mtge","CPN")</f>
        <v>6</v>
      </c>
      <c r="G1869">
        <f>_xll.BDP("FNBU5772 Mtge","MTG_FACTOR")</f>
        <v>0.80284504999999995</v>
      </c>
      <c r="H1869">
        <f>_xll.BDP("FNBU5772 Mtge","MTG_WAL")</f>
        <v>3.1591999999999998</v>
      </c>
      <c r="I1869" t="str">
        <f>_xll.BDP("FNBU5772 Mtge","MTG_ORIG_WAL")</f>
        <v>#N/A N/A</v>
      </c>
    </row>
    <row r="1870" spans="1:9" x14ac:dyDescent="0.25">
      <c r="A1870" t="str">
        <f>_xll.BDP("FNBU5776 Mtge","ID_CUSIP")</f>
        <v>3140M7M24</v>
      </c>
      <c r="B1870" t="str">
        <f>_xll.BDP("FNBU5776 Mtge","SECURITY_NAME")</f>
        <v>FN BU5776</v>
      </c>
      <c r="C1870" t="str">
        <f>_xll.BDP("FNBU5776 Mtge","GENERIC_TICKER_VINTAGE")</f>
        <v>FNCL 6 2025</v>
      </c>
      <c r="D1870" t="str">
        <f>_xll.BDP("FNBU5776 Mtge","CRNCY")</f>
        <v>USD</v>
      </c>
      <c r="E1870">
        <v>2037628</v>
      </c>
      <c r="F1870">
        <f>_xll.BDP("FNBU5776 Mtge","CPN")</f>
        <v>6</v>
      </c>
      <c r="G1870">
        <f>_xll.BDP("FNBU5776 Mtge","MTG_FACTOR")</f>
        <v>0.98898774</v>
      </c>
      <c r="H1870">
        <f>_xll.BDP("FNBU5776 Mtge","MTG_WAL")</f>
        <v>3.1595</v>
      </c>
      <c r="I1870" t="str">
        <f>_xll.BDP("FNBU5776 Mtge","MTG_ORIG_WAL")</f>
        <v>#N/A N/A</v>
      </c>
    </row>
    <row r="1871" spans="1:9" x14ac:dyDescent="0.25">
      <c r="A1871" t="str">
        <f>_xll.BDP("FNBU5777 Mtge","ID_CUSIP")</f>
        <v>3140M7M32</v>
      </c>
      <c r="B1871" t="str">
        <f>_xll.BDP("FNBU5777 Mtge","SECURITY_NAME")</f>
        <v>FN BU5777</v>
      </c>
      <c r="C1871" t="str">
        <f>_xll.BDP("FNBU5777 Mtge","GENERIC_TICKER_VINTAGE")</f>
        <v>FNCL 6 2025</v>
      </c>
      <c r="D1871" t="str">
        <f>_xll.BDP("FNBU5777 Mtge","CRNCY")</f>
        <v>USD</v>
      </c>
      <c r="E1871">
        <v>1236118</v>
      </c>
      <c r="F1871">
        <f>_xll.BDP("FNBU5777 Mtge","CPN")</f>
        <v>6</v>
      </c>
      <c r="G1871">
        <f>_xll.BDP("FNBU5777 Mtge","MTG_FACTOR")</f>
        <v>0.98320107000000001</v>
      </c>
      <c r="H1871">
        <f>_xll.BDP("FNBU5777 Mtge","MTG_WAL")</f>
        <v>3.1554000000000002</v>
      </c>
      <c r="I1871" t="str">
        <f>_xll.BDP("FNBU5777 Mtge","MTG_ORIG_WAL")</f>
        <v>#N/A N/A</v>
      </c>
    </row>
    <row r="1872" spans="1:9" x14ac:dyDescent="0.25">
      <c r="A1872" t="str">
        <f>_xll.BDP("FNBU5790 Mtge","ID_CUSIP")</f>
        <v>3140M7NG2</v>
      </c>
      <c r="B1872" t="str">
        <f>_xll.BDP("FNBU5790 Mtge","SECURITY_NAME")</f>
        <v>FN BU5790</v>
      </c>
      <c r="C1872" t="str">
        <f>_xll.BDP("FNBU5790 Mtge","GENERIC_TICKER_VINTAGE")</f>
        <v>FNCL 6 2025</v>
      </c>
      <c r="D1872" t="str">
        <f>_xll.BDP("FNBU5790 Mtge","CRNCY")</f>
        <v>USD</v>
      </c>
      <c r="E1872">
        <v>4561421</v>
      </c>
      <c r="F1872">
        <f>_xll.BDP("FNBU5790 Mtge","CPN")</f>
        <v>6</v>
      </c>
      <c r="G1872">
        <f>_xll.BDP("FNBU5790 Mtge","MTG_FACTOR")</f>
        <v>0.9157035</v>
      </c>
      <c r="H1872">
        <f>_xll.BDP("FNBU5790 Mtge","MTG_WAL")</f>
        <v>3.1558999999999999</v>
      </c>
      <c r="I1872" t="str">
        <f>_xll.BDP("FNBU5790 Mtge","MTG_ORIG_WAL")</f>
        <v>#N/A N/A</v>
      </c>
    </row>
    <row r="1873" spans="1:9" x14ac:dyDescent="0.25">
      <c r="A1873" t="str">
        <f>_xll.BDP("FNBU5792 Mtge","ID_CUSIP")</f>
        <v>3140M7NJ6</v>
      </c>
      <c r="B1873" t="str">
        <f>_xll.BDP("FNBU5792 Mtge","SECURITY_NAME")</f>
        <v>FN BU5792</v>
      </c>
      <c r="C1873" t="str">
        <f>_xll.BDP("FNBU5792 Mtge","GENERIC_TICKER_VINTAGE")</f>
        <v>FNCL 6 2025</v>
      </c>
      <c r="D1873" t="str">
        <f>_xll.BDP("FNBU5792 Mtge","CRNCY")</f>
        <v>USD</v>
      </c>
      <c r="E1873">
        <v>30135767</v>
      </c>
      <c r="F1873">
        <f>_xll.BDP("FNBU5792 Mtge","CPN")</f>
        <v>6</v>
      </c>
      <c r="G1873">
        <f>_xll.BDP("FNBU5792 Mtge","MTG_FACTOR")</f>
        <v>0.69691066999999995</v>
      </c>
      <c r="H1873">
        <f>_xll.BDP("FNBU5792 Mtge","MTG_WAL")</f>
        <v>3.16</v>
      </c>
      <c r="I1873" t="str">
        <f>_xll.BDP("FNBU5792 Mtge","MTG_ORIG_WAL")</f>
        <v>#N/A N/A</v>
      </c>
    </row>
    <row r="1874" spans="1:9" x14ac:dyDescent="0.25">
      <c r="A1874" t="str">
        <f>_xll.BDP("FNBU5796 Mtge","ID_CUSIP")</f>
        <v>3140M7NN7</v>
      </c>
      <c r="B1874" t="str">
        <f>_xll.BDP("FNBU5796 Mtge","SECURITY_NAME")</f>
        <v>FN BU5796</v>
      </c>
      <c r="C1874" t="str">
        <f>_xll.BDP("FNBU5796 Mtge","GENERIC_TICKER_VINTAGE")</f>
        <v>FNCL 6 2025</v>
      </c>
      <c r="D1874" t="str">
        <f>_xll.BDP("FNBU5796 Mtge","CRNCY")</f>
        <v>USD</v>
      </c>
      <c r="E1874">
        <v>2711581</v>
      </c>
      <c r="F1874">
        <f>_xll.BDP("FNBU5796 Mtge","CPN")</f>
        <v>6</v>
      </c>
      <c r="G1874">
        <f>_xll.BDP("FNBU5796 Mtge","MTG_FACTOR")</f>
        <v>0.95090825000000001</v>
      </c>
      <c r="H1874">
        <f>_xll.BDP("FNBU5796 Mtge","MTG_WAL")</f>
        <v>3.1869000000000001</v>
      </c>
      <c r="I1874" t="str">
        <f>_xll.BDP("FNBU5796 Mtge","MTG_ORIG_WAL")</f>
        <v>#N/A N/A</v>
      </c>
    </row>
    <row r="1875" spans="1:9" x14ac:dyDescent="0.25">
      <c r="A1875" t="str">
        <f>_xll.BDP("FNBU5799 Mtge","ID_CUSIP")</f>
        <v>3140M7NR8</v>
      </c>
      <c r="B1875" t="str">
        <f>_xll.BDP("FNBU5799 Mtge","SECURITY_NAME")</f>
        <v>FN BU5799</v>
      </c>
      <c r="C1875" t="str">
        <f>_xll.BDP("FNBU5799 Mtge","GENERIC_TICKER_VINTAGE")</f>
        <v>FNCL 6 2025</v>
      </c>
      <c r="D1875" t="str">
        <f>_xll.BDP("FNBU5799 Mtge","CRNCY")</f>
        <v>USD</v>
      </c>
      <c r="E1875">
        <v>3905022</v>
      </c>
      <c r="F1875">
        <f>_xll.BDP("FNBU5799 Mtge","CPN")</f>
        <v>6</v>
      </c>
      <c r="G1875">
        <f>_xll.BDP("FNBU5799 Mtge","MTG_FACTOR")</f>
        <v>0.85643175000000005</v>
      </c>
      <c r="H1875">
        <f>_xll.BDP("FNBU5799 Mtge","MTG_WAL")</f>
        <v>3.1959</v>
      </c>
      <c r="I1875" t="str">
        <f>_xll.BDP("FNBU5799 Mtge","MTG_ORIG_WAL")</f>
        <v>#N/A N/A</v>
      </c>
    </row>
    <row r="1876" spans="1:9" x14ac:dyDescent="0.25">
      <c r="A1876" t="str">
        <f>_xll.BDP("FNBU5809 Mtge","ID_CUSIP")</f>
        <v>3140M7N31</v>
      </c>
      <c r="B1876" t="str">
        <f>_xll.BDP("FNBU5809 Mtge","SECURITY_NAME")</f>
        <v>FN BU5809</v>
      </c>
      <c r="C1876" t="str">
        <f>_xll.BDP("FNBU5809 Mtge","GENERIC_TICKER_VINTAGE")</f>
        <v>FNCL 6 2025</v>
      </c>
      <c r="D1876" t="str">
        <f>_xll.BDP("FNBU5809 Mtge","CRNCY")</f>
        <v>USD</v>
      </c>
      <c r="E1876">
        <v>21868529</v>
      </c>
      <c r="F1876">
        <f>_xll.BDP("FNBU5809 Mtge","CPN")</f>
        <v>6</v>
      </c>
      <c r="G1876">
        <f>_xll.BDP("FNBU5809 Mtge","MTG_FACTOR")</f>
        <v>0.81282653999999999</v>
      </c>
      <c r="H1876">
        <f>_xll.BDP("FNBU5809 Mtge","MTG_WAL")</f>
        <v>3.1583999999999999</v>
      </c>
      <c r="I1876" t="str">
        <f>_xll.BDP("FNBU5809 Mtge","MTG_ORIG_WAL")</f>
        <v>#N/A N/A</v>
      </c>
    </row>
    <row r="1877" spans="1:9" x14ac:dyDescent="0.25">
      <c r="A1877" t="str">
        <f>_xll.BDP("FNBU5811 Mtge","ID_CUSIP")</f>
        <v>3140M7N56</v>
      </c>
      <c r="B1877" t="str">
        <f>_xll.BDP("FNBU5811 Mtge","SECURITY_NAME")</f>
        <v>FN BU5811</v>
      </c>
      <c r="C1877" t="str">
        <f>_xll.BDP("FNBU5811 Mtge","GENERIC_TICKER_VINTAGE")</f>
        <v>FNCL 6 2025</v>
      </c>
      <c r="D1877" t="str">
        <f>_xll.BDP("FNBU5811 Mtge","CRNCY")</f>
        <v>USD</v>
      </c>
      <c r="E1877">
        <v>41472231</v>
      </c>
      <c r="F1877">
        <f>_xll.BDP("FNBU5811 Mtge","CPN")</f>
        <v>6</v>
      </c>
      <c r="G1877">
        <f>_xll.BDP("FNBU5811 Mtge","MTG_FACTOR")</f>
        <v>0.92925712999999999</v>
      </c>
      <c r="H1877">
        <f>_xll.BDP("FNBU5811 Mtge","MTG_WAL")</f>
        <v>3.1945999999999999</v>
      </c>
      <c r="I1877" t="str">
        <f>_xll.BDP("FNBU5811 Mtge","MTG_ORIG_WAL")</f>
        <v>#N/A N/A</v>
      </c>
    </row>
    <row r="1878" spans="1:9" x14ac:dyDescent="0.25">
      <c r="A1878" t="str">
        <f>_xll.BDP("FNBU5816 Mtge","ID_CUSIP")</f>
        <v>3140M7PA3</v>
      </c>
      <c r="B1878" t="str">
        <f>_xll.BDP("FNBU5816 Mtge","SECURITY_NAME")</f>
        <v>FN BU5816</v>
      </c>
      <c r="C1878" t="str">
        <f>_xll.BDP("FNBU5816 Mtge","GENERIC_TICKER_VINTAGE")</f>
        <v>FNCL 6 2025</v>
      </c>
      <c r="D1878" t="str">
        <f>_xll.BDP("FNBU5816 Mtge","CRNCY")</f>
        <v>USD</v>
      </c>
      <c r="E1878">
        <v>21584331</v>
      </c>
      <c r="F1878">
        <f>_xll.BDP("FNBU5816 Mtge","CPN")</f>
        <v>6</v>
      </c>
      <c r="G1878">
        <f>_xll.BDP("FNBU5816 Mtge","MTG_FACTOR")</f>
        <v>0.81917609000000002</v>
      </c>
      <c r="H1878">
        <f>_xll.BDP("FNBU5816 Mtge","MTG_WAL")</f>
        <v>3.2018</v>
      </c>
      <c r="I1878" t="str">
        <f>_xll.BDP("FNBU5816 Mtge","MTG_ORIG_WAL")</f>
        <v>#N/A N/A</v>
      </c>
    </row>
    <row r="1879" spans="1:9" x14ac:dyDescent="0.25">
      <c r="A1879" t="str">
        <f>_xll.BDP("FNBU5827 Mtge","ID_CUSIP")</f>
        <v>3140M7PM7</v>
      </c>
      <c r="B1879" t="str">
        <f>_xll.BDP("FNBU5827 Mtge","SECURITY_NAME")</f>
        <v>FN BU5827</v>
      </c>
      <c r="C1879" t="str">
        <f>_xll.BDP("FNBU5827 Mtge","GENERIC_TICKER_VINTAGE")</f>
        <v>FNCL 6 2025</v>
      </c>
      <c r="D1879" t="str">
        <f>_xll.BDP("FNBU5827 Mtge","CRNCY")</f>
        <v>USD</v>
      </c>
      <c r="E1879">
        <v>2513352</v>
      </c>
      <c r="F1879">
        <f>_xll.BDP("FNBU5827 Mtge","CPN")</f>
        <v>6</v>
      </c>
      <c r="G1879">
        <f>_xll.BDP("FNBU5827 Mtge","MTG_FACTOR")</f>
        <v>0.79294637000000001</v>
      </c>
      <c r="H1879">
        <f>_xll.BDP("FNBU5827 Mtge","MTG_WAL")</f>
        <v>3.1644999999999999</v>
      </c>
      <c r="I1879" t="str">
        <f>_xll.BDP("FNBU5827 Mtge","MTG_ORIG_WAL")</f>
        <v>#N/A N/A</v>
      </c>
    </row>
    <row r="1880" spans="1:9" x14ac:dyDescent="0.25">
      <c r="A1880" t="str">
        <f>_xll.BDP("FNBU5830 Mtge","ID_CUSIP")</f>
        <v>3140M7PQ8</v>
      </c>
      <c r="B1880" t="str">
        <f>_xll.BDP("FNBU5830 Mtge","SECURITY_NAME")</f>
        <v>FN BU5830</v>
      </c>
      <c r="C1880" t="str">
        <f>_xll.BDP("FNBU5830 Mtge","GENERIC_TICKER_VINTAGE")</f>
        <v>FNCL 6 2025</v>
      </c>
      <c r="D1880" t="str">
        <f>_xll.BDP("FNBU5830 Mtge","CRNCY")</f>
        <v>USD</v>
      </c>
      <c r="E1880">
        <v>34354143</v>
      </c>
      <c r="F1880">
        <f>_xll.BDP("FNBU5830 Mtge","CPN")</f>
        <v>6</v>
      </c>
      <c r="G1880">
        <f>_xll.BDP("FNBU5830 Mtge","MTG_FACTOR")</f>
        <v>0.65735454999999998</v>
      </c>
      <c r="H1880">
        <f>_xll.BDP("FNBU5830 Mtge","MTG_WAL")</f>
        <v>3.1581000000000001</v>
      </c>
      <c r="I1880" t="str">
        <f>_xll.BDP("FNBU5830 Mtge","MTG_ORIG_WAL")</f>
        <v>#N/A N/A</v>
      </c>
    </row>
    <row r="1881" spans="1:9" x14ac:dyDescent="0.25">
      <c r="A1881" t="str">
        <f>_xll.BDP("FNBU5832 Mtge","ID_CUSIP")</f>
        <v>3140M7PS4</v>
      </c>
      <c r="B1881" t="str">
        <f>_xll.BDP("FNBU5832 Mtge","SECURITY_NAME")</f>
        <v>FN BU5832</v>
      </c>
      <c r="C1881" t="str">
        <f>_xll.BDP("FNBU5832 Mtge","GENERIC_TICKER_VINTAGE")</f>
        <v>FNCL 6 2025</v>
      </c>
      <c r="D1881" t="str">
        <f>_xll.BDP("FNBU5832 Mtge","CRNCY")</f>
        <v>USD</v>
      </c>
      <c r="E1881">
        <v>10747818</v>
      </c>
      <c r="F1881">
        <f>_xll.BDP("FNBU5832 Mtge","CPN")</f>
        <v>6</v>
      </c>
      <c r="G1881">
        <f>_xll.BDP("FNBU5832 Mtge","MTG_FACTOR")</f>
        <v>0.97962174999999996</v>
      </c>
      <c r="H1881">
        <f>_xll.BDP("FNBU5832 Mtge","MTG_WAL")</f>
        <v>3.1558999999999999</v>
      </c>
      <c r="I1881" t="str">
        <f>_xll.BDP("FNBU5832 Mtge","MTG_ORIG_WAL")</f>
        <v>#N/A N/A</v>
      </c>
    </row>
    <row r="1882" spans="1:9" x14ac:dyDescent="0.25">
      <c r="A1882" t="str">
        <f>_xll.BDP("FNBU5859 Mtge","ID_CUSIP")</f>
        <v>3140M7QM6</v>
      </c>
      <c r="B1882" t="str">
        <f>_xll.BDP("FNBU5859 Mtge","SECURITY_NAME")</f>
        <v>FN BU5859</v>
      </c>
      <c r="C1882" t="str">
        <f>_xll.BDP("FNBU5859 Mtge","GENERIC_TICKER_VINTAGE")</f>
        <v>FNCL 3 2021</v>
      </c>
      <c r="D1882" t="str">
        <f>_xll.BDP("FNBU5859 Mtge","CRNCY")</f>
        <v>USD</v>
      </c>
      <c r="E1882">
        <v>9954736</v>
      </c>
      <c r="F1882">
        <f>_xll.BDP("FNBU5859 Mtge","CPN")</f>
        <v>3</v>
      </c>
      <c r="G1882">
        <f>_xll.BDP("FNBU5859 Mtge","MTG_FACTOR")</f>
        <v>0.63526123999999995</v>
      </c>
      <c r="H1882">
        <f>_xll.BDP("FNBU5859 Mtge","MTG_WAL")</f>
        <v>8.4269999999999996</v>
      </c>
      <c r="I1882" t="str">
        <f>_xll.BDP("FNBU5859 Mtge","MTG_ORIG_WAL")</f>
        <v>#N/A N/A</v>
      </c>
    </row>
    <row r="1883" spans="1:9" x14ac:dyDescent="0.25">
      <c r="A1883" t="str">
        <f>_xll.BDP("FNBU5892 Mtge","ID_CUSIP")</f>
        <v>3140M7RN3</v>
      </c>
      <c r="B1883" t="str">
        <f>_xll.BDP("FNBU5892 Mtge","SECURITY_NAME")</f>
        <v>FN BU5892</v>
      </c>
      <c r="C1883" t="str">
        <f>_xll.BDP("FNBU5892 Mtge","GENERIC_TICKER_VINTAGE")</f>
        <v>FNCL 3 2021</v>
      </c>
      <c r="D1883" t="str">
        <f>_xll.BDP("FNBU5892 Mtge","CRNCY")</f>
        <v>USD</v>
      </c>
      <c r="E1883">
        <v>13688993</v>
      </c>
      <c r="F1883">
        <f>_xll.BDP("FNBU5892 Mtge","CPN")</f>
        <v>3</v>
      </c>
      <c r="G1883">
        <f>_xll.BDP("FNBU5892 Mtge","MTG_FACTOR")</f>
        <v>0.51280296000000003</v>
      </c>
      <c r="H1883">
        <f>_xll.BDP("FNBU5892 Mtge","MTG_WAL")</f>
        <v>8.4030000000000005</v>
      </c>
      <c r="I1883" t="str">
        <f>_xll.BDP("FNBU5892 Mtge","MTG_ORIG_WAL")</f>
        <v>#N/A N/A</v>
      </c>
    </row>
    <row r="1884" spans="1:9" x14ac:dyDescent="0.25">
      <c r="A1884" t="str">
        <f>_xll.BDP("FNBU5925 Mtge","ID_CUSIP")</f>
        <v>3140M7SP7</v>
      </c>
      <c r="B1884" t="str">
        <f>_xll.BDP("FNBU5925 Mtge","SECURITY_NAME")</f>
        <v>FN BU5925</v>
      </c>
      <c r="C1884" t="str">
        <f>_xll.BDP("FNBU5925 Mtge","GENERIC_TICKER_VINTAGE")</f>
        <v>FNCL 3 2021</v>
      </c>
      <c r="D1884" t="str">
        <f>_xll.BDP("FNBU5925 Mtge","CRNCY")</f>
        <v>USD</v>
      </c>
      <c r="E1884">
        <v>13298953</v>
      </c>
      <c r="F1884">
        <f>_xll.BDP("FNBU5925 Mtge","CPN")</f>
        <v>3</v>
      </c>
      <c r="G1884">
        <f>_xll.BDP("FNBU5925 Mtge","MTG_FACTOR")</f>
        <v>0.63216642000000001</v>
      </c>
      <c r="H1884">
        <f>_xll.BDP("FNBU5925 Mtge","MTG_WAL")</f>
        <v>8.3798999999999992</v>
      </c>
      <c r="I1884" t="str">
        <f>_xll.BDP("FNBU5925 Mtge","MTG_ORIG_WAL")</f>
        <v>#N/A N/A</v>
      </c>
    </row>
    <row r="1885" spans="1:9" x14ac:dyDescent="0.25">
      <c r="A1885" t="str">
        <f>_xll.BDP("FNBU7502 Mtge","ID_CUSIP")</f>
        <v>3140M9KQ9</v>
      </c>
      <c r="B1885" t="str">
        <f>_xll.BDP("FNBU7502 Mtge","SECURITY_NAME")</f>
        <v>FN BU7502</v>
      </c>
      <c r="C1885" t="str">
        <f>_xll.BDP("FNBU7502 Mtge","GENERIC_TICKER_VINTAGE")</f>
        <v>FNCL 3 2021</v>
      </c>
      <c r="D1885" t="str">
        <f>_xll.BDP("FNBU7502 Mtge","CRNCY")</f>
        <v>USD</v>
      </c>
      <c r="E1885">
        <v>21376932</v>
      </c>
      <c r="F1885">
        <f>_xll.BDP("FNBU7502 Mtge","CPN")</f>
        <v>3</v>
      </c>
      <c r="G1885">
        <f>_xll.BDP("FNBU7502 Mtge","MTG_FACTOR")</f>
        <v>0.63171893999999995</v>
      </c>
      <c r="H1885">
        <f>_xll.BDP("FNBU7502 Mtge","MTG_WAL")</f>
        <v>8.4388000000000005</v>
      </c>
      <c r="I1885" t="str">
        <f>_xll.BDP("FNBU7502 Mtge","MTG_ORIG_WAL")</f>
        <v>#N/A N/A</v>
      </c>
    </row>
    <row r="1886" spans="1:9" x14ac:dyDescent="0.25">
      <c r="A1886" t="str">
        <f>_xll.BDP("FNBU7572 Mtge","ID_CUSIP")</f>
        <v>3140M9MW4</v>
      </c>
      <c r="B1886" t="str">
        <f>_xll.BDP("FNBU7572 Mtge","SECURITY_NAME")</f>
        <v>FN BU7572</v>
      </c>
      <c r="C1886" t="str">
        <f>_xll.BDP("FNBU7572 Mtge","GENERIC_TICKER_VINTAGE")</f>
        <v>FNCL 3 2021</v>
      </c>
      <c r="D1886" t="str">
        <f>_xll.BDP("FNBU7572 Mtge","CRNCY")</f>
        <v>USD</v>
      </c>
      <c r="E1886">
        <v>21319257</v>
      </c>
      <c r="F1886">
        <f>_xll.BDP("FNBU7572 Mtge","CPN")</f>
        <v>3</v>
      </c>
      <c r="G1886">
        <f>_xll.BDP("FNBU7572 Mtge","MTG_FACTOR")</f>
        <v>0.69411663999999995</v>
      </c>
      <c r="H1886">
        <f>_xll.BDP("FNBU7572 Mtge","MTG_WAL")</f>
        <v>8.2725000000000009</v>
      </c>
      <c r="I1886" t="str">
        <f>_xll.BDP("FNBU7572 Mtge","MTG_ORIG_WAL")</f>
        <v>#N/A N/A</v>
      </c>
    </row>
    <row r="1887" spans="1:9" x14ac:dyDescent="0.25">
      <c r="A1887" t="str">
        <f>_xll.BDP("FNBU7573 Mtge","ID_CUSIP")</f>
        <v>3140M9MX2</v>
      </c>
      <c r="B1887" t="str">
        <f>_xll.BDP("FNBU7573 Mtge","SECURITY_NAME")</f>
        <v>FN BU7573</v>
      </c>
      <c r="C1887" t="str">
        <f>_xll.BDP("FNBU7573 Mtge","GENERIC_TICKER_VINTAGE")</f>
        <v>FNCL 3 2021</v>
      </c>
      <c r="D1887" t="str">
        <f>_xll.BDP("FNBU7573 Mtge","CRNCY")</f>
        <v>USD</v>
      </c>
      <c r="E1887">
        <v>31091679</v>
      </c>
      <c r="F1887">
        <f>_xll.BDP("FNBU7573 Mtge","CPN")</f>
        <v>3</v>
      </c>
      <c r="G1887">
        <f>_xll.BDP("FNBU7573 Mtge","MTG_FACTOR")</f>
        <v>0.75922995999999998</v>
      </c>
      <c r="H1887">
        <f>_xll.BDP("FNBU7573 Mtge","MTG_WAL")</f>
        <v>8.3437999999999999</v>
      </c>
      <c r="I1887" t="str">
        <f>_xll.BDP("FNBU7573 Mtge","MTG_ORIG_WAL")</f>
        <v>#N/A N/A</v>
      </c>
    </row>
    <row r="1888" spans="1:9" x14ac:dyDescent="0.25">
      <c r="A1888" t="str">
        <f>_xll.BDP("FNBU7740 Mtge","ID_CUSIP")</f>
        <v>3140M9S65</v>
      </c>
      <c r="B1888" t="str">
        <f>_xll.BDP("FNBU7740 Mtge","SECURITY_NAME")</f>
        <v>FN BU7740</v>
      </c>
      <c r="C1888" t="str">
        <f>_xll.BDP("FNBU7740 Mtge","GENERIC_TICKER_VINTAGE")</f>
        <v>FNCL 3 2021</v>
      </c>
      <c r="D1888" t="str">
        <f>_xll.BDP("FNBU7740 Mtge","CRNCY")</f>
        <v>USD</v>
      </c>
      <c r="E1888">
        <v>10973362</v>
      </c>
      <c r="F1888">
        <f>_xll.BDP("FNBU7740 Mtge","CPN")</f>
        <v>3</v>
      </c>
      <c r="G1888">
        <f>_xll.BDP("FNBU7740 Mtge","MTG_FACTOR")</f>
        <v>0.80315643000000003</v>
      </c>
      <c r="H1888">
        <f>_xll.BDP("FNBU7740 Mtge","MTG_WAL")</f>
        <v>8.4780999999999995</v>
      </c>
      <c r="I1888" t="str">
        <f>_xll.BDP("FNBU7740 Mtge","MTG_ORIG_WAL")</f>
        <v>#N/A N/A</v>
      </c>
    </row>
    <row r="1889" spans="1:9" x14ac:dyDescent="0.25">
      <c r="A1889" t="str">
        <f>_xll.BDP("FNBU8388 Mtge","ID_CUSIP")</f>
        <v>3140MAKA1</v>
      </c>
      <c r="B1889" t="str">
        <f>_xll.BDP("FNBU8388 Mtge","SECURITY_NAME")</f>
        <v>FN BU8388</v>
      </c>
      <c r="C1889" t="str">
        <f>_xll.BDP("FNBU8388 Mtge","GENERIC_TICKER_VINTAGE")</f>
        <v>FNCL 3 2021</v>
      </c>
      <c r="D1889" t="str">
        <f>_xll.BDP("FNBU8388 Mtge","CRNCY")</f>
        <v>USD</v>
      </c>
      <c r="E1889">
        <v>1557545</v>
      </c>
      <c r="F1889">
        <f>_xll.BDP("FNBU8388 Mtge","CPN")</f>
        <v>3</v>
      </c>
      <c r="G1889">
        <f>_xll.BDP("FNBU8388 Mtge","MTG_FACTOR")</f>
        <v>0.78174242999999999</v>
      </c>
      <c r="H1889">
        <f>_xll.BDP("FNBU8388 Mtge","MTG_WAL")</f>
        <v>8.4489000000000001</v>
      </c>
      <c r="I1889" t="str">
        <f>_xll.BDP("FNBU8388 Mtge","MTG_ORIG_WAL")</f>
        <v>#N/A N/A</v>
      </c>
    </row>
    <row r="1890" spans="1:9" x14ac:dyDescent="0.25">
      <c r="A1890" t="str">
        <f>_xll.BDP("FNBU8536 Mtge","ID_CUSIP")</f>
        <v>3140MAPW8</v>
      </c>
      <c r="B1890" t="str">
        <f>_xll.BDP("FNBU8536 Mtge","SECURITY_NAME")</f>
        <v>FN BU8536</v>
      </c>
      <c r="C1890" t="str">
        <f>_xll.BDP("FNBU8536 Mtge","GENERIC_TICKER_VINTAGE")</f>
        <v>FNCL 3 2021</v>
      </c>
      <c r="D1890" t="str">
        <f>_xll.BDP("FNBU8536 Mtge","CRNCY")</f>
        <v>USD</v>
      </c>
      <c r="E1890">
        <v>1120952</v>
      </c>
      <c r="F1890">
        <f>_xll.BDP("FNBU8536 Mtge","CPN")</f>
        <v>3</v>
      </c>
      <c r="G1890">
        <f>_xll.BDP("FNBU8536 Mtge","MTG_FACTOR")</f>
        <v>0.71744867000000001</v>
      </c>
      <c r="H1890">
        <f>_xll.BDP("FNBU8536 Mtge","MTG_WAL")</f>
        <v>8.4106000000000005</v>
      </c>
      <c r="I1890" t="str">
        <f>_xll.BDP("FNBU8536 Mtge","MTG_ORIG_WAL")</f>
        <v>#N/A N/A</v>
      </c>
    </row>
    <row r="1891" spans="1:9" x14ac:dyDescent="0.25">
      <c r="A1891" t="str">
        <f>_xll.BDP("FNBU8652 Mtge","ID_CUSIP")</f>
        <v>3140MATJ3</v>
      </c>
      <c r="B1891" t="str">
        <f>_xll.BDP("FNBU8652 Mtge","SECURITY_NAME")</f>
        <v>FN BU8652</v>
      </c>
      <c r="C1891" t="str">
        <f>_xll.BDP("FNBU8652 Mtge","GENERIC_TICKER_VINTAGE")</f>
        <v>FNCL 3 2021</v>
      </c>
      <c r="D1891" t="str">
        <f>_xll.BDP("FNBU8652 Mtge","CRNCY")</f>
        <v>USD</v>
      </c>
      <c r="E1891">
        <v>3712954</v>
      </c>
      <c r="F1891">
        <f>_xll.BDP("FNBU8652 Mtge","CPN")</f>
        <v>3</v>
      </c>
      <c r="G1891">
        <f>_xll.BDP("FNBU8652 Mtge","MTG_FACTOR")</f>
        <v>0.90951618999999995</v>
      </c>
      <c r="H1891">
        <f>_xll.BDP("FNBU8652 Mtge","MTG_WAL")</f>
        <v>8.3963000000000001</v>
      </c>
      <c r="I1891" t="str">
        <f>_xll.BDP("FNBU8652 Mtge","MTG_ORIG_WAL")</f>
        <v>#N/A N/A</v>
      </c>
    </row>
    <row r="1892" spans="1:9" x14ac:dyDescent="0.25">
      <c r="A1892" t="str">
        <f>_xll.BDP("FNBU8981 Mtge","ID_CUSIP")</f>
        <v>3140MA6T6</v>
      </c>
      <c r="B1892" t="str">
        <f>_xll.BDP("FNBU8981 Mtge","SECURITY_NAME")</f>
        <v>FN BU8981</v>
      </c>
      <c r="C1892" t="str">
        <f>_xll.BDP("FNBU8981 Mtge","GENERIC_TICKER_VINTAGE")</f>
        <v>FNCL 3 2021</v>
      </c>
      <c r="D1892" t="str">
        <f>_xll.BDP("FNBU8981 Mtge","CRNCY")</f>
        <v>USD</v>
      </c>
      <c r="E1892">
        <v>3260366</v>
      </c>
      <c r="F1892">
        <f>_xll.BDP("FNBU8981 Mtge","CPN")</f>
        <v>3</v>
      </c>
      <c r="G1892">
        <f>_xll.BDP("FNBU8981 Mtge","MTG_FACTOR")</f>
        <v>0.56575633000000003</v>
      </c>
      <c r="H1892">
        <f>_xll.BDP("FNBU8981 Mtge","MTG_WAL")</f>
        <v>8.3062000000000005</v>
      </c>
      <c r="I1892" t="str">
        <f>_xll.BDP("FNBU8981 Mtge","MTG_ORIG_WAL")</f>
        <v>#N/A N/A</v>
      </c>
    </row>
    <row r="1893" spans="1:9" x14ac:dyDescent="0.25">
      <c r="A1893" t="str">
        <f>_xll.BDP("FNBU9888 Mtge","ID_CUSIP")</f>
        <v>3140MB7A4</v>
      </c>
      <c r="B1893" t="str">
        <f>_xll.BDP("FNBU9888 Mtge","SECURITY_NAME")</f>
        <v>FN BU9888</v>
      </c>
      <c r="C1893" t="str">
        <f>_xll.BDP("FNBU9888 Mtge","GENERIC_TICKER_VINTAGE")</f>
        <v>FNCL 3 2021</v>
      </c>
      <c r="D1893" t="str">
        <f>_xll.BDP("FNBU9888 Mtge","CRNCY")</f>
        <v>USD</v>
      </c>
      <c r="E1893">
        <v>7243037</v>
      </c>
      <c r="F1893">
        <f>_xll.BDP("FNBU9888 Mtge","CPN")</f>
        <v>3</v>
      </c>
      <c r="G1893">
        <f>_xll.BDP("FNBU9888 Mtge","MTG_FACTOR")</f>
        <v>0.66546298000000004</v>
      </c>
      <c r="H1893">
        <f>_xll.BDP("FNBU9888 Mtge","MTG_WAL")</f>
        <v>8.3010999999999999</v>
      </c>
      <c r="I1893" t="str">
        <f>_xll.BDP("FNBU9888 Mtge","MTG_ORIG_WAL")</f>
        <v>#N/A N/A</v>
      </c>
    </row>
    <row r="1894" spans="1:9" x14ac:dyDescent="0.25">
      <c r="A1894" t="str">
        <f>_xll.BDP("FNBU9890 Mtge","ID_CUSIP")</f>
        <v>3140MB7C0</v>
      </c>
      <c r="B1894" t="str">
        <f>_xll.BDP("FNBU9890 Mtge","SECURITY_NAME")</f>
        <v>FN BU9890</v>
      </c>
      <c r="C1894" t="str">
        <f>_xll.BDP("FNBU9890 Mtge","GENERIC_TICKER_VINTAGE")</f>
        <v>FNCL 3 2021</v>
      </c>
      <c r="D1894" t="str">
        <f>_xll.BDP("FNBU9890 Mtge","CRNCY")</f>
        <v>USD</v>
      </c>
      <c r="E1894">
        <v>6508642</v>
      </c>
      <c r="F1894">
        <f>_xll.BDP("FNBU9890 Mtge","CPN")</f>
        <v>3</v>
      </c>
      <c r="G1894">
        <f>_xll.BDP("FNBU9890 Mtge","MTG_FACTOR")</f>
        <v>0.67323464</v>
      </c>
      <c r="H1894">
        <f>_xll.BDP("FNBU9890 Mtge","MTG_WAL")</f>
        <v>8.3407</v>
      </c>
      <c r="I1894" t="str">
        <f>_xll.BDP("FNBU9890 Mtge","MTG_ORIG_WAL")</f>
        <v>#N/A N/A</v>
      </c>
    </row>
    <row r="1895" spans="1:9" x14ac:dyDescent="0.25">
      <c r="A1895" t="str">
        <f>_xll.BDP("FNBU9966 Mtge","ID_CUSIP")</f>
        <v>3140MCCC2</v>
      </c>
      <c r="B1895" t="str">
        <f>_xll.BDP("FNBU9966 Mtge","SECURITY_NAME")</f>
        <v>FN BU9966</v>
      </c>
      <c r="C1895" t="str">
        <f>_xll.BDP("FNBU9966 Mtge","GENERIC_TICKER_VINTAGE")</f>
        <v>FNCL 3 2021</v>
      </c>
      <c r="D1895" t="str">
        <f>_xll.BDP("FNBU9966 Mtge","CRNCY")</f>
        <v>USD</v>
      </c>
      <c r="E1895">
        <v>2328230</v>
      </c>
      <c r="F1895">
        <f>_xll.BDP("FNBU9966 Mtge","CPN")</f>
        <v>3</v>
      </c>
      <c r="G1895">
        <f>_xll.BDP("FNBU9966 Mtge","MTG_FACTOR")</f>
        <v>0.91634561000000003</v>
      </c>
      <c r="H1895">
        <f>_xll.BDP("FNBU9966 Mtge","MTG_WAL")</f>
        <v>8.4811999999999994</v>
      </c>
      <c r="I1895" t="str">
        <f>_xll.BDP("FNBU9966 Mtge","MTG_ORIG_WAL")</f>
        <v>#N/A N/A</v>
      </c>
    </row>
    <row r="1896" spans="1:9" x14ac:dyDescent="0.25">
      <c r="A1896" t="str">
        <f>_xll.BDP("FNBV0178 Mtge","ID_CUSIP")</f>
        <v>3140MDFU7</v>
      </c>
      <c r="B1896" t="str">
        <f>_xll.BDP("FNBV0178 Mtge","SECURITY_NAME")</f>
        <v>FN BV0178</v>
      </c>
      <c r="C1896" t="str">
        <f>_xll.BDP("FNBV0178 Mtge","GENERIC_TICKER_VINTAGE")</f>
        <v>FNCL 3 2021</v>
      </c>
      <c r="D1896" t="str">
        <f>_xll.BDP("FNBV0178 Mtge","CRNCY")</f>
        <v>USD</v>
      </c>
      <c r="E1896">
        <v>1011437</v>
      </c>
      <c r="F1896">
        <f>_xll.BDP("FNBV0178 Mtge","CPN")</f>
        <v>3</v>
      </c>
      <c r="G1896">
        <f>_xll.BDP("FNBV0178 Mtge","MTG_FACTOR")</f>
        <v>0.76566321999999998</v>
      </c>
      <c r="H1896">
        <f>_xll.BDP("FNBV0178 Mtge","MTG_WAL")</f>
        <v>7.8525999999999998</v>
      </c>
      <c r="I1896" t="str">
        <f>_xll.BDP("FNBV0178 Mtge","MTG_ORIG_WAL")</f>
        <v>#N/A N/A</v>
      </c>
    </row>
    <row r="1897" spans="1:9" x14ac:dyDescent="0.25">
      <c r="A1897" t="str">
        <f>_xll.BDP("FNBV0273 Mtge","ID_CUSIP")</f>
        <v>3140MDJT6</v>
      </c>
      <c r="B1897" t="str">
        <f>_xll.BDP("FNBV0273 Mtge","SECURITY_NAME")</f>
        <v>FN BV0273</v>
      </c>
      <c r="C1897" t="str">
        <f>_xll.BDP("FNBV0273 Mtge","GENERIC_TICKER_VINTAGE")</f>
        <v>FNCL 3 2021</v>
      </c>
      <c r="D1897" t="str">
        <f>_xll.BDP("FNBV0273 Mtge","CRNCY")</f>
        <v>USD</v>
      </c>
      <c r="E1897">
        <v>23577205</v>
      </c>
      <c r="F1897">
        <f>_xll.BDP("FNBV0273 Mtge","CPN")</f>
        <v>3</v>
      </c>
      <c r="G1897">
        <f>_xll.BDP("FNBV0273 Mtge","MTG_FACTOR")</f>
        <v>0.79357385999999996</v>
      </c>
      <c r="H1897">
        <f>_xll.BDP("FNBV0273 Mtge","MTG_WAL")</f>
        <v>8.3658999999999999</v>
      </c>
      <c r="I1897" t="str">
        <f>_xll.BDP("FNBV0273 Mtge","MTG_ORIG_WAL")</f>
        <v>#N/A N/A</v>
      </c>
    </row>
    <row r="1898" spans="1:9" x14ac:dyDescent="0.25">
      <c r="A1898" t="str">
        <f>_xll.BDP("FNBV0496 Mtge","ID_CUSIP")</f>
        <v>3140MDRS9</v>
      </c>
      <c r="B1898" t="str">
        <f>_xll.BDP("FNBV0496 Mtge","SECURITY_NAME")</f>
        <v>FN BV0496</v>
      </c>
      <c r="C1898" t="str">
        <f>_xll.BDP("FNBV0496 Mtge","GENERIC_TICKER_VINTAGE")</f>
        <v>FNCL 3 2021</v>
      </c>
      <c r="D1898" t="str">
        <f>_xll.BDP("FNBV0496 Mtge","CRNCY")</f>
        <v>USD</v>
      </c>
      <c r="E1898">
        <v>10739070</v>
      </c>
      <c r="F1898">
        <f>_xll.BDP("FNBV0496 Mtge","CPN")</f>
        <v>3</v>
      </c>
      <c r="G1898">
        <f>_xll.BDP("FNBV0496 Mtge","MTG_FACTOR")</f>
        <v>0.68484398000000002</v>
      </c>
      <c r="H1898">
        <f>_xll.BDP("FNBV0496 Mtge","MTG_WAL")</f>
        <v>8.4562000000000008</v>
      </c>
      <c r="I1898" t="str">
        <f>_xll.BDP("FNBV0496 Mtge","MTG_ORIG_WAL")</f>
        <v>#N/A N/A</v>
      </c>
    </row>
    <row r="1899" spans="1:9" x14ac:dyDescent="0.25">
      <c r="A1899" t="str">
        <f>_xll.BDP("FNBV0795 Mtge","ID_CUSIP")</f>
        <v>3140MD3D8</v>
      </c>
      <c r="B1899" t="str">
        <f>_xll.BDP("FNBV0795 Mtge","SECURITY_NAME")</f>
        <v>FN BV0795</v>
      </c>
      <c r="C1899" t="str">
        <f>_xll.BDP("FNBV0795 Mtge","GENERIC_TICKER_VINTAGE")</f>
        <v>FNCL 3 2021</v>
      </c>
      <c r="D1899" t="str">
        <f>_xll.BDP("FNBV0795 Mtge","CRNCY")</f>
        <v>USD</v>
      </c>
      <c r="E1899">
        <v>5428735</v>
      </c>
      <c r="F1899">
        <f>_xll.BDP("FNBV0795 Mtge","CPN")</f>
        <v>3</v>
      </c>
      <c r="G1899">
        <f>_xll.BDP("FNBV0795 Mtge","MTG_FACTOR")</f>
        <v>0.76168117999999996</v>
      </c>
      <c r="H1899">
        <f>_xll.BDP("FNBV0795 Mtge","MTG_WAL")</f>
        <v>8.3780999999999999</v>
      </c>
      <c r="I1899" t="str">
        <f>_xll.BDP("FNBV0795 Mtge","MTG_ORIG_WAL")</f>
        <v>#N/A N/A</v>
      </c>
    </row>
    <row r="1900" spans="1:9" x14ac:dyDescent="0.25">
      <c r="A1900" t="str">
        <f>_xll.BDP("FNBV1173 Mtge","ID_CUSIP")</f>
        <v>3140MEJT4</v>
      </c>
      <c r="B1900" t="str">
        <f>_xll.BDP("FNBV1173 Mtge","SECURITY_NAME")</f>
        <v>FN BV1173</v>
      </c>
      <c r="C1900" t="str">
        <f>_xll.BDP("FNBV1173 Mtge","GENERIC_TICKER_VINTAGE")</f>
        <v>FNCL 3 2021</v>
      </c>
      <c r="D1900" t="str">
        <f>_xll.BDP("FNBV1173 Mtge","CRNCY")</f>
        <v>USD</v>
      </c>
      <c r="E1900">
        <v>1270421</v>
      </c>
      <c r="F1900">
        <f>_xll.BDP("FNBV1173 Mtge","CPN")</f>
        <v>3</v>
      </c>
      <c r="G1900">
        <f>_xll.BDP("FNBV1173 Mtge","MTG_FACTOR")</f>
        <v>0.48734861000000002</v>
      </c>
      <c r="H1900">
        <f>_xll.BDP("FNBV1173 Mtge","MTG_WAL")</f>
        <v>8.5165000000000006</v>
      </c>
      <c r="I1900" t="str">
        <f>_xll.BDP("FNBV1173 Mtge","MTG_ORIG_WAL")</f>
        <v>#N/A N/A</v>
      </c>
    </row>
    <row r="1901" spans="1:9" x14ac:dyDescent="0.25">
      <c r="A1901" t="str">
        <f>_xll.BDP("FNBV1416 Mtge","ID_CUSIP")</f>
        <v>3140MESE7</v>
      </c>
      <c r="B1901" t="str">
        <f>_xll.BDP("FNBV1416 Mtge","SECURITY_NAME")</f>
        <v>FN BV1416</v>
      </c>
      <c r="C1901" t="str">
        <f>_xll.BDP("FNBV1416 Mtge","GENERIC_TICKER_VINTAGE")</f>
        <v>FNCL 6 2025</v>
      </c>
      <c r="D1901" t="str">
        <f>_xll.BDP("FNBV1416 Mtge","CRNCY")</f>
        <v>USD</v>
      </c>
      <c r="E1901">
        <v>31628475</v>
      </c>
      <c r="F1901">
        <f>_xll.BDP("FNBV1416 Mtge","CPN")</f>
        <v>6</v>
      </c>
      <c r="G1901">
        <f>_xll.BDP("FNBV1416 Mtge","MTG_FACTOR")</f>
        <v>0.89568362999999995</v>
      </c>
      <c r="H1901">
        <f>_xll.BDP("FNBV1416 Mtge","MTG_WAL")</f>
        <v>3.1583999999999999</v>
      </c>
      <c r="I1901" t="str">
        <f>_xll.BDP("FNBV1416 Mtge","MTG_ORIG_WAL")</f>
        <v>#N/A N/A</v>
      </c>
    </row>
    <row r="1902" spans="1:9" x14ac:dyDescent="0.25">
      <c r="A1902" t="str">
        <f>_xll.BDP("FNBV1422 Mtge","ID_CUSIP")</f>
        <v>3140MESL1</v>
      </c>
      <c r="B1902" t="str">
        <f>_xll.BDP("FNBV1422 Mtge","SECURITY_NAME")</f>
        <v>FN BV1422</v>
      </c>
      <c r="C1902" t="str">
        <f>_xll.BDP("FNBV1422 Mtge","GENERIC_TICKER_VINTAGE")</f>
        <v>FNCL 6 2025</v>
      </c>
      <c r="D1902" t="str">
        <f>_xll.BDP("FNBV1422 Mtge","CRNCY")</f>
        <v>USD</v>
      </c>
      <c r="E1902">
        <v>96485462</v>
      </c>
      <c r="F1902">
        <f>_xll.BDP("FNBV1422 Mtge","CPN")</f>
        <v>6</v>
      </c>
      <c r="G1902">
        <f>_xll.BDP("FNBV1422 Mtge","MTG_FACTOR")</f>
        <v>0.87900630999999996</v>
      </c>
      <c r="H1902">
        <f>_xll.BDP("FNBV1422 Mtge","MTG_WAL")</f>
        <v>3.2000999999999999</v>
      </c>
      <c r="I1902" t="str">
        <f>_xll.BDP("FNBV1422 Mtge","MTG_ORIG_WAL")</f>
        <v>#N/A N/A</v>
      </c>
    </row>
    <row r="1903" spans="1:9" x14ac:dyDescent="0.25">
      <c r="A1903" t="str">
        <f>_xll.BDP("FNBV1438 Mtge","ID_CUSIP")</f>
        <v>3140MES49</v>
      </c>
      <c r="B1903" t="str">
        <f>_xll.BDP("FNBV1438 Mtge","SECURITY_NAME")</f>
        <v>FN BV1438</v>
      </c>
      <c r="C1903" t="str">
        <f>_xll.BDP("FNBV1438 Mtge","GENERIC_TICKER_VINTAGE")</f>
        <v>FNCL 6 2025</v>
      </c>
      <c r="D1903" t="str">
        <f>_xll.BDP("FNBV1438 Mtge","CRNCY")</f>
        <v>USD</v>
      </c>
      <c r="E1903">
        <v>14721415</v>
      </c>
      <c r="F1903">
        <f>_xll.BDP("FNBV1438 Mtge","CPN")</f>
        <v>6</v>
      </c>
      <c r="G1903">
        <f>_xll.BDP("FNBV1438 Mtge","MTG_FACTOR")</f>
        <v>0.87704302000000001</v>
      </c>
      <c r="H1903">
        <f>_xll.BDP("FNBV1438 Mtge","MTG_WAL")</f>
        <v>3.1566000000000001</v>
      </c>
      <c r="I1903" t="str">
        <f>_xll.BDP("FNBV1438 Mtge","MTG_ORIG_WAL")</f>
        <v>#N/A N/A</v>
      </c>
    </row>
    <row r="1904" spans="1:9" x14ac:dyDescent="0.25">
      <c r="A1904" t="str">
        <f>_xll.BDP("FNBV1460 Mtge","ID_CUSIP")</f>
        <v>3140METS5</v>
      </c>
      <c r="B1904" t="str">
        <f>_xll.BDP("FNBV1460 Mtge","SECURITY_NAME")</f>
        <v>FN BV1460</v>
      </c>
      <c r="C1904" t="str">
        <f>_xll.BDP("FNBV1460 Mtge","GENERIC_TICKER_VINTAGE")</f>
        <v>FNCL 6 2025</v>
      </c>
      <c r="D1904" t="str">
        <f>_xll.BDP("FNBV1460 Mtge","CRNCY")</f>
        <v>USD</v>
      </c>
      <c r="E1904">
        <v>28320969</v>
      </c>
      <c r="F1904">
        <f>_xll.BDP("FNBV1460 Mtge","CPN")</f>
        <v>6</v>
      </c>
      <c r="G1904">
        <f>_xll.BDP("FNBV1460 Mtge","MTG_FACTOR")</f>
        <v>0.90985956999999995</v>
      </c>
      <c r="H1904">
        <f>_xll.BDP("FNBV1460 Mtge","MTG_WAL")</f>
        <v>3.1972999999999998</v>
      </c>
      <c r="I1904" t="str">
        <f>_xll.BDP("FNBV1460 Mtge","MTG_ORIG_WAL")</f>
        <v>#N/A N/A</v>
      </c>
    </row>
    <row r="1905" spans="1:9" x14ac:dyDescent="0.25">
      <c r="A1905" t="str">
        <f>_xll.BDP("FNBV1469 Mtge","ID_CUSIP")</f>
        <v>3140MET30</v>
      </c>
      <c r="B1905" t="str">
        <f>_xll.BDP("FNBV1469 Mtge","SECURITY_NAME")</f>
        <v>FN BV1469</v>
      </c>
      <c r="C1905" t="str">
        <f>_xll.BDP("FNBV1469 Mtge","GENERIC_TICKER_VINTAGE")</f>
        <v>FNCL 6 2025</v>
      </c>
      <c r="D1905" t="str">
        <f>_xll.BDP("FNBV1469 Mtge","CRNCY")</f>
        <v>USD</v>
      </c>
      <c r="E1905">
        <v>4762330</v>
      </c>
      <c r="F1905">
        <f>_xll.BDP("FNBV1469 Mtge","CPN")</f>
        <v>6</v>
      </c>
      <c r="G1905">
        <f>_xll.BDP("FNBV1469 Mtge","MTG_FACTOR")</f>
        <v>0.89747206999999996</v>
      </c>
      <c r="H1905">
        <f>_xll.BDP("FNBV1469 Mtge","MTG_WAL")</f>
        <v>3.18</v>
      </c>
      <c r="I1905" t="str">
        <f>_xll.BDP("FNBV1469 Mtge","MTG_ORIG_WAL")</f>
        <v>#N/A N/A</v>
      </c>
    </row>
    <row r="1906" spans="1:9" x14ac:dyDescent="0.25">
      <c r="A1906" t="str">
        <f>_xll.BDP("FNBV1483 Mtge","ID_CUSIP")</f>
        <v>3140MEUH7</v>
      </c>
      <c r="B1906" t="str">
        <f>_xll.BDP("FNBV1483 Mtge","SECURITY_NAME")</f>
        <v>FN BV1483</v>
      </c>
      <c r="C1906" t="str">
        <f>_xll.BDP("FNBV1483 Mtge","GENERIC_TICKER_VINTAGE")</f>
        <v>FNCL 6 2025</v>
      </c>
      <c r="D1906" t="str">
        <f>_xll.BDP("FNBV1483 Mtge","CRNCY")</f>
        <v>USD</v>
      </c>
      <c r="E1906">
        <v>2613831</v>
      </c>
      <c r="F1906">
        <f>_xll.BDP("FNBV1483 Mtge","CPN")</f>
        <v>6</v>
      </c>
      <c r="G1906">
        <f>_xll.BDP("FNBV1483 Mtge","MTG_FACTOR")</f>
        <v>0.89980779</v>
      </c>
      <c r="H1906">
        <f>_xll.BDP("FNBV1483 Mtge","MTG_WAL")</f>
        <v>3.2025000000000001</v>
      </c>
      <c r="I1906" t="str">
        <f>_xll.BDP("FNBV1483 Mtge","MTG_ORIG_WAL")</f>
        <v>#N/A N/A</v>
      </c>
    </row>
    <row r="1907" spans="1:9" x14ac:dyDescent="0.25">
      <c r="A1907" t="str">
        <f>_xll.BDP("FNBV1486 Mtge","ID_CUSIP")</f>
        <v>3140MEUL8</v>
      </c>
      <c r="B1907" t="str">
        <f>_xll.BDP("FNBV1486 Mtge","SECURITY_NAME")</f>
        <v>FN BV1486</v>
      </c>
      <c r="C1907" t="str">
        <f>_xll.BDP("FNBV1486 Mtge","GENERIC_TICKER_VINTAGE")</f>
        <v>FNCL 6 2025</v>
      </c>
      <c r="D1907" t="str">
        <f>_xll.BDP("FNBV1486 Mtge","CRNCY")</f>
        <v>USD</v>
      </c>
      <c r="E1907">
        <v>2528618</v>
      </c>
      <c r="F1907">
        <f>_xll.BDP("FNBV1486 Mtge","CPN")</f>
        <v>6</v>
      </c>
      <c r="G1907">
        <f>_xll.BDP("FNBV1486 Mtge","MTG_FACTOR")</f>
        <v>0.91980236999999998</v>
      </c>
      <c r="H1907">
        <f>_xll.BDP("FNBV1486 Mtge","MTG_WAL")</f>
        <v>3.1985000000000001</v>
      </c>
      <c r="I1907" t="str">
        <f>_xll.BDP("FNBV1486 Mtge","MTG_ORIG_WAL")</f>
        <v>#N/A N/A</v>
      </c>
    </row>
    <row r="1908" spans="1:9" x14ac:dyDescent="0.25">
      <c r="A1908" t="str">
        <f>_xll.BDP("FNBV1490 Mtge","ID_CUSIP")</f>
        <v>3140MEUQ7</v>
      </c>
      <c r="B1908" t="str">
        <f>_xll.BDP("FNBV1490 Mtge","SECURITY_NAME")</f>
        <v>FN BV1490</v>
      </c>
      <c r="C1908" t="str">
        <f>_xll.BDP("FNBV1490 Mtge","GENERIC_TICKER_VINTAGE")</f>
        <v>FNCL 6 2025</v>
      </c>
      <c r="D1908" t="str">
        <f>_xll.BDP("FNBV1490 Mtge","CRNCY")</f>
        <v>USD</v>
      </c>
      <c r="E1908">
        <v>6023470</v>
      </c>
      <c r="F1908">
        <f>_xll.BDP("FNBV1490 Mtge","CPN")</f>
        <v>6</v>
      </c>
      <c r="G1908">
        <f>_xll.BDP("FNBV1490 Mtge","MTG_FACTOR")</f>
        <v>0.83778357999999997</v>
      </c>
      <c r="H1908">
        <f>_xll.BDP("FNBV1490 Mtge","MTG_WAL")</f>
        <v>3.1928999999999998</v>
      </c>
      <c r="I1908" t="str">
        <f>_xll.BDP("FNBV1490 Mtge","MTG_ORIG_WAL")</f>
        <v>#N/A N/A</v>
      </c>
    </row>
    <row r="1909" spans="1:9" x14ac:dyDescent="0.25">
      <c r="A1909" t="str">
        <f>_xll.BDP("FNBV1495 Mtge","ID_CUSIP")</f>
        <v>3140MEUV6</v>
      </c>
      <c r="B1909" t="str">
        <f>_xll.BDP("FNBV1495 Mtge","SECURITY_NAME")</f>
        <v>FN BV1495</v>
      </c>
      <c r="C1909" t="str">
        <f>_xll.BDP("FNBV1495 Mtge","GENERIC_TICKER_VINTAGE")</f>
        <v>FNCL 6 2025</v>
      </c>
      <c r="D1909" t="str">
        <f>_xll.BDP("FNBV1495 Mtge","CRNCY")</f>
        <v>USD</v>
      </c>
      <c r="E1909">
        <v>8575234</v>
      </c>
      <c r="F1909">
        <f>_xll.BDP("FNBV1495 Mtge","CPN")</f>
        <v>6</v>
      </c>
      <c r="G1909">
        <f>_xll.BDP("FNBV1495 Mtge","MTG_FACTOR")</f>
        <v>0.92453808999999998</v>
      </c>
      <c r="H1909">
        <f>_xll.BDP("FNBV1495 Mtge","MTG_WAL")</f>
        <v>3.1989000000000001</v>
      </c>
      <c r="I1909" t="str">
        <f>_xll.BDP("FNBV1495 Mtge","MTG_ORIG_WAL")</f>
        <v>#N/A N/A</v>
      </c>
    </row>
    <row r="1910" spans="1:9" x14ac:dyDescent="0.25">
      <c r="A1910" t="str">
        <f>_xll.BDP("FNBV1500 Mtge","ID_CUSIP")</f>
        <v>3140MEU20</v>
      </c>
      <c r="B1910" t="str">
        <f>_xll.BDP("FNBV1500 Mtge","SECURITY_NAME")</f>
        <v>FN BV1500</v>
      </c>
      <c r="C1910" t="str">
        <f>_xll.BDP("FNBV1500 Mtge","GENERIC_TICKER_VINTAGE")</f>
        <v>FNCL 6 2025</v>
      </c>
      <c r="D1910" t="str">
        <f>_xll.BDP("FNBV1500 Mtge","CRNCY")</f>
        <v>USD</v>
      </c>
      <c r="E1910">
        <v>2482962</v>
      </c>
      <c r="F1910">
        <f>_xll.BDP("FNBV1500 Mtge","CPN")</f>
        <v>6</v>
      </c>
      <c r="G1910">
        <f>_xll.BDP("FNBV1500 Mtge","MTG_FACTOR")</f>
        <v>0.85677157999999998</v>
      </c>
      <c r="H1910">
        <f>_xll.BDP("FNBV1500 Mtge","MTG_WAL")</f>
        <v>3.2056</v>
      </c>
      <c r="I1910" t="str">
        <f>_xll.BDP("FNBV1500 Mtge","MTG_ORIG_WAL")</f>
        <v>#N/A N/A</v>
      </c>
    </row>
    <row r="1911" spans="1:9" x14ac:dyDescent="0.25">
      <c r="A1911" t="str">
        <f>_xll.BDP("FNBV1501 Mtge","ID_CUSIP")</f>
        <v>3140MEU38</v>
      </c>
      <c r="B1911" t="str">
        <f>_xll.BDP("FNBV1501 Mtge","SECURITY_NAME")</f>
        <v>FN BV1501</v>
      </c>
      <c r="C1911" t="str">
        <f>_xll.BDP("FNBV1501 Mtge","GENERIC_TICKER_VINTAGE")</f>
        <v>FNCL 6 2025</v>
      </c>
      <c r="D1911" t="str">
        <f>_xll.BDP("FNBV1501 Mtge","CRNCY")</f>
        <v>USD</v>
      </c>
      <c r="E1911">
        <v>2638207</v>
      </c>
      <c r="F1911">
        <f>_xll.BDP("FNBV1501 Mtge","CPN")</f>
        <v>6</v>
      </c>
      <c r="G1911">
        <f>_xll.BDP("FNBV1501 Mtge","MTG_FACTOR")</f>
        <v>0.98553864999999996</v>
      </c>
      <c r="H1911">
        <f>_xll.BDP("FNBV1501 Mtge","MTG_WAL")</f>
        <v>3.1983999999999999</v>
      </c>
      <c r="I1911" t="str">
        <f>_xll.BDP("FNBV1501 Mtge","MTG_ORIG_WAL")</f>
        <v>#N/A N/A</v>
      </c>
    </row>
    <row r="1912" spans="1:9" x14ac:dyDescent="0.25">
      <c r="A1912" t="str">
        <f>_xll.BDP("FNBV1504 Mtge","ID_CUSIP")</f>
        <v>3140MEU61</v>
      </c>
      <c r="B1912" t="str">
        <f>_xll.BDP("FNBV1504 Mtge","SECURITY_NAME")</f>
        <v>FN BV1504</v>
      </c>
      <c r="C1912" t="str">
        <f>_xll.BDP("FNBV1504 Mtge","GENERIC_TICKER_VINTAGE")</f>
        <v>FNCL 6 2025</v>
      </c>
      <c r="D1912" t="str">
        <f>_xll.BDP("FNBV1504 Mtge","CRNCY")</f>
        <v>USD</v>
      </c>
      <c r="E1912">
        <v>15267487</v>
      </c>
      <c r="F1912">
        <f>_xll.BDP("FNBV1504 Mtge","CPN")</f>
        <v>6</v>
      </c>
      <c r="G1912">
        <f>_xll.BDP("FNBV1504 Mtge","MTG_FACTOR")</f>
        <v>0.87642785999999995</v>
      </c>
      <c r="H1912">
        <f>_xll.BDP("FNBV1504 Mtge","MTG_WAL")</f>
        <v>3.1993</v>
      </c>
      <c r="I1912" t="str">
        <f>_xll.BDP("FNBV1504 Mtge","MTG_ORIG_WAL")</f>
        <v>#N/A N/A</v>
      </c>
    </row>
    <row r="1913" spans="1:9" x14ac:dyDescent="0.25">
      <c r="A1913" t="str">
        <f>_xll.BDP("FNBV1510 Mtge","ID_CUSIP")</f>
        <v>3140MEVC7</v>
      </c>
      <c r="B1913" t="str">
        <f>_xll.BDP("FNBV1510 Mtge","SECURITY_NAME")</f>
        <v>FN BV1510</v>
      </c>
      <c r="C1913" t="str">
        <f>_xll.BDP("FNBV1510 Mtge","GENERIC_TICKER_VINTAGE")</f>
        <v>FNCL 6 2025</v>
      </c>
      <c r="D1913" t="str">
        <f>_xll.BDP("FNBV1510 Mtge","CRNCY")</f>
        <v>USD</v>
      </c>
      <c r="E1913">
        <v>3323095</v>
      </c>
      <c r="F1913">
        <f>_xll.BDP("FNBV1510 Mtge","CPN")</f>
        <v>6</v>
      </c>
      <c r="G1913">
        <f>_xll.BDP("FNBV1510 Mtge","MTG_FACTOR")</f>
        <v>0.86010085000000003</v>
      </c>
      <c r="H1913">
        <f>_xll.BDP("FNBV1510 Mtge","MTG_WAL")</f>
        <v>3.2027000000000001</v>
      </c>
      <c r="I1913" t="str">
        <f>_xll.BDP("FNBV1510 Mtge","MTG_ORIG_WAL")</f>
        <v>#N/A N/A</v>
      </c>
    </row>
    <row r="1914" spans="1:9" x14ac:dyDescent="0.25">
      <c r="A1914" t="str">
        <f>_xll.BDP("FNBV1513 Mtge","ID_CUSIP")</f>
        <v>3140MEVF0</v>
      </c>
      <c r="B1914" t="str">
        <f>_xll.BDP("FNBV1513 Mtge","SECURITY_NAME")</f>
        <v>FN BV1513</v>
      </c>
      <c r="C1914" t="str">
        <f>_xll.BDP("FNBV1513 Mtge","GENERIC_TICKER_VINTAGE")</f>
        <v>FNCL 6 2025</v>
      </c>
      <c r="D1914" t="str">
        <f>_xll.BDP("FNBV1513 Mtge","CRNCY")</f>
        <v>USD</v>
      </c>
      <c r="E1914">
        <v>1090673</v>
      </c>
      <c r="F1914">
        <f>_xll.BDP("FNBV1513 Mtge","CPN")</f>
        <v>6</v>
      </c>
      <c r="G1914">
        <f>_xll.BDP("FNBV1513 Mtge","MTG_FACTOR")</f>
        <v>0.87566356000000001</v>
      </c>
      <c r="H1914">
        <f>_xll.BDP("FNBV1513 Mtge","MTG_WAL")</f>
        <v>3.1598000000000002</v>
      </c>
      <c r="I1914" t="str">
        <f>_xll.BDP("FNBV1513 Mtge","MTG_ORIG_WAL")</f>
        <v>#N/A N/A</v>
      </c>
    </row>
    <row r="1915" spans="1:9" x14ac:dyDescent="0.25">
      <c r="A1915" t="str">
        <f>_xll.BDP("FNBV1516 Mtge","ID_CUSIP")</f>
        <v>3140MEVJ2</v>
      </c>
      <c r="B1915" t="str">
        <f>_xll.BDP("FNBV1516 Mtge","SECURITY_NAME")</f>
        <v>FN BV1516</v>
      </c>
      <c r="C1915" t="str">
        <f>_xll.BDP("FNBV1516 Mtge","GENERIC_TICKER_VINTAGE")</f>
        <v>FNCL 6 2025</v>
      </c>
      <c r="D1915" t="str">
        <f>_xll.BDP("FNBV1516 Mtge","CRNCY")</f>
        <v>USD</v>
      </c>
      <c r="E1915">
        <v>6118467</v>
      </c>
      <c r="F1915">
        <f>_xll.BDP("FNBV1516 Mtge","CPN")</f>
        <v>6</v>
      </c>
      <c r="G1915">
        <f>_xll.BDP("FNBV1516 Mtge","MTG_FACTOR")</f>
        <v>0.91345281</v>
      </c>
      <c r="H1915">
        <f>_xll.BDP("FNBV1516 Mtge","MTG_WAL")</f>
        <v>3.1558999999999999</v>
      </c>
      <c r="I1915" t="str">
        <f>_xll.BDP("FNBV1516 Mtge","MTG_ORIG_WAL")</f>
        <v>#N/A N/A</v>
      </c>
    </row>
    <row r="1916" spans="1:9" x14ac:dyDescent="0.25">
      <c r="A1916" t="str">
        <f>_xll.BDP("FNBV1522 Mtge","ID_CUSIP")</f>
        <v>3140MEVQ6</v>
      </c>
      <c r="B1916" t="str">
        <f>_xll.BDP("FNBV1522 Mtge","SECURITY_NAME")</f>
        <v>FN BV1522</v>
      </c>
      <c r="C1916" t="str">
        <f>_xll.BDP("FNBV1522 Mtge","GENERIC_TICKER_VINTAGE")</f>
        <v>FNCL 6 2025</v>
      </c>
      <c r="D1916" t="str">
        <f>_xll.BDP("FNBV1522 Mtge","CRNCY")</f>
        <v>USD</v>
      </c>
      <c r="E1916">
        <v>1624311</v>
      </c>
      <c r="F1916">
        <f>_xll.BDP("FNBV1522 Mtge","CPN")</f>
        <v>6</v>
      </c>
      <c r="G1916">
        <f>_xll.BDP("FNBV1522 Mtge","MTG_FACTOR")</f>
        <v>0.88651301000000005</v>
      </c>
      <c r="H1916">
        <f>_xll.BDP("FNBV1522 Mtge","MTG_WAL")</f>
        <v>3.1997</v>
      </c>
      <c r="I1916" t="str">
        <f>_xll.BDP("FNBV1522 Mtge","MTG_ORIG_WAL")</f>
        <v>#N/A N/A</v>
      </c>
    </row>
    <row r="1917" spans="1:9" x14ac:dyDescent="0.25">
      <c r="A1917" t="str">
        <f>_xll.BDP("FNBV1523 Mtge","ID_CUSIP")</f>
        <v>3140MEVR4</v>
      </c>
      <c r="B1917" t="str">
        <f>_xll.BDP("FNBV1523 Mtge","SECURITY_NAME")</f>
        <v>FN BV1523</v>
      </c>
      <c r="C1917" t="str">
        <f>_xll.BDP("FNBV1523 Mtge","GENERIC_TICKER_VINTAGE")</f>
        <v>FNCL 6 2025</v>
      </c>
      <c r="D1917" t="str">
        <f>_xll.BDP("FNBV1523 Mtge","CRNCY")</f>
        <v>USD</v>
      </c>
      <c r="E1917">
        <v>1214310</v>
      </c>
      <c r="F1917">
        <f>_xll.BDP("FNBV1523 Mtge","CPN")</f>
        <v>6</v>
      </c>
      <c r="G1917">
        <f>_xll.BDP("FNBV1523 Mtge","MTG_FACTOR")</f>
        <v>0.98912464</v>
      </c>
      <c r="H1917">
        <f>_xll.BDP("FNBV1523 Mtge","MTG_WAL")</f>
        <v>3.161</v>
      </c>
      <c r="I1917" t="str">
        <f>_xll.BDP("FNBV1523 Mtge","MTG_ORIG_WAL")</f>
        <v>#N/A N/A</v>
      </c>
    </row>
    <row r="1918" spans="1:9" x14ac:dyDescent="0.25">
      <c r="A1918" t="str">
        <f>_xll.BDP("FNBV1528 Mtge","ID_CUSIP")</f>
        <v>3140MEVW3</v>
      </c>
      <c r="B1918" t="str">
        <f>_xll.BDP("FNBV1528 Mtge","SECURITY_NAME")</f>
        <v>FN BV1528</v>
      </c>
      <c r="C1918" t="str">
        <f>_xll.BDP("FNBV1528 Mtge","GENERIC_TICKER_VINTAGE")</f>
        <v>FNCL 6 2025</v>
      </c>
      <c r="D1918" t="str">
        <f>_xll.BDP("FNBV1528 Mtge","CRNCY")</f>
        <v>USD</v>
      </c>
      <c r="E1918">
        <v>8691899</v>
      </c>
      <c r="F1918">
        <f>_xll.BDP("FNBV1528 Mtge","CPN")</f>
        <v>6</v>
      </c>
      <c r="G1918">
        <f>_xll.BDP("FNBV1528 Mtge","MTG_FACTOR")</f>
        <v>0.90666031000000002</v>
      </c>
      <c r="H1918">
        <f>_xll.BDP("FNBV1528 Mtge","MTG_WAL")</f>
        <v>3.2029999999999998</v>
      </c>
      <c r="I1918" t="str">
        <f>_xll.BDP("FNBV1528 Mtge","MTG_ORIG_WAL")</f>
        <v>#N/A N/A</v>
      </c>
    </row>
    <row r="1919" spans="1:9" x14ac:dyDescent="0.25">
      <c r="A1919" t="str">
        <f>_xll.BDP("FNBV1530 Mtge","ID_CUSIP")</f>
        <v>3140MEVY9</v>
      </c>
      <c r="B1919" t="str">
        <f>_xll.BDP("FNBV1530 Mtge","SECURITY_NAME")</f>
        <v>FN BV1530</v>
      </c>
      <c r="C1919" t="str">
        <f>_xll.BDP("FNBV1530 Mtge","GENERIC_TICKER_VINTAGE")</f>
        <v>FNCL 6 2025</v>
      </c>
      <c r="D1919" t="str">
        <f>_xll.BDP("FNBV1530 Mtge","CRNCY")</f>
        <v>USD</v>
      </c>
      <c r="E1919">
        <v>12596962</v>
      </c>
      <c r="F1919">
        <f>_xll.BDP("FNBV1530 Mtge","CPN")</f>
        <v>6</v>
      </c>
      <c r="G1919">
        <f>_xll.BDP("FNBV1530 Mtge","MTG_FACTOR")</f>
        <v>0.93363757000000003</v>
      </c>
      <c r="H1919">
        <f>_xll.BDP("FNBV1530 Mtge","MTG_WAL")</f>
        <v>3.2450999999999999</v>
      </c>
      <c r="I1919" t="str">
        <f>_xll.BDP("FNBV1530 Mtge","MTG_ORIG_WAL")</f>
        <v>#N/A N/A</v>
      </c>
    </row>
    <row r="1920" spans="1:9" x14ac:dyDescent="0.25">
      <c r="A1920" t="str">
        <f>_xll.BDP("FNBV1534 Mtge","ID_CUSIP")</f>
        <v>3140MEV45</v>
      </c>
      <c r="B1920" t="str">
        <f>_xll.BDP("FNBV1534 Mtge","SECURITY_NAME")</f>
        <v>FN BV1534</v>
      </c>
      <c r="C1920" t="str">
        <f>_xll.BDP("FNBV1534 Mtge","GENERIC_TICKER_VINTAGE")</f>
        <v>FNCL 6 2025</v>
      </c>
      <c r="D1920" t="str">
        <f>_xll.BDP("FNBV1534 Mtge","CRNCY")</f>
        <v>USD</v>
      </c>
      <c r="E1920">
        <v>3608471</v>
      </c>
      <c r="F1920">
        <f>_xll.BDP("FNBV1534 Mtge","CPN")</f>
        <v>6</v>
      </c>
      <c r="G1920">
        <f>_xll.BDP("FNBV1534 Mtge","MTG_FACTOR")</f>
        <v>0.82254068999999996</v>
      </c>
      <c r="H1920">
        <f>_xll.BDP("FNBV1534 Mtge","MTG_WAL")</f>
        <v>3.2443</v>
      </c>
      <c r="I1920" t="str">
        <f>_xll.BDP("FNBV1534 Mtge","MTG_ORIG_WAL")</f>
        <v>#N/A N/A</v>
      </c>
    </row>
    <row r="1921" spans="1:9" x14ac:dyDescent="0.25">
      <c r="A1921" t="str">
        <f>_xll.BDP("FNBV1537 Mtge","ID_CUSIP")</f>
        <v>3140MEV78</v>
      </c>
      <c r="B1921" t="str">
        <f>_xll.BDP("FNBV1537 Mtge","SECURITY_NAME")</f>
        <v>FN BV1537</v>
      </c>
      <c r="C1921" t="str">
        <f>_xll.BDP("FNBV1537 Mtge","GENERIC_TICKER_VINTAGE")</f>
        <v>FNCL 6 2025</v>
      </c>
      <c r="D1921" t="str">
        <f>_xll.BDP("FNBV1537 Mtge","CRNCY")</f>
        <v>USD</v>
      </c>
      <c r="E1921">
        <v>15302804</v>
      </c>
      <c r="F1921">
        <f>_xll.BDP("FNBV1537 Mtge","CPN")</f>
        <v>6</v>
      </c>
      <c r="G1921">
        <f>_xll.BDP("FNBV1537 Mtge","MTG_FACTOR")</f>
        <v>0.91027586000000005</v>
      </c>
      <c r="H1921">
        <f>_xll.BDP("FNBV1537 Mtge","MTG_WAL")</f>
        <v>3.2385000000000002</v>
      </c>
      <c r="I1921" t="str">
        <f>_xll.BDP("FNBV1537 Mtge","MTG_ORIG_WAL")</f>
        <v>#N/A N/A</v>
      </c>
    </row>
    <row r="1922" spans="1:9" x14ac:dyDescent="0.25">
      <c r="A1922" t="str">
        <f>_xll.BDP("FNBV1541 Mtge","ID_CUSIP")</f>
        <v>3140MEWB8</v>
      </c>
      <c r="B1922" t="str">
        <f>_xll.BDP("FNBV1541 Mtge","SECURITY_NAME")</f>
        <v>FN BV1541</v>
      </c>
      <c r="C1922" t="str">
        <f>_xll.BDP("FNBV1541 Mtge","GENERIC_TICKER_VINTAGE")</f>
        <v>FNCL 6 2025</v>
      </c>
      <c r="D1922" t="str">
        <f>_xll.BDP("FNBV1541 Mtge","CRNCY")</f>
        <v>USD</v>
      </c>
      <c r="E1922">
        <v>18267282</v>
      </c>
      <c r="F1922">
        <f>_xll.BDP("FNBV1541 Mtge","CPN")</f>
        <v>6</v>
      </c>
      <c r="G1922">
        <f>_xll.BDP("FNBV1541 Mtge","MTG_FACTOR")</f>
        <v>0.85878591999999998</v>
      </c>
      <c r="H1922">
        <f>_xll.BDP("FNBV1541 Mtge","MTG_WAL")</f>
        <v>3.1953999999999998</v>
      </c>
      <c r="I1922" t="str">
        <f>_xll.BDP("FNBV1541 Mtge","MTG_ORIG_WAL")</f>
        <v>#N/A N/A</v>
      </c>
    </row>
    <row r="1923" spans="1:9" x14ac:dyDescent="0.25">
      <c r="A1923" t="str">
        <f>_xll.BDP("FNBV1546 Mtge","ID_CUSIP")</f>
        <v>3140MEWG7</v>
      </c>
      <c r="B1923" t="str">
        <f>_xll.BDP("FNBV1546 Mtge","SECURITY_NAME")</f>
        <v>FN BV1546</v>
      </c>
      <c r="C1923" t="str">
        <f>_xll.BDP("FNBV1546 Mtge","GENERIC_TICKER_VINTAGE")</f>
        <v>FNCL 6 2025</v>
      </c>
      <c r="D1923" t="str">
        <f>_xll.BDP("FNBV1546 Mtge","CRNCY")</f>
        <v>USD</v>
      </c>
      <c r="E1923">
        <v>19070600</v>
      </c>
      <c r="F1923">
        <f>_xll.BDP("FNBV1546 Mtge","CPN")</f>
        <v>6</v>
      </c>
      <c r="G1923">
        <f>_xll.BDP("FNBV1546 Mtge","MTG_FACTOR")</f>
        <v>0.81352705999999997</v>
      </c>
      <c r="H1923">
        <f>_xll.BDP("FNBV1546 Mtge","MTG_WAL")</f>
        <v>3.2004999999999999</v>
      </c>
      <c r="I1923" t="str">
        <f>_xll.BDP("FNBV1546 Mtge","MTG_ORIG_WAL")</f>
        <v>#N/A N/A</v>
      </c>
    </row>
    <row r="1924" spans="1:9" x14ac:dyDescent="0.25">
      <c r="A1924" t="str">
        <f>_xll.BDP("FNBV1547 Mtge","ID_CUSIP")</f>
        <v>3140MEWH5</v>
      </c>
      <c r="B1924" t="str">
        <f>_xll.BDP("FNBV1547 Mtge","SECURITY_NAME")</f>
        <v>FN BV1547</v>
      </c>
      <c r="C1924" t="str">
        <f>_xll.BDP("FNBV1547 Mtge","GENERIC_TICKER_VINTAGE")</f>
        <v>FNCL 6 2025</v>
      </c>
      <c r="D1924" t="str">
        <f>_xll.BDP("FNBV1547 Mtge","CRNCY")</f>
        <v>USD</v>
      </c>
      <c r="E1924">
        <v>5859644</v>
      </c>
      <c r="F1924">
        <f>_xll.BDP("FNBV1547 Mtge","CPN")</f>
        <v>6</v>
      </c>
      <c r="G1924">
        <f>_xll.BDP("FNBV1547 Mtge","MTG_FACTOR")</f>
        <v>0.81121237000000002</v>
      </c>
      <c r="H1924">
        <f>_xll.BDP("FNBV1547 Mtge","MTG_WAL")</f>
        <v>3.2391999999999999</v>
      </c>
      <c r="I1924" t="str">
        <f>_xll.BDP("FNBV1547 Mtge","MTG_ORIG_WAL")</f>
        <v>#N/A N/A</v>
      </c>
    </row>
    <row r="1925" spans="1:9" x14ac:dyDescent="0.25">
      <c r="A1925" t="str">
        <f>_xll.BDP("FNBV1557 Mtge","ID_CUSIP")</f>
        <v>3140MEWT9</v>
      </c>
      <c r="B1925" t="str">
        <f>_xll.BDP("FNBV1557 Mtge","SECURITY_NAME")</f>
        <v>FN BV1557</v>
      </c>
      <c r="C1925" t="str">
        <f>_xll.BDP("FNBV1557 Mtge","GENERIC_TICKER_VINTAGE")</f>
        <v>FNCL 6 2025</v>
      </c>
      <c r="D1925" t="str">
        <f>_xll.BDP("FNBV1557 Mtge","CRNCY")</f>
        <v>USD</v>
      </c>
      <c r="E1925">
        <v>2662994</v>
      </c>
      <c r="F1925">
        <f>_xll.BDP("FNBV1557 Mtge","CPN")</f>
        <v>6</v>
      </c>
      <c r="G1925">
        <f>_xll.BDP("FNBV1557 Mtge","MTG_FACTOR")</f>
        <v>0.88997059000000001</v>
      </c>
      <c r="H1925">
        <f>_xll.BDP("FNBV1557 Mtge","MTG_WAL")</f>
        <v>3.2288999999999999</v>
      </c>
      <c r="I1925" t="str">
        <f>_xll.BDP("FNBV1557 Mtge","MTG_ORIG_WAL")</f>
        <v>#N/A N/A</v>
      </c>
    </row>
    <row r="1926" spans="1:9" x14ac:dyDescent="0.25">
      <c r="A1926" t="str">
        <f>_xll.BDP("FNBV1560 Mtge","ID_CUSIP")</f>
        <v>3140MEWW2</v>
      </c>
      <c r="B1926" t="str">
        <f>_xll.BDP("FNBV1560 Mtge","SECURITY_NAME")</f>
        <v>FN BV1560</v>
      </c>
      <c r="C1926" t="str">
        <f>_xll.BDP("FNBV1560 Mtge","GENERIC_TICKER_VINTAGE")</f>
        <v>FNCL 6 2025</v>
      </c>
      <c r="D1926" t="str">
        <f>_xll.BDP("FNBV1560 Mtge","CRNCY")</f>
        <v>USD</v>
      </c>
      <c r="E1926">
        <v>6086863</v>
      </c>
      <c r="F1926">
        <f>_xll.BDP("FNBV1560 Mtge","CPN")</f>
        <v>6</v>
      </c>
      <c r="G1926">
        <f>_xll.BDP("FNBV1560 Mtge","MTG_FACTOR")</f>
        <v>0.84205565999999998</v>
      </c>
      <c r="H1926">
        <f>_xll.BDP("FNBV1560 Mtge","MTG_WAL")</f>
        <v>3.1943999999999999</v>
      </c>
      <c r="I1926" t="str">
        <f>_xll.BDP("FNBV1560 Mtge","MTG_ORIG_WAL")</f>
        <v>#N/A N/A</v>
      </c>
    </row>
    <row r="1927" spans="1:9" x14ac:dyDescent="0.25">
      <c r="A1927" t="str">
        <f>_xll.BDP("FNBV1561 Mtge","ID_CUSIP")</f>
        <v>3140MEWX0</v>
      </c>
      <c r="B1927" t="str">
        <f>_xll.BDP("FNBV1561 Mtge","SECURITY_NAME")</f>
        <v>FN BV1561</v>
      </c>
      <c r="C1927" t="str">
        <f>_xll.BDP("FNBV1561 Mtge","GENERIC_TICKER_VINTAGE")</f>
        <v>FNCL 6 2025</v>
      </c>
      <c r="D1927" t="str">
        <f>_xll.BDP("FNBV1561 Mtge","CRNCY")</f>
        <v>USD</v>
      </c>
      <c r="E1927">
        <v>17763816</v>
      </c>
      <c r="F1927">
        <f>_xll.BDP("FNBV1561 Mtge","CPN")</f>
        <v>6</v>
      </c>
      <c r="G1927">
        <f>_xll.BDP("FNBV1561 Mtge","MTG_FACTOR")</f>
        <v>0.68989997999999997</v>
      </c>
      <c r="H1927">
        <f>_xll.BDP("FNBV1561 Mtge","MTG_WAL")</f>
        <v>3.1983999999999999</v>
      </c>
      <c r="I1927" t="str">
        <f>_xll.BDP("FNBV1561 Mtge","MTG_ORIG_WAL")</f>
        <v>#N/A N/A</v>
      </c>
    </row>
    <row r="1928" spans="1:9" x14ac:dyDescent="0.25">
      <c r="A1928" t="str">
        <f>_xll.BDP("FNBV1590 Mtge","ID_CUSIP")</f>
        <v>3140MEXU5</v>
      </c>
      <c r="B1928" t="str">
        <f>_xll.BDP("FNBV1590 Mtge","SECURITY_NAME")</f>
        <v>FN BV1590</v>
      </c>
      <c r="C1928" t="str">
        <f>_xll.BDP("FNBV1590 Mtge","GENERIC_TICKER_VINTAGE")</f>
        <v>FNCL 6 2025</v>
      </c>
      <c r="D1928" t="str">
        <f>_xll.BDP("FNBV1590 Mtge","CRNCY")</f>
        <v>USD</v>
      </c>
      <c r="E1928">
        <v>2600115</v>
      </c>
      <c r="F1928">
        <f>_xll.BDP("FNBV1590 Mtge","CPN")</f>
        <v>6</v>
      </c>
      <c r="G1928">
        <f>_xll.BDP("FNBV1590 Mtge","MTG_FACTOR")</f>
        <v>0.88495210999999996</v>
      </c>
      <c r="H1928">
        <f>_xll.BDP("FNBV1590 Mtge","MTG_WAL")</f>
        <v>3.2353999999999998</v>
      </c>
      <c r="I1928" t="str">
        <f>_xll.BDP("FNBV1590 Mtge","MTG_ORIG_WAL")</f>
        <v>#N/A N/A</v>
      </c>
    </row>
    <row r="1929" spans="1:9" x14ac:dyDescent="0.25">
      <c r="A1929" t="str">
        <f>_xll.BDP("FNBV1600 Mtge","ID_CUSIP")</f>
        <v>3140MEX68</v>
      </c>
      <c r="B1929" t="str">
        <f>_xll.BDP("FNBV1600 Mtge","SECURITY_NAME")</f>
        <v>FN BV1600</v>
      </c>
      <c r="C1929" t="str">
        <f>_xll.BDP("FNBV1600 Mtge","GENERIC_TICKER_VINTAGE")</f>
        <v>FNCL 6 2025</v>
      </c>
      <c r="D1929" t="str">
        <f>_xll.BDP("FNBV1600 Mtge","CRNCY")</f>
        <v>USD</v>
      </c>
      <c r="E1929">
        <v>1259443</v>
      </c>
      <c r="F1929">
        <f>_xll.BDP("FNBV1600 Mtge","CPN")</f>
        <v>6</v>
      </c>
      <c r="G1929">
        <f>_xll.BDP("FNBV1600 Mtge","MTG_FACTOR")</f>
        <v>0.79703016000000004</v>
      </c>
      <c r="H1929">
        <f>_xll.BDP("FNBV1600 Mtge","MTG_WAL")</f>
        <v>3.1545000000000001</v>
      </c>
      <c r="I1929" t="str">
        <f>_xll.BDP("FNBV1600 Mtge","MTG_ORIG_WAL")</f>
        <v>#N/A N/A</v>
      </c>
    </row>
    <row r="1930" spans="1:9" x14ac:dyDescent="0.25">
      <c r="A1930" t="str">
        <f>_xll.BDP("FNBV1601 Mtge","ID_CUSIP")</f>
        <v>3140MEX76</v>
      </c>
      <c r="B1930" t="str">
        <f>_xll.BDP("FNBV1601 Mtge","SECURITY_NAME")</f>
        <v>FN BV1601</v>
      </c>
      <c r="C1930" t="str">
        <f>_xll.BDP("FNBV1601 Mtge","GENERIC_TICKER_VINTAGE")</f>
        <v>FNCL 6 2025</v>
      </c>
      <c r="D1930" t="str">
        <f>_xll.BDP("FNBV1601 Mtge","CRNCY")</f>
        <v>USD</v>
      </c>
      <c r="E1930">
        <v>3652641</v>
      </c>
      <c r="F1930">
        <f>_xll.BDP("FNBV1601 Mtge","CPN")</f>
        <v>6</v>
      </c>
      <c r="G1930">
        <f>_xll.BDP("FNBV1601 Mtge","MTG_FACTOR")</f>
        <v>0.91420210000000002</v>
      </c>
      <c r="H1930">
        <f>_xll.BDP("FNBV1601 Mtge","MTG_WAL")</f>
        <v>3.1606999999999998</v>
      </c>
      <c r="I1930" t="str">
        <f>_xll.BDP("FNBV1601 Mtge","MTG_ORIG_WAL")</f>
        <v>#N/A N/A</v>
      </c>
    </row>
    <row r="1931" spans="1:9" x14ac:dyDescent="0.25">
      <c r="A1931" t="str">
        <f>_xll.BDP("FNBV1603 Mtge","ID_CUSIP")</f>
        <v>3140MEX92</v>
      </c>
      <c r="B1931" t="str">
        <f>_xll.BDP("FNBV1603 Mtge","SECURITY_NAME")</f>
        <v>FN BV1603</v>
      </c>
      <c r="C1931" t="str">
        <f>_xll.BDP("FNBV1603 Mtge","GENERIC_TICKER_VINTAGE")</f>
        <v>FNCL 6 2025</v>
      </c>
      <c r="D1931" t="str">
        <f>_xll.BDP("FNBV1603 Mtge","CRNCY")</f>
        <v>USD</v>
      </c>
      <c r="E1931">
        <v>2304817</v>
      </c>
      <c r="F1931">
        <f>_xll.BDP("FNBV1603 Mtge","CPN")</f>
        <v>6</v>
      </c>
      <c r="G1931">
        <f>_xll.BDP("FNBV1603 Mtge","MTG_FACTOR")</f>
        <v>0.80913628999999998</v>
      </c>
      <c r="H1931">
        <f>_xll.BDP("FNBV1603 Mtge","MTG_WAL")</f>
        <v>3.202</v>
      </c>
      <c r="I1931" t="str">
        <f>_xll.BDP("FNBV1603 Mtge","MTG_ORIG_WAL")</f>
        <v>#N/A N/A</v>
      </c>
    </row>
    <row r="1932" spans="1:9" x14ac:dyDescent="0.25">
      <c r="A1932" t="str">
        <f>_xll.BDP("FNBV1607 Mtge","ID_CUSIP")</f>
        <v>3140MEYD2</v>
      </c>
      <c r="B1932" t="str">
        <f>_xll.BDP("FNBV1607 Mtge","SECURITY_NAME")</f>
        <v>FN BV1607</v>
      </c>
      <c r="C1932" t="str">
        <f>_xll.BDP("FNBV1607 Mtge","GENERIC_TICKER_VINTAGE")</f>
        <v>FNCL 6 2025</v>
      </c>
      <c r="D1932" t="str">
        <f>_xll.BDP("FNBV1607 Mtge","CRNCY")</f>
        <v>USD</v>
      </c>
      <c r="E1932">
        <v>1297673</v>
      </c>
      <c r="F1932">
        <f>_xll.BDP("FNBV1607 Mtge","CPN")</f>
        <v>6</v>
      </c>
      <c r="G1932">
        <f>_xll.BDP("FNBV1607 Mtge","MTG_FACTOR")</f>
        <v>0.97278165000000005</v>
      </c>
      <c r="H1932">
        <f>_xll.BDP("FNBV1607 Mtge","MTG_WAL")</f>
        <v>3.1821999999999999</v>
      </c>
      <c r="I1932" t="str">
        <f>_xll.BDP("FNBV1607 Mtge","MTG_ORIG_WAL")</f>
        <v>#N/A N/A</v>
      </c>
    </row>
    <row r="1933" spans="1:9" x14ac:dyDescent="0.25">
      <c r="A1933" t="str">
        <f>_xll.BDP("FNBV1608 Mtge","ID_CUSIP")</f>
        <v>3140MEYE0</v>
      </c>
      <c r="B1933" t="str">
        <f>_xll.BDP("FNBV1608 Mtge","SECURITY_NAME")</f>
        <v>FN BV1608</v>
      </c>
      <c r="C1933" t="str">
        <f>_xll.BDP("FNBV1608 Mtge","GENERIC_TICKER_VINTAGE")</f>
        <v>FNCL 6 2025</v>
      </c>
      <c r="D1933" t="str">
        <f>_xll.BDP("FNBV1608 Mtge","CRNCY")</f>
        <v>USD</v>
      </c>
      <c r="E1933">
        <v>1352675</v>
      </c>
      <c r="F1933">
        <f>_xll.BDP("FNBV1608 Mtge","CPN")</f>
        <v>6</v>
      </c>
      <c r="G1933">
        <f>_xll.BDP("FNBV1608 Mtge","MTG_FACTOR")</f>
        <v>0.61236718999999995</v>
      </c>
      <c r="H1933">
        <f>_xll.BDP("FNBV1608 Mtge","MTG_WAL")</f>
        <v>3.2018</v>
      </c>
      <c r="I1933" t="str">
        <f>_xll.BDP("FNBV1608 Mtge","MTG_ORIG_WAL")</f>
        <v>#N/A N/A</v>
      </c>
    </row>
    <row r="1934" spans="1:9" x14ac:dyDescent="0.25">
      <c r="A1934" t="str">
        <f>_xll.BDP("FNBV1612 Mtge","ID_CUSIP")</f>
        <v>3140MEYJ9</v>
      </c>
      <c r="B1934" t="str">
        <f>_xll.BDP("FNBV1612 Mtge","SECURITY_NAME")</f>
        <v>FN BV1612</v>
      </c>
      <c r="C1934" t="str">
        <f>_xll.BDP("FNBV1612 Mtge","GENERIC_TICKER_VINTAGE")</f>
        <v>FNCL 6 2025</v>
      </c>
      <c r="D1934" t="str">
        <f>_xll.BDP("FNBV1612 Mtge","CRNCY")</f>
        <v>USD</v>
      </c>
      <c r="E1934">
        <v>1693546</v>
      </c>
      <c r="F1934">
        <f>_xll.BDP("FNBV1612 Mtge","CPN")</f>
        <v>6</v>
      </c>
      <c r="G1934">
        <f>_xll.BDP("FNBV1612 Mtge","MTG_FACTOR")</f>
        <v>0.97932476000000002</v>
      </c>
      <c r="H1934">
        <f>_xll.BDP("FNBV1612 Mtge","MTG_WAL")</f>
        <v>3.1612</v>
      </c>
      <c r="I1934" t="str">
        <f>_xll.BDP("FNBV1612 Mtge","MTG_ORIG_WAL")</f>
        <v>#N/A N/A</v>
      </c>
    </row>
    <row r="1935" spans="1:9" x14ac:dyDescent="0.25">
      <c r="A1935" t="str">
        <f>_xll.BDP("FNBV1618 Mtge","ID_CUSIP")</f>
        <v>3140MEYQ3</v>
      </c>
      <c r="B1935" t="str">
        <f>_xll.BDP("FNBV1618 Mtge","SECURITY_NAME")</f>
        <v>FN BV1618</v>
      </c>
      <c r="C1935" t="str">
        <f>_xll.BDP("FNBV1618 Mtge","GENERIC_TICKER_VINTAGE")</f>
        <v>FNCL 6 2025</v>
      </c>
      <c r="D1935" t="str">
        <f>_xll.BDP("FNBV1618 Mtge","CRNCY")</f>
        <v>USD</v>
      </c>
      <c r="E1935">
        <v>1004779</v>
      </c>
      <c r="F1935">
        <f>_xll.BDP("FNBV1618 Mtge","CPN")</f>
        <v>6</v>
      </c>
      <c r="G1935">
        <f>_xll.BDP("FNBV1618 Mtge","MTG_FACTOR")</f>
        <v>0.99113055999999999</v>
      </c>
      <c r="H1935">
        <f>_xll.BDP("FNBV1618 Mtge","MTG_WAL")</f>
        <v>3.2018</v>
      </c>
      <c r="I1935" t="str">
        <f>_xll.BDP("FNBV1618 Mtge","MTG_ORIG_WAL")</f>
        <v>#N/A N/A</v>
      </c>
    </row>
    <row r="1936" spans="1:9" x14ac:dyDescent="0.25">
      <c r="A1936" t="str">
        <f>_xll.BDP("FNBV1621 Mtge","ID_CUSIP")</f>
        <v>3140MEYT7</v>
      </c>
      <c r="B1936" t="str">
        <f>_xll.BDP("FNBV1621 Mtge","SECURITY_NAME")</f>
        <v>FN BV1621</v>
      </c>
      <c r="C1936" t="str">
        <f>_xll.BDP("FNBV1621 Mtge","GENERIC_TICKER_VINTAGE")</f>
        <v>FNCL 6 2025</v>
      </c>
      <c r="D1936" t="str">
        <f>_xll.BDP("FNBV1621 Mtge","CRNCY")</f>
        <v>USD</v>
      </c>
      <c r="E1936">
        <v>1294509</v>
      </c>
      <c r="F1936">
        <f>_xll.BDP("FNBV1621 Mtge","CPN")</f>
        <v>6</v>
      </c>
      <c r="G1936">
        <f>_xll.BDP("FNBV1621 Mtge","MTG_FACTOR")</f>
        <v>0.98329688000000004</v>
      </c>
      <c r="H1936">
        <f>_xll.BDP("FNBV1621 Mtge","MTG_WAL")</f>
        <v>3.2421000000000002</v>
      </c>
      <c r="I1936" t="str">
        <f>_xll.BDP("FNBV1621 Mtge","MTG_ORIG_WAL")</f>
        <v>#N/A N/A</v>
      </c>
    </row>
    <row r="1937" spans="1:9" x14ac:dyDescent="0.25">
      <c r="A1937" t="str">
        <f>_xll.BDP("FNBV1644 Mtge","ID_CUSIP")</f>
        <v>3140MEZJ8</v>
      </c>
      <c r="B1937" t="str">
        <f>_xll.BDP("FNBV1644 Mtge","SECURITY_NAME")</f>
        <v>FN BV1644</v>
      </c>
      <c r="C1937" t="str">
        <f>_xll.BDP("FNBV1644 Mtge","GENERIC_TICKER_VINTAGE")</f>
        <v>FNCL 6 2025</v>
      </c>
      <c r="D1937" t="str">
        <f>_xll.BDP("FNBV1644 Mtge","CRNCY")</f>
        <v>USD</v>
      </c>
      <c r="E1937">
        <v>2489584</v>
      </c>
      <c r="F1937">
        <f>_xll.BDP("FNBV1644 Mtge","CPN")</f>
        <v>6</v>
      </c>
      <c r="G1937">
        <f>_xll.BDP("FNBV1644 Mtge","MTG_FACTOR")</f>
        <v>0.94623380999999995</v>
      </c>
      <c r="H1937">
        <f>_xll.BDP("FNBV1644 Mtge","MTG_WAL")</f>
        <v>3.2313999999999998</v>
      </c>
      <c r="I1937" t="str">
        <f>_xll.BDP("FNBV1644 Mtge","MTG_ORIG_WAL")</f>
        <v>#N/A N/A</v>
      </c>
    </row>
    <row r="1938" spans="1:9" x14ac:dyDescent="0.25">
      <c r="A1938" t="str">
        <f>_xll.BDP("FNBV1649 Mtge","ID_CUSIP")</f>
        <v>3140MEZP4</v>
      </c>
      <c r="B1938" t="str">
        <f>_xll.BDP("FNBV1649 Mtge","SECURITY_NAME")</f>
        <v>FN BV1649</v>
      </c>
      <c r="C1938" t="str">
        <f>_xll.BDP("FNBV1649 Mtge","GENERIC_TICKER_VINTAGE")</f>
        <v>FNCL 6 2025</v>
      </c>
      <c r="D1938" t="str">
        <f>_xll.BDP("FNBV1649 Mtge","CRNCY")</f>
        <v>USD</v>
      </c>
      <c r="E1938">
        <v>6531913</v>
      </c>
      <c r="F1938">
        <f>_xll.BDP("FNBV1649 Mtge","CPN")</f>
        <v>6</v>
      </c>
      <c r="G1938">
        <f>_xll.BDP("FNBV1649 Mtge","MTG_FACTOR")</f>
        <v>0.95398053000000005</v>
      </c>
      <c r="H1938">
        <f>_xll.BDP("FNBV1649 Mtge","MTG_WAL")</f>
        <v>3.2366000000000001</v>
      </c>
      <c r="I1938" t="str">
        <f>_xll.BDP("FNBV1649 Mtge","MTG_ORIG_WAL")</f>
        <v>#N/A N/A</v>
      </c>
    </row>
    <row r="1939" spans="1:9" x14ac:dyDescent="0.25">
      <c r="A1939" t="str">
        <f>_xll.BDP("FNBV1652 Mtge","ID_CUSIP")</f>
        <v>3140MEZS8</v>
      </c>
      <c r="B1939" t="str">
        <f>_xll.BDP("FNBV1652 Mtge","SECURITY_NAME")</f>
        <v>FN BV1652</v>
      </c>
      <c r="C1939" t="str">
        <f>_xll.BDP("FNBV1652 Mtge","GENERIC_TICKER_VINTAGE")</f>
        <v>FNCL 6 2025</v>
      </c>
      <c r="D1939" t="str">
        <f>_xll.BDP("FNBV1652 Mtge","CRNCY")</f>
        <v>USD</v>
      </c>
      <c r="E1939">
        <v>12438550</v>
      </c>
      <c r="F1939">
        <f>_xll.BDP("FNBV1652 Mtge","CPN")</f>
        <v>6</v>
      </c>
      <c r="G1939">
        <f>_xll.BDP("FNBV1652 Mtge","MTG_FACTOR")</f>
        <v>0.88859246999999997</v>
      </c>
      <c r="H1939">
        <f>_xll.BDP("FNBV1652 Mtge","MTG_WAL")</f>
        <v>3.2406000000000001</v>
      </c>
      <c r="I1939" t="str">
        <f>_xll.BDP("FNBV1652 Mtge","MTG_ORIG_WAL")</f>
        <v>#N/A N/A</v>
      </c>
    </row>
    <row r="1940" spans="1:9" x14ac:dyDescent="0.25">
      <c r="A1940" t="str">
        <f>_xll.BDP("FNBV1671 Mtge","ID_CUSIP")</f>
        <v>3140ME2D7</v>
      </c>
      <c r="B1940" t="str">
        <f>_xll.BDP("FNBV1671 Mtge","SECURITY_NAME")</f>
        <v>FN BV1671</v>
      </c>
      <c r="C1940" t="str">
        <f>_xll.BDP("FNBV1671 Mtge","GENERIC_TICKER_VINTAGE")</f>
        <v>FNCL 6 2025</v>
      </c>
      <c r="D1940" t="str">
        <f>_xll.BDP("FNBV1671 Mtge","CRNCY")</f>
        <v>USD</v>
      </c>
      <c r="E1940">
        <v>2512649</v>
      </c>
      <c r="F1940">
        <f>_xll.BDP("FNBV1671 Mtge","CPN")</f>
        <v>6</v>
      </c>
      <c r="G1940">
        <f>_xll.BDP("FNBV1671 Mtge","MTG_FACTOR")</f>
        <v>0.99107129999999999</v>
      </c>
      <c r="H1940">
        <f>_xll.BDP("FNBV1671 Mtge","MTG_WAL")</f>
        <v>3.2452999999999999</v>
      </c>
      <c r="I1940" t="str">
        <f>_xll.BDP("FNBV1671 Mtge","MTG_ORIG_WAL")</f>
        <v>#N/A N/A</v>
      </c>
    </row>
    <row r="1941" spans="1:9" x14ac:dyDescent="0.25">
      <c r="A1941" t="str">
        <f>_xll.BDP("FNBV1685 Mtge","ID_CUSIP")</f>
        <v>3140ME2T2</v>
      </c>
      <c r="B1941" t="str">
        <f>_xll.BDP("FNBV1685 Mtge","SECURITY_NAME")</f>
        <v>FN BV1685</v>
      </c>
      <c r="C1941" t="str">
        <f>_xll.BDP("FNBV1685 Mtge","GENERIC_TICKER_VINTAGE")</f>
        <v>FNCL 6 2025</v>
      </c>
      <c r="D1941" t="str">
        <f>_xll.BDP("FNBV1685 Mtge","CRNCY")</f>
        <v>USD</v>
      </c>
      <c r="E1941">
        <v>1886734</v>
      </c>
      <c r="F1941">
        <f>_xll.BDP("FNBV1685 Mtge","CPN")</f>
        <v>6</v>
      </c>
      <c r="G1941">
        <f>_xll.BDP("FNBV1685 Mtge","MTG_FACTOR")</f>
        <v>0.90284587999999999</v>
      </c>
      <c r="H1941">
        <f>_xll.BDP("FNBV1685 Mtge","MTG_WAL")</f>
        <v>3.242</v>
      </c>
      <c r="I1941" t="str">
        <f>_xll.BDP("FNBV1685 Mtge","MTG_ORIG_WAL")</f>
        <v>#N/A N/A</v>
      </c>
    </row>
    <row r="1942" spans="1:9" x14ac:dyDescent="0.25">
      <c r="A1942" t="str">
        <f>_xll.BDP("FNBV1698 Mtge","ID_CUSIP")</f>
        <v>3140ME3G9</v>
      </c>
      <c r="B1942" t="str">
        <f>_xll.BDP("FNBV1698 Mtge","SECURITY_NAME")</f>
        <v>FN BV1698</v>
      </c>
      <c r="C1942" t="str">
        <f>_xll.BDP("FNBV1698 Mtge","GENERIC_TICKER_VINTAGE")</f>
        <v>FNCL 6 2025</v>
      </c>
      <c r="D1942" t="str">
        <f>_xll.BDP("FNBV1698 Mtge","CRNCY")</f>
        <v>USD</v>
      </c>
      <c r="E1942">
        <v>3364260</v>
      </c>
      <c r="F1942">
        <f>_xll.BDP("FNBV1698 Mtge","CPN")</f>
        <v>6</v>
      </c>
      <c r="G1942">
        <f>_xll.BDP("FNBV1698 Mtge","MTG_FACTOR")</f>
        <v>0.99066639000000001</v>
      </c>
      <c r="H1942">
        <f>_xll.BDP("FNBV1698 Mtge","MTG_WAL")</f>
        <v>3.2896000000000001</v>
      </c>
      <c r="I1942" t="str">
        <f>_xll.BDP("FNBV1698 Mtge","MTG_ORIG_WAL")</f>
        <v>#N/A N/A</v>
      </c>
    </row>
    <row r="1943" spans="1:9" x14ac:dyDescent="0.25">
      <c r="A1943" t="str">
        <f>_xll.BDP("FNBV1725 Mtge","ID_CUSIP")</f>
        <v>3140ME4K9</v>
      </c>
      <c r="B1943" t="str">
        <f>_xll.BDP("FNBV1725 Mtge","SECURITY_NAME")</f>
        <v>FN BV1725</v>
      </c>
      <c r="C1943" t="str">
        <f>_xll.BDP("FNBV1725 Mtge","GENERIC_TICKER_VINTAGE")</f>
        <v>FNCL 6 2025</v>
      </c>
      <c r="D1943" t="str">
        <f>_xll.BDP("FNBV1725 Mtge","CRNCY")</f>
        <v>USD</v>
      </c>
      <c r="E1943">
        <v>38357177</v>
      </c>
      <c r="F1943">
        <f>_xll.BDP("FNBV1725 Mtge","CPN")</f>
        <v>6</v>
      </c>
      <c r="G1943">
        <f>_xll.BDP("FNBV1725 Mtge","MTG_FACTOR")</f>
        <v>0.96397995999999997</v>
      </c>
      <c r="H1943">
        <f>_xll.BDP("FNBV1725 Mtge","MTG_WAL")</f>
        <v>3.2875000000000001</v>
      </c>
      <c r="I1943" t="str">
        <f>_xll.BDP("FNBV1725 Mtge","MTG_ORIG_WAL")</f>
        <v>#N/A N/A</v>
      </c>
    </row>
    <row r="1944" spans="1:9" x14ac:dyDescent="0.25">
      <c r="A1944" t="str">
        <f>_xll.BDP("FNBV1728 Mtge","ID_CUSIP")</f>
        <v>3140ME4N3</v>
      </c>
      <c r="B1944" t="str">
        <f>_xll.BDP("FNBV1728 Mtge","SECURITY_NAME")</f>
        <v>FN BV1728</v>
      </c>
      <c r="C1944" t="str">
        <f>_xll.BDP("FNBV1728 Mtge","GENERIC_TICKER_VINTAGE")</f>
        <v>FNCL 6 2025</v>
      </c>
      <c r="D1944" t="str">
        <f>_xll.BDP("FNBV1728 Mtge","CRNCY")</f>
        <v>USD</v>
      </c>
      <c r="E1944">
        <v>5928623</v>
      </c>
      <c r="F1944">
        <f>_xll.BDP("FNBV1728 Mtge","CPN")</f>
        <v>6</v>
      </c>
      <c r="G1944">
        <f>_xll.BDP("FNBV1728 Mtge","MTG_FACTOR")</f>
        <v>0.88994390999999995</v>
      </c>
      <c r="H1944">
        <f>_xll.BDP("FNBV1728 Mtge","MTG_WAL")</f>
        <v>3.2886000000000002</v>
      </c>
      <c r="I1944" t="str">
        <f>_xll.BDP("FNBV1728 Mtge","MTG_ORIG_WAL")</f>
        <v>#N/A N/A</v>
      </c>
    </row>
    <row r="1945" spans="1:9" x14ac:dyDescent="0.25">
      <c r="A1945" t="str">
        <f>_xll.BDP("FNBV1750 Mtge","ID_CUSIP")</f>
        <v>3140ME5L6</v>
      </c>
      <c r="B1945" t="str">
        <f>_xll.BDP("FNBV1750 Mtge","SECURITY_NAME")</f>
        <v>FN BV1750</v>
      </c>
      <c r="C1945" t="str">
        <f>_xll.BDP("FNBV1750 Mtge","GENERIC_TICKER_VINTAGE")</f>
        <v>FNCL 6 2025</v>
      </c>
      <c r="D1945" t="str">
        <f>_xll.BDP("FNBV1750 Mtge","CRNCY")</f>
        <v>USD</v>
      </c>
      <c r="E1945">
        <v>12078627</v>
      </c>
      <c r="F1945">
        <f>_xll.BDP("FNBV1750 Mtge","CPN")</f>
        <v>6</v>
      </c>
      <c r="G1945">
        <f>_xll.BDP("FNBV1750 Mtge","MTG_FACTOR")</f>
        <v>0.95042384999999996</v>
      </c>
      <c r="H1945">
        <f>_xll.BDP("FNBV1750 Mtge","MTG_WAL")</f>
        <v>3.2856999999999998</v>
      </c>
      <c r="I1945" t="str">
        <f>_xll.BDP("FNBV1750 Mtge","MTG_ORIG_WAL")</f>
        <v>#N/A N/A</v>
      </c>
    </row>
    <row r="1946" spans="1:9" x14ac:dyDescent="0.25">
      <c r="A1946" t="str">
        <f>_xll.BDP("FNBV1758 Mtge","ID_CUSIP")</f>
        <v>3140ME5U6</v>
      </c>
      <c r="B1946" t="str">
        <f>_xll.BDP("FNBV1758 Mtge","SECURITY_NAME")</f>
        <v>FN BV1758</v>
      </c>
      <c r="C1946" t="str">
        <f>_xll.BDP("FNBV1758 Mtge","GENERIC_TICKER_VINTAGE")</f>
        <v>FNCL 6 2025</v>
      </c>
      <c r="D1946" t="str">
        <f>_xll.BDP("FNBV1758 Mtge","CRNCY")</f>
        <v>USD</v>
      </c>
      <c r="E1946">
        <v>3451137</v>
      </c>
      <c r="F1946">
        <f>_xll.BDP("FNBV1758 Mtge","CPN")</f>
        <v>6</v>
      </c>
      <c r="G1946">
        <f>_xll.BDP("FNBV1758 Mtge","MTG_FACTOR")</f>
        <v>0.87258053999999996</v>
      </c>
      <c r="H1946">
        <f>_xll.BDP("FNBV1758 Mtge","MTG_WAL")</f>
        <v>3.2818000000000001</v>
      </c>
      <c r="I1946" t="str">
        <f>_xll.BDP("FNBV1758 Mtge","MTG_ORIG_WAL")</f>
        <v>#N/A N/A</v>
      </c>
    </row>
    <row r="1947" spans="1:9" x14ac:dyDescent="0.25">
      <c r="A1947" t="str">
        <f>_xll.BDP("FNBV1851 Mtge","ID_CUSIP")</f>
        <v>3140MFBV4</v>
      </c>
      <c r="B1947" t="str">
        <f>_xll.BDP("FNBV1851 Mtge","SECURITY_NAME")</f>
        <v>FN BV1851</v>
      </c>
      <c r="C1947" t="str">
        <f>_xll.BDP("FNBV1851 Mtge","GENERIC_TICKER_VINTAGE")</f>
        <v>FNCL 6 2025</v>
      </c>
      <c r="D1947" t="str">
        <f>_xll.BDP("FNBV1851 Mtge","CRNCY")</f>
        <v>USD</v>
      </c>
      <c r="E1947">
        <v>1014123</v>
      </c>
      <c r="F1947">
        <f>_xll.BDP("FNBV1851 Mtge","CPN")</f>
        <v>6</v>
      </c>
      <c r="G1947">
        <f>_xll.BDP("FNBV1851 Mtge","MTG_FACTOR")</f>
        <v>0.82647864999999998</v>
      </c>
      <c r="H1947">
        <f>_xll.BDP("FNBV1851 Mtge","MTG_WAL")</f>
        <v>3.2835999999999999</v>
      </c>
      <c r="I1947" t="str">
        <f>_xll.BDP("FNBV1851 Mtge","MTG_ORIG_WAL")</f>
        <v>#N/A N/A</v>
      </c>
    </row>
    <row r="1948" spans="1:9" x14ac:dyDescent="0.25">
      <c r="A1948" t="str">
        <f>_xll.BDP("FNBV2127 Mtge","ID_CUSIP")</f>
        <v>3140MFLH4</v>
      </c>
      <c r="B1948" t="str">
        <f>_xll.BDP("FNBV2127 Mtge","SECURITY_NAME")</f>
        <v>FN BV2127</v>
      </c>
      <c r="C1948" t="str">
        <f>_xll.BDP("FNBV2127 Mtge","GENERIC_TICKER_VINTAGE")</f>
        <v>FNCL 3 2021</v>
      </c>
      <c r="D1948" t="str">
        <f>_xll.BDP("FNBV2127 Mtge","CRNCY")</f>
        <v>USD</v>
      </c>
      <c r="E1948">
        <v>1142650</v>
      </c>
      <c r="F1948">
        <f>_xll.BDP("FNBV2127 Mtge","CPN")</f>
        <v>3</v>
      </c>
      <c r="G1948">
        <f>_xll.BDP("FNBV2127 Mtge","MTG_FACTOR")</f>
        <v>0.67532508999999996</v>
      </c>
      <c r="H1948">
        <f>_xll.BDP("FNBV2127 Mtge","MTG_WAL")</f>
        <v>8.3162000000000003</v>
      </c>
      <c r="I1948" t="str">
        <f>_xll.BDP("FNBV2127 Mtge","MTG_ORIG_WAL")</f>
        <v>#N/A N/A</v>
      </c>
    </row>
    <row r="1949" spans="1:9" x14ac:dyDescent="0.25">
      <c r="A1949" t="str">
        <f>_xll.BDP("FNBV2209 Mtge","ID_CUSIP")</f>
        <v>3140MFN33</v>
      </c>
      <c r="B1949" t="str">
        <f>_xll.BDP("FNBV2209 Mtge","SECURITY_NAME")</f>
        <v>FN BV2209</v>
      </c>
      <c r="C1949" t="str">
        <f>_xll.BDP("FNBV2209 Mtge","GENERIC_TICKER_VINTAGE")</f>
        <v>FNCL 3 2021</v>
      </c>
      <c r="D1949" t="str">
        <f>_xll.BDP("FNBV2209 Mtge","CRNCY")</f>
        <v>USD</v>
      </c>
      <c r="E1949">
        <v>8078594</v>
      </c>
      <c r="F1949">
        <f>_xll.BDP("FNBV2209 Mtge","CPN")</f>
        <v>3</v>
      </c>
      <c r="G1949">
        <f>_xll.BDP("FNBV2209 Mtge","MTG_FACTOR")</f>
        <v>0.73989514999999995</v>
      </c>
      <c r="H1949">
        <f>_xll.BDP("FNBV2209 Mtge","MTG_WAL")</f>
        <v>8.4314999999999998</v>
      </c>
      <c r="I1949" t="str">
        <f>_xll.BDP("FNBV2209 Mtge","MTG_ORIG_WAL")</f>
        <v>#N/A N/A</v>
      </c>
    </row>
    <row r="1950" spans="1:9" x14ac:dyDescent="0.25">
      <c r="A1950" t="str">
        <f>_xll.BDP("FNBV2434 Mtge","ID_CUSIP")</f>
        <v>3140MFV42</v>
      </c>
      <c r="B1950" t="str">
        <f>_xll.BDP("FNBV2434 Mtge","SECURITY_NAME")</f>
        <v>FN BV2434</v>
      </c>
      <c r="C1950" t="str">
        <f>_xll.BDP("FNBV2434 Mtge","GENERIC_TICKER_VINTAGE")</f>
        <v>FNCL 3 2021</v>
      </c>
      <c r="D1950" t="str">
        <f>_xll.BDP("FNBV2434 Mtge","CRNCY")</f>
        <v>USD</v>
      </c>
      <c r="E1950">
        <v>1580544</v>
      </c>
      <c r="F1950">
        <f>_xll.BDP("FNBV2434 Mtge","CPN")</f>
        <v>3</v>
      </c>
      <c r="G1950">
        <f>_xll.BDP("FNBV2434 Mtge","MTG_FACTOR")</f>
        <v>0.91340809999999995</v>
      </c>
      <c r="H1950">
        <f>_xll.BDP("FNBV2434 Mtge","MTG_WAL")</f>
        <v>8.4550000000000001</v>
      </c>
      <c r="I1950" t="str">
        <f>_xll.BDP("FNBV2434 Mtge","MTG_ORIG_WAL")</f>
        <v>#N/A N/A</v>
      </c>
    </row>
    <row r="1951" spans="1:9" x14ac:dyDescent="0.25">
      <c r="A1951" t="str">
        <f>_xll.BDP("FNBV2915 Mtge","ID_CUSIP")</f>
        <v>3140MGGZ8</v>
      </c>
      <c r="B1951" t="str">
        <f>_xll.BDP("FNBV2915 Mtge","SECURITY_NAME")</f>
        <v>FN BV2915</v>
      </c>
      <c r="C1951" t="str">
        <f>_xll.BDP("FNBV2915 Mtge","GENERIC_TICKER_VINTAGE")</f>
        <v>FNCL 3 2021</v>
      </c>
      <c r="D1951" t="str">
        <f>_xll.BDP("FNBV2915 Mtge","CRNCY")</f>
        <v>USD</v>
      </c>
      <c r="E1951">
        <v>4530614</v>
      </c>
      <c r="F1951">
        <f>_xll.BDP("FNBV2915 Mtge","CPN")</f>
        <v>3</v>
      </c>
      <c r="G1951">
        <f>_xll.BDP("FNBV2915 Mtge","MTG_FACTOR")</f>
        <v>0.69879891999999999</v>
      </c>
      <c r="H1951">
        <f>_xll.BDP("FNBV2915 Mtge","MTG_WAL")</f>
        <v>8.2223000000000006</v>
      </c>
      <c r="I1951" t="str">
        <f>_xll.BDP("FNBV2915 Mtge","MTG_ORIG_WAL")</f>
        <v>#N/A N/A</v>
      </c>
    </row>
    <row r="1952" spans="1:9" x14ac:dyDescent="0.25">
      <c r="A1952" t="str">
        <f>_xll.BDP("FNBV5805 Mtge","ID_CUSIP")</f>
        <v>3140MKNX6</v>
      </c>
      <c r="B1952" t="str">
        <f>_xll.BDP("FNBV5805 Mtge","SECURITY_NAME")</f>
        <v>FN BV5805</v>
      </c>
      <c r="C1952" t="str">
        <f>_xll.BDP("FNBV5805 Mtge","GENERIC_TICKER_VINTAGE")</f>
        <v>FNCL 6 2025</v>
      </c>
      <c r="D1952" t="str">
        <f>_xll.BDP("FNBV5805 Mtge","CRNCY")</f>
        <v>USD</v>
      </c>
      <c r="E1952">
        <v>2509870</v>
      </c>
      <c r="F1952">
        <f>_xll.BDP("FNBV5805 Mtge","CPN")</f>
        <v>6</v>
      </c>
      <c r="G1952">
        <f>_xll.BDP("FNBV5805 Mtge","MTG_FACTOR")</f>
        <v>0.95947534000000001</v>
      </c>
      <c r="H1952">
        <f>_xll.BDP("FNBV5805 Mtge","MTG_WAL")</f>
        <v>3.335</v>
      </c>
      <c r="I1952" t="str">
        <f>_xll.BDP("FNBV5805 Mtge","MTG_ORIG_WAL")</f>
        <v>#N/A N/A</v>
      </c>
    </row>
    <row r="1953" spans="1:9" x14ac:dyDescent="0.25">
      <c r="A1953" t="str">
        <f>_xll.BDP("FNBV5810 Mtge","ID_CUSIP")</f>
        <v>3140MKN40</v>
      </c>
      <c r="B1953" t="str">
        <f>_xll.BDP("FNBV5810 Mtge","SECURITY_NAME")</f>
        <v>FN BV5810</v>
      </c>
      <c r="C1953" t="str">
        <f>_xll.BDP("FNBV5810 Mtge","GENERIC_TICKER_VINTAGE")</f>
        <v>FNCL 6 2025</v>
      </c>
      <c r="D1953" t="str">
        <f>_xll.BDP("FNBV5810 Mtge","CRNCY")</f>
        <v>USD</v>
      </c>
      <c r="E1953">
        <v>2506564</v>
      </c>
      <c r="F1953">
        <f>_xll.BDP("FNBV5810 Mtge","CPN")</f>
        <v>6</v>
      </c>
      <c r="G1953">
        <f>_xll.BDP("FNBV5810 Mtge","MTG_FACTOR")</f>
        <v>0.99016773999999996</v>
      </c>
      <c r="H1953">
        <f>_xll.BDP("FNBV5810 Mtge","MTG_WAL")</f>
        <v>3.3416000000000001</v>
      </c>
      <c r="I1953" t="str">
        <f>_xll.BDP("FNBV5810 Mtge","MTG_ORIG_WAL")</f>
        <v>#N/A N/A</v>
      </c>
    </row>
    <row r="1954" spans="1:9" x14ac:dyDescent="0.25">
      <c r="A1954" t="str">
        <f>_xll.BDP("FNBV6825 Mtge","ID_CUSIP")</f>
        <v>3140MLSP6</v>
      </c>
      <c r="B1954" t="str">
        <f>_xll.BDP("FNBV6825 Mtge","SECURITY_NAME")</f>
        <v>FN BV6825</v>
      </c>
      <c r="C1954" t="str">
        <f>_xll.BDP("FNBV6825 Mtge","GENERIC_TICKER_VINTAGE")</f>
        <v>FNCL 6 2025</v>
      </c>
      <c r="D1954" t="str">
        <f>_xll.BDP("FNBV6825 Mtge","CRNCY")</f>
        <v>USD</v>
      </c>
      <c r="E1954">
        <v>1329200</v>
      </c>
      <c r="F1954">
        <f>_xll.BDP("FNBV6825 Mtge","CPN")</f>
        <v>6</v>
      </c>
      <c r="G1954">
        <f>_xll.BDP("FNBV6825 Mtge","MTG_FACTOR")</f>
        <v>0.92373417000000002</v>
      </c>
      <c r="H1954">
        <f>_xll.BDP("FNBV6825 Mtge","MTG_WAL")</f>
        <v>3.1962999999999999</v>
      </c>
      <c r="I1954" t="str">
        <f>_xll.BDP("FNBV6825 Mtge","MTG_ORIG_WAL")</f>
        <v>#N/A N/A</v>
      </c>
    </row>
    <row r="1955" spans="1:9" x14ac:dyDescent="0.25">
      <c r="A1955" t="str">
        <f>_xll.BDP("FNCA9306 Mtge","ID_CUSIP")</f>
        <v>3140QHKU8</v>
      </c>
      <c r="B1955" t="str">
        <f>_xll.BDP("FNCA9306 Mtge","SECURITY_NAME")</f>
        <v>FN CA9306</v>
      </c>
      <c r="C1955" t="str">
        <f>_xll.BDP("FNCA9306 Mtge","GENERIC_TICKER_VINTAGE")</f>
        <v>FNCL 3 2021</v>
      </c>
      <c r="D1955" t="str">
        <f>_xll.BDP("FNCA9306 Mtge","CRNCY")</f>
        <v>USD</v>
      </c>
      <c r="E1955">
        <v>250720720</v>
      </c>
      <c r="F1955">
        <f>_xll.BDP("FNCA9306 Mtge","CPN")</f>
        <v>3</v>
      </c>
      <c r="G1955">
        <f>_xll.BDP("FNCA9306 Mtge","MTG_FACTOR")</f>
        <v>0.63605533000000003</v>
      </c>
      <c r="H1955">
        <f>_xll.BDP("FNCA9306 Mtge","MTG_WAL")</f>
        <v>8.2408999999999999</v>
      </c>
      <c r="I1955" t="str">
        <f>_xll.BDP("FNCA9306 Mtge","MTG_ORIG_WAL")</f>
        <v>#N/A N/A</v>
      </c>
    </row>
    <row r="1956" spans="1:9" x14ac:dyDescent="0.25">
      <c r="A1956" t="str">
        <f>_xll.BDP("FNCB0043 Mtge","ID_CUSIP")</f>
        <v>3140QKBM9</v>
      </c>
      <c r="B1956" t="str">
        <f>_xll.BDP("FNCB0043 Mtge","SECURITY_NAME")</f>
        <v>FN CB0043</v>
      </c>
      <c r="C1956" t="str">
        <f>_xll.BDP("FNCB0043 Mtge","GENERIC_TICKER_VINTAGE")</f>
        <v>FNCL 3 2021</v>
      </c>
      <c r="D1956" t="str">
        <f>_xll.BDP("FNCB0043 Mtge","CRNCY")</f>
        <v>USD</v>
      </c>
      <c r="E1956">
        <v>100739819</v>
      </c>
      <c r="F1956">
        <f>_xll.BDP("FNCB0043 Mtge","CPN")</f>
        <v>3</v>
      </c>
      <c r="G1956">
        <f>_xll.BDP("FNCB0043 Mtge","MTG_FACTOR")</f>
        <v>0.58826385000000003</v>
      </c>
      <c r="H1956">
        <f>_xll.BDP("FNCB0043 Mtge","MTG_WAL")</f>
        <v>8.2675999999999998</v>
      </c>
      <c r="I1956" t="str">
        <f>_xll.BDP("FNCB0043 Mtge","MTG_ORIG_WAL")</f>
        <v>#N/A N/A</v>
      </c>
    </row>
    <row r="1957" spans="1:9" x14ac:dyDescent="0.25">
      <c r="A1957" t="str">
        <f>_xll.BDP("FNCB0044 Mtge","ID_CUSIP")</f>
        <v>3140QKBN7</v>
      </c>
      <c r="B1957" t="str">
        <f>_xll.BDP("FNCB0044 Mtge","SECURITY_NAME")</f>
        <v>FN CB0044</v>
      </c>
      <c r="C1957" t="str">
        <f>_xll.BDP("FNCB0044 Mtge","GENERIC_TICKER_VINTAGE")</f>
        <v>FNCL 3 2021</v>
      </c>
      <c r="D1957" t="str">
        <f>_xll.BDP("FNCB0044 Mtge","CRNCY")</f>
        <v>USD</v>
      </c>
      <c r="E1957">
        <v>200412521</v>
      </c>
      <c r="F1957">
        <f>_xll.BDP("FNCB0044 Mtge","CPN")</f>
        <v>3</v>
      </c>
      <c r="G1957">
        <f>_xll.BDP("FNCB0044 Mtge","MTG_FACTOR")</f>
        <v>0.61001936999999995</v>
      </c>
      <c r="H1957">
        <f>_xll.BDP("FNCB0044 Mtge","MTG_WAL")</f>
        <v>8.2951999999999995</v>
      </c>
      <c r="I1957" t="str">
        <f>_xll.BDP("FNCB0044 Mtge","MTG_ORIG_WAL")</f>
        <v>#N/A N/A</v>
      </c>
    </row>
    <row r="1958" spans="1:9" x14ac:dyDescent="0.25">
      <c r="A1958" t="str">
        <f>_xll.BDP("FNCB0045 Mtge","ID_CUSIP")</f>
        <v>3140QKBP2</v>
      </c>
      <c r="B1958" t="str">
        <f>_xll.BDP("FNCB0045 Mtge","SECURITY_NAME")</f>
        <v>FN CB0045</v>
      </c>
      <c r="C1958" t="str">
        <f>_xll.BDP("FNCB0045 Mtge","GENERIC_TICKER_VINTAGE")</f>
        <v>FNCL 3 2021</v>
      </c>
      <c r="D1958" t="str">
        <f>_xll.BDP("FNCB0045 Mtge","CRNCY")</f>
        <v>USD</v>
      </c>
      <c r="E1958">
        <v>150302724</v>
      </c>
      <c r="F1958">
        <f>_xll.BDP("FNCB0045 Mtge","CPN")</f>
        <v>3</v>
      </c>
      <c r="G1958">
        <f>_xll.BDP("FNCB0045 Mtge","MTG_FACTOR")</f>
        <v>0.57851584</v>
      </c>
      <c r="H1958">
        <f>_xll.BDP("FNCB0045 Mtge","MTG_WAL")</f>
        <v>8.3338999999999999</v>
      </c>
      <c r="I1958" t="str">
        <f>_xll.BDP("FNCB0045 Mtge","MTG_ORIG_WAL")</f>
        <v>#N/A N/A</v>
      </c>
    </row>
    <row r="1959" spans="1:9" x14ac:dyDescent="0.25">
      <c r="A1959" t="str">
        <f>_xll.BDP("FNCB0047 Mtge","ID_CUSIP")</f>
        <v>3140QKBR8</v>
      </c>
      <c r="B1959" t="str">
        <f>_xll.BDP("FNCB0047 Mtge","SECURITY_NAME")</f>
        <v>FN CB0047</v>
      </c>
      <c r="C1959" t="str">
        <f>_xll.BDP("FNCB0047 Mtge","GENERIC_TICKER_VINTAGE")</f>
        <v>FNCL 3 2021</v>
      </c>
      <c r="D1959" t="str">
        <f>_xll.BDP("FNCB0047 Mtge","CRNCY")</f>
        <v>USD</v>
      </c>
      <c r="E1959">
        <v>100061207</v>
      </c>
      <c r="F1959">
        <f>_xll.BDP("FNCB0047 Mtge","CPN")</f>
        <v>3</v>
      </c>
      <c r="G1959">
        <f>_xll.BDP("FNCB0047 Mtge","MTG_FACTOR")</f>
        <v>0.7109124</v>
      </c>
      <c r="H1959">
        <f>_xll.BDP("FNCB0047 Mtge","MTG_WAL")</f>
        <v>8.2711000000000006</v>
      </c>
      <c r="I1959" t="str">
        <f>_xll.BDP("FNCB0047 Mtge","MTG_ORIG_WAL")</f>
        <v>#N/A N/A</v>
      </c>
    </row>
    <row r="1960" spans="1:9" x14ac:dyDescent="0.25">
      <c r="A1960" t="str">
        <f>_xll.BDP("FNCB0077 Mtge","ID_CUSIP")</f>
        <v>3140QKCP1</v>
      </c>
      <c r="B1960" t="str">
        <f>_xll.BDP("FNCB0077 Mtge","SECURITY_NAME")</f>
        <v>FN CB0077</v>
      </c>
      <c r="C1960" t="str">
        <f>_xll.BDP("FNCB0077 Mtge","GENERIC_TICKER_VINTAGE")</f>
        <v>FNCL 3 2021</v>
      </c>
      <c r="D1960" t="str">
        <f>_xll.BDP("FNCB0077 Mtge","CRNCY")</f>
        <v>USD</v>
      </c>
      <c r="E1960">
        <v>100773800</v>
      </c>
      <c r="F1960">
        <f>_xll.BDP("FNCB0077 Mtge","CPN")</f>
        <v>3</v>
      </c>
      <c r="G1960">
        <f>_xll.BDP("FNCB0077 Mtge","MTG_FACTOR")</f>
        <v>0.73116338999999997</v>
      </c>
      <c r="H1960">
        <f>_xll.BDP("FNCB0077 Mtge","MTG_WAL")</f>
        <v>8.3307000000000002</v>
      </c>
      <c r="I1960" t="str">
        <f>_xll.BDP("FNCB0077 Mtge","MTG_ORIG_WAL")</f>
        <v>#N/A N/A</v>
      </c>
    </row>
    <row r="1961" spans="1:9" x14ac:dyDescent="0.25">
      <c r="A1961" t="str">
        <f>_xll.BDP("FNCB0095 Mtge","ID_CUSIP")</f>
        <v>3140QKC97</v>
      </c>
      <c r="B1961" t="str">
        <f>_xll.BDP("FNCB0095 Mtge","SECURITY_NAME")</f>
        <v>FN CB0095</v>
      </c>
      <c r="C1961" t="str">
        <f>_xll.BDP("FNCB0095 Mtge","GENERIC_TICKER_VINTAGE")</f>
        <v>FNCL 3 2021</v>
      </c>
      <c r="D1961" t="str">
        <f>_xll.BDP("FNCB0095 Mtge","CRNCY")</f>
        <v>USD</v>
      </c>
      <c r="E1961">
        <v>250722230</v>
      </c>
      <c r="F1961">
        <f>_xll.BDP("FNCB0095 Mtge","CPN")</f>
        <v>3</v>
      </c>
      <c r="G1961">
        <f>_xll.BDP("FNCB0095 Mtge","MTG_FACTOR")</f>
        <v>0.69301921</v>
      </c>
      <c r="H1961">
        <f>_xll.BDP("FNCB0095 Mtge","MTG_WAL")</f>
        <v>8.3282000000000007</v>
      </c>
      <c r="I1961" t="str">
        <f>_xll.BDP("FNCB0095 Mtge","MTG_ORIG_WAL")</f>
        <v>#N/A N/A</v>
      </c>
    </row>
    <row r="1962" spans="1:9" x14ac:dyDescent="0.25">
      <c r="A1962" t="str">
        <f>_xll.BDP("FNCB0189 Mtge","ID_CUSIP")</f>
        <v>3140QKF78</v>
      </c>
      <c r="B1962" t="str">
        <f>_xll.BDP("FNCB0189 Mtge","SECURITY_NAME")</f>
        <v>FN CB0189</v>
      </c>
      <c r="C1962" t="str">
        <f>_xll.BDP("FNCB0189 Mtge","GENERIC_TICKER_VINTAGE")</f>
        <v>FNCL 3 2021</v>
      </c>
      <c r="D1962" t="str">
        <f>_xll.BDP("FNCB0189 Mtge","CRNCY")</f>
        <v>USD</v>
      </c>
      <c r="E1962">
        <v>250809063</v>
      </c>
      <c r="F1962">
        <f>_xll.BDP("FNCB0189 Mtge","CPN")</f>
        <v>3</v>
      </c>
      <c r="G1962">
        <f>_xll.BDP("FNCB0189 Mtge","MTG_FACTOR")</f>
        <v>0.56958927999999998</v>
      </c>
      <c r="H1962">
        <f>_xll.BDP("FNCB0189 Mtge","MTG_WAL")</f>
        <v>8.3300999999999998</v>
      </c>
      <c r="I1962" t="str">
        <f>_xll.BDP("FNCB0189 Mtge","MTG_ORIG_WAL")</f>
        <v>#N/A N/A</v>
      </c>
    </row>
    <row r="1963" spans="1:9" x14ac:dyDescent="0.25">
      <c r="A1963" t="str">
        <f>_xll.BDP("FNCB0191 Mtge","ID_CUSIP")</f>
        <v>3140QKF94</v>
      </c>
      <c r="B1963" t="str">
        <f>_xll.BDP("FNCB0191 Mtge","SECURITY_NAME")</f>
        <v>FN CB0191</v>
      </c>
      <c r="C1963" t="str">
        <f>_xll.BDP("FNCB0191 Mtge","GENERIC_TICKER_VINTAGE")</f>
        <v>FNCL 3 2021</v>
      </c>
      <c r="D1963" t="str">
        <f>_xll.BDP("FNCB0191 Mtge","CRNCY")</f>
        <v>USD</v>
      </c>
      <c r="E1963">
        <v>250401020</v>
      </c>
      <c r="F1963">
        <f>_xll.BDP("FNCB0191 Mtge","CPN")</f>
        <v>3</v>
      </c>
      <c r="G1963">
        <f>_xll.BDP("FNCB0191 Mtge","MTG_FACTOR")</f>
        <v>0.62491397000000004</v>
      </c>
      <c r="H1963">
        <f>_xll.BDP("FNCB0191 Mtge","MTG_WAL")</f>
        <v>8.3305000000000007</v>
      </c>
      <c r="I1963" t="str">
        <f>_xll.BDP("FNCB0191 Mtge","MTG_ORIG_WAL")</f>
        <v>#N/A N/A</v>
      </c>
    </row>
    <row r="1964" spans="1:9" x14ac:dyDescent="0.25">
      <c r="A1964" t="str">
        <f>_xll.BDP("FNCB0194 Mtge","ID_CUSIP")</f>
        <v>3140QKGC6</v>
      </c>
      <c r="B1964" t="str">
        <f>_xll.BDP("FNCB0194 Mtge","SECURITY_NAME")</f>
        <v>FN CB0194</v>
      </c>
      <c r="C1964" t="str">
        <f>_xll.BDP("FNCB0194 Mtge","GENERIC_TICKER_VINTAGE")</f>
        <v>FNCL 3 2021</v>
      </c>
      <c r="D1964" t="str">
        <f>_xll.BDP("FNCB0194 Mtge","CRNCY")</f>
        <v>USD</v>
      </c>
      <c r="E1964">
        <v>206105014</v>
      </c>
      <c r="F1964">
        <f>_xll.BDP("FNCB0194 Mtge","CPN")</f>
        <v>3</v>
      </c>
      <c r="G1964">
        <f>_xll.BDP("FNCB0194 Mtge","MTG_FACTOR")</f>
        <v>0.57867595999999999</v>
      </c>
      <c r="H1964">
        <f>_xll.BDP("FNCB0194 Mtge","MTG_WAL")</f>
        <v>8.2873999999999999</v>
      </c>
      <c r="I1964" t="str">
        <f>_xll.BDP("FNCB0194 Mtge","MTG_ORIG_WAL")</f>
        <v>#N/A N/A</v>
      </c>
    </row>
    <row r="1965" spans="1:9" x14ac:dyDescent="0.25">
      <c r="A1965" t="str">
        <f>_xll.BDP("FNCB0198 Mtge","ID_CUSIP")</f>
        <v>3140QKGG7</v>
      </c>
      <c r="B1965" t="str">
        <f>_xll.BDP("FNCB0198 Mtge","SECURITY_NAME")</f>
        <v>FN CB0198</v>
      </c>
      <c r="C1965" t="str">
        <f>_xll.BDP("FNCB0198 Mtge","GENERIC_TICKER_VINTAGE")</f>
        <v>FNCL 3 2021</v>
      </c>
      <c r="D1965" t="str">
        <f>_xll.BDP("FNCB0198 Mtge","CRNCY")</f>
        <v>USD</v>
      </c>
      <c r="E1965">
        <v>250182030</v>
      </c>
      <c r="F1965">
        <f>_xll.BDP("FNCB0198 Mtge","CPN")</f>
        <v>3</v>
      </c>
      <c r="G1965">
        <f>_xll.BDP("FNCB0198 Mtge","MTG_FACTOR")</f>
        <v>0.65460412999999995</v>
      </c>
      <c r="H1965">
        <f>_xll.BDP("FNCB0198 Mtge","MTG_WAL")</f>
        <v>8.2941000000000003</v>
      </c>
      <c r="I1965" t="str">
        <f>_xll.BDP("FNCB0198 Mtge","MTG_ORIG_WAL")</f>
        <v>#N/A N/A</v>
      </c>
    </row>
    <row r="1966" spans="1:9" x14ac:dyDescent="0.25">
      <c r="A1966" t="str">
        <f>_xll.BDP("FNCB0199 Mtge","ID_CUSIP")</f>
        <v>3140QKGH5</v>
      </c>
      <c r="B1966" t="str">
        <f>_xll.BDP("FNCB0199 Mtge","SECURITY_NAME")</f>
        <v>FN CB0199</v>
      </c>
      <c r="C1966" t="str">
        <f>_xll.BDP("FNCB0199 Mtge","GENERIC_TICKER_VINTAGE")</f>
        <v>FNCL 3 2021</v>
      </c>
      <c r="D1966" t="str">
        <f>_xll.BDP("FNCB0199 Mtge","CRNCY")</f>
        <v>USD</v>
      </c>
      <c r="E1966">
        <v>225243461</v>
      </c>
      <c r="F1966">
        <f>_xll.BDP("FNCB0199 Mtge","CPN")</f>
        <v>3</v>
      </c>
      <c r="G1966">
        <f>_xll.BDP("FNCB0199 Mtge","MTG_FACTOR")</f>
        <v>0.68157491999999997</v>
      </c>
      <c r="H1966">
        <f>_xll.BDP("FNCB0199 Mtge","MTG_WAL")</f>
        <v>8.3125</v>
      </c>
      <c r="I1966" t="str">
        <f>_xll.BDP("FNCB0199 Mtge","MTG_ORIG_WAL")</f>
        <v>#N/A N/A</v>
      </c>
    </row>
    <row r="1967" spans="1:9" x14ac:dyDescent="0.25">
      <c r="A1967" t="str">
        <f>_xll.BDP("FNCB0200 Mtge","ID_CUSIP")</f>
        <v>3140QKGJ1</v>
      </c>
      <c r="B1967" t="str">
        <f>_xll.BDP("FNCB0200 Mtge","SECURITY_NAME")</f>
        <v>FN CB0200</v>
      </c>
      <c r="C1967" t="str">
        <f>_xll.BDP("FNCB0200 Mtge","GENERIC_TICKER_VINTAGE")</f>
        <v>FNCL 3 2021</v>
      </c>
      <c r="D1967" t="str">
        <f>_xll.BDP("FNCB0200 Mtge","CRNCY")</f>
        <v>USD</v>
      </c>
      <c r="E1967">
        <v>195371617</v>
      </c>
      <c r="F1967">
        <f>_xll.BDP("FNCB0200 Mtge","CPN")</f>
        <v>3</v>
      </c>
      <c r="G1967">
        <f>_xll.BDP("FNCB0200 Mtge","MTG_FACTOR")</f>
        <v>0.67670505000000003</v>
      </c>
      <c r="H1967">
        <f>_xll.BDP("FNCB0200 Mtge","MTG_WAL")</f>
        <v>8.2946000000000009</v>
      </c>
      <c r="I1967" t="str">
        <f>_xll.BDP("FNCB0200 Mtge","MTG_ORIG_WAL")</f>
        <v>#N/A N/A</v>
      </c>
    </row>
    <row r="1968" spans="1:9" x14ac:dyDescent="0.25">
      <c r="A1968" t="str">
        <f>_xll.BDP("FNCB0201 Mtge","ID_CUSIP")</f>
        <v>3140QKGK8</v>
      </c>
      <c r="B1968" t="str">
        <f>_xll.BDP("FNCB0201 Mtge","SECURITY_NAME")</f>
        <v>FN CB0201</v>
      </c>
      <c r="C1968" t="str">
        <f>_xll.BDP("FNCB0201 Mtge","GENERIC_TICKER_VINTAGE")</f>
        <v>FNCL 3 2021</v>
      </c>
      <c r="D1968" t="str">
        <f>_xll.BDP("FNCB0201 Mtge","CRNCY")</f>
        <v>USD</v>
      </c>
      <c r="E1968">
        <v>125686265</v>
      </c>
      <c r="F1968">
        <f>_xll.BDP("FNCB0201 Mtge","CPN")</f>
        <v>3</v>
      </c>
      <c r="G1968">
        <f>_xll.BDP("FNCB0201 Mtge","MTG_FACTOR")</f>
        <v>0.72186366000000002</v>
      </c>
      <c r="H1968">
        <f>_xll.BDP("FNCB0201 Mtge","MTG_WAL")</f>
        <v>8.2913999999999994</v>
      </c>
      <c r="I1968" t="str">
        <f>_xll.BDP("FNCB0201 Mtge","MTG_ORIG_WAL")</f>
        <v>#N/A N/A</v>
      </c>
    </row>
    <row r="1969" spans="1:9" x14ac:dyDescent="0.25">
      <c r="A1969" t="str">
        <f>_xll.BDP("FNCB0356 Mtge","ID_CUSIP")</f>
        <v>3140QKME5</v>
      </c>
      <c r="B1969" t="str">
        <f>_xll.BDP("FNCB0356 Mtge","SECURITY_NAME")</f>
        <v>FN CB0356</v>
      </c>
      <c r="C1969" t="str">
        <f>_xll.BDP("FNCB0356 Mtge","GENERIC_TICKER_VINTAGE")</f>
        <v>FNCL 3 2021</v>
      </c>
      <c r="D1969" t="str">
        <f>_xll.BDP("FNCB0356 Mtge","CRNCY")</f>
        <v>USD</v>
      </c>
      <c r="E1969">
        <v>250252119</v>
      </c>
      <c r="F1969">
        <f>_xll.BDP("FNCB0356 Mtge","CPN")</f>
        <v>3</v>
      </c>
      <c r="G1969">
        <f>_xll.BDP("FNCB0356 Mtge","MTG_FACTOR")</f>
        <v>0.65177633000000001</v>
      </c>
      <c r="H1969">
        <f>_xll.BDP("FNCB0356 Mtge","MTG_WAL")</f>
        <v>8.1857000000000006</v>
      </c>
      <c r="I1969" t="str">
        <f>_xll.BDP("FNCB0356 Mtge","MTG_ORIG_WAL")</f>
        <v>#N/A N/A</v>
      </c>
    </row>
    <row r="1970" spans="1:9" x14ac:dyDescent="0.25">
      <c r="A1970" t="str">
        <f>_xll.BDP("FNCB0397 Mtge","ID_CUSIP")</f>
        <v>3140QKNP9</v>
      </c>
      <c r="B1970" t="str">
        <f>_xll.BDP("FNCB0397 Mtge","SECURITY_NAME")</f>
        <v>FN CB0397</v>
      </c>
      <c r="C1970" t="str">
        <f>_xll.BDP("FNCB0397 Mtge","GENERIC_TICKER_VINTAGE")</f>
        <v>FNCL 3 2021</v>
      </c>
      <c r="D1970" t="str">
        <f>_xll.BDP("FNCB0397 Mtge","CRNCY")</f>
        <v>USD</v>
      </c>
      <c r="E1970">
        <v>200272025</v>
      </c>
      <c r="F1970">
        <f>_xll.BDP("FNCB0397 Mtge","CPN")</f>
        <v>3</v>
      </c>
      <c r="G1970">
        <f>_xll.BDP("FNCB0397 Mtge","MTG_FACTOR")</f>
        <v>0.57963701000000001</v>
      </c>
      <c r="H1970">
        <f>_xll.BDP("FNCB0397 Mtge","MTG_WAL")</f>
        <v>8.2911000000000001</v>
      </c>
      <c r="I1970" t="str">
        <f>_xll.BDP("FNCB0397 Mtge","MTG_ORIG_WAL")</f>
        <v>#N/A N/A</v>
      </c>
    </row>
    <row r="1971" spans="1:9" x14ac:dyDescent="0.25">
      <c r="A1971" t="str">
        <f>_xll.BDP("FNCB0398 Mtge","ID_CUSIP")</f>
        <v>3140QKNQ7</v>
      </c>
      <c r="B1971" t="str">
        <f>_xll.BDP("FNCB0398 Mtge","SECURITY_NAME")</f>
        <v>FN CB0398</v>
      </c>
      <c r="C1971" t="str">
        <f>_xll.BDP("FNCB0398 Mtge","GENERIC_TICKER_VINTAGE")</f>
        <v>FNCL 3 2021</v>
      </c>
      <c r="D1971" t="str">
        <f>_xll.BDP("FNCB0398 Mtge","CRNCY")</f>
        <v>USD</v>
      </c>
      <c r="E1971">
        <v>250732398</v>
      </c>
      <c r="F1971">
        <f>_xll.BDP("FNCB0398 Mtge","CPN")</f>
        <v>3</v>
      </c>
      <c r="G1971">
        <f>_xll.BDP("FNCB0398 Mtge","MTG_FACTOR")</f>
        <v>0.64187148999999999</v>
      </c>
      <c r="H1971">
        <f>_xll.BDP("FNCB0398 Mtge","MTG_WAL")</f>
        <v>8.2316000000000003</v>
      </c>
      <c r="I1971" t="str">
        <f>_xll.BDP("FNCB0398 Mtge","MTG_ORIG_WAL")</f>
        <v>#N/A N/A</v>
      </c>
    </row>
    <row r="1972" spans="1:9" x14ac:dyDescent="0.25">
      <c r="A1972" t="str">
        <f>_xll.BDP("FNCB0399 Mtge","ID_CUSIP")</f>
        <v>3140QKNR5</v>
      </c>
      <c r="B1972" t="str">
        <f>_xll.BDP("FNCB0399 Mtge","SECURITY_NAME")</f>
        <v>FN CB0399</v>
      </c>
      <c r="C1972" t="str">
        <f>_xll.BDP("FNCB0399 Mtge","GENERIC_TICKER_VINTAGE")</f>
        <v>FNCL 3 2021</v>
      </c>
      <c r="D1972" t="str">
        <f>_xll.BDP("FNCB0399 Mtge","CRNCY")</f>
        <v>USD</v>
      </c>
      <c r="E1972">
        <v>75766964</v>
      </c>
      <c r="F1972">
        <f>_xll.BDP("FNCB0399 Mtge","CPN")</f>
        <v>3</v>
      </c>
      <c r="G1972">
        <f>_xll.BDP("FNCB0399 Mtge","MTG_FACTOR")</f>
        <v>0.76163968999999998</v>
      </c>
      <c r="H1972">
        <f>_xll.BDP("FNCB0399 Mtge","MTG_WAL")</f>
        <v>8.1666000000000007</v>
      </c>
      <c r="I1972" t="str">
        <f>_xll.BDP("FNCB0399 Mtge","MTG_ORIG_WAL")</f>
        <v>#N/A N/A</v>
      </c>
    </row>
    <row r="1973" spans="1:9" x14ac:dyDescent="0.25">
      <c r="A1973" t="str">
        <f>_xll.BDP("FNCB0525 Mtge","ID_CUSIP")</f>
        <v>3140QKSP4</v>
      </c>
      <c r="B1973" t="str">
        <f>_xll.BDP("FNCB0525 Mtge","SECURITY_NAME")</f>
        <v>FN CB0525</v>
      </c>
      <c r="C1973" t="str">
        <f>_xll.BDP("FNCB0525 Mtge","GENERIC_TICKER_VINTAGE")</f>
        <v>FNCL 3 2021</v>
      </c>
      <c r="D1973" t="str">
        <f>_xll.BDP("FNCB0525 Mtge","CRNCY")</f>
        <v>USD</v>
      </c>
      <c r="E1973">
        <v>21682721</v>
      </c>
      <c r="F1973">
        <f>_xll.BDP("FNCB0525 Mtge","CPN")</f>
        <v>3</v>
      </c>
      <c r="G1973">
        <f>_xll.BDP("FNCB0525 Mtge","MTG_FACTOR")</f>
        <v>0.61742936000000004</v>
      </c>
      <c r="H1973">
        <f>_xll.BDP("FNCB0525 Mtge","MTG_WAL")</f>
        <v>8.2576999999999998</v>
      </c>
      <c r="I1973" t="str">
        <f>_xll.BDP("FNCB0525 Mtge","MTG_ORIG_WAL")</f>
        <v>#N/A N/A</v>
      </c>
    </row>
    <row r="1974" spans="1:9" x14ac:dyDescent="0.25">
      <c r="A1974" t="str">
        <f>_xll.BDP("FNCB0527 Mtge","ID_CUSIP")</f>
        <v>3140QKSR0</v>
      </c>
      <c r="B1974" t="str">
        <f>_xll.BDP("FNCB0527 Mtge","SECURITY_NAME")</f>
        <v>FN CB0527</v>
      </c>
      <c r="C1974" t="str">
        <f>_xll.BDP("FNCB0527 Mtge","GENERIC_TICKER_VINTAGE")</f>
        <v>FNCL 3 2021</v>
      </c>
      <c r="D1974" t="str">
        <f>_xll.BDP("FNCB0527 Mtge","CRNCY")</f>
        <v>USD</v>
      </c>
      <c r="E1974">
        <v>60134374</v>
      </c>
      <c r="F1974">
        <f>_xll.BDP("FNCB0527 Mtge","CPN")</f>
        <v>3</v>
      </c>
      <c r="G1974">
        <f>_xll.BDP("FNCB0527 Mtge","MTG_FACTOR")</f>
        <v>0.61494713999999995</v>
      </c>
      <c r="H1974">
        <f>_xll.BDP("FNCB0527 Mtge","MTG_WAL")</f>
        <v>8.2629000000000001</v>
      </c>
      <c r="I1974" t="str">
        <f>_xll.BDP("FNCB0527 Mtge","MTG_ORIG_WAL")</f>
        <v>#N/A N/A</v>
      </c>
    </row>
    <row r="1975" spans="1:9" x14ac:dyDescent="0.25">
      <c r="A1975" t="str">
        <f>_xll.BDP("FNCB0530 Mtge","ID_CUSIP")</f>
        <v>3140QKSU3</v>
      </c>
      <c r="B1975" t="str">
        <f>_xll.BDP("FNCB0530 Mtge","SECURITY_NAME")</f>
        <v>FN CB0530</v>
      </c>
      <c r="C1975" t="str">
        <f>_xll.BDP("FNCB0530 Mtge","GENERIC_TICKER_VINTAGE")</f>
        <v>FNCL 3 2021</v>
      </c>
      <c r="D1975" t="str">
        <f>_xll.BDP("FNCB0530 Mtge","CRNCY")</f>
        <v>USD</v>
      </c>
      <c r="E1975">
        <v>19268014</v>
      </c>
      <c r="F1975">
        <f>_xll.BDP("FNCB0530 Mtge","CPN")</f>
        <v>3</v>
      </c>
      <c r="G1975">
        <f>_xll.BDP("FNCB0530 Mtge","MTG_FACTOR")</f>
        <v>0.58352486000000003</v>
      </c>
      <c r="H1975">
        <f>_xll.BDP("FNCB0530 Mtge","MTG_WAL")</f>
        <v>8.2505000000000006</v>
      </c>
      <c r="I1975" t="str">
        <f>_xll.BDP("FNCB0530 Mtge","MTG_ORIG_WAL")</f>
        <v>#N/A N/A</v>
      </c>
    </row>
    <row r="1976" spans="1:9" x14ac:dyDescent="0.25">
      <c r="A1976" t="str">
        <f>_xll.BDP("FNCB0531 Mtge","ID_CUSIP")</f>
        <v>3140QKSV1</v>
      </c>
      <c r="B1976" t="str">
        <f>_xll.BDP("FNCB0531 Mtge","SECURITY_NAME")</f>
        <v>FN CB0531</v>
      </c>
      <c r="C1976" t="str">
        <f>_xll.BDP("FNCB0531 Mtge","GENERIC_TICKER_VINTAGE")</f>
        <v>FNCL 3 2021</v>
      </c>
      <c r="D1976" t="str">
        <f>_xll.BDP("FNCB0531 Mtge","CRNCY")</f>
        <v>USD</v>
      </c>
      <c r="E1976">
        <v>158396503</v>
      </c>
      <c r="F1976">
        <f>_xll.BDP("FNCB0531 Mtge","CPN")</f>
        <v>3</v>
      </c>
      <c r="G1976">
        <f>_xll.BDP("FNCB0531 Mtge","MTG_FACTOR")</f>
        <v>0.54930398999999996</v>
      </c>
      <c r="H1976">
        <f>_xll.BDP("FNCB0531 Mtge","MTG_WAL")</f>
        <v>8.2759</v>
      </c>
      <c r="I1976" t="str">
        <f>_xll.BDP("FNCB0531 Mtge","MTG_ORIG_WAL")</f>
        <v>#N/A N/A</v>
      </c>
    </row>
    <row r="1977" spans="1:9" x14ac:dyDescent="0.25">
      <c r="A1977" t="str">
        <f>_xll.BDP("FNCB0534 Mtge","ID_CUSIP")</f>
        <v>3140QKSY5</v>
      </c>
      <c r="B1977" t="str">
        <f>_xll.BDP("FNCB0534 Mtge","SECURITY_NAME")</f>
        <v>FN CB0534</v>
      </c>
      <c r="C1977" t="str">
        <f>_xll.BDP("FNCB0534 Mtge","GENERIC_TICKER_VINTAGE")</f>
        <v>FNCL 3 2021</v>
      </c>
      <c r="D1977" t="str">
        <f>_xll.BDP("FNCB0534 Mtge","CRNCY")</f>
        <v>USD</v>
      </c>
      <c r="E1977">
        <v>216517262</v>
      </c>
      <c r="F1977">
        <f>_xll.BDP("FNCB0534 Mtge","CPN")</f>
        <v>3</v>
      </c>
      <c r="G1977">
        <f>_xll.BDP("FNCB0534 Mtge","MTG_FACTOR")</f>
        <v>0.63817309</v>
      </c>
      <c r="H1977">
        <f>_xll.BDP("FNCB0534 Mtge","MTG_WAL")</f>
        <v>8.1129999999999995</v>
      </c>
      <c r="I1977" t="str">
        <f>_xll.BDP("FNCB0534 Mtge","MTG_ORIG_WAL")</f>
        <v>#N/A N/A</v>
      </c>
    </row>
    <row r="1978" spans="1:9" x14ac:dyDescent="0.25">
      <c r="A1978" t="str">
        <f>_xll.BDP("FNCB0537 Mtge","ID_CUSIP")</f>
        <v>3140QKS33</v>
      </c>
      <c r="B1978" t="str">
        <f>_xll.BDP("FNCB0537 Mtge","SECURITY_NAME")</f>
        <v>FN CB0537</v>
      </c>
      <c r="C1978" t="str">
        <f>_xll.BDP("FNCB0537 Mtge","GENERIC_TICKER_VINTAGE")</f>
        <v>FNCL 3 2021</v>
      </c>
      <c r="D1978" t="str">
        <f>_xll.BDP("FNCB0537 Mtge","CRNCY")</f>
        <v>USD</v>
      </c>
      <c r="E1978">
        <v>26824623</v>
      </c>
      <c r="F1978">
        <f>_xll.BDP("FNCB0537 Mtge","CPN")</f>
        <v>3</v>
      </c>
      <c r="G1978">
        <f>_xll.BDP("FNCB0537 Mtge","MTG_FACTOR")</f>
        <v>0.62017929000000005</v>
      </c>
      <c r="H1978">
        <f>_xll.BDP("FNCB0537 Mtge","MTG_WAL")</f>
        <v>8.2589000000000006</v>
      </c>
      <c r="I1978" t="str">
        <f>_xll.BDP("FNCB0537 Mtge","MTG_ORIG_WAL")</f>
        <v>#N/A N/A</v>
      </c>
    </row>
    <row r="1979" spans="1:9" x14ac:dyDescent="0.25">
      <c r="A1979" t="str">
        <f>_xll.BDP("FNCB0614 Mtge","ID_CUSIP")</f>
        <v>3140QKVG0</v>
      </c>
      <c r="B1979" t="str">
        <f>_xll.BDP("FNCB0614 Mtge","SECURITY_NAME")</f>
        <v>FN CB0614</v>
      </c>
      <c r="C1979" t="str">
        <f>_xll.BDP("FNCB0614 Mtge","GENERIC_TICKER_VINTAGE")</f>
        <v>FNCL 3 2021</v>
      </c>
      <c r="D1979" t="str">
        <f>_xll.BDP("FNCB0614 Mtge","CRNCY")</f>
        <v>USD</v>
      </c>
      <c r="E1979">
        <v>151080014</v>
      </c>
      <c r="F1979">
        <f>_xll.BDP("FNCB0614 Mtge","CPN")</f>
        <v>3</v>
      </c>
      <c r="G1979">
        <f>_xll.BDP("FNCB0614 Mtge","MTG_FACTOR")</f>
        <v>0.76127062999999995</v>
      </c>
      <c r="H1979">
        <f>_xll.BDP("FNCB0614 Mtge","MTG_WAL")</f>
        <v>8.1361000000000008</v>
      </c>
      <c r="I1979" t="str">
        <f>_xll.BDP("FNCB0614 Mtge","MTG_ORIG_WAL")</f>
        <v>#N/A N/A</v>
      </c>
    </row>
    <row r="1980" spans="1:9" x14ac:dyDescent="0.25">
      <c r="A1980" t="str">
        <f>_xll.BDP("FNCB0705 Mtge","ID_CUSIP")</f>
        <v>3140QKYB8</v>
      </c>
      <c r="B1980" t="str">
        <f>_xll.BDP("FNCB0705 Mtge","SECURITY_NAME")</f>
        <v>FN CB0705</v>
      </c>
      <c r="C1980" t="str">
        <f>_xll.BDP("FNCB0705 Mtge","GENERIC_TICKER_VINTAGE")</f>
        <v>FNCL 3 2021</v>
      </c>
      <c r="D1980" t="str">
        <f>_xll.BDP("FNCB0705 Mtge","CRNCY")</f>
        <v>USD</v>
      </c>
      <c r="E1980">
        <v>250026302</v>
      </c>
      <c r="F1980">
        <f>_xll.BDP("FNCB0705 Mtge","CPN")</f>
        <v>3</v>
      </c>
      <c r="G1980">
        <f>_xll.BDP("FNCB0705 Mtge","MTG_FACTOR")</f>
        <v>0.54683274999999998</v>
      </c>
      <c r="H1980">
        <f>_xll.BDP("FNCB0705 Mtge","MTG_WAL")</f>
        <v>8.3308</v>
      </c>
      <c r="I1980" t="str">
        <f>_xll.BDP("FNCB0705 Mtge","MTG_ORIG_WAL")</f>
        <v>#N/A N/A</v>
      </c>
    </row>
    <row r="1981" spans="1:9" x14ac:dyDescent="0.25">
      <c r="A1981" t="str">
        <f>_xll.BDP("FNCB0733 Mtge","ID_CUSIP")</f>
        <v>3140QKY77</v>
      </c>
      <c r="B1981" t="str">
        <f>_xll.BDP("FNCB0733 Mtge","SECURITY_NAME")</f>
        <v>FN CB0733</v>
      </c>
      <c r="C1981" t="str">
        <f>_xll.BDP("FNCB0733 Mtge","GENERIC_TICKER_VINTAGE")</f>
        <v>FNCL 3 2021</v>
      </c>
      <c r="D1981" t="str">
        <f>_xll.BDP("FNCB0733 Mtge","CRNCY")</f>
        <v>USD</v>
      </c>
      <c r="E1981">
        <v>100154200</v>
      </c>
      <c r="F1981">
        <f>_xll.BDP("FNCB0733 Mtge","CPN")</f>
        <v>3</v>
      </c>
      <c r="G1981">
        <f>_xll.BDP("FNCB0733 Mtge","MTG_FACTOR")</f>
        <v>0.62791615999999995</v>
      </c>
      <c r="H1981">
        <f>_xll.BDP("FNCB0733 Mtge","MTG_WAL")</f>
        <v>8.2276000000000007</v>
      </c>
      <c r="I1981" t="str">
        <f>_xll.BDP("FNCB0733 Mtge","MTG_ORIG_WAL")</f>
        <v>#N/A N/A</v>
      </c>
    </row>
    <row r="1982" spans="1:9" x14ac:dyDescent="0.25">
      <c r="A1982" t="str">
        <f>_xll.BDP("FNCB0734 Mtge","ID_CUSIP")</f>
        <v>3140QKY85</v>
      </c>
      <c r="B1982" t="str">
        <f>_xll.BDP("FNCB0734 Mtge","SECURITY_NAME")</f>
        <v>FN CB0734</v>
      </c>
      <c r="C1982" t="str">
        <f>_xll.BDP("FNCB0734 Mtge","GENERIC_TICKER_VINTAGE")</f>
        <v>FNCL 3 2021</v>
      </c>
      <c r="D1982" t="str">
        <f>_xll.BDP("FNCB0734 Mtge","CRNCY")</f>
        <v>USD</v>
      </c>
      <c r="E1982">
        <v>100392532</v>
      </c>
      <c r="F1982">
        <f>_xll.BDP("FNCB0734 Mtge","CPN")</f>
        <v>3</v>
      </c>
      <c r="G1982">
        <f>_xll.BDP("FNCB0734 Mtge","MTG_FACTOR")</f>
        <v>0.66572752000000002</v>
      </c>
      <c r="H1982">
        <f>_xll.BDP("FNCB0734 Mtge","MTG_WAL")</f>
        <v>8.2286000000000001</v>
      </c>
      <c r="I1982" t="str">
        <f>_xll.BDP("FNCB0734 Mtge","MTG_ORIG_WAL")</f>
        <v>#N/A N/A</v>
      </c>
    </row>
    <row r="1983" spans="1:9" x14ac:dyDescent="0.25">
      <c r="A1983" t="str">
        <f>_xll.BDP("FNCB0735 Mtge","ID_CUSIP")</f>
        <v>3140QKY93</v>
      </c>
      <c r="B1983" t="str">
        <f>_xll.BDP("FNCB0735 Mtge","SECURITY_NAME")</f>
        <v>FN CB0735</v>
      </c>
      <c r="C1983" t="str">
        <f>_xll.BDP("FNCB0735 Mtge","GENERIC_TICKER_VINTAGE")</f>
        <v>FNCL 3 2021</v>
      </c>
      <c r="D1983" t="str">
        <f>_xll.BDP("FNCB0735 Mtge","CRNCY")</f>
        <v>USD</v>
      </c>
      <c r="E1983">
        <v>100412485</v>
      </c>
      <c r="F1983">
        <f>_xll.BDP("FNCB0735 Mtge","CPN")</f>
        <v>3</v>
      </c>
      <c r="G1983">
        <f>_xll.BDP("FNCB0735 Mtge","MTG_FACTOR")</f>
        <v>0.63932299000000004</v>
      </c>
      <c r="H1983">
        <f>_xll.BDP("FNCB0735 Mtge","MTG_WAL")</f>
        <v>8.2471999999999994</v>
      </c>
      <c r="I1983" t="str">
        <f>_xll.BDP("FNCB0735 Mtge","MTG_ORIG_WAL")</f>
        <v>#N/A N/A</v>
      </c>
    </row>
    <row r="1984" spans="1:9" x14ac:dyDescent="0.25">
      <c r="A1984" t="str">
        <f>_xll.BDP("FNCB0737 Mtge","ID_CUSIP")</f>
        <v>3140QKZB7</v>
      </c>
      <c r="B1984" t="str">
        <f>_xll.BDP("FNCB0737 Mtge","SECURITY_NAME")</f>
        <v>FN CB0737</v>
      </c>
      <c r="C1984" t="str">
        <f>_xll.BDP("FNCB0737 Mtge","GENERIC_TICKER_VINTAGE")</f>
        <v>FNCL 3 2021</v>
      </c>
      <c r="D1984" t="str">
        <f>_xll.BDP("FNCB0737 Mtge","CRNCY")</f>
        <v>USD</v>
      </c>
      <c r="E1984">
        <v>100642817</v>
      </c>
      <c r="F1984">
        <f>_xll.BDP("FNCB0737 Mtge","CPN")</f>
        <v>3</v>
      </c>
      <c r="G1984">
        <f>_xll.BDP("FNCB0737 Mtge","MTG_FACTOR")</f>
        <v>0.62185749999999995</v>
      </c>
      <c r="H1984">
        <f>_xll.BDP("FNCB0737 Mtge","MTG_WAL")</f>
        <v>8.2777999999999992</v>
      </c>
      <c r="I1984" t="str">
        <f>_xll.BDP("FNCB0737 Mtge","MTG_ORIG_WAL")</f>
        <v>#N/A N/A</v>
      </c>
    </row>
    <row r="1985" spans="1:9" x14ac:dyDescent="0.25">
      <c r="A1985" t="str">
        <f>_xll.BDP("FNCB0848 Mtge","ID_CUSIP")</f>
        <v>3140QK5J3</v>
      </c>
      <c r="B1985" t="str">
        <f>_xll.BDP("FNCB0848 Mtge","SECURITY_NAME")</f>
        <v>FN CB0848</v>
      </c>
      <c r="C1985" t="str">
        <f>_xll.BDP("FNCB0848 Mtge","GENERIC_TICKER_VINTAGE")</f>
        <v>FNCL 3 2021</v>
      </c>
      <c r="D1985" t="str">
        <f>_xll.BDP("FNCB0848 Mtge","CRNCY")</f>
        <v>USD</v>
      </c>
      <c r="E1985">
        <v>83914495</v>
      </c>
      <c r="F1985">
        <f>_xll.BDP("FNCB0848 Mtge","CPN")</f>
        <v>3</v>
      </c>
      <c r="G1985">
        <f>_xll.BDP("FNCB0848 Mtge","MTG_FACTOR")</f>
        <v>0.65503179</v>
      </c>
      <c r="H1985">
        <f>_xll.BDP("FNCB0848 Mtge","MTG_WAL")</f>
        <v>8.2787000000000006</v>
      </c>
      <c r="I1985" t="str">
        <f>_xll.BDP("FNCB0848 Mtge","MTG_ORIG_WAL")</f>
        <v>#N/A N/A</v>
      </c>
    </row>
    <row r="1986" spans="1:9" x14ac:dyDescent="0.25">
      <c r="A1986" t="str">
        <f>_xll.BDP("FNCB0851 Mtge","ID_CUSIP")</f>
        <v>3140QK5M6</v>
      </c>
      <c r="B1986" t="str">
        <f>_xll.BDP("FNCB0851 Mtge","SECURITY_NAME")</f>
        <v>FN CB0851</v>
      </c>
      <c r="C1986" t="str">
        <f>_xll.BDP("FNCB0851 Mtge","GENERIC_TICKER_VINTAGE")</f>
        <v>FNCL 3 2021</v>
      </c>
      <c r="D1986" t="str">
        <f>_xll.BDP("FNCB0851 Mtge","CRNCY")</f>
        <v>USD</v>
      </c>
      <c r="E1986">
        <v>62573911</v>
      </c>
      <c r="F1986">
        <f>_xll.BDP("FNCB0851 Mtge","CPN")</f>
        <v>3</v>
      </c>
      <c r="G1986">
        <f>_xll.BDP("FNCB0851 Mtge","MTG_FACTOR")</f>
        <v>0.61853944999999999</v>
      </c>
      <c r="H1986">
        <f>_xll.BDP("FNCB0851 Mtge","MTG_WAL")</f>
        <v>8.2286000000000001</v>
      </c>
      <c r="I1986" t="str">
        <f>_xll.BDP("FNCB0851 Mtge","MTG_ORIG_WAL")</f>
        <v>#N/A N/A</v>
      </c>
    </row>
    <row r="1987" spans="1:9" x14ac:dyDescent="0.25">
      <c r="A1987" t="str">
        <f>_xll.BDP("FNCB0855 Mtge","ID_CUSIP")</f>
        <v>3140QK5R5</v>
      </c>
      <c r="B1987" t="str">
        <f>_xll.BDP("FNCB0855 Mtge","SECURITY_NAME")</f>
        <v>FN CB0855</v>
      </c>
      <c r="C1987" t="str">
        <f>_xll.BDP("FNCB0855 Mtge","GENERIC_TICKER_VINTAGE")</f>
        <v>FNCL 3 2021</v>
      </c>
      <c r="D1987" t="str">
        <f>_xll.BDP("FNCB0855 Mtge","CRNCY")</f>
        <v>USD</v>
      </c>
      <c r="E1987">
        <v>101184363</v>
      </c>
      <c r="F1987">
        <f>_xll.BDP("FNCB0855 Mtge","CPN")</f>
        <v>3</v>
      </c>
      <c r="G1987">
        <f>_xll.BDP("FNCB0855 Mtge","MTG_FACTOR")</f>
        <v>0.55005855000000003</v>
      </c>
      <c r="H1987">
        <f>_xll.BDP("FNCB0855 Mtge","MTG_WAL")</f>
        <v>8.1724999999999994</v>
      </c>
      <c r="I1987" t="str">
        <f>_xll.BDP("FNCB0855 Mtge","MTG_ORIG_WAL")</f>
        <v>#N/A N/A</v>
      </c>
    </row>
    <row r="1988" spans="1:9" x14ac:dyDescent="0.25">
      <c r="A1988" t="str">
        <f>_xll.BDP("FNCB0912 Mtge","ID_CUSIP")</f>
        <v>3140QLAN6</v>
      </c>
      <c r="B1988" t="str">
        <f>_xll.BDP("FNCB0912 Mtge","SECURITY_NAME")</f>
        <v>FN CB0912</v>
      </c>
      <c r="C1988" t="str">
        <f>_xll.BDP("FNCB0912 Mtge","GENERIC_TICKER_VINTAGE")</f>
        <v>FNCL 3 2021</v>
      </c>
      <c r="D1988" t="str">
        <f>_xll.BDP("FNCB0912 Mtge","CRNCY")</f>
        <v>USD</v>
      </c>
      <c r="E1988">
        <v>100523134</v>
      </c>
      <c r="F1988">
        <f>_xll.BDP("FNCB0912 Mtge","CPN")</f>
        <v>3</v>
      </c>
      <c r="G1988">
        <f>_xll.BDP("FNCB0912 Mtge","MTG_FACTOR")</f>
        <v>0.74973396999999997</v>
      </c>
      <c r="H1988">
        <f>_xll.BDP("FNCB0912 Mtge","MTG_WAL")</f>
        <v>8.1338000000000008</v>
      </c>
      <c r="I1988" t="str">
        <f>_xll.BDP("FNCB0912 Mtge","MTG_ORIG_WAL")</f>
        <v>#N/A N/A</v>
      </c>
    </row>
    <row r="1989" spans="1:9" x14ac:dyDescent="0.25">
      <c r="A1989" t="str">
        <f>_xll.BDP("FNCB0998 Mtge","ID_CUSIP")</f>
        <v>3140QLDC7</v>
      </c>
      <c r="B1989" t="str">
        <f>_xll.BDP("FNCB0998 Mtge","SECURITY_NAME")</f>
        <v>FN CB0998</v>
      </c>
      <c r="C1989" t="str">
        <f>_xll.BDP("FNCB0998 Mtge","GENERIC_TICKER_VINTAGE")</f>
        <v>FNCL 3 2021</v>
      </c>
      <c r="D1989" t="str">
        <f>_xll.BDP("FNCB0998 Mtge","CRNCY")</f>
        <v>USD</v>
      </c>
      <c r="E1989">
        <v>100267229</v>
      </c>
      <c r="F1989">
        <f>_xll.BDP("FNCB0998 Mtge","CPN")</f>
        <v>3</v>
      </c>
      <c r="G1989">
        <f>_xll.BDP("FNCB0998 Mtge","MTG_FACTOR")</f>
        <v>0.75385148000000002</v>
      </c>
      <c r="H1989">
        <f>_xll.BDP("FNCB0998 Mtge","MTG_WAL")</f>
        <v>8.1652000000000005</v>
      </c>
      <c r="I1989" t="str">
        <f>_xll.BDP("FNCB0998 Mtge","MTG_ORIG_WAL")</f>
        <v>#N/A N/A</v>
      </c>
    </row>
    <row r="1990" spans="1:9" x14ac:dyDescent="0.25">
      <c r="A1990" t="str">
        <f>_xll.BDP("FNCB1034 Mtge","ID_CUSIP")</f>
        <v>3140QLEG7</v>
      </c>
      <c r="B1990" t="str">
        <f>_xll.BDP("FNCB1034 Mtge","SECURITY_NAME")</f>
        <v>FN CB1034</v>
      </c>
      <c r="C1990" t="str">
        <f>_xll.BDP("FNCB1034 Mtge","GENERIC_TICKER_VINTAGE")</f>
        <v>FNCL 3 2021</v>
      </c>
      <c r="D1990" t="str">
        <f>_xll.BDP("FNCB1034 Mtge","CRNCY")</f>
        <v>USD</v>
      </c>
      <c r="E1990">
        <v>125280259</v>
      </c>
      <c r="F1990">
        <f>_xll.BDP("FNCB1034 Mtge","CPN")</f>
        <v>3</v>
      </c>
      <c r="G1990">
        <f>_xll.BDP("FNCB1034 Mtge","MTG_FACTOR")</f>
        <v>0.76350138999999995</v>
      </c>
      <c r="H1990">
        <f>_xll.BDP("FNCB1034 Mtge","MTG_WAL")</f>
        <v>8.173</v>
      </c>
      <c r="I1990" t="str">
        <f>_xll.BDP("FNCB1034 Mtge","MTG_ORIG_WAL")</f>
        <v>#N/A N/A</v>
      </c>
    </row>
    <row r="1991" spans="1:9" x14ac:dyDescent="0.25">
      <c r="A1991" t="str">
        <f>_xll.BDP("FNCB1051 Mtge","ID_CUSIP")</f>
        <v>3140QLEZ5</v>
      </c>
      <c r="B1991" t="str">
        <f>_xll.BDP("FNCB1051 Mtge","SECURITY_NAME")</f>
        <v>FN CB1051</v>
      </c>
      <c r="C1991" t="str">
        <f>_xll.BDP("FNCB1051 Mtge","GENERIC_TICKER_VINTAGE")</f>
        <v>FNCL 3 2021</v>
      </c>
      <c r="D1991" t="str">
        <f>_xll.BDP("FNCB1051 Mtge","CRNCY")</f>
        <v>USD</v>
      </c>
      <c r="E1991">
        <v>8167707</v>
      </c>
      <c r="F1991">
        <f>_xll.BDP("FNCB1051 Mtge","CPN")</f>
        <v>3</v>
      </c>
      <c r="G1991">
        <f>_xll.BDP("FNCB1051 Mtge","MTG_FACTOR")</f>
        <v>0.58444923999999998</v>
      </c>
      <c r="H1991">
        <f>_xll.BDP("FNCB1051 Mtge","MTG_WAL")</f>
        <v>8.2062000000000008</v>
      </c>
      <c r="I1991" t="str">
        <f>_xll.BDP("FNCB1051 Mtge","MTG_ORIG_WAL")</f>
        <v>#N/A N/A</v>
      </c>
    </row>
    <row r="1992" spans="1:9" x14ac:dyDescent="0.25">
      <c r="A1992" t="str">
        <f>_xll.BDP("FNCB1142 Mtge","ID_CUSIP")</f>
        <v>3140QLHU3</v>
      </c>
      <c r="B1992" t="str">
        <f>_xll.BDP("FNCB1142 Mtge","SECURITY_NAME")</f>
        <v>FN CB1142</v>
      </c>
      <c r="C1992" t="str">
        <f>_xll.BDP("FNCB1142 Mtge","GENERIC_TICKER_VINTAGE")</f>
        <v>FNCL 3 2021</v>
      </c>
      <c r="D1992" t="str">
        <f>_xll.BDP("FNCB1142 Mtge","CRNCY")</f>
        <v>USD</v>
      </c>
      <c r="E1992">
        <v>131293122</v>
      </c>
      <c r="F1992">
        <f>_xll.BDP("FNCB1142 Mtge","CPN")</f>
        <v>3</v>
      </c>
      <c r="G1992">
        <f>_xll.BDP("FNCB1142 Mtge","MTG_FACTOR")</f>
        <v>0.64651199000000004</v>
      </c>
      <c r="H1992">
        <f>_xll.BDP("FNCB1142 Mtge","MTG_WAL")</f>
        <v>8.3160000000000007</v>
      </c>
      <c r="I1992" t="str">
        <f>_xll.BDP("FNCB1142 Mtge","MTG_ORIG_WAL")</f>
        <v>#N/A N/A</v>
      </c>
    </row>
    <row r="1993" spans="1:9" x14ac:dyDescent="0.25">
      <c r="A1993" t="str">
        <f>_xll.BDP("FNCB1144 Mtge","ID_CUSIP")</f>
        <v>3140QLHW9</v>
      </c>
      <c r="B1993" t="str">
        <f>_xll.BDP("FNCB1144 Mtge","SECURITY_NAME")</f>
        <v>FN CB1144</v>
      </c>
      <c r="C1993" t="str">
        <f>_xll.BDP("FNCB1144 Mtge","GENERIC_TICKER_VINTAGE")</f>
        <v>FNCL 3 2021</v>
      </c>
      <c r="D1993" t="str">
        <f>_xll.BDP("FNCB1144 Mtge","CRNCY")</f>
        <v>USD</v>
      </c>
      <c r="E1993">
        <v>83563995</v>
      </c>
      <c r="F1993">
        <f>_xll.BDP("FNCB1144 Mtge","CPN")</f>
        <v>3</v>
      </c>
      <c r="G1993">
        <f>_xll.BDP("FNCB1144 Mtge","MTG_FACTOR")</f>
        <v>0.67862067000000004</v>
      </c>
      <c r="H1993">
        <f>_xll.BDP("FNCB1144 Mtge","MTG_WAL")</f>
        <v>8.3117000000000001</v>
      </c>
      <c r="I1993" t="str">
        <f>_xll.BDP("FNCB1144 Mtge","MTG_ORIG_WAL")</f>
        <v>#N/A N/A</v>
      </c>
    </row>
    <row r="1994" spans="1:9" x14ac:dyDescent="0.25">
      <c r="A1994" t="str">
        <f>_xll.BDP("FNCB1146 Mtge","ID_CUSIP")</f>
        <v>3140QLHY5</v>
      </c>
      <c r="B1994" t="str">
        <f>_xll.BDP("FNCB1146 Mtge","SECURITY_NAME")</f>
        <v>FN CB1146</v>
      </c>
      <c r="C1994" t="str">
        <f>_xll.BDP("FNCB1146 Mtge","GENERIC_TICKER_VINTAGE")</f>
        <v>FNCL 3 2021</v>
      </c>
      <c r="D1994" t="str">
        <f>_xll.BDP("FNCB1146 Mtge","CRNCY")</f>
        <v>USD</v>
      </c>
      <c r="E1994">
        <v>229559696</v>
      </c>
      <c r="F1994">
        <f>_xll.BDP("FNCB1146 Mtge","CPN")</f>
        <v>3</v>
      </c>
      <c r="G1994">
        <f>_xll.BDP("FNCB1146 Mtge","MTG_FACTOR")</f>
        <v>0.59779135999999999</v>
      </c>
      <c r="H1994">
        <f>_xll.BDP("FNCB1146 Mtge","MTG_WAL")</f>
        <v>8.3195999999999994</v>
      </c>
      <c r="I1994" t="str">
        <f>_xll.BDP("FNCB1146 Mtge","MTG_ORIG_WAL")</f>
        <v>#N/A N/A</v>
      </c>
    </row>
    <row r="1995" spans="1:9" x14ac:dyDescent="0.25">
      <c r="A1995" t="str">
        <f>_xll.BDP("FNCB1149 Mtge","ID_CUSIP")</f>
        <v>3140QLH33</v>
      </c>
      <c r="B1995" t="str">
        <f>_xll.BDP("FNCB1149 Mtge","SECURITY_NAME")</f>
        <v>FN CB1149</v>
      </c>
      <c r="C1995" t="str">
        <f>_xll.BDP("FNCB1149 Mtge","GENERIC_TICKER_VINTAGE")</f>
        <v>FNCL 3 2021</v>
      </c>
      <c r="D1995" t="str">
        <f>_xll.BDP("FNCB1149 Mtge","CRNCY")</f>
        <v>USD</v>
      </c>
      <c r="E1995">
        <v>64392307</v>
      </c>
      <c r="F1995">
        <f>_xll.BDP("FNCB1149 Mtge","CPN")</f>
        <v>3</v>
      </c>
      <c r="G1995">
        <f>_xll.BDP("FNCB1149 Mtge","MTG_FACTOR")</f>
        <v>0.56455564999999996</v>
      </c>
      <c r="H1995">
        <f>_xll.BDP("FNCB1149 Mtge","MTG_WAL")</f>
        <v>8.3247999999999998</v>
      </c>
      <c r="I1995" t="str">
        <f>_xll.BDP("FNCB1149 Mtge","MTG_ORIG_WAL")</f>
        <v>#N/A N/A</v>
      </c>
    </row>
    <row r="1996" spans="1:9" x14ac:dyDescent="0.25">
      <c r="A1996" t="str">
        <f>_xll.BDP("FNCB1150 Mtge","ID_CUSIP")</f>
        <v>3140QLH41</v>
      </c>
      <c r="B1996" t="str">
        <f>_xll.BDP("FNCB1150 Mtge","SECURITY_NAME")</f>
        <v>FN CB1150</v>
      </c>
      <c r="C1996" t="str">
        <f>_xll.BDP("FNCB1150 Mtge","GENERIC_TICKER_VINTAGE")</f>
        <v>FNCL 3 2021</v>
      </c>
      <c r="D1996" t="str">
        <f>_xll.BDP("FNCB1150 Mtge","CRNCY")</f>
        <v>USD</v>
      </c>
      <c r="E1996">
        <v>204133156</v>
      </c>
      <c r="F1996">
        <f>_xll.BDP("FNCB1150 Mtge","CPN")</f>
        <v>3</v>
      </c>
      <c r="G1996">
        <f>_xll.BDP("FNCB1150 Mtge","MTG_FACTOR")</f>
        <v>0.67869128999999995</v>
      </c>
      <c r="H1996">
        <f>_xll.BDP("FNCB1150 Mtge","MTG_WAL")</f>
        <v>8.2486999999999995</v>
      </c>
      <c r="I1996" t="str">
        <f>_xll.BDP("FNCB1150 Mtge","MTG_ORIG_WAL")</f>
        <v>#N/A N/A</v>
      </c>
    </row>
    <row r="1997" spans="1:9" x14ac:dyDescent="0.25">
      <c r="A1997" t="str">
        <f>_xll.BDP("FNCB1151 Mtge","ID_CUSIP")</f>
        <v>3140QLH58</v>
      </c>
      <c r="B1997" t="str">
        <f>_xll.BDP("FNCB1151 Mtge","SECURITY_NAME")</f>
        <v>FN CB1151</v>
      </c>
      <c r="C1997" t="str">
        <f>_xll.BDP("FNCB1151 Mtge","GENERIC_TICKER_VINTAGE")</f>
        <v>FNCL 3 2021</v>
      </c>
      <c r="D1997" t="str">
        <f>_xll.BDP("FNCB1151 Mtge","CRNCY")</f>
        <v>USD</v>
      </c>
      <c r="E1997">
        <v>226682333</v>
      </c>
      <c r="F1997">
        <f>_xll.BDP("FNCB1151 Mtge","CPN")</f>
        <v>3</v>
      </c>
      <c r="G1997">
        <f>_xll.BDP("FNCB1151 Mtge","MTG_FACTOR")</f>
        <v>0.77369266000000003</v>
      </c>
      <c r="H1997">
        <f>_xll.BDP("FNCB1151 Mtge","MTG_WAL")</f>
        <v>8.1607000000000003</v>
      </c>
      <c r="I1997" t="str">
        <f>_xll.BDP("FNCB1151 Mtge","MTG_ORIG_WAL")</f>
        <v>#N/A N/A</v>
      </c>
    </row>
    <row r="1998" spans="1:9" x14ac:dyDescent="0.25">
      <c r="A1998" t="str">
        <f>_xll.BDP("FNCB1152 Mtge","ID_CUSIP")</f>
        <v>3140QLH66</v>
      </c>
      <c r="B1998" t="str">
        <f>_xll.BDP("FNCB1152 Mtge","SECURITY_NAME")</f>
        <v>FN CB1152</v>
      </c>
      <c r="C1998" t="str">
        <f>_xll.BDP("FNCB1152 Mtge","GENERIC_TICKER_VINTAGE")</f>
        <v>FNCL 3 2021</v>
      </c>
      <c r="D1998" t="str">
        <f>_xll.BDP("FNCB1152 Mtge","CRNCY")</f>
        <v>USD</v>
      </c>
      <c r="E1998">
        <v>14319177</v>
      </c>
      <c r="F1998">
        <f>_xll.BDP("FNCB1152 Mtge","CPN")</f>
        <v>3</v>
      </c>
      <c r="G1998">
        <f>_xll.BDP("FNCB1152 Mtge","MTG_FACTOR")</f>
        <v>0.76333909</v>
      </c>
      <c r="H1998">
        <f>_xll.BDP("FNCB1152 Mtge","MTG_WAL")</f>
        <v>8.0767000000000007</v>
      </c>
      <c r="I1998" t="str">
        <f>_xll.BDP("FNCB1152 Mtge","MTG_ORIG_WAL")</f>
        <v>#N/A N/A</v>
      </c>
    </row>
    <row r="1999" spans="1:9" x14ac:dyDescent="0.25">
      <c r="A1999" t="str">
        <f>_xll.BDP("FNCB1304 Mtge","ID_CUSIP")</f>
        <v>3140QLNW2</v>
      </c>
      <c r="B1999" t="str">
        <f>_xll.BDP("FNCB1304 Mtge","SECURITY_NAME")</f>
        <v>FN CB1304</v>
      </c>
      <c r="C1999" t="str">
        <f>_xll.BDP("FNCB1304 Mtge","GENERIC_TICKER_VINTAGE")</f>
        <v>FNCL 3 2021</v>
      </c>
      <c r="D1999" t="str">
        <f>_xll.BDP("FNCB1304 Mtge","CRNCY")</f>
        <v>USD</v>
      </c>
      <c r="E1999">
        <v>50324241</v>
      </c>
      <c r="F1999">
        <f>_xll.BDP("FNCB1304 Mtge","CPN")</f>
        <v>3</v>
      </c>
      <c r="G1999">
        <f>_xll.BDP("FNCB1304 Mtge","MTG_FACTOR")</f>
        <v>0.66082664999999996</v>
      </c>
      <c r="H1999">
        <f>_xll.BDP("FNCB1304 Mtge","MTG_WAL")</f>
        <v>8.2743000000000002</v>
      </c>
      <c r="I1999" t="str">
        <f>_xll.BDP("FNCB1304 Mtge","MTG_ORIG_WAL")</f>
        <v>#N/A N/A</v>
      </c>
    </row>
    <row r="2000" spans="1:9" x14ac:dyDescent="0.25">
      <c r="A2000" t="str">
        <f>_xll.BDP("FNCB1403 Mtge","ID_CUSIP")</f>
        <v>3140QLRZ1</v>
      </c>
      <c r="B2000" t="str">
        <f>_xll.BDP("FNCB1403 Mtge","SECURITY_NAME")</f>
        <v>FN CB1403</v>
      </c>
      <c r="C2000" t="str">
        <f>_xll.BDP("FNCB1403 Mtge","GENERIC_TICKER_VINTAGE")</f>
        <v>FNCL 3 2021</v>
      </c>
      <c r="D2000" t="str">
        <f>_xll.BDP("FNCB1403 Mtge","CRNCY")</f>
        <v>USD</v>
      </c>
      <c r="E2000">
        <v>52836226</v>
      </c>
      <c r="F2000">
        <f>_xll.BDP("FNCB1403 Mtge","CPN")</f>
        <v>3</v>
      </c>
      <c r="G2000">
        <f>_xll.BDP("FNCB1403 Mtge","MTG_FACTOR")</f>
        <v>0.69799440000000001</v>
      </c>
      <c r="H2000">
        <f>_xll.BDP("FNCB1403 Mtge","MTG_WAL")</f>
        <v>8.3536999999999999</v>
      </c>
      <c r="I2000" t="str">
        <f>_xll.BDP("FNCB1403 Mtge","MTG_ORIG_WAL")</f>
        <v>#N/A N/A</v>
      </c>
    </row>
    <row r="2001" spans="1:9" x14ac:dyDescent="0.25">
      <c r="A2001" t="str">
        <f>_xll.BDP("FNCB1406 Mtge","ID_CUSIP")</f>
        <v>3140QLR40</v>
      </c>
      <c r="B2001" t="str">
        <f>_xll.BDP("FNCB1406 Mtge","SECURITY_NAME")</f>
        <v>FN CB1406</v>
      </c>
      <c r="C2001" t="str">
        <f>_xll.BDP("FNCB1406 Mtge","GENERIC_TICKER_VINTAGE")</f>
        <v>FNCL 3 2021</v>
      </c>
      <c r="D2001" t="str">
        <f>_xll.BDP("FNCB1406 Mtge","CRNCY")</f>
        <v>USD</v>
      </c>
      <c r="E2001">
        <v>158180252</v>
      </c>
      <c r="F2001">
        <f>_xll.BDP("FNCB1406 Mtge","CPN")</f>
        <v>3</v>
      </c>
      <c r="G2001">
        <f>_xll.BDP("FNCB1406 Mtge","MTG_FACTOR")</f>
        <v>0.60943849000000005</v>
      </c>
      <c r="H2001">
        <f>_xll.BDP("FNCB1406 Mtge","MTG_WAL")</f>
        <v>8.3582000000000001</v>
      </c>
      <c r="I2001" t="str">
        <f>_xll.BDP("FNCB1406 Mtge","MTG_ORIG_WAL")</f>
        <v>#N/A N/A</v>
      </c>
    </row>
    <row r="2002" spans="1:9" x14ac:dyDescent="0.25">
      <c r="A2002" t="str">
        <f>_xll.BDP("FNCB1408 Mtge","ID_CUSIP")</f>
        <v>3140QLR65</v>
      </c>
      <c r="B2002" t="str">
        <f>_xll.BDP("FNCB1408 Mtge","SECURITY_NAME")</f>
        <v>FN CB1408</v>
      </c>
      <c r="C2002" t="str">
        <f>_xll.BDP("FNCB1408 Mtge","GENERIC_TICKER_VINTAGE")</f>
        <v>FNCL 3 2021</v>
      </c>
      <c r="D2002" t="str">
        <f>_xll.BDP("FNCB1408 Mtge","CRNCY")</f>
        <v>USD</v>
      </c>
      <c r="E2002">
        <v>123676489</v>
      </c>
      <c r="F2002">
        <f>_xll.BDP("FNCB1408 Mtge","CPN")</f>
        <v>3</v>
      </c>
      <c r="G2002">
        <f>_xll.BDP("FNCB1408 Mtge","MTG_FACTOR")</f>
        <v>0.68757630999999997</v>
      </c>
      <c r="H2002">
        <f>_xll.BDP("FNCB1408 Mtge","MTG_WAL")</f>
        <v>8.2420000000000009</v>
      </c>
      <c r="I2002" t="str">
        <f>_xll.BDP("FNCB1408 Mtge","MTG_ORIG_WAL")</f>
        <v>#N/A N/A</v>
      </c>
    </row>
    <row r="2003" spans="1:9" x14ac:dyDescent="0.25">
      <c r="A2003" t="str">
        <f>_xll.BDP("FNCB1409 Mtge","ID_CUSIP")</f>
        <v>3140QLR73</v>
      </c>
      <c r="B2003" t="str">
        <f>_xll.BDP("FNCB1409 Mtge","SECURITY_NAME")</f>
        <v>FN CB1409</v>
      </c>
      <c r="C2003" t="str">
        <f>_xll.BDP("FNCB1409 Mtge","GENERIC_TICKER_VINTAGE")</f>
        <v>FNCL 3 2021</v>
      </c>
      <c r="D2003" t="str">
        <f>_xll.BDP("FNCB1409 Mtge","CRNCY")</f>
        <v>USD</v>
      </c>
      <c r="E2003">
        <v>244409531</v>
      </c>
      <c r="F2003">
        <f>_xll.BDP("FNCB1409 Mtge","CPN")</f>
        <v>3</v>
      </c>
      <c r="G2003">
        <f>_xll.BDP("FNCB1409 Mtge","MTG_FACTOR")</f>
        <v>0.79085947000000001</v>
      </c>
      <c r="H2003">
        <f>_xll.BDP("FNCB1409 Mtge","MTG_WAL")</f>
        <v>8.2507000000000001</v>
      </c>
      <c r="I2003" t="str">
        <f>_xll.BDP("FNCB1409 Mtge","MTG_ORIG_WAL")</f>
        <v>#N/A N/A</v>
      </c>
    </row>
    <row r="2004" spans="1:9" x14ac:dyDescent="0.25">
      <c r="A2004" t="str">
        <f>_xll.BDP("FNCB1558 Mtge","ID_CUSIP")</f>
        <v>3140QLWU6</v>
      </c>
      <c r="B2004" t="str">
        <f>_xll.BDP("FNCB1558 Mtge","SECURITY_NAME")</f>
        <v>FN CB1558</v>
      </c>
      <c r="C2004" t="str">
        <f>_xll.BDP("FNCB1558 Mtge","GENERIC_TICKER_VINTAGE")</f>
        <v>FNCL 3 2021</v>
      </c>
      <c r="D2004" t="str">
        <f>_xll.BDP("FNCB1558 Mtge","CRNCY")</f>
        <v>USD</v>
      </c>
      <c r="E2004">
        <v>75086398</v>
      </c>
      <c r="F2004">
        <f>_xll.BDP("FNCB1558 Mtge","CPN")</f>
        <v>3</v>
      </c>
      <c r="G2004">
        <f>_xll.BDP("FNCB1558 Mtge","MTG_FACTOR")</f>
        <v>0.63572227999999997</v>
      </c>
      <c r="H2004">
        <f>_xll.BDP("FNCB1558 Mtge","MTG_WAL")</f>
        <v>8.1882000000000001</v>
      </c>
      <c r="I2004" t="str">
        <f>_xll.BDP("FNCB1558 Mtge","MTG_ORIG_WAL")</f>
        <v>#N/A N/A</v>
      </c>
    </row>
    <row r="2005" spans="1:9" x14ac:dyDescent="0.25">
      <c r="A2005" t="str">
        <f>_xll.BDP("FNCB1634 Mtge","ID_CUSIP")</f>
        <v>3140QLY83</v>
      </c>
      <c r="B2005" t="str">
        <f>_xll.BDP("FNCB1634 Mtge","SECURITY_NAME")</f>
        <v>FN CB1634</v>
      </c>
      <c r="C2005" t="str">
        <f>_xll.BDP("FNCB1634 Mtge","GENERIC_TICKER_VINTAGE")</f>
        <v>FNCL 3 2021</v>
      </c>
      <c r="D2005" t="str">
        <f>_xll.BDP("FNCB1634 Mtge","CRNCY")</f>
        <v>USD</v>
      </c>
      <c r="E2005">
        <v>223501967</v>
      </c>
      <c r="F2005">
        <f>_xll.BDP("FNCB1634 Mtge","CPN")</f>
        <v>3</v>
      </c>
      <c r="G2005">
        <f>_xll.BDP("FNCB1634 Mtge","MTG_FACTOR")</f>
        <v>0.76899631999999996</v>
      </c>
      <c r="H2005">
        <f>_xll.BDP("FNCB1634 Mtge","MTG_WAL")</f>
        <v>8.2462999999999997</v>
      </c>
      <c r="I2005" t="str">
        <f>_xll.BDP("FNCB1634 Mtge","MTG_ORIG_WAL")</f>
        <v>#N/A N/A</v>
      </c>
    </row>
    <row r="2006" spans="1:9" x14ac:dyDescent="0.25">
      <c r="A2006" t="str">
        <f>_xll.BDP("FNCB1637 Mtge","ID_CUSIP")</f>
        <v>3140QLZB5</v>
      </c>
      <c r="B2006" t="str">
        <f>_xll.BDP("FNCB1637 Mtge","SECURITY_NAME")</f>
        <v>FN CB1637</v>
      </c>
      <c r="C2006" t="str">
        <f>_xll.BDP("FNCB1637 Mtge","GENERIC_TICKER_VINTAGE")</f>
        <v>FNCL 3 2021</v>
      </c>
      <c r="D2006" t="str">
        <f>_xll.BDP("FNCB1637 Mtge","CRNCY")</f>
        <v>USD</v>
      </c>
      <c r="E2006">
        <v>44574631</v>
      </c>
      <c r="F2006">
        <f>_xll.BDP("FNCB1637 Mtge","CPN")</f>
        <v>3</v>
      </c>
      <c r="G2006">
        <f>_xll.BDP("FNCB1637 Mtge","MTG_FACTOR")</f>
        <v>0.61070608999999998</v>
      </c>
      <c r="H2006">
        <f>_xll.BDP("FNCB1637 Mtge","MTG_WAL")</f>
        <v>8.3991000000000007</v>
      </c>
      <c r="I2006" t="str">
        <f>_xll.BDP("FNCB1637 Mtge","MTG_ORIG_WAL")</f>
        <v>#N/A N/A</v>
      </c>
    </row>
    <row r="2007" spans="1:9" x14ac:dyDescent="0.25">
      <c r="A2007" t="str">
        <f>_xll.BDP("FNCB1682 Mtge","ID_CUSIP")</f>
        <v>3140QL2Q8</v>
      </c>
      <c r="B2007" t="str">
        <f>_xll.BDP("FNCB1682 Mtge","SECURITY_NAME")</f>
        <v>FN CB1682</v>
      </c>
      <c r="C2007" t="str">
        <f>_xll.BDP("FNCB1682 Mtge","GENERIC_TICKER_VINTAGE")</f>
        <v>FNCL 3 2021</v>
      </c>
      <c r="D2007" t="str">
        <f>_xll.BDP("FNCB1682 Mtge","CRNCY")</f>
        <v>USD</v>
      </c>
      <c r="E2007">
        <v>45032767</v>
      </c>
      <c r="F2007">
        <f>_xll.BDP("FNCB1682 Mtge","CPN")</f>
        <v>3</v>
      </c>
      <c r="G2007">
        <f>_xll.BDP("FNCB1682 Mtge","MTG_FACTOR")</f>
        <v>0.67249819</v>
      </c>
      <c r="H2007">
        <f>_xll.BDP("FNCB1682 Mtge","MTG_WAL")</f>
        <v>8.3952000000000009</v>
      </c>
      <c r="I2007" t="str">
        <f>_xll.BDP("FNCB1682 Mtge","MTG_ORIG_WAL")</f>
        <v>#N/A N/A</v>
      </c>
    </row>
    <row r="2008" spans="1:9" x14ac:dyDescent="0.25">
      <c r="A2008" t="str">
        <f>_xll.BDP("FNCB1685 Mtge","ID_CUSIP")</f>
        <v>3140QL2T2</v>
      </c>
      <c r="B2008" t="str">
        <f>_xll.BDP("FNCB1685 Mtge","SECURITY_NAME")</f>
        <v>FN CB1685</v>
      </c>
      <c r="C2008" t="str">
        <f>_xll.BDP("FNCB1685 Mtge","GENERIC_TICKER_VINTAGE")</f>
        <v>FNCL 3 2021</v>
      </c>
      <c r="D2008" t="str">
        <f>_xll.BDP("FNCB1685 Mtge","CRNCY")</f>
        <v>USD</v>
      </c>
      <c r="E2008">
        <v>50926161</v>
      </c>
      <c r="F2008">
        <f>_xll.BDP("FNCB1685 Mtge","CPN")</f>
        <v>3</v>
      </c>
      <c r="G2008">
        <f>_xll.BDP("FNCB1685 Mtge","MTG_FACTOR")</f>
        <v>0.66812654000000005</v>
      </c>
      <c r="H2008">
        <f>_xll.BDP("FNCB1685 Mtge","MTG_WAL")</f>
        <v>8.3577999999999992</v>
      </c>
      <c r="I2008" t="str">
        <f>_xll.BDP("FNCB1685 Mtge","MTG_ORIG_WAL")</f>
        <v>#N/A N/A</v>
      </c>
    </row>
    <row r="2009" spans="1:9" x14ac:dyDescent="0.25">
      <c r="A2009" t="str">
        <f>_xll.BDP("FNCB1810 Mtge","ID_CUSIP")</f>
        <v>3140QMAL8</v>
      </c>
      <c r="B2009" t="str">
        <f>_xll.BDP("FNCB1810 Mtge","SECURITY_NAME")</f>
        <v>FN CB1810</v>
      </c>
      <c r="C2009" t="str">
        <f>_xll.BDP("FNCB1810 Mtge","GENERIC_TICKER_VINTAGE")</f>
        <v>FNCL 3 2021</v>
      </c>
      <c r="D2009" t="str">
        <f>_xll.BDP("FNCB1810 Mtge","CRNCY")</f>
        <v>USD</v>
      </c>
      <c r="E2009">
        <v>178156253</v>
      </c>
      <c r="F2009">
        <f>_xll.BDP("FNCB1810 Mtge","CPN")</f>
        <v>3</v>
      </c>
      <c r="G2009">
        <f>_xll.BDP("FNCB1810 Mtge","MTG_FACTOR")</f>
        <v>0.76193445000000004</v>
      </c>
      <c r="H2009">
        <f>_xll.BDP("FNCB1810 Mtge","MTG_WAL")</f>
        <v>8.2507000000000001</v>
      </c>
      <c r="I2009" t="str">
        <f>_xll.BDP("FNCB1810 Mtge","MTG_ORIG_WAL")</f>
        <v>#N/A N/A</v>
      </c>
    </row>
    <row r="2010" spans="1:9" x14ac:dyDescent="0.25">
      <c r="A2010" t="str">
        <f>_xll.BDP("FNCB1872 Mtge","ID_CUSIP")</f>
        <v>3140QMCJ1</v>
      </c>
      <c r="B2010" t="str">
        <f>_xll.BDP("FNCB1872 Mtge","SECURITY_NAME")</f>
        <v>FN CB1872</v>
      </c>
      <c r="C2010" t="str">
        <f>_xll.BDP("FNCB1872 Mtge","GENERIC_TICKER_VINTAGE")</f>
        <v>FNCL 3 2021</v>
      </c>
      <c r="D2010" t="str">
        <f>_xll.BDP("FNCB1872 Mtge","CRNCY")</f>
        <v>USD</v>
      </c>
      <c r="E2010">
        <v>250110939</v>
      </c>
      <c r="F2010">
        <f>_xll.BDP("FNCB1872 Mtge","CPN")</f>
        <v>3</v>
      </c>
      <c r="G2010">
        <f>_xll.BDP("FNCB1872 Mtge","MTG_FACTOR")</f>
        <v>0.68900366000000002</v>
      </c>
      <c r="H2010">
        <f>_xll.BDP("FNCB1872 Mtge","MTG_WAL")</f>
        <v>8.3611000000000004</v>
      </c>
      <c r="I2010" t="str">
        <f>_xll.BDP("FNCB1872 Mtge","MTG_ORIG_WAL")</f>
        <v>#N/A N/A</v>
      </c>
    </row>
    <row r="2011" spans="1:9" x14ac:dyDescent="0.25">
      <c r="A2011" t="str">
        <f>_xll.BDP("FNCB1873 Mtge","ID_CUSIP")</f>
        <v>3140QMCK8</v>
      </c>
      <c r="B2011" t="str">
        <f>_xll.BDP("FNCB1873 Mtge","SECURITY_NAME")</f>
        <v>FN CB1873</v>
      </c>
      <c r="C2011" t="str">
        <f>_xll.BDP("FNCB1873 Mtge","GENERIC_TICKER_VINTAGE")</f>
        <v>FNCL 3 2021</v>
      </c>
      <c r="D2011" t="str">
        <f>_xll.BDP("FNCB1873 Mtge","CRNCY")</f>
        <v>USD</v>
      </c>
      <c r="E2011">
        <v>271839512</v>
      </c>
      <c r="F2011">
        <f>_xll.BDP("FNCB1873 Mtge","CPN")</f>
        <v>3</v>
      </c>
      <c r="G2011">
        <f>_xll.BDP("FNCB1873 Mtge","MTG_FACTOR")</f>
        <v>0.67466738999999998</v>
      </c>
      <c r="H2011">
        <f>_xll.BDP("FNCB1873 Mtge","MTG_WAL")</f>
        <v>8.3596000000000004</v>
      </c>
      <c r="I2011" t="str">
        <f>_xll.BDP("FNCB1873 Mtge","MTG_ORIG_WAL")</f>
        <v>#N/A N/A</v>
      </c>
    </row>
    <row r="2012" spans="1:9" x14ac:dyDescent="0.25">
      <c r="A2012" t="str">
        <f>_xll.BDP("FNCB1874 Mtge","ID_CUSIP")</f>
        <v>3140QMCL6</v>
      </c>
      <c r="B2012" t="str">
        <f>_xll.BDP("FNCB1874 Mtge","SECURITY_NAME")</f>
        <v>FN CB1874</v>
      </c>
      <c r="C2012" t="str">
        <f>_xll.BDP("FNCB1874 Mtge","GENERIC_TICKER_VINTAGE")</f>
        <v>FNCL 3 2021</v>
      </c>
      <c r="D2012" t="str">
        <f>_xll.BDP("FNCB1874 Mtge","CRNCY")</f>
        <v>USD</v>
      </c>
      <c r="E2012">
        <v>331681898</v>
      </c>
      <c r="F2012">
        <f>_xll.BDP("FNCB1874 Mtge","CPN")</f>
        <v>3</v>
      </c>
      <c r="G2012">
        <f>_xll.BDP("FNCB1874 Mtge","MTG_FACTOR")</f>
        <v>0.67690790000000001</v>
      </c>
      <c r="H2012">
        <f>_xll.BDP("FNCB1874 Mtge","MTG_WAL")</f>
        <v>8.2368000000000006</v>
      </c>
      <c r="I2012" t="str">
        <f>_xll.BDP("FNCB1874 Mtge","MTG_ORIG_WAL")</f>
        <v>#N/A N/A</v>
      </c>
    </row>
    <row r="2013" spans="1:9" x14ac:dyDescent="0.25">
      <c r="A2013" t="str">
        <f>_xll.BDP("FNCB1876 Mtge","ID_CUSIP")</f>
        <v>3140QMCN2</v>
      </c>
      <c r="B2013" t="str">
        <f>_xll.BDP("FNCB1876 Mtge","SECURITY_NAME")</f>
        <v>FN CB1876</v>
      </c>
      <c r="C2013" t="str">
        <f>_xll.BDP("FNCB1876 Mtge","GENERIC_TICKER_VINTAGE")</f>
        <v>FNCL 3 2021</v>
      </c>
      <c r="D2013" t="str">
        <f>_xll.BDP("FNCB1876 Mtge","CRNCY")</f>
        <v>USD</v>
      </c>
      <c r="E2013">
        <v>186070807</v>
      </c>
      <c r="F2013">
        <f>_xll.BDP("FNCB1876 Mtge","CPN")</f>
        <v>3</v>
      </c>
      <c r="G2013">
        <f>_xll.BDP("FNCB1876 Mtge","MTG_FACTOR")</f>
        <v>0.78771751000000001</v>
      </c>
      <c r="H2013">
        <f>_xll.BDP("FNCB1876 Mtge","MTG_WAL")</f>
        <v>8.2167999999999992</v>
      </c>
      <c r="I2013" t="str">
        <f>_xll.BDP("FNCB1876 Mtge","MTG_ORIG_WAL")</f>
        <v>#N/A N/A</v>
      </c>
    </row>
    <row r="2014" spans="1:9" x14ac:dyDescent="0.25">
      <c r="A2014" t="str">
        <f>_xll.BDP("FNCB1878 Mtge","ID_CUSIP")</f>
        <v>3140QMCQ5</v>
      </c>
      <c r="B2014" t="str">
        <f>_xll.BDP("FNCB1878 Mtge","SECURITY_NAME")</f>
        <v>FN CB1878</v>
      </c>
      <c r="C2014" t="str">
        <f>_xll.BDP("FNCB1878 Mtge","GENERIC_TICKER_VINTAGE")</f>
        <v>FNCL 3 2021</v>
      </c>
      <c r="D2014" t="str">
        <f>_xll.BDP("FNCB1878 Mtge","CRNCY")</f>
        <v>USD</v>
      </c>
      <c r="E2014">
        <v>161724201</v>
      </c>
      <c r="F2014">
        <f>_xll.BDP("FNCB1878 Mtge","CPN")</f>
        <v>3</v>
      </c>
      <c r="G2014">
        <f>_xll.BDP("FNCB1878 Mtge","MTG_FACTOR")</f>
        <v>0.64556040999999997</v>
      </c>
      <c r="H2014">
        <f>_xll.BDP("FNCB1878 Mtge","MTG_WAL")</f>
        <v>8.2703000000000007</v>
      </c>
      <c r="I2014" t="str">
        <f>_xll.BDP("FNCB1878 Mtge","MTG_ORIG_WAL")</f>
        <v>#N/A N/A</v>
      </c>
    </row>
    <row r="2015" spans="1:9" x14ac:dyDescent="0.25">
      <c r="A2015" t="str">
        <f>_xll.BDP("FNCB1916 Mtge","ID_CUSIP")</f>
        <v>3140QMDW1</v>
      </c>
      <c r="B2015" t="str">
        <f>_xll.BDP("FNCB1916 Mtge","SECURITY_NAME")</f>
        <v>FN CB1916</v>
      </c>
      <c r="C2015" t="str">
        <f>_xll.BDP("FNCB1916 Mtge","GENERIC_TICKER_VINTAGE")</f>
        <v>FNCL 3 2021</v>
      </c>
      <c r="D2015" t="str">
        <f>_xll.BDP("FNCB1916 Mtge","CRNCY")</f>
        <v>USD</v>
      </c>
      <c r="E2015">
        <v>79153060</v>
      </c>
      <c r="F2015">
        <f>_xll.BDP("FNCB1916 Mtge","CPN")</f>
        <v>3</v>
      </c>
      <c r="G2015">
        <f>_xll.BDP("FNCB1916 Mtge","MTG_FACTOR")</f>
        <v>0.67874667</v>
      </c>
      <c r="H2015">
        <f>_xll.BDP("FNCB1916 Mtge","MTG_WAL")</f>
        <v>8.3651999999999997</v>
      </c>
      <c r="I2015" t="str">
        <f>_xll.BDP("FNCB1916 Mtge","MTG_ORIG_WAL")</f>
        <v>#N/A N/A</v>
      </c>
    </row>
    <row r="2016" spans="1:9" x14ac:dyDescent="0.25">
      <c r="A2016" t="str">
        <f>_xll.BDP("FNCB1918 Mtge","ID_CUSIP")</f>
        <v>3140QMDY7</v>
      </c>
      <c r="B2016" t="str">
        <f>_xll.BDP("FNCB1918 Mtge","SECURITY_NAME")</f>
        <v>FN CB1918</v>
      </c>
      <c r="C2016" t="str">
        <f>_xll.BDP("FNCB1918 Mtge","GENERIC_TICKER_VINTAGE")</f>
        <v>FNCL 3 2021</v>
      </c>
      <c r="D2016" t="str">
        <f>_xll.BDP("FNCB1918 Mtge","CRNCY")</f>
        <v>USD</v>
      </c>
      <c r="E2016">
        <v>90541201</v>
      </c>
      <c r="F2016">
        <f>_xll.BDP("FNCB1918 Mtge","CPN")</f>
        <v>3</v>
      </c>
      <c r="G2016">
        <f>_xll.BDP("FNCB1918 Mtge","MTG_FACTOR")</f>
        <v>0.65089704000000004</v>
      </c>
      <c r="H2016">
        <f>_xll.BDP("FNCB1918 Mtge","MTG_WAL")</f>
        <v>8.1815999999999995</v>
      </c>
      <c r="I2016" t="str">
        <f>_xll.BDP("FNCB1918 Mtge","MTG_ORIG_WAL")</f>
        <v>#N/A N/A</v>
      </c>
    </row>
    <row r="2017" spans="1:9" x14ac:dyDescent="0.25">
      <c r="A2017" t="str">
        <f>_xll.BDP("FNCB1920 Mtge","ID_CUSIP")</f>
        <v>3140QMD27</v>
      </c>
      <c r="B2017" t="str">
        <f>_xll.BDP("FNCB1920 Mtge","SECURITY_NAME")</f>
        <v>FN CB1920</v>
      </c>
      <c r="C2017" t="str">
        <f>_xll.BDP("FNCB1920 Mtge","GENERIC_TICKER_VINTAGE")</f>
        <v>FNCL 3 2021</v>
      </c>
      <c r="D2017" t="str">
        <f>_xll.BDP("FNCB1920 Mtge","CRNCY")</f>
        <v>USD</v>
      </c>
      <c r="E2017">
        <v>35569617</v>
      </c>
      <c r="F2017">
        <f>_xll.BDP("FNCB1920 Mtge","CPN")</f>
        <v>3</v>
      </c>
      <c r="G2017">
        <f>_xll.BDP("FNCB1920 Mtge","MTG_FACTOR")</f>
        <v>0.73543358000000003</v>
      </c>
      <c r="H2017">
        <f>_xll.BDP("FNCB1920 Mtge","MTG_WAL")</f>
        <v>8.1603999999999992</v>
      </c>
      <c r="I2017" t="str">
        <f>_xll.BDP("FNCB1920 Mtge","MTG_ORIG_WAL")</f>
        <v>#N/A N/A</v>
      </c>
    </row>
    <row r="2018" spans="1:9" x14ac:dyDescent="0.25">
      <c r="A2018" t="str">
        <f>_xll.BDP("FNCB2066 Mtge","ID_CUSIP")</f>
        <v>3140QMJL9</v>
      </c>
      <c r="B2018" t="str">
        <f>_xll.BDP("FNCB2066 Mtge","SECURITY_NAME")</f>
        <v>FN CB2066</v>
      </c>
      <c r="C2018" t="str">
        <f>_xll.BDP("FNCB2066 Mtge","GENERIC_TICKER_VINTAGE")</f>
        <v>FNCL 3 2021</v>
      </c>
      <c r="D2018" t="str">
        <f>_xll.BDP("FNCB2066 Mtge","CRNCY")</f>
        <v>USD</v>
      </c>
      <c r="E2018">
        <v>150091949</v>
      </c>
      <c r="F2018">
        <f>_xll.BDP("FNCB2066 Mtge","CPN")</f>
        <v>3</v>
      </c>
      <c r="G2018">
        <f>_xll.BDP("FNCB2066 Mtge","MTG_FACTOR")</f>
        <v>0.67289955999999995</v>
      </c>
      <c r="H2018">
        <f>_xll.BDP("FNCB2066 Mtge","MTG_WAL")</f>
        <v>8.3048999999999999</v>
      </c>
      <c r="I2018" t="str">
        <f>_xll.BDP("FNCB2066 Mtge","MTG_ORIG_WAL")</f>
        <v>#N/A N/A</v>
      </c>
    </row>
    <row r="2019" spans="1:9" x14ac:dyDescent="0.25">
      <c r="A2019" t="str">
        <f>_xll.BDP("FNCB2067 Mtge","ID_CUSIP")</f>
        <v>3140QMJM7</v>
      </c>
      <c r="B2019" t="str">
        <f>_xll.BDP("FNCB2067 Mtge","SECURITY_NAME")</f>
        <v>FN CB2067</v>
      </c>
      <c r="C2019" t="str">
        <f>_xll.BDP("FNCB2067 Mtge","GENERIC_TICKER_VINTAGE")</f>
        <v>FNCL 3 2021</v>
      </c>
      <c r="D2019" t="str">
        <f>_xll.BDP("FNCB2067 Mtge","CRNCY")</f>
        <v>USD</v>
      </c>
      <c r="E2019">
        <v>100602232</v>
      </c>
      <c r="F2019">
        <f>_xll.BDP("FNCB2067 Mtge","CPN")</f>
        <v>3</v>
      </c>
      <c r="G2019">
        <f>_xll.BDP("FNCB2067 Mtge","MTG_FACTOR")</f>
        <v>0.79442752999999999</v>
      </c>
      <c r="H2019">
        <f>_xll.BDP("FNCB2067 Mtge","MTG_WAL")</f>
        <v>8.2710000000000008</v>
      </c>
      <c r="I2019" t="str">
        <f>_xll.BDP("FNCB2067 Mtge","MTG_ORIG_WAL")</f>
        <v>#N/A N/A</v>
      </c>
    </row>
    <row r="2020" spans="1:9" x14ac:dyDescent="0.25">
      <c r="A2020" t="str">
        <f>_xll.BDP("FNCB2068 Mtge","ID_CUSIP")</f>
        <v>3140QMJN5</v>
      </c>
      <c r="B2020" t="str">
        <f>_xll.BDP("FNCB2068 Mtge","SECURITY_NAME")</f>
        <v>FN CB2068</v>
      </c>
      <c r="C2020" t="str">
        <f>_xll.BDP("FNCB2068 Mtge","GENERIC_TICKER_VINTAGE")</f>
        <v>FNCL 3 2021</v>
      </c>
      <c r="D2020" t="str">
        <f>_xll.BDP("FNCB2068 Mtge","CRNCY")</f>
        <v>USD</v>
      </c>
      <c r="E2020">
        <v>50330844</v>
      </c>
      <c r="F2020">
        <f>_xll.BDP("FNCB2068 Mtge","CPN")</f>
        <v>3</v>
      </c>
      <c r="G2020">
        <f>_xll.BDP("FNCB2068 Mtge","MTG_FACTOR")</f>
        <v>0.65412892</v>
      </c>
      <c r="H2020">
        <f>_xll.BDP("FNCB2068 Mtge","MTG_WAL")</f>
        <v>8.3384</v>
      </c>
      <c r="I2020" t="str">
        <f>_xll.BDP("FNCB2068 Mtge","MTG_ORIG_WAL")</f>
        <v>#N/A N/A</v>
      </c>
    </row>
    <row r="2021" spans="1:9" x14ac:dyDescent="0.25">
      <c r="A2021" t="str">
        <f>_xll.BDP("FNCB2078 Mtge","ID_CUSIP")</f>
        <v>3140QMJY1</v>
      </c>
      <c r="B2021" t="str">
        <f>_xll.BDP("FNCB2078 Mtge","SECURITY_NAME")</f>
        <v>FN CB2078</v>
      </c>
      <c r="C2021" t="str">
        <f>_xll.BDP("FNCB2078 Mtge","GENERIC_TICKER_VINTAGE")</f>
        <v>FNCL 3 2021</v>
      </c>
      <c r="D2021" t="str">
        <f>_xll.BDP("FNCB2078 Mtge","CRNCY")</f>
        <v>USD</v>
      </c>
      <c r="E2021">
        <v>250875739</v>
      </c>
      <c r="F2021">
        <f>_xll.BDP("FNCB2078 Mtge","CPN")</f>
        <v>3</v>
      </c>
      <c r="G2021">
        <f>_xll.BDP("FNCB2078 Mtge","MTG_FACTOR")</f>
        <v>0.69910817000000003</v>
      </c>
      <c r="H2021">
        <f>_xll.BDP("FNCB2078 Mtge","MTG_WAL")</f>
        <v>8.3729999999999993</v>
      </c>
      <c r="I2021" t="str">
        <f>_xll.BDP("FNCB2078 Mtge","MTG_ORIG_WAL")</f>
        <v>#N/A N/A</v>
      </c>
    </row>
    <row r="2022" spans="1:9" x14ac:dyDescent="0.25">
      <c r="A2022" t="str">
        <f>_xll.BDP("FNCB2093 Mtge","ID_CUSIP")</f>
        <v>3140QMKF0</v>
      </c>
      <c r="B2022" t="str">
        <f>_xll.BDP("FNCB2093 Mtge","SECURITY_NAME")</f>
        <v>FN CB2093</v>
      </c>
      <c r="C2022" t="str">
        <f>_xll.BDP("FNCB2093 Mtge","GENERIC_TICKER_VINTAGE")</f>
        <v>FNCL 3 2021</v>
      </c>
      <c r="D2022" t="str">
        <f>_xll.BDP("FNCB2093 Mtge","CRNCY")</f>
        <v>USD</v>
      </c>
      <c r="E2022">
        <v>201238862</v>
      </c>
      <c r="F2022">
        <f>_xll.BDP("FNCB2093 Mtge","CPN")</f>
        <v>3</v>
      </c>
      <c r="G2022">
        <f>_xll.BDP("FNCB2093 Mtge","MTG_FACTOR")</f>
        <v>0.70141461000000005</v>
      </c>
      <c r="H2022">
        <f>_xll.BDP("FNCB2093 Mtge","MTG_WAL")</f>
        <v>8.3739000000000008</v>
      </c>
      <c r="I2022" t="str">
        <f>_xll.BDP("FNCB2093 Mtge","MTG_ORIG_WAL")</f>
        <v>#N/A N/A</v>
      </c>
    </row>
    <row r="2023" spans="1:9" x14ac:dyDescent="0.25">
      <c r="A2023" t="str">
        <f>_xll.BDP("FNCB2094 Mtge","ID_CUSIP")</f>
        <v>3140QMKG8</v>
      </c>
      <c r="B2023" t="str">
        <f>_xll.BDP("FNCB2094 Mtge","SECURITY_NAME")</f>
        <v>FN CB2094</v>
      </c>
      <c r="C2023" t="str">
        <f>_xll.BDP("FNCB2094 Mtge","GENERIC_TICKER_VINTAGE")</f>
        <v>FNCL 3 2021</v>
      </c>
      <c r="D2023" t="str">
        <f>_xll.BDP("FNCB2094 Mtge","CRNCY")</f>
        <v>USD</v>
      </c>
      <c r="E2023">
        <v>179573266</v>
      </c>
      <c r="F2023">
        <f>_xll.BDP("FNCB2094 Mtge","CPN")</f>
        <v>3</v>
      </c>
      <c r="G2023">
        <f>_xll.BDP("FNCB2094 Mtge","MTG_FACTOR")</f>
        <v>0.67813120999999998</v>
      </c>
      <c r="H2023">
        <f>_xll.BDP("FNCB2094 Mtge","MTG_WAL")</f>
        <v>8.3716000000000008</v>
      </c>
      <c r="I2023" t="str">
        <f>_xll.BDP("FNCB2094 Mtge","MTG_ORIG_WAL")</f>
        <v>#N/A N/A</v>
      </c>
    </row>
    <row r="2024" spans="1:9" x14ac:dyDescent="0.25">
      <c r="A2024" t="str">
        <f>_xll.BDP("FNCB2096 Mtge","ID_CUSIP")</f>
        <v>3140QMKJ2</v>
      </c>
      <c r="B2024" t="str">
        <f>_xll.BDP("FNCB2096 Mtge","SECURITY_NAME")</f>
        <v>FN CB2096</v>
      </c>
      <c r="C2024" t="str">
        <f>_xll.BDP("FNCB2096 Mtge","GENERIC_TICKER_VINTAGE")</f>
        <v>FNCL 3 2021</v>
      </c>
      <c r="D2024" t="str">
        <f>_xll.BDP("FNCB2096 Mtge","CRNCY")</f>
        <v>USD</v>
      </c>
      <c r="E2024">
        <v>175328042</v>
      </c>
      <c r="F2024">
        <f>_xll.BDP("FNCB2096 Mtge","CPN")</f>
        <v>3</v>
      </c>
      <c r="G2024">
        <f>_xll.BDP("FNCB2096 Mtge","MTG_FACTOR")</f>
        <v>0.73722133999999995</v>
      </c>
      <c r="H2024">
        <f>_xll.BDP("FNCB2096 Mtge","MTG_WAL")</f>
        <v>8.3175000000000008</v>
      </c>
      <c r="I2024" t="str">
        <f>_xll.BDP("FNCB2096 Mtge","MTG_ORIG_WAL")</f>
        <v>#N/A N/A</v>
      </c>
    </row>
    <row r="2025" spans="1:9" x14ac:dyDescent="0.25">
      <c r="A2025" t="str">
        <f>_xll.BDP("FNCB2097 Mtge","ID_CUSIP")</f>
        <v>3140QMKK9</v>
      </c>
      <c r="B2025" t="str">
        <f>_xll.BDP("FNCB2097 Mtge","SECURITY_NAME")</f>
        <v>FN CB2097</v>
      </c>
      <c r="C2025" t="str">
        <f>_xll.BDP("FNCB2097 Mtge","GENERIC_TICKER_VINTAGE")</f>
        <v>FNCL 3 2021</v>
      </c>
      <c r="D2025" t="str">
        <f>_xll.BDP("FNCB2097 Mtge","CRNCY")</f>
        <v>USD</v>
      </c>
      <c r="E2025">
        <v>166820250</v>
      </c>
      <c r="F2025">
        <f>_xll.BDP("FNCB2097 Mtge","CPN")</f>
        <v>3</v>
      </c>
      <c r="G2025">
        <f>_xll.BDP("FNCB2097 Mtge","MTG_FACTOR")</f>
        <v>0.74259958999999998</v>
      </c>
      <c r="H2025">
        <f>_xll.BDP("FNCB2097 Mtge","MTG_WAL")</f>
        <v>8.3152000000000008</v>
      </c>
      <c r="I2025" t="str">
        <f>_xll.BDP("FNCB2097 Mtge","MTG_ORIG_WAL")</f>
        <v>#N/A N/A</v>
      </c>
    </row>
    <row r="2026" spans="1:9" x14ac:dyDescent="0.25">
      <c r="A2026" t="str">
        <f>_xll.BDP("FNCB2099 Mtge","ID_CUSIP")</f>
        <v>3140QMKM5</v>
      </c>
      <c r="B2026" t="str">
        <f>_xll.BDP("FNCB2099 Mtge","SECURITY_NAME")</f>
        <v>FN CB2099</v>
      </c>
      <c r="C2026" t="str">
        <f>_xll.BDP("FNCB2099 Mtge","GENERIC_TICKER_VINTAGE")</f>
        <v>FNCL 3 2021</v>
      </c>
      <c r="D2026" t="str">
        <f>_xll.BDP("FNCB2099 Mtge","CRNCY")</f>
        <v>USD</v>
      </c>
      <c r="E2026">
        <v>125363986</v>
      </c>
      <c r="F2026">
        <f>_xll.BDP("FNCB2099 Mtge","CPN")</f>
        <v>3</v>
      </c>
      <c r="G2026">
        <f>_xll.BDP("FNCB2099 Mtge","MTG_FACTOR")</f>
        <v>0.75248289000000002</v>
      </c>
      <c r="H2026">
        <f>_xll.BDP("FNCB2099 Mtge","MTG_WAL")</f>
        <v>8.2712000000000003</v>
      </c>
      <c r="I2026" t="str">
        <f>_xll.BDP("FNCB2099 Mtge","MTG_ORIG_WAL")</f>
        <v>#N/A N/A</v>
      </c>
    </row>
    <row r="2027" spans="1:9" x14ac:dyDescent="0.25">
      <c r="A2027" t="str">
        <f>_xll.BDP("FNCB2160 Mtge","ID_CUSIP")</f>
        <v>3140QMMJ0</v>
      </c>
      <c r="B2027" t="str">
        <f>_xll.BDP("FNCB2160 Mtge","SECURITY_NAME")</f>
        <v>FN CB2160</v>
      </c>
      <c r="C2027" t="str">
        <f>_xll.BDP("FNCB2160 Mtge","GENERIC_TICKER_VINTAGE")</f>
        <v>FNCL 3 2021</v>
      </c>
      <c r="D2027" t="str">
        <f>_xll.BDP("FNCB2160 Mtge","CRNCY")</f>
        <v>USD</v>
      </c>
      <c r="E2027">
        <v>108041070</v>
      </c>
      <c r="F2027">
        <f>_xll.BDP("FNCB2160 Mtge","CPN")</f>
        <v>3</v>
      </c>
      <c r="G2027">
        <f>_xll.BDP("FNCB2160 Mtge","MTG_FACTOR")</f>
        <v>0.70632925999999996</v>
      </c>
      <c r="H2027">
        <f>_xll.BDP("FNCB2160 Mtge","MTG_WAL")</f>
        <v>8.2453000000000003</v>
      </c>
      <c r="I2027" t="str">
        <f>_xll.BDP("FNCB2160 Mtge","MTG_ORIG_WAL")</f>
        <v>#N/A N/A</v>
      </c>
    </row>
    <row r="2028" spans="1:9" x14ac:dyDescent="0.25">
      <c r="A2028" t="str">
        <f>_xll.BDP("FNCB2164 Mtge","ID_CUSIP")</f>
        <v>3140QMMN1</v>
      </c>
      <c r="B2028" t="str">
        <f>_xll.BDP("FNCB2164 Mtge","SECURITY_NAME")</f>
        <v>FN CB2164</v>
      </c>
      <c r="C2028" t="str">
        <f>_xll.BDP("FNCB2164 Mtge","GENERIC_TICKER_VINTAGE")</f>
        <v>FNCL 3 2021</v>
      </c>
      <c r="D2028" t="str">
        <f>_xll.BDP("FNCB2164 Mtge","CRNCY")</f>
        <v>USD</v>
      </c>
      <c r="E2028">
        <v>174012035</v>
      </c>
      <c r="F2028">
        <f>_xll.BDP("FNCB2164 Mtge","CPN")</f>
        <v>3</v>
      </c>
      <c r="G2028">
        <f>_xll.BDP("FNCB2164 Mtge","MTG_FACTOR")</f>
        <v>0.70832267000000004</v>
      </c>
      <c r="H2028">
        <f>_xll.BDP("FNCB2164 Mtge","MTG_WAL")</f>
        <v>8.3172999999999995</v>
      </c>
      <c r="I2028" t="str">
        <f>_xll.BDP("FNCB2164 Mtge","MTG_ORIG_WAL")</f>
        <v>#N/A N/A</v>
      </c>
    </row>
    <row r="2029" spans="1:9" x14ac:dyDescent="0.25">
      <c r="A2029" t="str">
        <f>_xll.BDP("FNCB2165 Mtge","ID_CUSIP")</f>
        <v>3140QMMP6</v>
      </c>
      <c r="B2029" t="str">
        <f>_xll.BDP("FNCB2165 Mtge","SECURITY_NAME")</f>
        <v>FN CB2165</v>
      </c>
      <c r="C2029" t="str">
        <f>_xll.BDP("FNCB2165 Mtge","GENERIC_TICKER_VINTAGE")</f>
        <v>FNCL 3 2021</v>
      </c>
      <c r="D2029" t="str">
        <f>_xll.BDP("FNCB2165 Mtge","CRNCY")</f>
        <v>USD</v>
      </c>
      <c r="E2029">
        <v>169519632</v>
      </c>
      <c r="F2029">
        <f>_xll.BDP("FNCB2165 Mtge","CPN")</f>
        <v>3</v>
      </c>
      <c r="G2029">
        <f>_xll.BDP("FNCB2165 Mtge","MTG_FACTOR")</f>
        <v>0.68038772000000003</v>
      </c>
      <c r="H2029">
        <f>_xll.BDP("FNCB2165 Mtge","MTG_WAL")</f>
        <v>8.343</v>
      </c>
      <c r="I2029" t="str">
        <f>_xll.BDP("FNCB2165 Mtge","MTG_ORIG_WAL")</f>
        <v>#N/A N/A</v>
      </c>
    </row>
    <row r="2030" spans="1:9" x14ac:dyDescent="0.25">
      <c r="A2030" t="str">
        <f>_xll.BDP("FNCB2168 Mtge","ID_CUSIP")</f>
        <v>3140QMMS0</v>
      </c>
      <c r="B2030" t="str">
        <f>_xll.BDP("FNCB2168 Mtge","SECURITY_NAME")</f>
        <v>FN CB2168</v>
      </c>
      <c r="C2030" t="str">
        <f>_xll.BDP("FNCB2168 Mtge","GENERIC_TICKER_VINTAGE")</f>
        <v>FNCL 3 2021</v>
      </c>
      <c r="D2030" t="str">
        <f>_xll.BDP("FNCB2168 Mtge","CRNCY")</f>
        <v>USD</v>
      </c>
      <c r="E2030">
        <v>162955821</v>
      </c>
      <c r="F2030">
        <f>_xll.BDP("FNCB2168 Mtge","CPN")</f>
        <v>3</v>
      </c>
      <c r="G2030">
        <f>_xll.BDP("FNCB2168 Mtge","MTG_FACTOR")</f>
        <v>0.71260712000000004</v>
      </c>
      <c r="H2030">
        <f>_xll.BDP("FNCB2168 Mtge","MTG_WAL")</f>
        <v>8.2820999999999998</v>
      </c>
      <c r="I2030" t="str">
        <f>_xll.BDP("FNCB2168 Mtge","MTG_ORIG_WAL")</f>
        <v>#N/A N/A</v>
      </c>
    </row>
    <row r="2031" spans="1:9" x14ac:dyDescent="0.25">
      <c r="A2031" t="str">
        <f>_xll.BDP("FNCB2170 Mtge","ID_CUSIP")</f>
        <v>3140QMMU5</v>
      </c>
      <c r="B2031" t="str">
        <f>_xll.BDP("FNCB2170 Mtge","SECURITY_NAME")</f>
        <v>FN CB2170</v>
      </c>
      <c r="C2031" t="str">
        <f>_xll.BDP("FNCB2170 Mtge","GENERIC_TICKER_VINTAGE")</f>
        <v>FNCL 3 2021</v>
      </c>
      <c r="D2031" t="str">
        <f>_xll.BDP("FNCB2170 Mtge","CRNCY")</f>
        <v>USD</v>
      </c>
      <c r="E2031">
        <v>231207025</v>
      </c>
      <c r="F2031">
        <f>_xll.BDP("FNCB2170 Mtge","CPN")</f>
        <v>3</v>
      </c>
      <c r="G2031">
        <f>_xll.BDP("FNCB2170 Mtge","MTG_FACTOR")</f>
        <v>0.67234846999999998</v>
      </c>
      <c r="H2031">
        <f>_xll.BDP("FNCB2170 Mtge","MTG_WAL")</f>
        <v>8.2950999999999997</v>
      </c>
      <c r="I2031" t="str">
        <f>_xll.BDP("FNCB2170 Mtge","MTG_ORIG_WAL")</f>
        <v>#N/A N/A</v>
      </c>
    </row>
    <row r="2032" spans="1:9" x14ac:dyDescent="0.25">
      <c r="A2032" t="str">
        <f>_xll.BDP("FNCB2293 Mtge","ID_CUSIP")</f>
        <v>3140QMRP1</v>
      </c>
      <c r="B2032" t="str">
        <f>_xll.BDP("FNCB2293 Mtge","SECURITY_NAME")</f>
        <v>FN CB2293</v>
      </c>
      <c r="C2032" t="str">
        <f>_xll.BDP("FNCB2293 Mtge","GENERIC_TICKER_VINTAGE")</f>
        <v>FNCL 3 2021</v>
      </c>
      <c r="D2032" t="str">
        <f>_xll.BDP("FNCB2293 Mtge","CRNCY")</f>
        <v>USD</v>
      </c>
      <c r="E2032">
        <v>50403942</v>
      </c>
      <c r="F2032">
        <f>_xll.BDP("FNCB2293 Mtge","CPN")</f>
        <v>3</v>
      </c>
      <c r="G2032">
        <f>_xll.BDP("FNCB2293 Mtge","MTG_FACTOR")</f>
        <v>0.71415222</v>
      </c>
      <c r="H2032">
        <f>_xll.BDP("FNCB2293 Mtge","MTG_WAL")</f>
        <v>8.3617000000000008</v>
      </c>
      <c r="I2032" t="str">
        <f>_xll.BDP("FNCB2293 Mtge","MTG_ORIG_WAL")</f>
        <v>#N/A N/A</v>
      </c>
    </row>
    <row r="2033" spans="1:9" x14ac:dyDescent="0.25">
      <c r="A2033" t="str">
        <f>_xll.BDP("FNCB2301 Mtge","ID_CUSIP")</f>
        <v>3140QMRX4</v>
      </c>
      <c r="B2033" t="str">
        <f>_xll.BDP("FNCB2301 Mtge","SECURITY_NAME")</f>
        <v>FN CB2301</v>
      </c>
      <c r="C2033" t="str">
        <f>_xll.BDP("FNCB2301 Mtge","GENERIC_TICKER_VINTAGE")</f>
        <v>FNCL 3 2021</v>
      </c>
      <c r="D2033" t="str">
        <f>_xll.BDP("FNCB2301 Mtge","CRNCY")</f>
        <v>USD</v>
      </c>
      <c r="E2033">
        <v>200594713</v>
      </c>
      <c r="F2033">
        <f>_xll.BDP("FNCB2301 Mtge","CPN")</f>
        <v>3</v>
      </c>
      <c r="G2033">
        <f>_xll.BDP("FNCB2301 Mtge","MTG_FACTOR")</f>
        <v>0.71080359999999998</v>
      </c>
      <c r="H2033">
        <f>_xll.BDP("FNCB2301 Mtge","MTG_WAL")</f>
        <v>8.3632000000000009</v>
      </c>
      <c r="I2033" t="str">
        <f>_xll.BDP("FNCB2301 Mtge","MTG_ORIG_WAL")</f>
        <v>#N/A N/A</v>
      </c>
    </row>
    <row r="2034" spans="1:9" x14ac:dyDescent="0.25">
      <c r="A2034" t="str">
        <f>_xll.BDP("FNCB2412 Mtge","ID_CUSIP")</f>
        <v>3140QMVE1</v>
      </c>
      <c r="B2034" t="str">
        <f>_xll.BDP("FNCB2412 Mtge","SECURITY_NAME")</f>
        <v>FN CB2412</v>
      </c>
      <c r="C2034" t="str">
        <f>_xll.BDP("FNCB2412 Mtge","GENERIC_TICKER_VINTAGE")</f>
        <v>FNCL 3 2021</v>
      </c>
      <c r="D2034" t="str">
        <f>_xll.BDP("FNCB2412 Mtge","CRNCY")</f>
        <v>USD</v>
      </c>
      <c r="E2034">
        <v>125512825</v>
      </c>
      <c r="F2034">
        <f>_xll.BDP("FNCB2412 Mtge","CPN")</f>
        <v>3</v>
      </c>
      <c r="G2034">
        <f>_xll.BDP("FNCB2412 Mtge","MTG_FACTOR")</f>
        <v>0.68996316000000002</v>
      </c>
      <c r="H2034">
        <f>_xll.BDP("FNCB2412 Mtge","MTG_WAL")</f>
        <v>8.2682000000000002</v>
      </c>
      <c r="I2034" t="str">
        <f>_xll.BDP("FNCB2412 Mtge","MTG_ORIG_WAL")</f>
        <v>#N/A N/A</v>
      </c>
    </row>
    <row r="2035" spans="1:9" x14ac:dyDescent="0.25">
      <c r="A2035" t="str">
        <f>_xll.BDP("FNCB2417 Mtge","ID_CUSIP")</f>
        <v>3140QMVK7</v>
      </c>
      <c r="B2035" t="str">
        <f>_xll.BDP("FNCB2417 Mtge","SECURITY_NAME")</f>
        <v>FN CB2417</v>
      </c>
      <c r="C2035" t="str">
        <f>_xll.BDP("FNCB2417 Mtge","GENERIC_TICKER_VINTAGE")</f>
        <v>FNCL 3 2021</v>
      </c>
      <c r="D2035" t="str">
        <f>_xll.BDP("FNCB2417 Mtge","CRNCY")</f>
        <v>USD</v>
      </c>
      <c r="E2035">
        <v>75479876</v>
      </c>
      <c r="F2035">
        <f>_xll.BDP("FNCB2417 Mtge","CPN")</f>
        <v>3</v>
      </c>
      <c r="G2035">
        <f>_xll.BDP("FNCB2417 Mtge","MTG_FACTOR")</f>
        <v>0.72519301000000003</v>
      </c>
      <c r="H2035">
        <f>_xll.BDP("FNCB2417 Mtge","MTG_WAL")</f>
        <v>8.3483999999999998</v>
      </c>
      <c r="I2035" t="str">
        <f>_xll.BDP("FNCB2417 Mtge","MTG_ORIG_WAL")</f>
        <v>#N/A N/A</v>
      </c>
    </row>
    <row r="2036" spans="1:9" x14ac:dyDescent="0.25">
      <c r="A2036" t="str">
        <f>_xll.BDP("FNCB2418 Mtge","ID_CUSIP")</f>
        <v>3140QMVL5</v>
      </c>
      <c r="B2036" t="str">
        <f>_xll.BDP("FNCB2418 Mtge","SECURITY_NAME")</f>
        <v>FN CB2418</v>
      </c>
      <c r="C2036" t="str">
        <f>_xll.BDP("FNCB2418 Mtge","GENERIC_TICKER_VINTAGE")</f>
        <v>FNCL 3 2021</v>
      </c>
      <c r="D2036" t="str">
        <f>_xll.BDP("FNCB2418 Mtge","CRNCY")</f>
        <v>USD</v>
      </c>
      <c r="E2036">
        <v>74218502</v>
      </c>
      <c r="F2036">
        <f>_xll.BDP("FNCB2418 Mtge","CPN")</f>
        <v>3</v>
      </c>
      <c r="G2036">
        <f>_xll.BDP("FNCB2418 Mtge","MTG_FACTOR")</f>
        <v>0.66331965000000004</v>
      </c>
      <c r="H2036">
        <f>_xll.BDP("FNCB2418 Mtge","MTG_WAL")</f>
        <v>8.3675999999999995</v>
      </c>
      <c r="I2036" t="str">
        <f>_xll.BDP("FNCB2418 Mtge","MTG_ORIG_WAL")</f>
        <v>#N/A N/A</v>
      </c>
    </row>
    <row r="2037" spans="1:9" x14ac:dyDescent="0.25">
      <c r="A2037" t="str">
        <f>_xll.BDP("FNCB2424 Mtge","ID_CUSIP")</f>
        <v>3140QMVS0</v>
      </c>
      <c r="B2037" t="str">
        <f>_xll.BDP("FNCB2424 Mtge","SECURITY_NAME")</f>
        <v>FN CB2424</v>
      </c>
      <c r="C2037" t="str">
        <f>_xll.BDP("FNCB2424 Mtge","GENERIC_TICKER_VINTAGE")</f>
        <v>FNCL 3 2021</v>
      </c>
      <c r="D2037" t="str">
        <f>_xll.BDP("FNCB2424 Mtge","CRNCY")</f>
        <v>USD</v>
      </c>
      <c r="E2037">
        <v>200270411</v>
      </c>
      <c r="F2037">
        <f>_xll.BDP("FNCB2424 Mtge","CPN")</f>
        <v>3</v>
      </c>
      <c r="G2037">
        <f>_xll.BDP("FNCB2424 Mtge","MTG_FACTOR")</f>
        <v>0.69528429999999997</v>
      </c>
      <c r="H2037">
        <f>_xll.BDP("FNCB2424 Mtge","MTG_WAL")</f>
        <v>8.4426000000000005</v>
      </c>
      <c r="I2037" t="str">
        <f>_xll.BDP("FNCB2424 Mtge","MTG_ORIG_WAL")</f>
        <v>#N/A N/A</v>
      </c>
    </row>
    <row r="2038" spans="1:9" x14ac:dyDescent="0.25">
      <c r="A2038" t="str">
        <f>_xll.BDP("FNCB2431 Mtge","ID_CUSIP")</f>
        <v>3140QMVZ4</v>
      </c>
      <c r="B2038" t="str">
        <f>_xll.BDP("FNCB2431 Mtge","SECURITY_NAME")</f>
        <v>FN CB2431</v>
      </c>
      <c r="C2038" t="str">
        <f>_xll.BDP("FNCB2431 Mtge","GENERIC_TICKER_VINTAGE")</f>
        <v>FNCL 3 2021</v>
      </c>
      <c r="D2038" t="str">
        <f>_xll.BDP("FNCB2431 Mtge","CRNCY")</f>
        <v>USD</v>
      </c>
      <c r="E2038">
        <v>176317204</v>
      </c>
      <c r="F2038">
        <f>_xll.BDP("FNCB2431 Mtge","CPN")</f>
        <v>3</v>
      </c>
      <c r="G2038">
        <f>_xll.BDP("FNCB2431 Mtge","MTG_FACTOR")</f>
        <v>0.76064878999999996</v>
      </c>
      <c r="H2038">
        <f>_xll.BDP("FNCB2431 Mtge","MTG_WAL")</f>
        <v>8.3030000000000008</v>
      </c>
      <c r="I2038" t="str">
        <f>_xll.BDP("FNCB2431 Mtge","MTG_ORIG_WAL")</f>
        <v>#N/A N/A</v>
      </c>
    </row>
    <row r="2039" spans="1:9" x14ac:dyDescent="0.25">
      <c r="A2039" t="str">
        <f>_xll.BDP("FNCB2432 Mtge","ID_CUSIP")</f>
        <v>3140QMV27</v>
      </c>
      <c r="B2039" t="str">
        <f>_xll.BDP("FNCB2432 Mtge","SECURITY_NAME")</f>
        <v>FN CB2432</v>
      </c>
      <c r="C2039" t="str">
        <f>_xll.BDP("FNCB2432 Mtge","GENERIC_TICKER_VINTAGE")</f>
        <v>FNCL 3 2021</v>
      </c>
      <c r="D2039" t="str">
        <f>_xll.BDP("FNCB2432 Mtge","CRNCY")</f>
        <v>USD</v>
      </c>
      <c r="E2039">
        <v>101082954</v>
      </c>
      <c r="F2039">
        <f>_xll.BDP("FNCB2432 Mtge","CPN")</f>
        <v>3</v>
      </c>
      <c r="G2039">
        <f>_xll.BDP("FNCB2432 Mtge","MTG_FACTOR")</f>
        <v>0.75813129000000001</v>
      </c>
      <c r="H2039">
        <f>_xll.BDP("FNCB2432 Mtge","MTG_WAL")</f>
        <v>8.2873000000000001</v>
      </c>
      <c r="I2039" t="str">
        <f>_xll.BDP("FNCB2432 Mtge","MTG_ORIG_WAL")</f>
        <v>#N/A N/A</v>
      </c>
    </row>
    <row r="2040" spans="1:9" x14ac:dyDescent="0.25">
      <c r="A2040" t="str">
        <f>_xll.BDP("FNCB2437 Mtge","ID_CUSIP")</f>
        <v>3140QMV76</v>
      </c>
      <c r="B2040" t="str">
        <f>_xll.BDP("FNCB2437 Mtge","SECURITY_NAME")</f>
        <v>FN CB2437</v>
      </c>
      <c r="C2040" t="str">
        <f>_xll.BDP("FNCB2437 Mtge","GENERIC_TICKER_VINTAGE")</f>
        <v>FNCL 3 2021</v>
      </c>
      <c r="D2040" t="str">
        <f>_xll.BDP("FNCB2437 Mtge","CRNCY")</f>
        <v>USD</v>
      </c>
      <c r="E2040">
        <v>42659922</v>
      </c>
      <c r="F2040">
        <f>_xll.BDP("FNCB2437 Mtge","CPN")</f>
        <v>3</v>
      </c>
      <c r="G2040">
        <f>_xll.BDP("FNCB2437 Mtge","MTG_FACTOR")</f>
        <v>0.68541647999999999</v>
      </c>
      <c r="H2040">
        <f>_xll.BDP("FNCB2437 Mtge","MTG_WAL")</f>
        <v>8.3511000000000006</v>
      </c>
      <c r="I2040" t="str">
        <f>_xll.BDP("FNCB2437 Mtge","MTG_ORIG_WAL")</f>
        <v>#N/A N/A</v>
      </c>
    </row>
    <row r="2041" spans="1:9" x14ac:dyDescent="0.25">
      <c r="A2041" t="str">
        <f>_xll.BDP("FNCB2545 Mtge","ID_CUSIP")</f>
        <v>3140QMZK3</v>
      </c>
      <c r="B2041" t="str">
        <f>_xll.BDP("FNCB2545 Mtge","SECURITY_NAME")</f>
        <v>FN CB2545</v>
      </c>
      <c r="C2041" t="str">
        <f>_xll.BDP("FNCB2545 Mtge","GENERIC_TICKER_VINTAGE")</f>
        <v>FNCL 3 2021</v>
      </c>
      <c r="D2041" t="str">
        <f>_xll.BDP("FNCB2545 Mtge","CRNCY")</f>
        <v>USD</v>
      </c>
      <c r="E2041">
        <v>250303030</v>
      </c>
      <c r="F2041">
        <f>_xll.BDP("FNCB2545 Mtge","CPN")</f>
        <v>3</v>
      </c>
      <c r="G2041">
        <f>_xll.BDP("FNCB2545 Mtge","MTG_FACTOR")</f>
        <v>0.75777550000000005</v>
      </c>
      <c r="H2041">
        <f>_xll.BDP("FNCB2545 Mtge","MTG_WAL")</f>
        <v>8.4036000000000008</v>
      </c>
      <c r="I2041" t="str">
        <f>_xll.BDP("FNCB2545 Mtge","MTG_ORIG_WAL")</f>
        <v>#N/A N/A</v>
      </c>
    </row>
    <row r="2042" spans="1:9" x14ac:dyDescent="0.25">
      <c r="A2042" t="str">
        <f>_xll.BDP("FNCB2556 Mtge","ID_CUSIP")</f>
        <v>3140QMZW7</v>
      </c>
      <c r="B2042" t="str">
        <f>_xll.BDP("FNCB2556 Mtge","SECURITY_NAME")</f>
        <v>FN CB2556</v>
      </c>
      <c r="C2042" t="str">
        <f>_xll.BDP("FNCB2556 Mtge","GENERIC_TICKER_VINTAGE")</f>
        <v>FNCL 3 2021</v>
      </c>
      <c r="D2042" t="str">
        <f>_xll.BDP("FNCB2556 Mtge","CRNCY")</f>
        <v>USD</v>
      </c>
      <c r="E2042">
        <v>200070685</v>
      </c>
      <c r="F2042">
        <f>_xll.BDP("FNCB2556 Mtge","CPN")</f>
        <v>3</v>
      </c>
      <c r="G2042">
        <f>_xll.BDP("FNCB2556 Mtge","MTG_FACTOR")</f>
        <v>0.78180592999999998</v>
      </c>
      <c r="H2042">
        <f>_xll.BDP("FNCB2556 Mtge","MTG_WAL")</f>
        <v>8.2605000000000004</v>
      </c>
      <c r="I2042" t="str">
        <f>_xll.BDP("FNCB2556 Mtge","MTG_ORIG_WAL")</f>
        <v>#N/A N/A</v>
      </c>
    </row>
    <row r="2043" spans="1:9" x14ac:dyDescent="0.25">
      <c r="A2043" t="str">
        <f>_xll.BDP("FNCB2659 Mtge","ID_CUSIP")</f>
        <v>3140QM5V2</v>
      </c>
      <c r="B2043" t="str">
        <f>_xll.BDP("FNCB2659 Mtge","SECURITY_NAME")</f>
        <v>FN CB2659</v>
      </c>
      <c r="C2043" t="str">
        <f>_xll.BDP("FNCB2659 Mtge","GENERIC_TICKER_VINTAGE")</f>
        <v>FNCL 3 2021</v>
      </c>
      <c r="D2043" t="str">
        <f>_xll.BDP("FNCB2659 Mtge","CRNCY")</f>
        <v>USD</v>
      </c>
      <c r="E2043">
        <v>95249474</v>
      </c>
      <c r="F2043">
        <f>_xll.BDP("FNCB2659 Mtge","CPN")</f>
        <v>3</v>
      </c>
      <c r="G2043">
        <f>_xll.BDP("FNCB2659 Mtge","MTG_FACTOR")</f>
        <v>0.67524437000000004</v>
      </c>
      <c r="H2043">
        <f>_xll.BDP("FNCB2659 Mtge","MTG_WAL")</f>
        <v>8.2516999999999996</v>
      </c>
      <c r="I2043" t="str">
        <f>_xll.BDP("FNCB2659 Mtge","MTG_ORIG_WAL")</f>
        <v>#N/A N/A</v>
      </c>
    </row>
    <row r="2044" spans="1:9" x14ac:dyDescent="0.25">
      <c r="A2044" t="str">
        <f>_xll.BDP("FNCB2664 Mtge","ID_CUSIP")</f>
        <v>3140QM6A7</v>
      </c>
      <c r="B2044" t="str">
        <f>_xll.BDP("FNCB2664 Mtge","SECURITY_NAME")</f>
        <v>FN CB2664</v>
      </c>
      <c r="C2044" t="str">
        <f>_xll.BDP("FNCB2664 Mtge","GENERIC_TICKER_VINTAGE")</f>
        <v>FNCL 3 2021</v>
      </c>
      <c r="D2044" t="str">
        <f>_xll.BDP("FNCB2664 Mtge","CRNCY")</f>
        <v>USD</v>
      </c>
      <c r="E2044">
        <v>203209336</v>
      </c>
      <c r="F2044">
        <f>_xll.BDP("FNCB2664 Mtge","CPN")</f>
        <v>3</v>
      </c>
      <c r="G2044">
        <f>_xll.BDP("FNCB2664 Mtge","MTG_FACTOR")</f>
        <v>0.69774776999999999</v>
      </c>
      <c r="H2044">
        <f>_xll.BDP("FNCB2664 Mtge","MTG_WAL")</f>
        <v>8.3789999999999996</v>
      </c>
      <c r="I2044" t="str">
        <f>_xll.BDP("FNCB2664 Mtge","MTG_ORIG_WAL")</f>
        <v>#N/A N/A</v>
      </c>
    </row>
    <row r="2045" spans="1:9" x14ac:dyDescent="0.25">
      <c r="A2045" t="str">
        <f>_xll.BDP("FNCB2665 Mtge","ID_CUSIP")</f>
        <v>3140QM6B5</v>
      </c>
      <c r="B2045" t="str">
        <f>_xll.BDP("FNCB2665 Mtge","SECURITY_NAME")</f>
        <v>FN CB2665</v>
      </c>
      <c r="C2045" t="str">
        <f>_xll.BDP("FNCB2665 Mtge","GENERIC_TICKER_VINTAGE")</f>
        <v>FNCL 3 2021</v>
      </c>
      <c r="D2045" t="str">
        <f>_xll.BDP("FNCB2665 Mtge","CRNCY")</f>
        <v>USD</v>
      </c>
      <c r="E2045">
        <v>226770391</v>
      </c>
      <c r="F2045">
        <f>_xll.BDP("FNCB2665 Mtge","CPN")</f>
        <v>3</v>
      </c>
      <c r="G2045">
        <f>_xll.BDP("FNCB2665 Mtge","MTG_FACTOR")</f>
        <v>0.75484607000000004</v>
      </c>
      <c r="H2045">
        <f>_xll.BDP("FNCB2665 Mtge","MTG_WAL")</f>
        <v>8.3864999999999998</v>
      </c>
      <c r="I2045" t="str">
        <f>_xll.BDP("FNCB2665 Mtge","MTG_ORIG_WAL")</f>
        <v>#N/A N/A</v>
      </c>
    </row>
    <row r="2046" spans="1:9" x14ac:dyDescent="0.25">
      <c r="A2046" t="str">
        <f>_xll.BDP("FNCB2666 Mtge","ID_CUSIP")</f>
        <v>3140QM6C3</v>
      </c>
      <c r="B2046" t="str">
        <f>_xll.BDP("FNCB2666 Mtge","SECURITY_NAME")</f>
        <v>FN CB2666</v>
      </c>
      <c r="C2046" t="str">
        <f>_xll.BDP("FNCB2666 Mtge","GENERIC_TICKER_VINTAGE")</f>
        <v>FNCL 3 2021</v>
      </c>
      <c r="D2046" t="str">
        <f>_xll.BDP("FNCB2666 Mtge","CRNCY")</f>
        <v>USD</v>
      </c>
      <c r="E2046">
        <v>224883131</v>
      </c>
      <c r="F2046">
        <f>_xll.BDP("FNCB2666 Mtge","CPN")</f>
        <v>3</v>
      </c>
      <c r="G2046">
        <f>_xll.BDP("FNCB2666 Mtge","MTG_FACTOR")</f>
        <v>0.72950579000000004</v>
      </c>
      <c r="H2046">
        <f>_xll.BDP("FNCB2666 Mtge","MTG_WAL")</f>
        <v>8.3709000000000007</v>
      </c>
      <c r="I2046" t="str">
        <f>_xll.BDP("FNCB2666 Mtge","MTG_ORIG_WAL")</f>
        <v>#N/A N/A</v>
      </c>
    </row>
    <row r="2047" spans="1:9" x14ac:dyDescent="0.25">
      <c r="A2047" t="str">
        <f>_xll.BDP("FNCB2667 Mtge","ID_CUSIP")</f>
        <v>3140QM6D1</v>
      </c>
      <c r="B2047" t="str">
        <f>_xll.BDP("FNCB2667 Mtge","SECURITY_NAME")</f>
        <v>FN CB2667</v>
      </c>
      <c r="C2047" t="str">
        <f>_xll.BDP("FNCB2667 Mtge","GENERIC_TICKER_VINTAGE")</f>
        <v>FNCL 3 2021</v>
      </c>
      <c r="D2047" t="str">
        <f>_xll.BDP("FNCB2667 Mtge","CRNCY")</f>
        <v>USD</v>
      </c>
      <c r="E2047">
        <v>226383400</v>
      </c>
      <c r="F2047">
        <f>_xll.BDP("FNCB2667 Mtge","CPN")</f>
        <v>3</v>
      </c>
      <c r="G2047">
        <f>_xll.BDP("FNCB2667 Mtge","MTG_FACTOR")</f>
        <v>0.74215392999999996</v>
      </c>
      <c r="H2047">
        <f>_xll.BDP("FNCB2667 Mtge","MTG_WAL")</f>
        <v>8.3863000000000003</v>
      </c>
      <c r="I2047" t="str">
        <f>_xll.BDP("FNCB2667 Mtge","MTG_ORIG_WAL")</f>
        <v>#N/A N/A</v>
      </c>
    </row>
    <row r="2048" spans="1:9" x14ac:dyDescent="0.25">
      <c r="A2048" t="str">
        <f>_xll.BDP("FNCB2669 Mtge","ID_CUSIP")</f>
        <v>3140QM6F6</v>
      </c>
      <c r="B2048" t="str">
        <f>_xll.BDP("FNCB2669 Mtge","SECURITY_NAME")</f>
        <v>FN CB2669</v>
      </c>
      <c r="C2048" t="str">
        <f>_xll.BDP("FNCB2669 Mtge","GENERIC_TICKER_VINTAGE")</f>
        <v>FNCL 3 2021</v>
      </c>
      <c r="D2048" t="str">
        <f>_xll.BDP("FNCB2669 Mtge","CRNCY")</f>
        <v>USD</v>
      </c>
      <c r="E2048">
        <v>66966792</v>
      </c>
      <c r="F2048">
        <f>_xll.BDP("FNCB2669 Mtge","CPN")</f>
        <v>3</v>
      </c>
      <c r="G2048">
        <f>_xll.BDP("FNCB2669 Mtge","MTG_FACTOR")</f>
        <v>0.72542903000000003</v>
      </c>
      <c r="H2048">
        <f>_xll.BDP("FNCB2669 Mtge","MTG_WAL")</f>
        <v>8.4505999999999997</v>
      </c>
      <c r="I2048" t="str">
        <f>_xll.BDP("FNCB2669 Mtge","MTG_ORIG_WAL")</f>
        <v>#N/A N/A</v>
      </c>
    </row>
    <row r="2049" spans="1:9" x14ac:dyDescent="0.25">
      <c r="A2049" t="str">
        <f>_xll.BDP("FNCB2755 Mtge","ID_CUSIP")</f>
        <v>3140QNBZ4</v>
      </c>
      <c r="B2049" t="str">
        <f>_xll.BDP("FNCB2755 Mtge","SECURITY_NAME")</f>
        <v>FN CB2755</v>
      </c>
      <c r="C2049" t="str">
        <f>_xll.BDP("FNCB2755 Mtge","GENERIC_TICKER_VINTAGE")</f>
        <v>FNCL 3 2021</v>
      </c>
      <c r="D2049" t="str">
        <f>_xll.BDP("FNCB2755 Mtge","CRNCY")</f>
        <v>USD</v>
      </c>
      <c r="E2049">
        <v>200089721</v>
      </c>
      <c r="F2049">
        <f>_xll.BDP("FNCB2755 Mtge","CPN")</f>
        <v>3</v>
      </c>
      <c r="G2049">
        <f>_xll.BDP("FNCB2755 Mtge","MTG_FACTOR")</f>
        <v>0.72529823999999998</v>
      </c>
      <c r="H2049">
        <f>_xll.BDP("FNCB2755 Mtge","MTG_WAL")</f>
        <v>8.3449000000000009</v>
      </c>
      <c r="I2049" t="str">
        <f>_xll.BDP("FNCB2755 Mtge","MTG_ORIG_WAL")</f>
        <v>#N/A N/A</v>
      </c>
    </row>
    <row r="2050" spans="1:9" x14ac:dyDescent="0.25">
      <c r="A2050" t="str">
        <f>_xll.BDP("FNCB2758 Mtge","ID_CUSIP")</f>
        <v>3140QNB43</v>
      </c>
      <c r="B2050" t="str">
        <f>_xll.BDP("FNCB2758 Mtge","SECURITY_NAME")</f>
        <v>FN CB2758</v>
      </c>
      <c r="C2050" t="str">
        <f>_xll.BDP("FNCB2758 Mtge","GENERIC_TICKER_VINTAGE")</f>
        <v>FNCL 3 2021</v>
      </c>
      <c r="D2050" t="str">
        <f>_xll.BDP("FNCB2758 Mtge","CRNCY")</f>
        <v>USD</v>
      </c>
      <c r="E2050">
        <v>150323389</v>
      </c>
      <c r="F2050">
        <f>_xll.BDP("FNCB2758 Mtge","CPN")</f>
        <v>3</v>
      </c>
      <c r="G2050">
        <f>_xll.BDP("FNCB2758 Mtge","MTG_FACTOR")</f>
        <v>0.72296309000000003</v>
      </c>
      <c r="H2050">
        <f>_xll.BDP("FNCB2758 Mtge","MTG_WAL")</f>
        <v>8.3986999999999998</v>
      </c>
      <c r="I2050" t="str">
        <f>_xll.BDP("FNCB2758 Mtge","MTG_ORIG_WAL")</f>
        <v>#N/A N/A</v>
      </c>
    </row>
    <row r="2051" spans="1:9" x14ac:dyDescent="0.25">
      <c r="A2051" t="str">
        <f>_xll.BDP("FNCB2759 Mtge","ID_CUSIP")</f>
        <v>3140QNB50</v>
      </c>
      <c r="B2051" t="str">
        <f>_xll.BDP("FNCB2759 Mtge","SECURITY_NAME")</f>
        <v>FN CB2759</v>
      </c>
      <c r="C2051" t="str">
        <f>_xll.BDP("FNCB2759 Mtge","GENERIC_TICKER_VINTAGE")</f>
        <v>FNCL 3 2021</v>
      </c>
      <c r="D2051" t="str">
        <f>_xll.BDP("FNCB2759 Mtge","CRNCY")</f>
        <v>USD</v>
      </c>
      <c r="E2051">
        <v>200258934</v>
      </c>
      <c r="F2051">
        <f>_xll.BDP("FNCB2759 Mtge","CPN")</f>
        <v>3</v>
      </c>
      <c r="G2051">
        <f>_xll.BDP("FNCB2759 Mtge","MTG_FACTOR")</f>
        <v>0.70780514999999999</v>
      </c>
      <c r="H2051">
        <f>_xll.BDP("FNCB2759 Mtge","MTG_WAL")</f>
        <v>8.3462999999999994</v>
      </c>
      <c r="I2051" t="str">
        <f>_xll.BDP("FNCB2759 Mtge","MTG_ORIG_WAL")</f>
        <v>#N/A N/A</v>
      </c>
    </row>
    <row r="2052" spans="1:9" x14ac:dyDescent="0.25">
      <c r="A2052" t="str">
        <f>_xll.BDP("FNCB2786 Mtge","ID_CUSIP")</f>
        <v>3140QNCY6</v>
      </c>
      <c r="B2052" t="str">
        <f>_xll.BDP("FNCB2786 Mtge","SECURITY_NAME")</f>
        <v>FN CB2786</v>
      </c>
      <c r="C2052" t="str">
        <f>_xll.BDP("FNCB2786 Mtge","GENERIC_TICKER_VINTAGE")</f>
        <v>FNCL 3 2021</v>
      </c>
      <c r="D2052" t="str">
        <f>_xll.BDP("FNCB2786 Mtge","CRNCY")</f>
        <v>USD</v>
      </c>
      <c r="E2052">
        <v>46530672</v>
      </c>
      <c r="F2052">
        <f>_xll.BDP("FNCB2786 Mtge","CPN")</f>
        <v>3</v>
      </c>
      <c r="G2052">
        <f>_xll.BDP("FNCB2786 Mtge","MTG_FACTOR")</f>
        <v>0.76210301000000003</v>
      </c>
      <c r="H2052">
        <f>_xll.BDP("FNCB2786 Mtge","MTG_WAL")</f>
        <v>8.2950999999999997</v>
      </c>
      <c r="I2052" t="str">
        <f>_xll.BDP("FNCB2786 Mtge","MTG_ORIG_WAL")</f>
        <v>#N/A N/A</v>
      </c>
    </row>
    <row r="2053" spans="1:9" x14ac:dyDescent="0.25">
      <c r="A2053" t="str">
        <f>_xll.BDP("FNCB2882 Mtge","ID_CUSIP")</f>
        <v>3140QNFY3</v>
      </c>
      <c r="B2053" t="str">
        <f>_xll.BDP("FNCB2882 Mtge","SECURITY_NAME")</f>
        <v>FN CB2882</v>
      </c>
      <c r="C2053" t="str">
        <f>_xll.BDP("FNCB2882 Mtge","GENERIC_TICKER_VINTAGE")</f>
        <v>FNCL 3 2021</v>
      </c>
      <c r="D2053" t="str">
        <f>_xll.BDP("FNCB2882 Mtge","CRNCY")</f>
        <v>USD</v>
      </c>
      <c r="E2053">
        <v>90013229</v>
      </c>
      <c r="F2053">
        <f>_xll.BDP("FNCB2882 Mtge","CPN")</f>
        <v>3</v>
      </c>
      <c r="G2053">
        <f>_xll.BDP("FNCB2882 Mtge","MTG_FACTOR")</f>
        <v>0.71390825000000002</v>
      </c>
      <c r="H2053">
        <f>_xll.BDP("FNCB2882 Mtge","MTG_WAL")</f>
        <v>8.3605</v>
      </c>
      <c r="I2053" t="str">
        <f>_xll.BDP("FNCB2882 Mtge","MTG_ORIG_WAL")</f>
        <v>#N/A N/A</v>
      </c>
    </row>
    <row r="2054" spans="1:9" x14ac:dyDescent="0.25">
      <c r="A2054" t="str">
        <f>_xll.BDP("FNCB2890 Mtge","ID_CUSIP")</f>
        <v>3140QNF80</v>
      </c>
      <c r="B2054" t="str">
        <f>_xll.BDP("FNCB2890 Mtge","SECURITY_NAME")</f>
        <v>FN CB2890</v>
      </c>
      <c r="C2054" t="str">
        <f>_xll.BDP("FNCB2890 Mtge","GENERIC_TICKER_VINTAGE")</f>
        <v>FNCL 3 2021</v>
      </c>
      <c r="D2054" t="str">
        <f>_xll.BDP("FNCB2890 Mtge","CRNCY")</f>
        <v>USD</v>
      </c>
      <c r="E2054">
        <v>251096075</v>
      </c>
      <c r="F2054">
        <f>_xll.BDP("FNCB2890 Mtge","CPN")</f>
        <v>3</v>
      </c>
      <c r="G2054">
        <f>_xll.BDP("FNCB2890 Mtge","MTG_FACTOR")</f>
        <v>0.74863979999999997</v>
      </c>
      <c r="H2054">
        <f>_xll.BDP("FNCB2890 Mtge","MTG_WAL")</f>
        <v>8.4626000000000001</v>
      </c>
      <c r="I2054" t="str">
        <f>_xll.BDP("FNCB2890 Mtge","MTG_ORIG_WAL")</f>
        <v>#N/A N/A</v>
      </c>
    </row>
    <row r="2055" spans="1:9" x14ac:dyDescent="0.25">
      <c r="A2055" t="str">
        <f>_xll.BDP("FNCB2891 Mtge","ID_CUSIP")</f>
        <v>3140QNF98</v>
      </c>
      <c r="B2055" t="str">
        <f>_xll.BDP("FNCB2891 Mtge","SECURITY_NAME")</f>
        <v>FN CB2891</v>
      </c>
      <c r="C2055" t="str">
        <f>_xll.BDP("FNCB2891 Mtge","GENERIC_TICKER_VINTAGE")</f>
        <v>FNCL 3 2021</v>
      </c>
      <c r="D2055" t="str">
        <f>_xll.BDP("FNCB2891 Mtge","CRNCY")</f>
        <v>USD</v>
      </c>
      <c r="E2055">
        <v>172773332</v>
      </c>
      <c r="F2055">
        <f>_xll.BDP("FNCB2891 Mtge","CPN")</f>
        <v>3</v>
      </c>
      <c r="G2055">
        <f>_xll.BDP("FNCB2891 Mtge","MTG_FACTOR")</f>
        <v>0.67889944999999996</v>
      </c>
      <c r="H2055">
        <f>_xll.BDP("FNCB2891 Mtge","MTG_WAL")</f>
        <v>8.3978000000000002</v>
      </c>
      <c r="I2055" t="str">
        <f>_xll.BDP("FNCB2891 Mtge","MTG_ORIG_WAL")</f>
        <v>#N/A N/A</v>
      </c>
    </row>
    <row r="2056" spans="1:9" x14ac:dyDescent="0.25">
      <c r="A2056" t="str">
        <f>_xll.BDP("FNCB2893 Mtge","ID_CUSIP")</f>
        <v>3140QNGB2</v>
      </c>
      <c r="B2056" t="str">
        <f>_xll.BDP("FNCB2893 Mtge","SECURITY_NAME")</f>
        <v>FN CB2893</v>
      </c>
      <c r="C2056" t="str">
        <f>_xll.BDP("FNCB2893 Mtge","GENERIC_TICKER_VINTAGE")</f>
        <v>FNCL 3 2021</v>
      </c>
      <c r="D2056" t="str">
        <f>_xll.BDP("FNCB2893 Mtge","CRNCY")</f>
        <v>USD</v>
      </c>
      <c r="E2056">
        <v>250447483</v>
      </c>
      <c r="F2056">
        <f>_xll.BDP("FNCB2893 Mtge","CPN")</f>
        <v>3</v>
      </c>
      <c r="G2056">
        <f>_xll.BDP("FNCB2893 Mtge","MTG_FACTOR")</f>
        <v>0.76094888999999999</v>
      </c>
      <c r="H2056">
        <f>_xll.BDP("FNCB2893 Mtge","MTG_WAL")</f>
        <v>8.4220000000000006</v>
      </c>
      <c r="I2056" t="str">
        <f>_xll.BDP("FNCB2893 Mtge","MTG_ORIG_WAL")</f>
        <v>#N/A N/A</v>
      </c>
    </row>
    <row r="2057" spans="1:9" x14ac:dyDescent="0.25">
      <c r="A2057" t="str">
        <f>_xll.BDP("FNCB2894 Mtge","ID_CUSIP")</f>
        <v>3140QNGC0</v>
      </c>
      <c r="B2057" t="str">
        <f>_xll.BDP("FNCB2894 Mtge","SECURITY_NAME")</f>
        <v>FN CB2894</v>
      </c>
      <c r="C2057" t="str">
        <f>_xll.BDP("FNCB2894 Mtge","GENERIC_TICKER_VINTAGE")</f>
        <v>FNCL 3 2021</v>
      </c>
      <c r="D2057" t="str">
        <f>_xll.BDP("FNCB2894 Mtge","CRNCY")</f>
        <v>USD</v>
      </c>
      <c r="E2057">
        <v>250410414</v>
      </c>
      <c r="F2057">
        <f>_xll.BDP("FNCB2894 Mtge","CPN")</f>
        <v>3</v>
      </c>
      <c r="G2057">
        <f>_xll.BDP("FNCB2894 Mtge","MTG_FACTOR")</f>
        <v>0.72072504999999998</v>
      </c>
      <c r="H2057">
        <f>_xll.BDP("FNCB2894 Mtge","MTG_WAL")</f>
        <v>8.4223999999999997</v>
      </c>
      <c r="I2057" t="str">
        <f>_xll.BDP("FNCB2894 Mtge","MTG_ORIG_WAL")</f>
        <v>#N/A N/A</v>
      </c>
    </row>
    <row r="2058" spans="1:9" x14ac:dyDescent="0.25">
      <c r="A2058" t="str">
        <f>_xll.BDP("FNCB2899 Mtge","ID_CUSIP")</f>
        <v>3140QNGH9</v>
      </c>
      <c r="B2058" t="str">
        <f>_xll.BDP("FNCB2899 Mtge","SECURITY_NAME")</f>
        <v>FN CB2899</v>
      </c>
      <c r="C2058" t="str">
        <f>_xll.BDP("FNCB2899 Mtge","GENERIC_TICKER_VINTAGE")</f>
        <v>FNCL 3 2021</v>
      </c>
      <c r="D2058" t="str">
        <f>_xll.BDP("FNCB2899 Mtge","CRNCY")</f>
        <v>USD</v>
      </c>
      <c r="E2058">
        <v>137187587</v>
      </c>
      <c r="F2058">
        <f>_xll.BDP("FNCB2899 Mtge","CPN")</f>
        <v>3</v>
      </c>
      <c r="G2058">
        <f>_xll.BDP("FNCB2899 Mtge","MTG_FACTOR")</f>
        <v>0.65235606999999995</v>
      </c>
      <c r="H2058">
        <f>_xll.BDP("FNCB2899 Mtge","MTG_WAL")</f>
        <v>8.4474</v>
      </c>
      <c r="I2058" t="str">
        <f>_xll.BDP("FNCB2899 Mtge","MTG_ORIG_WAL")</f>
        <v>#N/A N/A</v>
      </c>
    </row>
    <row r="2059" spans="1:9" x14ac:dyDescent="0.25">
      <c r="A2059" t="str">
        <f>_xll.BDP("FNCB3005 Mtge","ID_CUSIP")</f>
        <v>3140QNKT8</v>
      </c>
      <c r="B2059" t="str">
        <f>_xll.BDP("FNCB3005 Mtge","SECURITY_NAME")</f>
        <v>FN CB3005</v>
      </c>
      <c r="C2059" t="str">
        <f>_xll.BDP("FNCB3005 Mtge","GENERIC_TICKER_VINTAGE")</f>
        <v>FNCL 3 2021</v>
      </c>
      <c r="D2059" t="str">
        <f>_xll.BDP("FNCB3005 Mtge","CRNCY")</f>
        <v>USD</v>
      </c>
      <c r="E2059">
        <v>65280798</v>
      </c>
      <c r="F2059">
        <f>_xll.BDP("FNCB3005 Mtge","CPN")</f>
        <v>3</v>
      </c>
      <c r="G2059">
        <f>_xll.BDP("FNCB3005 Mtge","MTG_FACTOR")</f>
        <v>0.73282071999999998</v>
      </c>
      <c r="H2059">
        <f>_xll.BDP("FNCB3005 Mtge","MTG_WAL")</f>
        <v>8.4290000000000003</v>
      </c>
      <c r="I2059" t="str">
        <f>_xll.BDP("FNCB3005 Mtge","MTG_ORIG_WAL")</f>
        <v>#N/A N/A</v>
      </c>
    </row>
    <row r="2060" spans="1:9" x14ac:dyDescent="0.25">
      <c r="A2060" t="str">
        <f>_xll.BDP("FNCB3051 Mtge","ID_CUSIP")</f>
        <v>3140QNL91</v>
      </c>
      <c r="B2060" t="str">
        <f>_xll.BDP("FNCB3051 Mtge","SECURITY_NAME")</f>
        <v>FN CB3051</v>
      </c>
      <c r="C2060" t="str">
        <f>_xll.BDP("FNCB3051 Mtge","GENERIC_TICKER_VINTAGE")</f>
        <v>FNCL 3 2021</v>
      </c>
      <c r="D2060" t="str">
        <f>_xll.BDP("FNCB3051 Mtge","CRNCY")</f>
        <v>USD</v>
      </c>
      <c r="E2060">
        <v>12617082</v>
      </c>
      <c r="F2060">
        <f>_xll.BDP("FNCB3051 Mtge","CPN")</f>
        <v>3</v>
      </c>
      <c r="G2060">
        <f>_xll.BDP("FNCB3051 Mtge","MTG_FACTOR")</f>
        <v>0.68770100000000001</v>
      </c>
      <c r="H2060">
        <f>_xll.BDP("FNCB3051 Mtge","MTG_WAL")</f>
        <v>8.3788999999999998</v>
      </c>
      <c r="I2060" t="str">
        <f>_xll.BDP("FNCB3051 Mtge","MTG_ORIG_WAL")</f>
        <v>#N/A N/A</v>
      </c>
    </row>
    <row r="2061" spans="1:9" x14ac:dyDescent="0.25">
      <c r="A2061" t="str">
        <f>_xll.BDP("FNCB3060 Mtge","ID_CUSIP")</f>
        <v>3140QNMJ8</v>
      </c>
      <c r="B2061" t="str">
        <f>_xll.BDP("FNCB3060 Mtge","SECURITY_NAME")</f>
        <v>FN CB3060</v>
      </c>
      <c r="C2061" t="str">
        <f>_xll.BDP("FNCB3060 Mtge","GENERIC_TICKER_VINTAGE")</f>
        <v>FNCL 3 2021</v>
      </c>
      <c r="D2061" t="str">
        <f>_xll.BDP("FNCB3060 Mtge","CRNCY")</f>
        <v>USD</v>
      </c>
      <c r="E2061">
        <v>21196142</v>
      </c>
      <c r="F2061">
        <f>_xll.BDP("FNCB3060 Mtge","CPN")</f>
        <v>3</v>
      </c>
      <c r="G2061">
        <f>_xll.BDP("FNCB3060 Mtge","MTG_FACTOR")</f>
        <v>0.69972195999999998</v>
      </c>
      <c r="H2061">
        <f>_xll.BDP("FNCB3060 Mtge","MTG_WAL")</f>
        <v>8.2989999999999995</v>
      </c>
      <c r="I2061" t="str">
        <f>_xll.BDP("FNCB3060 Mtge","MTG_ORIG_WAL")</f>
        <v>#N/A N/A</v>
      </c>
    </row>
    <row r="2062" spans="1:9" x14ac:dyDescent="0.25">
      <c r="A2062" t="str">
        <f>_xll.BDP("FNCB3061 Mtge","ID_CUSIP")</f>
        <v>3140QNMK5</v>
      </c>
      <c r="B2062" t="str">
        <f>_xll.BDP("FNCB3061 Mtge","SECURITY_NAME")</f>
        <v>FN CB3061</v>
      </c>
      <c r="C2062" t="str">
        <f>_xll.BDP("FNCB3061 Mtge","GENERIC_TICKER_VINTAGE")</f>
        <v>FNCL 3 2021</v>
      </c>
      <c r="D2062" t="str">
        <f>_xll.BDP("FNCB3061 Mtge","CRNCY")</f>
        <v>USD</v>
      </c>
      <c r="E2062">
        <v>21594244</v>
      </c>
      <c r="F2062">
        <f>_xll.BDP("FNCB3061 Mtge","CPN")</f>
        <v>3</v>
      </c>
      <c r="G2062">
        <f>_xll.BDP("FNCB3061 Mtge","MTG_FACTOR")</f>
        <v>0.83598739</v>
      </c>
      <c r="H2062">
        <f>_xll.BDP("FNCB3061 Mtge","MTG_WAL")</f>
        <v>8.4121000000000006</v>
      </c>
      <c r="I2062" t="str">
        <f>_xll.BDP("FNCB3061 Mtge","MTG_ORIG_WAL")</f>
        <v>#N/A N/A</v>
      </c>
    </row>
    <row r="2063" spans="1:9" x14ac:dyDescent="0.25">
      <c r="A2063" t="str">
        <f>_xll.BDP("FNCB3671 Mtge","ID_CUSIP")</f>
        <v>3140QPCH8</v>
      </c>
      <c r="B2063" t="str">
        <f>_xll.BDP("FNCB3671 Mtge","SECURITY_NAME")</f>
        <v>FN CB3671</v>
      </c>
      <c r="C2063" t="str">
        <f>_xll.BDP("FNCB3671 Mtge","GENERIC_TICKER_VINTAGE")</f>
        <v>FNCL 3 2021</v>
      </c>
      <c r="D2063" t="str">
        <f>_xll.BDP("FNCB3671 Mtge","CRNCY")</f>
        <v>USD</v>
      </c>
      <c r="E2063">
        <v>105271387</v>
      </c>
      <c r="F2063">
        <f>_xll.BDP("FNCB3671 Mtge","CPN")</f>
        <v>3</v>
      </c>
      <c r="G2063">
        <f>_xll.BDP("FNCB3671 Mtge","MTG_FACTOR")</f>
        <v>0.77059493000000001</v>
      </c>
      <c r="H2063">
        <f>_xll.BDP("FNCB3671 Mtge","MTG_WAL")</f>
        <v>8.3544</v>
      </c>
      <c r="I2063" t="str">
        <f>_xll.BDP("FNCB3671 Mtge","MTG_ORIG_WAL")</f>
        <v>#N/A N/A</v>
      </c>
    </row>
    <row r="2064" spans="1:9" x14ac:dyDescent="0.25">
      <c r="A2064" t="str">
        <f>_xll.BDP("FNCC0018 Mtge","ID_CUSIP")</f>
        <v>3140Y6AU4</v>
      </c>
      <c r="B2064" t="str">
        <f>_xll.BDP("FNCC0018 Mtge","SECURITY_NAME")</f>
        <v>FN CC0018</v>
      </c>
      <c r="C2064" t="str">
        <f>_xll.BDP("FNCC0018 Mtge","GENERIC_TICKER_VINTAGE")</f>
        <v>FNCL 6 2025</v>
      </c>
      <c r="D2064" t="str">
        <f>_xll.BDP("FNCC0018 Mtge","CRNCY")</f>
        <v>USD</v>
      </c>
      <c r="E2064">
        <v>2723003</v>
      </c>
      <c r="F2064">
        <f>_xll.BDP("FNCC0018 Mtge","CPN")</f>
        <v>6</v>
      </c>
      <c r="G2064">
        <f>_xll.BDP("FNCC0018 Mtge","MTG_FACTOR")</f>
        <v>0.83528928999999996</v>
      </c>
      <c r="H2064">
        <f>_xll.BDP("FNCC0018 Mtge","MTG_WAL")</f>
        <v>3.1597</v>
      </c>
      <c r="I2064" t="str">
        <f>_xll.BDP("FNCC0018 Mtge","MTG_ORIG_WAL")</f>
        <v>#N/A N/A</v>
      </c>
    </row>
    <row r="2065" spans="1:9" x14ac:dyDescent="0.25">
      <c r="A2065" t="str">
        <f>_xll.BDP("FNCC0022 Mtge","ID_CUSIP")</f>
        <v>3140Y6AY6</v>
      </c>
      <c r="B2065" t="str">
        <f>_xll.BDP("FNCC0022 Mtge","SECURITY_NAME")</f>
        <v>FN CC0022</v>
      </c>
      <c r="C2065" t="str">
        <f>_xll.BDP("FNCC0022 Mtge","GENERIC_TICKER_VINTAGE")</f>
        <v>FNCL 6 2025</v>
      </c>
      <c r="D2065" t="str">
        <f>_xll.BDP("FNCC0022 Mtge","CRNCY")</f>
        <v>USD</v>
      </c>
      <c r="E2065">
        <v>2957360</v>
      </c>
      <c r="F2065">
        <f>_xll.BDP("FNCC0022 Mtge","CPN")</f>
        <v>6</v>
      </c>
      <c r="G2065">
        <f>_xll.BDP("FNCC0022 Mtge","MTG_FACTOR")</f>
        <v>0.96778145000000004</v>
      </c>
      <c r="H2065">
        <f>_xll.BDP("FNCC0022 Mtge","MTG_WAL")</f>
        <v>3.1617000000000002</v>
      </c>
      <c r="I2065" t="str">
        <f>_xll.BDP("FNCC0022 Mtge","MTG_ORIG_WAL")</f>
        <v>#N/A N/A</v>
      </c>
    </row>
    <row r="2066" spans="1:9" x14ac:dyDescent="0.25">
      <c r="A2066" t="str">
        <f>_xll.BDP("FNCC0055 Mtge","ID_CUSIP")</f>
        <v>3140Y6BZ2</v>
      </c>
      <c r="B2066" t="str">
        <f>_xll.BDP("FNCC0055 Mtge","SECURITY_NAME")</f>
        <v>FN CC0055</v>
      </c>
      <c r="C2066" t="str">
        <f>_xll.BDP("FNCC0055 Mtge","GENERIC_TICKER_VINTAGE")</f>
        <v>FNCL 6 2025</v>
      </c>
      <c r="D2066" t="str">
        <f>_xll.BDP("FNCC0055 Mtge","CRNCY")</f>
        <v>USD</v>
      </c>
      <c r="E2066">
        <v>1116250</v>
      </c>
      <c r="F2066">
        <f>_xll.BDP("FNCC0055 Mtge","CPN")</f>
        <v>6</v>
      </c>
      <c r="G2066">
        <f>_xll.BDP("FNCC0055 Mtge","MTG_FACTOR")</f>
        <v>0.89728240999999997</v>
      </c>
      <c r="H2066">
        <f>_xll.BDP("FNCC0055 Mtge","MTG_WAL")</f>
        <v>3.161</v>
      </c>
      <c r="I2066" t="str">
        <f>_xll.BDP("FNCC0055 Mtge","MTG_ORIG_WAL")</f>
        <v>#N/A N/A</v>
      </c>
    </row>
    <row r="2067" spans="1:9" x14ac:dyDescent="0.25">
      <c r="A2067" t="str">
        <f>_xll.BDP("FNCC0056 Mtge","ID_CUSIP")</f>
        <v>3140Y6B25</v>
      </c>
      <c r="B2067" t="str">
        <f>_xll.BDP("FNCC0056 Mtge","SECURITY_NAME")</f>
        <v>FN CC0056</v>
      </c>
      <c r="C2067" t="str">
        <f>_xll.BDP("FNCC0056 Mtge","GENERIC_TICKER_VINTAGE")</f>
        <v>FNCL 6 2025</v>
      </c>
      <c r="D2067" t="str">
        <f>_xll.BDP("FNCC0056 Mtge","CRNCY")</f>
        <v>USD</v>
      </c>
      <c r="E2067">
        <v>4029502</v>
      </c>
      <c r="F2067">
        <f>_xll.BDP("FNCC0056 Mtge","CPN")</f>
        <v>6</v>
      </c>
      <c r="G2067">
        <f>_xll.BDP("FNCC0056 Mtge","MTG_FACTOR")</f>
        <v>0.98712058000000003</v>
      </c>
      <c r="H2067">
        <f>_xll.BDP("FNCC0056 Mtge","MTG_WAL")</f>
        <v>3.1615000000000002</v>
      </c>
      <c r="I2067" t="str">
        <f>_xll.BDP("FNCC0056 Mtge","MTG_ORIG_WAL")</f>
        <v>#N/A N/A</v>
      </c>
    </row>
    <row r="2068" spans="1:9" x14ac:dyDescent="0.25">
      <c r="A2068" t="str">
        <f>_xll.BDP("FNCC0065 Mtge","ID_CUSIP")</f>
        <v>3140Y6CB4</v>
      </c>
      <c r="B2068" t="str">
        <f>_xll.BDP("FNCC0065 Mtge","SECURITY_NAME")</f>
        <v>FN CC0065</v>
      </c>
      <c r="C2068" t="str">
        <f>_xll.BDP("FNCC0065 Mtge","GENERIC_TICKER_VINTAGE")</f>
        <v>FNCL 6 2025</v>
      </c>
      <c r="D2068" t="str">
        <f>_xll.BDP("FNCC0065 Mtge","CRNCY")</f>
        <v>USD</v>
      </c>
      <c r="E2068">
        <v>5144660</v>
      </c>
      <c r="F2068">
        <f>_xll.BDP("FNCC0065 Mtge","CPN")</f>
        <v>6</v>
      </c>
      <c r="G2068">
        <f>_xll.BDP("FNCC0065 Mtge","MTG_FACTOR")</f>
        <v>0.89492450000000001</v>
      </c>
      <c r="H2068">
        <f>_xll.BDP("FNCC0065 Mtge","MTG_WAL")</f>
        <v>3.1556000000000002</v>
      </c>
      <c r="I2068" t="str">
        <f>_xll.BDP("FNCC0065 Mtge","MTG_ORIG_WAL")</f>
        <v>#N/A N/A</v>
      </c>
    </row>
    <row r="2069" spans="1:9" x14ac:dyDescent="0.25">
      <c r="A2069" t="str">
        <f>_xll.BDP("FNCC0067 Mtge","ID_CUSIP")</f>
        <v>3140Y6CD0</v>
      </c>
      <c r="B2069" t="str">
        <f>_xll.BDP("FNCC0067 Mtge","SECURITY_NAME")</f>
        <v>FN CC0067</v>
      </c>
      <c r="C2069" t="str">
        <f>_xll.BDP("FNCC0067 Mtge","GENERIC_TICKER_VINTAGE")</f>
        <v>FNCL 6 2025</v>
      </c>
      <c r="D2069" t="str">
        <f>_xll.BDP("FNCC0067 Mtge","CRNCY")</f>
        <v>USD</v>
      </c>
      <c r="E2069">
        <v>19346659</v>
      </c>
      <c r="F2069">
        <f>_xll.BDP("FNCC0067 Mtge","CPN")</f>
        <v>6</v>
      </c>
      <c r="G2069">
        <f>_xll.BDP("FNCC0067 Mtge","MTG_FACTOR")</f>
        <v>0.87294875000000005</v>
      </c>
      <c r="H2069">
        <f>_xll.BDP("FNCC0067 Mtge","MTG_WAL")</f>
        <v>3.1579000000000002</v>
      </c>
      <c r="I2069" t="str">
        <f>_xll.BDP("FNCC0067 Mtge","MTG_ORIG_WAL")</f>
        <v>#N/A N/A</v>
      </c>
    </row>
    <row r="2070" spans="1:9" x14ac:dyDescent="0.25">
      <c r="A2070" t="str">
        <f>_xll.BDP("FNCC0073 Mtge","ID_CUSIP")</f>
        <v>3140Y6CK4</v>
      </c>
      <c r="B2070" t="str">
        <f>_xll.BDP("FNCC0073 Mtge","SECURITY_NAME")</f>
        <v>FN CC0073</v>
      </c>
      <c r="C2070" t="str">
        <f>_xll.BDP("FNCC0073 Mtge","GENERIC_TICKER_VINTAGE")</f>
        <v>FNCL 6 2025</v>
      </c>
      <c r="D2070" t="str">
        <f>_xll.BDP("FNCC0073 Mtge","CRNCY")</f>
        <v>USD</v>
      </c>
      <c r="E2070">
        <v>2235700</v>
      </c>
      <c r="F2070">
        <f>_xll.BDP("FNCC0073 Mtge","CPN")</f>
        <v>6</v>
      </c>
      <c r="G2070">
        <f>_xll.BDP("FNCC0073 Mtge","MTG_FACTOR")</f>
        <v>0.98757691000000003</v>
      </c>
      <c r="H2070">
        <f>_xll.BDP("FNCC0073 Mtge","MTG_WAL")</f>
        <v>3.1629999999999998</v>
      </c>
      <c r="I2070" t="str">
        <f>_xll.BDP("FNCC0073 Mtge","MTG_ORIG_WAL")</f>
        <v>#N/A N/A</v>
      </c>
    </row>
    <row r="2071" spans="1:9" x14ac:dyDescent="0.25">
      <c r="A2071" t="str">
        <f>_xll.BDP("FNCC0077 Mtge","ID_CUSIP")</f>
        <v>3140Y6CP3</v>
      </c>
      <c r="B2071" t="str">
        <f>_xll.BDP("FNCC0077 Mtge","SECURITY_NAME")</f>
        <v>FN CC0077</v>
      </c>
      <c r="C2071" t="str">
        <f>_xll.BDP("FNCC0077 Mtge","GENERIC_TICKER_VINTAGE")</f>
        <v>FNCL 6 2025</v>
      </c>
      <c r="D2071" t="str">
        <f>_xll.BDP("FNCC0077 Mtge","CRNCY")</f>
        <v>USD</v>
      </c>
      <c r="E2071">
        <v>194403107</v>
      </c>
      <c r="F2071">
        <f>_xll.BDP("FNCC0077 Mtge","CPN")</f>
        <v>6</v>
      </c>
      <c r="G2071">
        <f>_xll.BDP("FNCC0077 Mtge","MTG_FACTOR")</f>
        <v>0.88165696999999998</v>
      </c>
      <c r="H2071">
        <f>_xll.BDP("FNCC0077 Mtge","MTG_WAL")</f>
        <v>3.1585000000000001</v>
      </c>
      <c r="I2071" t="str">
        <f>_xll.BDP("FNCC0077 Mtge","MTG_ORIG_WAL")</f>
        <v>#N/A N/A</v>
      </c>
    </row>
    <row r="2072" spans="1:9" x14ac:dyDescent="0.25">
      <c r="A2072" t="str">
        <f>_xll.BDP("FNCC0078 Mtge","ID_CUSIP")</f>
        <v>3140Y6CQ1</v>
      </c>
      <c r="B2072" t="str">
        <f>_xll.BDP("FNCC0078 Mtge","SECURITY_NAME")</f>
        <v>FN CC0078</v>
      </c>
      <c r="C2072" t="str">
        <f>_xll.BDP("FNCC0078 Mtge","GENERIC_TICKER_VINTAGE")</f>
        <v>FNCL 6 2025</v>
      </c>
      <c r="D2072" t="str">
        <f>_xll.BDP("FNCC0078 Mtge","CRNCY")</f>
        <v>USD</v>
      </c>
      <c r="E2072">
        <v>78573946</v>
      </c>
      <c r="F2072">
        <f>_xll.BDP("FNCC0078 Mtge","CPN")</f>
        <v>6</v>
      </c>
      <c r="G2072">
        <f>_xll.BDP("FNCC0078 Mtge","MTG_FACTOR")</f>
        <v>0.88336424999999996</v>
      </c>
      <c r="H2072">
        <f>_xll.BDP("FNCC0078 Mtge","MTG_WAL")</f>
        <v>3.1587000000000001</v>
      </c>
      <c r="I2072" t="str">
        <f>_xll.BDP("FNCC0078 Mtge","MTG_ORIG_WAL")</f>
        <v>#N/A N/A</v>
      </c>
    </row>
    <row r="2073" spans="1:9" x14ac:dyDescent="0.25">
      <c r="A2073" t="str">
        <f>_xll.BDP("FNCC0113 Mtge","ID_CUSIP")</f>
        <v>3140Y6DT4</v>
      </c>
      <c r="B2073" t="str">
        <f>_xll.BDP("FNCC0113 Mtge","SECURITY_NAME")</f>
        <v>FN CC0113</v>
      </c>
      <c r="C2073" t="str">
        <f>_xll.BDP("FNCC0113 Mtge","GENERIC_TICKER_VINTAGE")</f>
        <v>FNCL 6 2025</v>
      </c>
      <c r="D2073" t="str">
        <f>_xll.BDP("FNCC0113 Mtge","CRNCY")</f>
        <v>USD</v>
      </c>
      <c r="E2073">
        <v>28031230</v>
      </c>
      <c r="F2073">
        <f>_xll.BDP("FNCC0113 Mtge","CPN")</f>
        <v>6</v>
      </c>
      <c r="G2073">
        <f>_xll.BDP("FNCC0113 Mtge","MTG_FACTOR")</f>
        <v>0.86509515000000003</v>
      </c>
      <c r="H2073">
        <f>_xll.BDP("FNCC0113 Mtge","MTG_WAL")</f>
        <v>3.1558999999999999</v>
      </c>
      <c r="I2073" t="str">
        <f>_xll.BDP("FNCC0113 Mtge","MTG_ORIG_WAL")</f>
        <v>#N/A N/A</v>
      </c>
    </row>
    <row r="2074" spans="1:9" x14ac:dyDescent="0.25">
      <c r="A2074" t="str">
        <f>_xll.BDP("FNCC0114 Mtge","ID_CUSIP")</f>
        <v>3140Y6DU1</v>
      </c>
      <c r="B2074" t="str">
        <f>_xll.BDP("FNCC0114 Mtge","SECURITY_NAME")</f>
        <v>FN CC0114</v>
      </c>
      <c r="C2074" t="str">
        <f>_xll.BDP("FNCC0114 Mtge","GENERIC_TICKER_VINTAGE")</f>
        <v>FNCL 6 2025</v>
      </c>
      <c r="D2074" t="str">
        <f>_xll.BDP("FNCC0114 Mtge","CRNCY")</f>
        <v>USD</v>
      </c>
      <c r="E2074">
        <v>23708673</v>
      </c>
      <c r="F2074">
        <f>_xll.BDP("FNCC0114 Mtge","CPN")</f>
        <v>6</v>
      </c>
      <c r="G2074">
        <f>_xll.BDP("FNCC0114 Mtge","MTG_FACTOR")</f>
        <v>0.93072279999999996</v>
      </c>
      <c r="H2074">
        <f>_xll.BDP("FNCC0114 Mtge","MTG_WAL")</f>
        <v>3.1560000000000001</v>
      </c>
      <c r="I2074" t="str">
        <f>_xll.BDP("FNCC0114 Mtge","MTG_ORIG_WAL")</f>
        <v>#N/A N/A</v>
      </c>
    </row>
    <row r="2075" spans="1:9" x14ac:dyDescent="0.25">
      <c r="A2075" t="str">
        <f>_xll.BDP("FNCC0115 Mtge","ID_CUSIP")</f>
        <v>3140Y6DV9</v>
      </c>
      <c r="B2075" t="str">
        <f>_xll.BDP("FNCC0115 Mtge","SECURITY_NAME")</f>
        <v>FN CC0115</v>
      </c>
      <c r="C2075" t="str">
        <f>_xll.BDP("FNCC0115 Mtge","GENERIC_TICKER_VINTAGE")</f>
        <v>FNCL 6 2025</v>
      </c>
      <c r="D2075" t="str">
        <f>_xll.BDP("FNCC0115 Mtge","CRNCY")</f>
        <v>USD</v>
      </c>
      <c r="E2075">
        <v>58149870</v>
      </c>
      <c r="F2075">
        <f>_xll.BDP("FNCC0115 Mtge","CPN")</f>
        <v>6</v>
      </c>
      <c r="G2075">
        <f>_xll.BDP("FNCC0115 Mtge","MTG_FACTOR")</f>
        <v>0.87551002</v>
      </c>
      <c r="H2075">
        <f>_xll.BDP("FNCC0115 Mtge","MTG_WAL")</f>
        <v>3.1549</v>
      </c>
      <c r="I2075" t="str">
        <f>_xll.BDP("FNCC0115 Mtge","MTG_ORIG_WAL")</f>
        <v>#N/A N/A</v>
      </c>
    </row>
    <row r="2076" spans="1:9" x14ac:dyDescent="0.25">
      <c r="A2076" t="str">
        <f>_xll.BDP("FNCC0116 Mtge","ID_CUSIP")</f>
        <v>3140Y6DW7</v>
      </c>
      <c r="B2076" t="str">
        <f>_xll.BDP("FNCC0116 Mtge","SECURITY_NAME")</f>
        <v>FN CC0116</v>
      </c>
      <c r="C2076" t="str">
        <f>_xll.BDP("FNCC0116 Mtge","GENERIC_TICKER_VINTAGE")</f>
        <v>FNCL 6 2025</v>
      </c>
      <c r="D2076" t="str">
        <f>_xll.BDP("FNCC0116 Mtge","CRNCY")</f>
        <v>USD</v>
      </c>
      <c r="E2076">
        <v>86314944</v>
      </c>
      <c r="F2076">
        <f>_xll.BDP("FNCC0116 Mtge","CPN")</f>
        <v>6</v>
      </c>
      <c r="G2076">
        <f>_xll.BDP("FNCC0116 Mtge","MTG_FACTOR")</f>
        <v>0.89639296999999996</v>
      </c>
      <c r="H2076">
        <f>_xll.BDP("FNCC0116 Mtge","MTG_WAL")</f>
        <v>3.1585000000000001</v>
      </c>
      <c r="I2076" t="str">
        <f>_xll.BDP("FNCC0116 Mtge","MTG_ORIG_WAL")</f>
        <v>#N/A N/A</v>
      </c>
    </row>
    <row r="2077" spans="1:9" x14ac:dyDescent="0.25">
      <c r="A2077" t="str">
        <f>_xll.BDP("FNCC0117 Mtge","ID_CUSIP")</f>
        <v>3140Y6DX5</v>
      </c>
      <c r="B2077" t="str">
        <f>_xll.BDP("FNCC0117 Mtge","SECURITY_NAME")</f>
        <v>FN CC0117</v>
      </c>
      <c r="C2077" t="str">
        <f>_xll.BDP("FNCC0117 Mtge","GENERIC_TICKER_VINTAGE")</f>
        <v>FNCL 6 2025</v>
      </c>
      <c r="D2077" t="str">
        <f>_xll.BDP("FNCC0117 Mtge","CRNCY")</f>
        <v>USD</v>
      </c>
      <c r="E2077">
        <v>98822729</v>
      </c>
      <c r="F2077">
        <f>_xll.BDP("FNCC0117 Mtge","CPN")</f>
        <v>6</v>
      </c>
      <c r="G2077">
        <f>_xll.BDP("FNCC0117 Mtge","MTG_FACTOR")</f>
        <v>0.89948075999999999</v>
      </c>
      <c r="H2077">
        <f>_xll.BDP("FNCC0117 Mtge","MTG_WAL")</f>
        <v>3.1558999999999999</v>
      </c>
      <c r="I2077" t="str">
        <f>_xll.BDP("FNCC0117 Mtge","MTG_ORIG_WAL")</f>
        <v>#N/A N/A</v>
      </c>
    </row>
    <row r="2078" spans="1:9" x14ac:dyDescent="0.25">
      <c r="A2078" t="str">
        <f>_xll.BDP("FNCC0120 Mtge","ID_CUSIP")</f>
        <v>3140Y6D23</v>
      </c>
      <c r="B2078" t="str">
        <f>_xll.BDP("FNCC0120 Mtge","SECURITY_NAME")</f>
        <v>FN CC0120</v>
      </c>
      <c r="C2078" t="str">
        <f>_xll.BDP("FNCC0120 Mtge","GENERIC_TICKER_VINTAGE")</f>
        <v>FNCL 6 2025</v>
      </c>
      <c r="D2078" t="str">
        <f>_xll.BDP("FNCC0120 Mtge","CRNCY")</f>
        <v>USD</v>
      </c>
      <c r="E2078">
        <v>176950146</v>
      </c>
      <c r="F2078">
        <f>_xll.BDP("FNCC0120 Mtge","CPN")</f>
        <v>6</v>
      </c>
      <c r="G2078">
        <f>_xll.BDP("FNCC0120 Mtge","MTG_FACTOR")</f>
        <v>0.86178670999999996</v>
      </c>
      <c r="H2078">
        <f>_xll.BDP("FNCC0120 Mtge","MTG_WAL")</f>
        <v>3.1575000000000002</v>
      </c>
      <c r="I2078" t="str">
        <f>_xll.BDP("FNCC0120 Mtge","MTG_ORIG_WAL")</f>
        <v>#N/A N/A</v>
      </c>
    </row>
    <row r="2079" spans="1:9" x14ac:dyDescent="0.25">
      <c r="A2079" t="str">
        <f>_xll.BDP("FNCC0122 Mtge","ID_CUSIP")</f>
        <v>3140Y6D49</v>
      </c>
      <c r="B2079" t="str">
        <f>_xll.BDP("FNCC0122 Mtge","SECURITY_NAME")</f>
        <v>FN CC0122</v>
      </c>
      <c r="C2079" t="str">
        <f>_xll.BDP("FNCC0122 Mtge","GENERIC_TICKER_VINTAGE")</f>
        <v>FNCL 6 2025</v>
      </c>
      <c r="D2079" t="str">
        <f>_xll.BDP("FNCC0122 Mtge","CRNCY")</f>
        <v>USD</v>
      </c>
      <c r="E2079">
        <v>163509893</v>
      </c>
      <c r="F2079">
        <f>_xll.BDP("FNCC0122 Mtge","CPN")</f>
        <v>6</v>
      </c>
      <c r="G2079">
        <f>_xll.BDP("FNCC0122 Mtge","MTG_FACTOR")</f>
        <v>0.87909468000000002</v>
      </c>
      <c r="H2079">
        <f>_xll.BDP("FNCC0122 Mtge","MTG_WAL")</f>
        <v>3.1577000000000002</v>
      </c>
      <c r="I2079" t="str">
        <f>_xll.BDP("FNCC0122 Mtge","MTG_ORIG_WAL")</f>
        <v>#N/A N/A</v>
      </c>
    </row>
    <row r="2080" spans="1:9" x14ac:dyDescent="0.25">
      <c r="A2080" t="str">
        <f>_xll.BDP("FNCC0123 Mtge","ID_CUSIP")</f>
        <v>3140Y6D56</v>
      </c>
      <c r="B2080" t="str">
        <f>_xll.BDP("FNCC0123 Mtge","SECURITY_NAME")</f>
        <v>FN CC0123</v>
      </c>
      <c r="C2080" t="str">
        <f>_xll.BDP("FNCC0123 Mtge","GENERIC_TICKER_VINTAGE")</f>
        <v>FNCL 6 2025</v>
      </c>
      <c r="D2080" t="str">
        <f>_xll.BDP("FNCC0123 Mtge","CRNCY")</f>
        <v>USD</v>
      </c>
      <c r="E2080">
        <v>60738936</v>
      </c>
      <c r="F2080">
        <f>_xll.BDP("FNCC0123 Mtge","CPN")</f>
        <v>6</v>
      </c>
      <c r="G2080">
        <f>_xll.BDP("FNCC0123 Mtge","MTG_FACTOR")</f>
        <v>0.89962312</v>
      </c>
      <c r="H2080">
        <f>_xll.BDP("FNCC0123 Mtge","MTG_WAL")</f>
        <v>3.1612</v>
      </c>
      <c r="I2080" t="str">
        <f>_xll.BDP("FNCC0123 Mtge","MTG_ORIG_WAL")</f>
        <v>#N/A N/A</v>
      </c>
    </row>
    <row r="2081" spans="1:9" x14ac:dyDescent="0.25">
      <c r="A2081" t="str">
        <f>_xll.BDP("FNCC0124 Mtge","ID_CUSIP")</f>
        <v>3140Y6D64</v>
      </c>
      <c r="B2081" t="str">
        <f>_xll.BDP("FNCC0124 Mtge","SECURITY_NAME")</f>
        <v>FN CC0124</v>
      </c>
      <c r="C2081" t="str">
        <f>_xll.BDP("FNCC0124 Mtge","GENERIC_TICKER_VINTAGE")</f>
        <v>FNCL 6 2025</v>
      </c>
      <c r="D2081" t="str">
        <f>_xll.BDP("FNCC0124 Mtge","CRNCY")</f>
        <v>USD</v>
      </c>
      <c r="E2081">
        <v>19094283</v>
      </c>
      <c r="F2081">
        <f>_xll.BDP("FNCC0124 Mtge","CPN")</f>
        <v>6</v>
      </c>
      <c r="G2081">
        <f>_xll.BDP("FNCC0124 Mtge","MTG_FACTOR")</f>
        <v>0.88151493999999997</v>
      </c>
      <c r="H2081">
        <f>_xll.BDP("FNCC0124 Mtge","MTG_WAL")</f>
        <v>3.1509999999999998</v>
      </c>
      <c r="I2081" t="str">
        <f>_xll.BDP("FNCC0124 Mtge","MTG_ORIG_WAL")</f>
        <v>#N/A N/A</v>
      </c>
    </row>
    <row r="2082" spans="1:9" x14ac:dyDescent="0.25">
      <c r="A2082" t="str">
        <f>_xll.BDP("FNCC0126 Mtge","ID_CUSIP")</f>
        <v>3140Y6D80</v>
      </c>
      <c r="B2082" t="str">
        <f>_xll.BDP("FNCC0126 Mtge","SECURITY_NAME")</f>
        <v>FN CC0126</v>
      </c>
      <c r="C2082" t="str">
        <f>_xll.BDP("FNCC0126 Mtge","GENERIC_TICKER_VINTAGE")</f>
        <v>FNCL 6 2025</v>
      </c>
      <c r="D2082" t="str">
        <f>_xll.BDP("FNCC0126 Mtge","CRNCY")</f>
        <v>USD</v>
      </c>
      <c r="E2082">
        <v>212743501</v>
      </c>
      <c r="F2082">
        <f>_xll.BDP("FNCC0126 Mtge","CPN")</f>
        <v>6</v>
      </c>
      <c r="G2082">
        <f>_xll.BDP("FNCC0126 Mtge","MTG_FACTOR")</f>
        <v>0.77920255000000005</v>
      </c>
      <c r="H2082">
        <f>_xll.BDP("FNCC0126 Mtge","MTG_WAL")</f>
        <v>3.1610999999999998</v>
      </c>
      <c r="I2082" t="str">
        <f>_xll.BDP("FNCC0126 Mtge","MTG_ORIG_WAL")</f>
        <v>#N/A N/A</v>
      </c>
    </row>
    <row r="2083" spans="1:9" x14ac:dyDescent="0.25">
      <c r="A2083" t="str">
        <f>_xll.BDP("FNCC0127 Mtge","ID_CUSIP")</f>
        <v>3140Y6D98</v>
      </c>
      <c r="B2083" t="str">
        <f>_xll.BDP("FNCC0127 Mtge","SECURITY_NAME")</f>
        <v>FN CC0127</v>
      </c>
      <c r="C2083" t="str">
        <f>_xll.BDP("FNCC0127 Mtge","GENERIC_TICKER_VINTAGE")</f>
        <v>FNCL 6 2025</v>
      </c>
      <c r="D2083" t="str">
        <f>_xll.BDP("FNCC0127 Mtge","CRNCY")</f>
        <v>USD</v>
      </c>
      <c r="E2083">
        <v>49998800</v>
      </c>
      <c r="F2083">
        <f>_xll.BDP("FNCC0127 Mtge","CPN")</f>
        <v>6</v>
      </c>
      <c r="G2083">
        <f>_xll.BDP("FNCC0127 Mtge","MTG_FACTOR")</f>
        <v>0.80282545000000005</v>
      </c>
      <c r="H2083">
        <f>_xll.BDP("FNCC0127 Mtge","MTG_WAL")</f>
        <v>3.1564999999999999</v>
      </c>
      <c r="I2083" t="str">
        <f>_xll.BDP("FNCC0127 Mtge","MTG_ORIG_WAL")</f>
        <v>#N/A N/A</v>
      </c>
    </row>
    <row r="2084" spans="1:9" x14ac:dyDescent="0.25">
      <c r="A2084" t="str">
        <f>_xll.BDP("FNCC0130 Mtge","ID_CUSIP")</f>
        <v>3140Y6EC0</v>
      </c>
      <c r="B2084" t="str">
        <f>_xll.BDP("FNCC0130 Mtge","SECURITY_NAME")</f>
        <v>FN CC0130</v>
      </c>
      <c r="C2084" t="str">
        <f>_xll.BDP("FNCC0130 Mtge","GENERIC_TICKER_VINTAGE")</f>
        <v>FNCL 6 2025</v>
      </c>
      <c r="D2084" t="str">
        <f>_xll.BDP("FNCC0130 Mtge","CRNCY")</f>
        <v>USD</v>
      </c>
      <c r="E2084">
        <v>101288095</v>
      </c>
      <c r="F2084">
        <f>_xll.BDP("FNCC0130 Mtge","CPN")</f>
        <v>6</v>
      </c>
      <c r="G2084">
        <f>_xll.BDP("FNCC0130 Mtge","MTG_FACTOR")</f>
        <v>0.88549082000000001</v>
      </c>
      <c r="H2084">
        <f>_xll.BDP("FNCC0130 Mtge","MTG_WAL")</f>
        <v>3.1585000000000001</v>
      </c>
      <c r="I2084" t="str">
        <f>_xll.BDP("FNCC0130 Mtge","MTG_ORIG_WAL")</f>
        <v>#N/A N/A</v>
      </c>
    </row>
    <row r="2085" spans="1:9" x14ac:dyDescent="0.25">
      <c r="A2085" t="str">
        <f>_xll.BDP("FNCC0132 Mtge","ID_CUSIP")</f>
        <v>3140Y6EE6</v>
      </c>
      <c r="B2085" t="str">
        <f>_xll.BDP("FNCC0132 Mtge","SECURITY_NAME")</f>
        <v>FN CC0132</v>
      </c>
      <c r="C2085" t="str">
        <f>_xll.BDP("FNCC0132 Mtge","GENERIC_TICKER_VINTAGE")</f>
        <v>FNCL 6 2025</v>
      </c>
      <c r="D2085" t="str">
        <f>_xll.BDP("FNCC0132 Mtge","CRNCY")</f>
        <v>USD</v>
      </c>
      <c r="E2085">
        <v>61880825</v>
      </c>
      <c r="F2085">
        <f>_xll.BDP("FNCC0132 Mtge","CPN")</f>
        <v>6</v>
      </c>
      <c r="G2085">
        <f>_xll.BDP("FNCC0132 Mtge","MTG_FACTOR")</f>
        <v>0.73639489999999996</v>
      </c>
      <c r="H2085">
        <f>_xll.BDP("FNCC0132 Mtge","MTG_WAL")</f>
        <v>3.1520000000000001</v>
      </c>
      <c r="I2085" t="str">
        <f>_xll.BDP("FNCC0132 Mtge","MTG_ORIG_WAL")</f>
        <v>#N/A N/A</v>
      </c>
    </row>
    <row r="2086" spans="1:9" x14ac:dyDescent="0.25">
      <c r="A2086" t="str">
        <f>_xll.BDP("FNCC0162 Mtge","ID_CUSIP")</f>
        <v>3140Y6FC9</v>
      </c>
      <c r="B2086" t="str">
        <f>_xll.BDP("FNCC0162 Mtge","SECURITY_NAME")</f>
        <v>FN CC0162</v>
      </c>
      <c r="C2086" t="str">
        <f>_xll.BDP("FNCC0162 Mtge","GENERIC_TICKER_VINTAGE")</f>
        <v>FNCL 6 2025</v>
      </c>
      <c r="D2086" t="str">
        <f>_xll.BDP("FNCC0162 Mtge","CRNCY")</f>
        <v>USD</v>
      </c>
      <c r="E2086">
        <v>4410053</v>
      </c>
      <c r="F2086">
        <f>_xll.BDP("FNCC0162 Mtge","CPN")</f>
        <v>6</v>
      </c>
      <c r="G2086">
        <f>_xll.BDP("FNCC0162 Mtge","MTG_FACTOR")</f>
        <v>0.81967780000000001</v>
      </c>
      <c r="H2086">
        <f>_xll.BDP("FNCC0162 Mtge","MTG_WAL")</f>
        <v>3.2038000000000002</v>
      </c>
      <c r="I2086" t="str">
        <f>_xll.BDP("FNCC0162 Mtge","MTG_ORIG_WAL")</f>
        <v>#N/A N/A</v>
      </c>
    </row>
    <row r="2087" spans="1:9" x14ac:dyDescent="0.25">
      <c r="A2087" t="str">
        <f>_xll.BDP("FNCC0166 Mtge","ID_CUSIP")</f>
        <v>3140Y6FG0</v>
      </c>
      <c r="B2087" t="str">
        <f>_xll.BDP("FNCC0166 Mtge","SECURITY_NAME")</f>
        <v>FN CC0166</v>
      </c>
      <c r="C2087" t="str">
        <f>_xll.BDP("FNCC0166 Mtge","GENERIC_TICKER_VINTAGE")</f>
        <v>FNCL 6 2025</v>
      </c>
      <c r="D2087" t="str">
        <f>_xll.BDP("FNCC0166 Mtge","CRNCY")</f>
        <v>USD</v>
      </c>
      <c r="E2087">
        <v>3114535</v>
      </c>
      <c r="F2087">
        <f>_xll.BDP("FNCC0166 Mtge","CPN")</f>
        <v>6</v>
      </c>
      <c r="G2087">
        <f>_xll.BDP("FNCC0166 Mtge","MTG_FACTOR")</f>
        <v>0.91197147000000001</v>
      </c>
      <c r="H2087">
        <f>_xll.BDP("FNCC0166 Mtge","MTG_WAL")</f>
        <v>3.2025000000000001</v>
      </c>
      <c r="I2087" t="str">
        <f>_xll.BDP("FNCC0166 Mtge","MTG_ORIG_WAL")</f>
        <v>#N/A N/A</v>
      </c>
    </row>
    <row r="2088" spans="1:9" x14ac:dyDescent="0.25">
      <c r="A2088" t="str">
        <f>_xll.BDP("FNCC0189 Mtge","ID_CUSIP")</f>
        <v>3140Y6F70</v>
      </c>
      <c r="B2088" t="str">
        <f>_xll.BDP("FNCC0189 Mtge","SECURITY_NAME")</f>
        <v>FN CC0189</v>
      </c>
      <c r="C2088" t="str">
        <f>_xll.BDP("FNCC0189 Mtge","GENERIC_TICKER_VINTAGE")</f>
        <v>FNCL 6 2025</v>
      </c>
      <c r="D2088" t="str">
        <f>_xll.BDP("FNCC0189 Mtge","CRNCY")</f>
        <v>USD</v>
      </c>
      <c r="E2088">
        <v>21209332</v>
      </c>
      <c r="F2088">
        <f>_xll.BDP("FNCC0189 Mtge","CPN")</f>
        <v>6</v>
      </c>
      <c r="G2088">
        <f>_xll.BDP("FNCC0189 Mtge","MTG_FACTOR")</f>
        <v>0.88935682000000005</v>
      </c>
      <c r="H2088">
        <f>_xll.BDP("FNCC0189 Mtge","MTG_WAL")</f>
        <v>3.2012999999999998</v>
      </c>
      <c r="I2088" t="str">
        <f>_xll.BDP("FNCC0189 Mtge","MTG_ORIG_WAL")</f>
        <v>#N/A N/A</v>
      </c>
    </row>
    <row r="2089" spans="1:9" x14ac:dyDescent="0.25">
      <c r="A2089" t="str">
        <f>_xll.BDP("FNCC0190 Mtge","ID_CUSIP")</f>
        <v>3140Y6F88</v>
      </c>
      <c r="B2089" t="str">
        <f>_xll.BDP("FNCC0190 Mtge","SECURITY_NAME")</f>
        <v>FN CC0190</v>
      </c>
      <c r="C2089" t="str">
        <f>_xll.BDP("FNCC0190 Mtge","GENERIC_TICKER_VINTAGE")</f>
        <v>FNCL 6 2025</v>
      </c>
      <c r="D2089" t="str">
        <f>_xll.BDP("FNCC0190 Mtge","CRNCY")</f>
        <v>USD</v>
      </c>
      <c r="E2089">
        <v>1916403</v>
      </c>
      <c r="F2089">
        <f>_xll.BDP("FNCC0190 Mtge","CPN")</f>
        <v>6</v>
      </c>
      <c r="G2089">
        <f>_xll.BDP("FNCC0190 Mtge","MTG_FACTOR")</f>
        <v>0.70061826000000005</v>
      </c>
      <c r="H2089">
        <f>_xll.BDP("FNCC0190 Mtge","MTG_WAL")</f>
        <v>3.1966999999999999</v>
      </c>
      <c r="I2089" t="str">
        <f>_xll.BDP("FNCC0190 Mtge","MTG_ORIG_WAL")</f>
        <v>#N/A N/A</v>
      </c>
    </row>
    <row r="2090" spans="1:9" x14ac:dyDescent="0.25">
      <c r="A2090" t="str">
        <f>_xll.BDP("FNCC0191 Mtge","ID_CUSIP")</f>
        <v>3140Y6F96</v>
      </c>
      <c r="B2090" t="str">
        <f>_xll.BDP("FNCC0191 Mtge","SECURITY_NAME")</f>
        <v>FN CC0191</v>
      </c>
      <c r="C2090" t="str">
        <f>_xll.BDP("FNCC0191 Mtge","GENERIC_TICKER_VINTAGE")</f>
        <v>FNCL 6 2025</v>
      </c>
      <c r="D2090" t="str">
        <f>_xll.BDP("FNCC0191 Mtge","CRNCY")</f>
        <v>USD</v>
      </c>
      <c r="E2090">
        <v>1338079</v>
      </c>
      <c r="F2090">
        <f>_xll.BDP("FNCC0191 Mtge","CPN")</f>
        <v>6</v>
      </c>
      <c r="G2090">
        <f>_xll.BDP("FNCC0191 Mtge","MTG_FACTOR")</f>
        <v>0.98937456999999995</v>
      </c>
      <c r="H2090">
        <f>_xll.BDP("FNCC0191 Mtge","MTG_WAL")</f>
        <v>3.2031999999999998</v>
      </c>
      <c r="I2090" t="str">
        <f>_xll.BDP("FNCC0191 Mtge","MTG_ORIG_WAL")</f>
        <v>#N/A N/A</v>
      </c>
    </row>
    <row r="2091" spans="1:9" x14ac:dyDescent="0.25">
      <c r="A2091" t="str">
        <f>_xll.BDP("FNCC0192 Mtge","ID_CUSIP")</f>
        <v>3140Y6GA2</v>
      </c>
      <c r="B2091" t="str">
        <f>_xll.BDP("FNCC0192 Mtge","SECURITY_NAME")</f>
        <v>FN CC0192</v>
      </c>
      <c r="C2091" t="str">
        <f>_xll.BDP("FNCC0192 Mtge","GENERIC_TICKER_VINTAGE")</f>
        <v>FNCL 6 2025</v>
      </c>
      <c r="D2091" t="str">
        <f>_xll.BDP("FNCC0192 Mtge","CRNCY")</f>
        <v>USD</v>
      </c>
      <c r="E2091">
        <v>10101685</v>
      </c>
      <c r="F2091">
        <f>_xll.BDP("FNCC0192 Mtge","CPN")</f>
        <v>6</v>
      </c>
      <c r="G2091">
        <f>_xll.BDP("FNCC0192 Mtge","MTG_FACTOR")</f>
        <v>0.93037672999999999</v>
      </c>
      <c r="H2091">
        <f>_xll.BDP("FNCC0192 Mtge","MTG_WAL")</f>
        <v>3.2025000000000001</v>
      </c>
      <c r="I2091" t="str">
        <f>_xll.BDP("FNCC0192 Mtge","MTG_ORIG_WAL")</f>
        <v>#N/A N/A</v>
      </c>
    </row>
    <row r="2092" spans="1:9" x14ac:dyDescent="0.25">
      <c r="A2092" t="str">
        <f>_xll.BDP("FNCC0197 Mtge","ID_CUSIP")</f>
        <v>3140Y6GF1</v>
      </c>
      <c r="B2092" t="str">
        <f>_xll.BDP("FNCC0197 Mtge","SECURITY_NAME")</f>
        <v>FN CC0197</v>
      </c>
      <c r="C2092" t="str">
        <f>_xll.BDP("FNCC0197 Mtge","GENERIC_TICKER_VINTAGE")</f>
        <v>FNCL 6 2025</v>
      </c>
      <c r="D2092" t="str">
        <f>_xll.BDP("FNCC0197 Mtge","CRNCY")</f>
        <v>USD</v>
      </c>
      <c r="E2092">
        <v>6718538</v>
      </c>
      <c r="F2092">
        <f>_xll.BDP("FNCC0197 Mtge","CPN")</f>
        <v>6</v>
      </c>
      <c r="G2092">
        <f>_xll.BDP("FNCC0197 Mtge","MTG_FACTOR")</f>
        <v>0.86439920000000003</v>
      </c>
      <c r="H2092">
        <f>_xll.BDP("FNCC0197 Mtge","MTG_WAL")</f>
        <v>3.1968000000000001</v>
      </c>
      <c r="I2092" t="str">
        <f>_xll.BDP("FNCC0197 Mtge","MTG_ORIG_WAL")</f>
        <v>#N/A N/A</v>
      </c>
    </row>
    <row r="2093" spans="1:9" x14ac:dyDescent="0.25">
      <c r="A2093" t="str">
        <f>_xll.BDP("FNCC0204 Mtge","ID_CUSIP")</f>
        <v>3140Y6GN4</v>
      </c>
      <c r="B2093" t="str">
        <f>_xll.BDP("FNCC0204 Mtge","SECURITY_NAME")</f>
        <v>FN CC0204</v>
      </c>
      <c r="C2093" t="str">
        <f>_xll.BDP("FNCC0204 Mtge","GENERIC_TICKER_VINTAGE")</f>
        <v>FNCL 6 2025</v>
      </c>
      <c r="D2093" t="str">
        <f>_xll.BDP("FNCC0204 Mtge","CRNCY")</f>
        <v>USD</v>
      </c>
      <c r="E2093">
        <v>9928891</v>
      </c>
      <c r="F2093">
        <f>_xll.BDP("FNCC0204 Mtge","CPN")</f>
        <v>6</v>
      </c>
      <c r="G2093">
        <f>_xll.BDP("FNCC0204 Mtge","MTG_FACTOR")</f>
        <v>0.96210923000000004</v>
      </c>
      <c r="H2093">
        <f>_xll.BDP("FNCC0204 Mtge","MTG_WAL")</f>
        <v>3.2018</v>
      </c>
      <c r="I2093" t="str">
        <f>_xll.BDP("FNCC0204 Mtge","MTG_ORIG_WAL")</f>
        <v>#N/A N/A</v>
      </c>
    </row>
    <row r="2094" spans="1:9" x14ac:dyDescent="0.25">
      <c r="A2094" t="str">
        <f>_xll.BDP("FNCC0210 Mtge","ID_CUSIP")</f>
        <v>3140Y6GU8</v>
      </c>
      <c r="B2094" t="str">
        <f>_xll.BDP("FNCC0210 Mtge","SECURITY_NAME")</f>
        <v>FN CC0210</v>
      </c>
      <c r="C2094" t="str">
        <f>_xll.BDP("FNCC0210 Mtge","GENERIC_TICKER_VINTAGE")</f>
        <v>FNCL 6 2025</v>
      </c>
      <c r="D2094" t="str">
        <f>_xll.BDP("FNCC0210 Mtge","CRNCY")</f>
        <v>USD</v>
      </c>
      <c r="E2094">
        <v>14586271</v>
      </c>
      <c r="F2094">
        <f>_xll.BDP("FNCC0210 Mtge","CPN")</f>
        <v>6</v>
      </c>
      <c r="G2094">
        <f>_xll.BDP("FNCC0210 Mtge","MTG_FACTOR")</f>
        <v>0.86951878999999999</v>
      </c>
      <c r="H2094">
        <f>_xll.BDP("FNCC0210 Mtge","MTG_WAL")</f>
        <v>3.2025000000000001</v>
      </c>
      <c r="I2094" t="str">
        <f>_xll.BDP("FNCC0210 Mtge","MTG_ORIG_WAL")</f>
        <v>#N/A N/A</v>
      </c>
    </row>
    <row r="2095" spans="1:9" x14ac:dyDescent="0.25">
      <c r="A2095" t="str">
        <f>_xll.BDP("FNCC0218 Mtge","ID_CUSIP")</f>
        <v>3140Y6G46</v>
      </c>
      <c r="B2095" t="str">
        <f>_xll.BDP("FNCC0218 Mtge","SECURITY_NAME")</f>
        <v>FN CC0218</v>
      </c>
      <c r="C2095" t="str">
        <f>_xll.BDP("FNCC0218 Mtge","GENERIC_TICKER_VINTAGE")</f>
        <v>FNCL 6 2025</v>
      </c>
      <c r="D2095" t="str">
        <f>_xll.BDP("FNCC0218 Mtge","CRNCY")</f>
        <v>USD</v>
      </c>
      <c r="E2095">
        <v>263647717</v>
      </c>
      <c r="F2095">
        <f>_xll.BDP("FNCC0218 Mtge","CPN")</f>
        <v>6</v>
      </c>
      <c r="G2095">
        <f>_xll.BDP("FNCC0218 Mtge","MTG_FACTOR")</f>
        <v>0.87346931000000005</v>
      </c>
      <c r="H2095">
        <f>_xll.BDP("FNCC0218 Mtge","MTG_WAL")</f>
        <v>3.2012</v>
      </c>
      <c r="I2095" t="str">
        <f>_xll.BDP("FNCC0218 Mtge","MTG_ORIG_WAL")</f>
        <v>#N/A N/A</v>
      </c>
    </row>
    <row r="2096" spans="1:9" x14ac:dyDescent="0.25">
      <c r="A2096" t="str">
        <f>_xll.BDP("FNCC0256 Mtge","ID_CUSIP")</f>
        <v>3140Y6JA9</v>
      </c>
      <c r="B2096" t="str">
        <f>_xll.BDP("FNCC0256 Mtge","SECURITY_NAME")</f>
        <v>FN CC0256</v>
      </c>
      <c r="C2096" t="str">
        <f>_xll.BDP("FNCC0256 Mtge","GENERIC_TICKER_VINTAGE")</f>
        <v>FNCL 6 2025</v>
      </c>
      <c r="D2096" t="str">
        <f>_xll.BDP("FNCC0256 Mtge","CRNCY")</f>
        <v>USD</v>
      </c>
      <c r="E2096">
        <v>34304086</v>
      </c>
      <c r="F2096">
        <f>_xll.BDP("FNCC0256 Mtge","CPN")</f>
        <v>6</v>
      </c>
      <c r="G2096">
        <f>_xll.BDP("FNCC0256 Mtge","MTG_FACTOR")</f>
        <v>0.91152507000000005</v>
      </c>
      <c r="H2096">
        <f>_xll.BDP("FNCC0256 Mtge","MTG_WAL")</f>
        <v>3.1970000000000001</v>
      </c>
      <c r="I2096" t="str">
        <f>_xll.BDP("FNCC0256 Mtge","MTG_ORIG_WAL")</f>
        <v>#N/A N/A</v>
      </c>
    </row>
    <row r="2097" spans="1:9" x14ac:dyDescent="0.25">
      <c r="A2097" t="str">
        <f>_xll.BDP("FNCC0257 Mtge","ID_CUSIP")</f>
        <v>3140Y6JB7</v>
      </c>
      <c r="B2097" t="str">
        <f>_xll.BDP("FNCC0257 Mtge","SECURITY_NAME")</f>
        <v>FN CC0257</v>
      </c>
      <c r="C2097" t="str">
        <f>_xll.BDP("FNCC0257 Mtge","GENERIC_TICKER_VINTAGE")</f>
        <v>FNCL 6 2025</v>
      </c>
      <c r="D2097" t="str">
        <f>_xll.BDP("FNCC0257 Mtge","CRNCY")</f>
        <v>USD</v>
      </c>
      <c r="E2097">
        <v>85726596</v>
      </c>
      <c r="F2097">
        <f>_xll.BDP("FNCC0257 Mtge","CPN")</f>
        <v>6</v>
      </c>
      <c r="G2097">
        <f>_xll.BDP("FNCC0257 Mtge","MTG_FACTOR")</f>
        <v>0.90715285000000001</v>
      </c>
      <c r="H2097">
        <f>_xll.BDP("FNCC0257 Mtge","MTG_WAL")</f>
        <v>3.1959</v>
      </c>
      <c r="I2097" t="str">
        <f>_xll.BDP("FNCC0257 Mtge","MTG_ORIG_WAL")</f>
        <v>#N/A N/A</v>
      </c>
    </row>
    <row r="2098" spans="1:9" x14ac:dyDescent="0.25">
      <c r="A2098" t="str">
        <f>_xll.BDP("FNCC0258 Mtge","ID_CUSIP")</f>
        <v>3140Y6JC5</v>
      </c>
      <c r="B2098" t="str">
        <f>_xll.BDP("FNCC0258 Mtge","SECURITY_NAME")</f>
        <v>FN CC0258</v>
      </c>
      <c r="C2098" t="str">
        <f>_xll.BDP("FNCC0258 Mtge","GENERIC_TICKER_VINTAGE")</f>
        <v>FNCL 6 2025</v>
      </c>
      <c r="D2098" t="str">
        <f>_xll.BDP("FNCC0258 Mtge","CRNCY")</f>
        <v>USD</v>
      </c>
      <c r="E2098">
        <v>108240581</v>
      </c>
      <c r="F2098">
        <f>_xll.BDP("FNCC0258 Mtge","CPN")</f>
        <v>6</v>
      </c>
      <c r="G2098">
        <f>_xll.BDP("FNCC0258 Mtge","MTG_FACTOR")</f>
        <v>0.91885897000000005</v>
      </c>
      <c r="H2098">
        <f>_xll.BDP("FNCC0258 Mtge","MTG_WAL")</f>
        <v>3.1993999999999998</v>
      </c>
      <c r="I2098" t="str">
        <f>_xll.BDP("FNCC0258 Mtge","MTG_ORIG_WAL")</f>
        <v>#N/A N/A</v>
      </c>
    </row>
    <row r="2099" spans="1:9" x14ac:dyDescent="0.25">
      <c r="A2099" t="str">
        <f>_xll.BDP("FNCC0262 Mtge","ID_CUSIP")</f>
        <v>3140Y6JG6</v>
      </c>
      <c r="B2099" t="str">
        <f>_xll.BDP("FNCC0262 Mtge","SECURITY_NAME")</f>
        <v>FN CC0262</v>
      </c>
      <c r="C2099" t="str">
        <f>_xll.BDP("FNCC0262 Mtge","GENERIC_TICKER_VINTAGE")</f>
        <v>FNCL 6 2025</v>
      </c>
      <c r="D2099" t="str">
        <f>_xll.BDP("FNCC0262 Mtge","CRNCY")</f>
        <v>USD</v>
      </c>
      <c r="E2099">
        <v>225154064</v>
      </c>
      <c r="F2099">
        <f>_xll.BDP("FNCC0262 Mtge","CPN")</f>
        <v>6</v>
      </c>
      <c r="G2099">
        <f>_xll.BDP("FNCC0262 Mtge","MTG_FACTOR")</f>
        <v>0.89109205999999996</v>
      </c>
      <c r="H2099">
        <f>_xll.BDP("FNCC0262 Mtge","MTG_WAL")</f>
        <v>3.2008000000000001</v>
      </c>
      <c r="I2099" t="str">
        <f>_xll.BDP("FNCC0262 Mtge","MTG_ORIG_WAL")</f>
        <v>#N/A N/A</v>
      </c>
    </row>
    <row r="2100" spans="1:9" x14ac:dyDescent="0.25">
      <c r="A2100" t="str">
        <f>_xll.BDP("FNCC0263 Mtge","ID_CUSIP")</f>
        <v>3140Y6JH4</v>
      </c>
      <c r="B2100" t="str">
        <f>_xll.BDP("FNCC0263 Mtge","SECURITY_NAME")</f>
        <v>FN CC0263</v>
      </c>
      <c r="C2100" t="str">
        <f>_xll.BDP("FNCC0263 Mtge","GENERIC_TICKER_VINTAGE")</f>
        <v>FNCL 6 2025</v>
      </c>
      <c r="D2100" t="str">
        <f>_xll.BDP("FNCC0263 Mtge","CRNCY")</f>
        <v>USD</v>
      </c>
      <c r="E2100">
        <v>32787502</v>
      </c>
      <c r="F2100">
        <f>_xll.BDP("FNCC0263 Mtge","CPN")</f>
        <v>6</v>
      </c>
      <c r="G2100">
        <f>_xll.BDP("FNCC0263 Mtge","MTG_FACTOR")</f>
        <v>0.81170200999999997</v>
      </c>
      <c r="H2100">
        <f>_xll.BDP("FNCC0263 Mtge","MTG_WAL")</f>
        <v>3.1924999999999999</v>
      </c>
      <c r="I2100" t="str">
        <f>_xll.BDP("FNCC0263 Mtge","MTG_ORIG_WAL")</f>
        <v>#N/A N/A</v>
      </c>
    </row>
    <row r="2101" spans="1:9" x14ac:dyDescent="0.25">
      <c r="A2101" t="str">
        <f>_xll.BDP("FNCC0267 Mtge","ID_CUSIP")</f>
        <v>3140Y6JM3</v>
      </c>
      <c r="B2101" t="str">
        <f>_xll.BDP("FNCC0267 Mtge","SECURITY_NAME")</f>
        <v>FN CC0267</v>
      </c>
      <c r="C2101" t="str">
        <f>_xll.BDP("FNCC0267 Mtge","GENERIC_TICKER_VINTAGE")</f>
        <v>FNCL 6 2025</v>
      </c>
      <c r="D2101" t="str">
        <f>_xll.BDP("FNCC0267 Mtge","CRNCY")</f>
        <v>USD</v>
      </c>
      <c r="E2101">
        <v>169802243</v>
      </c>
      <c r="F2101">
        <f>_xll.BDP("FNCC0267 Mtge","CPN")</f>
        <v>6</v>
      </c>
      <c r="G2101">
        <f>_xll.BDP("FNCC0267 Mtge","MTG_FACTOR")</f>
        <v>0.91248207000000003</v>
      </c>
      <c r="H2101">
        <f>_xll.BDP("FNCC0267 Mtge","MTG_WAL")</f>
        <v>3.2023000000000001</v>
      </c>
      <c r="I2101" t="str">
        <f>_xll.BDP("FNCC0267 Mtge","MTG_ORIG_WAL")</f>
        <v>#N/A N/A</v>
      </c>
    </row>
    <row r="2102" spans="1:9" x14ac:dyDescent="0.25">
      <c r="A2102" t="str">
        <f>_xll.BDP("FNCC0268 Mtge","ID_CUSIP")</f>
        <v>3140Y6JN1</v>
      </c>
      <c r="B2102" t="str">
        <f>_xll.BDP("FNCC0268 Mtge","SECURITY_NAME")</f>
        <v>FN CC0268</v>
      </c>
      <c r="C2102" t="str">
        <f>_xll.BDP("FNCC0268 Mtge","GENERIC_TICKER_VINTAGE")</f>
        <v>FNCL 6 2025</v>
      </c>
      <c r="D2102" t="str">
        <f>_xll.BDP("FNCC0268 Mtge","CRNCY")</f>
        <v>USD</v>
      </c>
      <c r="E2102">
        <v>197239870</v>
      </c>
      <c r="F2102">
        <f>_xll.BDP("FNCC0268 Mtge","CPN")</f>
        <v>6</v>
      </c>
      <c r="G2102">
        <f>_xll.BDP("FNCC0268 Mtge","MTG_FACTOR")</f>
        <v>0.77644979999999997</v>
      </c>
      <c r="H2102">
        <f>_xll.BDP("FNCC0268 Mtge","MTG_WAL")</f>
        <v>3.2023000000000001</v>
      </c>
      <c r="I2102" t="str">
        <f>_xll.BDP("FNCC0268 Mtge","MTG_ORIG_WAL")</f>
        <v>#N/A N/A</v>
      </c>
    </row>
    <row r="2103" spans="1:9" x14ac:dyDescent="0.25">
      <c r="A2103" t="str">
        <f>_xll.BDP("FNCC0269 Mtge","ID_CUSIP")</f>
        <v>3140Y6JP6</v>
      </c>
      <c r="B2103" t="str">
        <f>_xll.BDP("FNCC0269 Mtge","SECURITY_NAME")</f>
        <v>FN CC0269</v>
      </c>
      <c r="C2103" t="str">
        <f>_xll.BDP("FNCC0269 Mtge","GENERIC_TICKER_VINTAGE")</f>
        <v>FNCL 6 2025</v>
      </c>
      <c r="D2103" t="str">
        <f>_xll.BDP("FNCC0269 Mtge","CRNCY")</f>
        <v>USD</v>
      </c>
      <c r="E2103">
        <v>85765592</v>
      </c>
      <c r="F2103">
        <f>_xll.BDP("FNCC0269 Mtge","CPN")</f>
        <v>6</v>
      </c>
      <c r="G2103">
        <f>_xll.BDP("FNCC0269 Mtge","MTG_FACTOR")</f>
        <v>0.84899343000000005</v>
      </c>
      <c r="H2103">
        <f>_xll.BDP("FNCC0269 Mtge","MTG_WAL")</f>
        <v>3.1959</v>
      </c>
      <c r="I2103" t="str">
        <f>_xll.BDP("FNCC0269 Mtge","MTG_ORIG_WAL")</f>
        <v>#N/A N/A</v>
      </c>
    </row>
    <row r="2104" spans="1:9" x14ac:dyDescent="0.25">
      <c r="A2104" t="str">
        <f>_xll.BDP("FNCC0270 Mtge","ID_CUSIP")</f>
        <v>3140Y6JQ4</v>
      </c>
      <c r="B2104" t="str">
        <f>_xll.BDP("FNCC0270 Mtge","SECURITY_NAME")</f>
        <v>FN CC0270</v>
      </c>
      <c r="C2104" t="str">
        <f>_xll.BDP("FNCC0270 Mtge","GENERIC_TICKER_VINTAGE")</f>
        <v>FNCL 6 2025</v>
      </c>
      <c r="D2104" t="str">
        <f>_xll.BDP("FNCC0270 Mtge","CRNCY")</f>
        <v>USD</v>
      </c>
      <c r="E2104">
        <v>38083748</v>
      </c>
      <c r="F2104">
        <f>_xll.BDP("FNCC0270 Mtge","CPN")</f>
        <v>6</v>
      </c>
      <c r="G2104">
        <f>_xll.BDP("FNCC0270 Mtge","MTG_FACTOR")</f>
        <v>0.71292588999999995</v>
      </c>
      <c r="H2104">
        <f>_xll.BDP("FNCC0270 Mtge","MTG_WAL")</f>
        <v>3.1977000000000002</v>
      </c>
      <c r="I2104" t="str">
        <f>_xll.BDP("FNCC0270 Mtge","MTG_ORIG_WAL")</f>
        <v>#N/A N/A</v>
      </c>
    </row>
    <row r="2105" spans="1:9" x14ac:dyDescent="0.25">
      <c r="A2105" t="str">
        <f>_xll.BDP("FNCC0271 Mtge","ID_CUSIP")</f>
        <v>3140Y6JR2</v>
      </c>
      <c r="B2105" t="str">
        <f>_xll.BDP("FNCC0271 Mtge","SECURITY_NAME")</f>
        <v>FN CC0271</v>
      </c>
      <c r="C2105" t="str">
        <f>_xll.BDP("FNCC0271 Mtge","GENERIC_TICKER_VINTAGE")</f>
        <v>FNCL 6 2025</v>
      </c>
      <c r="D2105" t="str">
        <f>_xll.BDP("FNCC0271 Mtge","CRNCY")</f>
        <v>USD</v>
      </c>
      <c r="E2105">
        <v>149460482</v>
      </c>
      <c r="F2105">
        <f>_xll.BDP("FNCC0271 Mtge","CPN")</f>
        <v>6</v>
      </c>
      <c r="G2105">
        <f>_xll.BDP("FNCC0271 Mtge","MTG_FACTOR")</f>
        <v>0.91477803000000002</v>
      </c>
      <c r="H2105">
        <f>_xll.BDP("FNCC0271 Mtge","MTG_WAL")</f>
        <v>3.2006999999999999</v>
      </c>
      <c r="I2105" t="str">
        <f>_xll.BDP("FNCC0271 Mtge","MTG_ORIG_WAL")</f>
        <v>#N/A N/A</v>
      </c>
    </row>
    <row r="2106" spans="1:9" x14ac:dyDescent="0.25">
      <c r="A2106" t="str">
        <f>_xll.BDP("FNCC0272 Mtge","ID_CUSIP")</f>
        <v>3140Y6JS0</v>
      </c>
      <c r="B2106" t="str">
        <f>_xll.BDP("FNCC0272 Mtge","SECURITY_NAME")</f>
        <v>FN CC0272</v>
      </c>
      <c r="C2106" t="str">
        <f>_xll.BDP("FNCC0272 Mtge","GENERIC_TICKER_VINTAGE")</f>
        <v>FNCL 6 2025</v>
      </c>
      <c r="D2106" t="str">
        <f>_xll.BDP("FNCC0272 Mtge","CRNCY")</f>
        <v>USD</v>
      </c>
      <c r="E2106">
        <v>2725650</v>
      </c>
      <c r="F2106">
        <f>_xll.BDP("FNCC0272 Mtge","CPN")</f>
        <v>6</v>
      </c>
      <c r="G2106">
        <f>_xll.BDP("FNCC0272 Mtge","MTG_FACTOR")</f>
        <v>0.94137252000000005</v>
      </c>
      <c r="H2106">
        <f>_xll.BDP("FNCC0272 Mtge","MTG_WAL")</f>
        <v>3.1924999999999999</v>
      </c>
      <c r="I2106" t="str">
        <f>_xll.BDP("FNCC0272 Mtge","MTG_ORIG_WAL")</f>
        <v>#N/A N/A</v>
      </c>
    </row>
    <row r="2107" spans="1:9" x14ac:dyDescent="0.25">
      <c r="A2107" t="str">
        <f>_xll.BDP("FNCC0273 Mtge","ID_CUSIP")</f>
        <v>3140Y6JT8</v>
      </c>
      <c r="B2107" t="str">
        <f>_xll.BDP("FNCC0273 Mtge","SECURITY_NAME")</f>
        <v>FN CC0273</v>
      </c>
      <c r="C2107" t="str">
        <f>_xll.BDP("FNCC0273 Mtge","GENERIC_TICKER_VINTAGE")</f>
        <v>FNCL 6 2025</v>
      </c>
      <c r="D2107" t="str">
        <f>_xll.BDP("FNCC0273 Mtge","CRNCY")</f>
        <v>USD</v>
      </c>
      <c r="E2107">
        <v>73666296</v>
      </c>
      <c r="F2107">
        <f>_xll.BDP("FNCC0273 Mtge","CPN")</f>
        <v>6</v>
      </c>
      <c r="G2107">
        <f>_xll.BDP("FNCC0273 Mtge","MTG_FACTOR")</f>
        <v>0.80429298999999999</v>
      </c>
      <c r="H2107">
        <f>_xll.BDP("FNCC0273 Mtge","MTG_WAL")</f>
        <v>3.2004999999999999</v>
      </c>
      <c r="I2107" t="str">
        <f>_xll.BDP("FNCC0273 Mtge","MTG_ORIG_WAL")</f>
        <v>#N/A N/A</v>
      </c>
    </row>
    <row r="2108" spans="1:9" x14ac:dyDescent="0.25">
      <c r="A2108" t="str">
        <f>_xll.BDP("FNCC0342 Mtge","ID_CUSIP")</f>
        <v>3140Y6LY4</v>
      </c>
      <c r="B2108" t="str">
        <f>_xll.BDP("FNCC0342 Mtge","SECURITY_NAME")</f>
        <v>FN CC0342</v>
      </c>
      <c r="C2108" t="str">
        <f>_xll.BDP("FNCC0342 Mtge","GENERIC_TICKER_VINTAGE")</f>
        <v>FNCL 6 2025</v>
      </c>
      <c r="D2108" t="str">
        <f>_xll.BDP("FNCC0342 Mtge","CRNCY")</f>
        <v>USD</v>
      </c>
      <c r="E2108">
        <v>5872073</v>
      </c>
      <c r="F2108">
        <f>_xll.BDP("FNCC0342 Mtge","CPN")</f>
        <v>6</v>
      </c>
      <c r="G2108">
        <f>_xll.BDP("FNCC0342 Mtge","MTG_FACTOR")</f>
        <v>0.94665681000000002</v>
      </c>
      <c r="H2108">
        <f>_xll.BDP("FNCC0342 Mtge","MTG_WAL")</f>
        <v>3.2418</v>
      </c>
      <c r="I2108" t="str">
        <f>_xll.BDP("FNCC0342 Mtge","MTG_ORIG_WAL")</f>
        <v>#N/A N/A</v>
      </c>
    </row>
    <row r="2109" spans="1:9" x14ac:dyDescent="0.25">
      <c r="A2109" t="str">
        <f>_xll.BDP("FNCC0344 Mtge","ID_CUSIP")</f>
        <v>3140Y6L24</v>
      </c>
      <c r="B2109" t="str">
        <f>_xll.BDP("FNCC0344 Mtge","SECURITY_NAME")</f>
        <v>FN CC0344</v>
      </c>
      <c r="C2109" t="str">
        <f>_xll.BDP("FNCC0344 Mtge","GENERIC_TICKER_VINTAGE")</f>
        <v>FNCL 6 2025</v>
      </c>
      <c r="D2109" t="str">
        <f>_xll.BDP("FNCC0344 Mtge","CRNCY")</f>
        <v>USD</v>
      </c>
      <c r="E2109">
        <v>4544996</v>
      </c>
      <c r="F2109">
        <f>_xll.BDP("FNCC0344 Mtge","CPN")</f>
        <v>6</v>
      </c>
      <c r="G2109">
        <f>_xll.BDP("FNCC0344 Mtge","MTG_FACTOR")</f>
        <v>0.84849297000000001</v>
      </c>
      <c r="H2109">
        <f>_xll.BDP("FNCC0344 Mtge","MTG_WAL")</f>
        <v>3.2481</v>
      </c>
      <c r="I2109" t="str">
        <f>_xll.BDP("FNCC0344 Mtge","MTG_ORIG_WAL")</f>
        <v>#N/A N/A</v>
      </c>
    </row>
    <row r="2110" spans="1:9" x14ac:dyDescent="0.25">
      <c r="A2110" t="str">
        <f>_xll.BDP("FNCC0348 Mtge","ID_CUSIP")</f>
        <v>3140Y6L65</v>
      </c>
      <c r="B2110" t="str">
        <f>_xll.BDP("FNCC0348 Mtge","SECURITY_NAME")</f>
        <v>FN CC0348</v>
      </c>
      <c r="C2110" t="str">
        <f>_xll.BDP("FNCC0348 Mtge","GENERIC_TICKER_VINTAGE")</f>
        <v>FNCL 6 2025</v>
      </c>
      <c r="D2110" t="str">
        <f>_xll.BDP("FNCC0348 Mtge","CRNCY")</f>
        <v>USD</v>
      </c>
      <c r="E2110">
        <v>5769367</v>
      </c>
      <c r="F2110">
        <f>_xll.BDP("FNCC0348 Mtge","CPN")</f>
        <v>6</v>
      </c>
      <c r="G2110">
        <f>_xll.BDP("FNCC0348 Mtge","MTG_FACTOR")</f>
        <v>0.93560156000000005</v>
      </c>
      <c r="H2110">
        <f>_xll.BDP("FNCC0348 Mtge","MTG_WAL")</f>
        <v>3.2456</v>
      </c>
      <c r="I2110" t="str">
        <f>_xll.BDP("FNCC0348 Mtge","MTG_ORIG_WAL")</f>
        <v>#N/A N/A</v>
      </c>
    </row>
    <row r="2111" spans="1:9" x14ac:dyDescent="0.25">
      <c r="A2111" t="str">
        <f>_xll.BDP("FNCC0352 Mtge","ID_CUSIP")</f>
        <v>3140Y6MA5</v>
      </c>
      <c r="B2111" t="str">
        <f>_xll.BDP("FNCC0352 Mtge","SECURITY_NAME")</f>
        <v>FN CC0352</v>
      </c>
      <c r="C2111" t="str">
        <f>_xll.BDP("FNCC0352 Mtge","GENERIC_TICKER_VINTAGE")</f>
        <v>FNCL 6 2025</v>
      </c>
      <c r="D2111" t="str">
        <f>_xll.BDP("FNCC0352 Mtge","CRNCY")</f>
        <v>USD</v>
      </c>
      <c r="E2111">
        <v>4319916</v>
      </c>
      <c r="F2111">
        <f>_xll.BDP("FNCC0352 Mtge","CPN")</f>
        <v>6</v>
      </c>
      <c r="G2111">
        <f>_xll.BDP("FNCC0352 Mtge","MTG_FACTOR")</f>
        <v>0.98681015000000005</v>
      </c>
      <c r="H2111">
        <f>_xll.BDP("FNCC0352 Mtge","MTG_WAL")</f>
        <v>3.2456999999999998</v>
      </c>
      <c r="I2111" t="str">
        <f>_xll.BDP("FNCC0352 Mtge","MTG_ORIG_WAL")</f>
        <v>#N/A N/A</v>
      </c>
    </row>
    <row r="2112" spans="1:9" x14ac:dyDescent="0.25">
      <c r="A2112" t="str">
        <f>_xll.BDP("FNCC0356 Mtge","ID_CUSIP")</f>
        <v>3140Y6ME7</v>
      </c>
      <c r="B2112" t="str">
        <f>_xll.BDP("FNCC0356 Mtge","SECURITY_NAME")</f>
        <v>FN CC0356</v>
      </c>
      <c r="C2112" t="str">
        <f>_xll.BDP("FNCC0356 Mtge","GENERIC_TICKER_VINTAGE")</f>
        <v>FNCL 6 2025</v>
      </c>
      <c r="D2112" t="str">
        <f>_xll.BDP("FNCC0356 Mtge","CRNCY")</f>
        <v>USD</v>
      </c>
      <c r="E2112">
        <v>3150771</v>
      </c>
      <c r="F2112">
        <f>_xll.BDP("FNCC0356 Mtge","CPN")</f>
        <v>6</v>
      </c>
      <c r="G2112">
        <f>_xll.BDP("FNCC0356 Mtge","MTG_FACTOR")</f>
        <v>0.84875290999999997</v>
      </c>
      <c r="H2112">
        <f>_xll.BDP("FNCC0356 Mtge","MTG_WAL")</f>
        <v>3.2341000000000002</v>
      </c>
      <c r="I2112" t="str">
        <f>_xll.BDP("FNCC0356 Mtge","MTG_ORIG_WAL")</f>
        <v>#N/A N/A</v>
      </c>
    </row>
    <row r="2113" spans="1:9" x14ac:dyDescent="0.25">
      <c r="A2113" t="str">
        <f>_xll.BDP("FNCC0357 Mtge","ID_CUSIP")</f>
        <v>3140Y6MF4</v>
      </c>
      <c r="B2113" t="str">
        <f>_xll.BDP("FNCC0357 Mtge","SECURITY_NAME")</f>
        <v>FN CC0357</v>
      </c>
      <c r="C2113" t="str">
        <f>_xll.BDP("FNCC0357 Mtge","GENERIC_TICKER_VINTAGE")</f>
        <v>FNCL 6 2025</v>
      </c>
      <c r="D2113" t="str">
        <f>_xll.BDP("FNCC0357 Mtge","CRNCY")</f>
        <v>USD</v>
      </c>
      <c r="E2113">
        <v>3587808</v>
      </c>
      <c r="F2113">
        <f>_xll.BDP("FNCC0357 Mtge","CPN")</f>
        <v>6</v>
      </c>
      <c r="G2113">
        <f>_xll.BDP("FNCC0357 Mtge","MTG_FACTOR")</f>
        <v>0.80501937999999995</v>
      </c>
      <c r="H2113">
        <f>_xll.BDP("FNCC0357 Mtge","MTG_WAL")</f>
        <v>3.2488999999999999</v>
      </c>
      <c r="I2113" t="str">
        <f>_xll.BDP("FNCC0357 Mtge","MTG_ORIG_WAL")</f>
        <v>#N/A N/A</v>
      </c>
    </row>
    <row r="2114" spans="1:9" x14ac:dyDescent="0.25">
      <c r="A2114" t="str">
        <f>_xll.BDP("FNCC0359 Mtge","ID_CUSIP")</f>
        <v>3140Y6MH0</v>
      </c>
      <c r="B2114" t="str">
        <f>_xll.BDP("FNCC0359 Mtge","SECURITY_NAME")</f>
        <v>FN CC0359</v>
      </c>
      <c r="C2114" t="str">
        <f>_xll.BDP("FNCC0359 Mtge","GENERIC_TICKER_VINTAGE")</f>
        <v>FNCL 6 2025</v>
      </c>
      <c r="D2114" t="str">
        <f>_xll.BDP("FNCC0359 Mtge","CRNCY")</f>
        <v>USD</v>
      </c>
      <c r="E2114">
        <v>5112309</v>
      </c>
      <c r="F2114">
        <f>_xll.BDP("FNCC0359 Mtge","CPN")</f>
        <v>6</v>
      </c>
      <c r="G2114">
        <f>_xll.BDP("FNCC0359 Mtge","MTG_FACTOR")</f>
        <v>0.98944653999999999</v>
      </c>
      <c r="H2114">
        <f>_xll.BDP("FNCC0359 Mtge","MTG_WAL")</f>
        <v>3.2454999999999998</v>
      </c>
      <c r="I2114" t="str">
        <f>_xll.BDP("FNCC0359 Mtge","MTG_ORIG_WAL")</f>
        <v>#N/A N/A</v>
      </c>
    </row>
    <row r="2115" spans="1:9" x14ac:dyDescent="0.25">
      <c r="A2115" t="str">
        <f>_xll.BDP("FNCC0369 Mtge","ID_CUSIP")</f>
        <v>3140Y6MT4</v>
      </c>
      <c r="B2115" t="str">
        <f>_xll.BDP("FNCC0369 Mtge","SECURITY_NAME")</f>
        <v>FN CC0369</v>
      </c>
      <c r="C2115" t="str">
        <f>_xll.BDP("FNCC0369 Mtge","GENERIC_TICKER_VINTAGE")</f>
        <v>FNCL 6 2025</v>
      </c>
      <c r="D2115" t="str">
        <f>_xll.BDP("FNCC0369 Mtge","CRNCY")</f>
        <v>USD</v>
      </c>
      <c r="E2115">
        <v>7338300</v>
      </c>
      <c r="F2115">
        <f>_xll.BDP("FNCC0369 Mtge","CPN")</f>
        <v>6</v>
      </c>
      <c r="G2115">
        <f>_xll.BDP("FNCC0369 Mtge","MTG_FACTOR")</f>
        <v>0.89071838000000003</v>
      </c>
      <c r="H2115">
        <f>_xll.BDP("FNCC0369 Mtge","MTG_WAL")</f>
        <v>3.2441</v>
      </c>
      <c r="I2115" t="str">
        <f>_xll.BDP("FNCC0369 Mtge","MTG_ORIG_WAL")</f>
        <v>#N/A N/A</v>
      </c>
    </row>
    <row r="2116" spans="1:9" x14ac:dyDescent="0.25">
      <c r="A2116" t="str">
        <f>_xll.BDP("FNCC0370 Mtge","ID_CUSIP")</f>
        <v>3140Y6MU1</v>
      </c>
      <c r="B2116" t="str">
        <f>_xll.BDP("FNCC0370 Mtge","SECURITY_NAME")</f>
        <v>FN CC0370</v>
      </c>
      <c r="C2116" t="str">
        <f>_xll.BDP("FNCC0370 Mtge","GENERIC_TICKER_VINTAGE")</f>
        <v>FNCL 6 2025</v>
      </c>
      <c r="D2116" t="str">
        <f>_xll.BDP("FNCC0370 Mtge","CRNCY")</f>
        <v>USD</v>
      </c>
      <c r="E2116">
        <v>5420499</v>
      </c>
      <c r="F2116">
        <f>_xll.BDP("FNCC0370 Mtge","CPN")</f>
        <v>6</v>
      </c>
      <c r="G2116">
        <f>_xll.BDP("FNCC0370 Mtge","MTG_FACTOR")</f>
        <v>0.96269373000000003</v>
      </c>
      <c r="H2116">
        <f>_xll.BDP("FNCC0370 Mtge","MTG_WAL")</f>
        <v>3.2416</v>
      </c>
      <c r="I2116" t="str">
        <f>_xll.BDP("FNCC0370 Mtge","MTG_ORIG_WAL")</f>
        <v>#N/A N/A</v>
      </c>
    </row>
    <row r="2117" spans="1:9" x14ac:dyDescent="0.25">
      <c r="A2117" t="str">
        <f>_xll.BDP("FNCC0373 Mtge","ID_CUSIP")</f>
        <v>3140Y6MX5</v>
      </c>
      <c r="B2117" t="str">
        <f>_xll.BDP("FNCC0373 Mtge","SECURITY_NAME")</f>
        <v>FN CC0373</v>
      </c>
      <c r="C2117" t="str">
        <f>_xll.BDP("FNCC0373 Mtge","GENERIC_TICKER_VINTAGE")</f>
        <v>FNCL 6 2025</v>
      </c>
      <c r="D2117" t="str">
        <f>_xll.BDP("FNCC0373 Mtge","CRNCY")</f>
        <v>USD</v>
      </c>
      <c r="E2117">
        <v>2228886</v>
      </c>
      <c r="F2117">
        <f>_xll.BDP("FNCC0373 Mtge","CPN")</f>
        <v>6</v>
      </c>
      <c r="G2117">
        <f>_xll.BDP("FNCC0373 Mtge","MTG_FACTOR")</f>
        <v>0.92540807999999997</v>
      </c>
      <c r="H2117">
        <f>_xll.BDP("FNCC0373 Mtge","MTG_WAL")</f>
        <v>3.2446999999999999</v>
      </c>
      <c r="I2117" t="str">
        <f>_xll.BDP("FNCC0373 Mtge","MTG_ORIG_WAL")</f>
        <v>#N/A N/A</v>
      </c>
    </row>
    <row r="2118" spans="1:9" x14ac:dyDescent="0.25">
      <c r="A2118" t="str">
        <f>_xll.BDP("FNCC0374 Mtge","ID_CUSIP")</f>
        <v>3140Y6MY3</v>
      </c>
      <c r="B2118" t="str">
        <f>_xll.BDP("FNCC0374 Mtge","SECURITY_NAME")</f>
        <v>FN CC0374</v>
      </c>
      <c r="C2118" t="str">
        <f>_xll.BDP("FNCC0374 Mtge","GENERIC_TICKER_VINTAGE")</f>
        <v>FNCL 6 2025</v>
      </c>
      <c r="D2118" t="str">
        <f>_xll.BDP("FNCC0374 Mtge","CRNCY")</f>
        <v>USD</v>
      </c>
      <c r="E2118">
        <v>185200810</v>
      </c>
      <c r="F2118">
        <f>_xll.BDP("FNCC0374 Mtge","CPN")</f>
        <v>6</v>
      </c>
      <c r="G2118">
        <f>_xll.BDP("FNCC0374 Mtge","MTG_FACTOR")</f>
        <v>0.88847222999999997</v>
      </c>
      <c r="H2118">
        <f>_xll.BDP("FNCC0374 Mtge","MTG_WAL")</f>
        <v>3.2437</v>
      </c>
      <c r="I2118" t="str">
        <f>_xll.BDP("FNCC0374 Mtge","MTG_ORIG_WAL")</f>
        <v>#N/A N/A</v>
      </c>
    </row>
    <row r="2119" spans="1:9" x14ac:dyDescent="0.25">
      <c r="A2119" t="str">
        <f>_xll.BDP("FNCC0375 Mtge","ID_CUSIP")</f>
        <v>3140Y6MZ0</v>
      </c>
      <c r="B2119" t="str">
        <f>_xll.BDP("FNCC0375 Mtge","SECURITY_NAME")</f>
        <v>FN CC0375</v>
      </c>
      <c r="C2119" t="str">
        <f>_xll.BDP("FNCC0375 Mtge","GENERIC_TICKER_VINTAGE")</f>
        <v>FNCL 6 2025</v>
      </c>
      <c r="D2119" t="str">
        <f>_xll.BDP("FNCC0375 Mtge","CRNCY")</f>
        <v>USD</v>
      </c>
      <c r="E2119">
        <v>69631367</v>
      </c>
      <c r="F2119">
        <f>_xll.BDP("FNCC0375 Mtge","CPN")</f>
        <v>6</v>
      </c>
      <c r="G2119">
        <f>_xll.BDP("FNCC0375 Mtge","MTG_FACTOR")</f>
        <v>0.93443860999999995</v>
      </c>
      <c r="H2119">
        <f>_xll.BDP("FNCC0375 Mtge","MTG_WAL")</f>
        <v>3.2433999999999998</v>
      </c>
      <c r="I2119" t="str">
        <f>_xll.BDP("FNCC0375 Mtge","MTG_ORIG_WAL")</f>
        <v>#N/A N/A</v>
      </c>
    </row>
    <row r="2120" spans="1:9" x14ac:dyDescent="0.25">
      <c r="A2120" t="str">
        <f>_xll.BDP("FNCC0400 Mtge","ID_CUSIP")</f>
        <v>3140Y6NS5</v>
      </c>
      <c r="B2120" t="str">
        <f>_xll.BDP("FNCC0400 Mtge","SECURITY_NAME")</f>
        <v>FN CC0400</v>
      </c>
      <c r="C2120" t="str">
        <f>_xll.BDP("FNCC0400 Mtge","GENERIC_TICKER_VINTAGE")</f>
        <v>FNCL 6 2025</v>
      </c>
      <c r="D2120" t="str">
        <f>_xll.BDP("FNCC0400 Mtge","CRNCY")</f>
        <v>USD</v>
      </c>
      <c r="E2120">
        <v>20678621</v>
      </c>
      <c r="F2120">
        <f>_xll.BDP("FNCC0400 Mtge","CPN")</f>
        <v>6</v>
      </c>
      <c r="G2120">
        <f>_xll.BDP("FNCC0400 Mtge","MTG_FACTOR")</f>
        <v>0.91251221999999999</v>
      </c>
      <c r="H2120">
        <f>_xll.BDP("FNCC0400 Mtge","MTG_WAL")</f>
        <v>3.2403</v>
      </c>
      <c r="I2120" t="str">
        <f>_xll.BDP("FNCC0400 Mtge","MTG_ORIG_WAL")</f>
        <v>#N/A N/A</v>
      </c>
    </row>
    <row r="2121" spans="1:9" x14ac:dyDescent="0.25">
      <c r="A2121" t="str">
        <f>_xll.BDP("FNCC0401 Mtge","ID_CUSIP")</f>
        <v>3140Y6NT3</v>
      </c>
      <c r="B2121" t="str">
        <f>_xll.BDP("FNCC0401 Mtge","SECURITY_NAME")</f>
        <v>FN CC0401</v>
      </c>
      <c r="C2121" t="str">
        <f>_xll.BDP("FNCC0401 Mtge","GENERIC_TICKER_VINTAGE")</f>
        <v>FNCL 6 2025</v>
      </c>
      <c r="D2121" t="str">
        <f>_xll.BDP("FNCC0401 Mtge","CRNCY")</f>
        <v>USD</v>
      </c>
      <c r="E2121">
        <v>20924300</v>
      </c>
      <c r="F2121">
        <f>_xll.BDP("FNCC0401 Mtge","CPN")</f>
        <v>6</v>
      </c>
      <c r="G2121">
        <f>_xll.BDP("FNCC0401 Mtge","MTG_FACTOR")</f>
        <v>0.91841320000000004</v>
      </c>
      <c r="H2121">
        <f>_xll.BDP("FNCC0401 Mtge","MTG_WAL")</f>
        <v>3.2454999999999998</v>
      </c>
      <c r="I2121" t="str">
        <f>_xll.BDP("FNCC0401 Mtge","MTG_ORIG_WAL")</f>
        <v>#N/A N/A</v>
      </c>
    </row>
    <row r="2122" spans="1:9" x14ac:dyDescent="0.25">
      <c r="A2122" t="str">
        <f>_xll.BDP("FNCC0402 Mtge","ID_CUSIP")</f>
        <v>3140Y6NU0</v>
      </c>
      <c r="B2122" t="str">
        <f>_xll.BDP("FNCC0402 Mtge","SECURITY_NAME")</f>
        <v>FN CC0402</v>
      </c>
      <c r="C2122" t="str">
        <f>_xll.BDP("FNCC0402 Mtge","GENERIC_TICKER_VINTAGE")</f>
        <v>FNCL 6 2025</v>
      </c>
      <c r="D2122" t="str">
        <f>_xll.BDP("FNCC0402 Mtge","CRNCY")</f>
        <v>USD</v>
      </c>
      <c r="E2122">
        <v>42587311</v>
      </c>
      <c r="F2122">
        <f>_xll.BDP("FNCC0402 Mtge","CPN")</f>
        <v>6</v>
      </c>
      <c r="G2122">
        <f>_xll.BDP("FNCC0402 Mtge","MTG_FACTOR")</f>
        <v>0.91533529000000002</v>
      </c>
      <c r="H2122">
        <f>_xll.BDP("FNCC0402 Mtge","MTG_WAL")</f>
        <v>3.2431000000000001</v>
      </c>
      <c r="I2122" t="str">
        <f>_xll.BDP("FNCC0402 Mtge","MTG_ORIG_WAL")</f>
        <v>#N/A N/A</v>
      </c>
    </row>
    <row r="2123" spans="1:9" x14ac:dyDescent="0.25">
      <c r="A2123" t="str">
        <f>_xll.BDP("FNCC0403 Mtge","ID_CUSIP")</f>
        <v>3140Y6NV8</v>
      </c>
      <c r="B2123" t="str">
        <f>_xll.BDP("FNCC0403 Mtge","SECURITY_NAME")</f>
        <v>FN CC0403</v>
      </c>
      <c r="C2123" t="str">
        <f>_xll.BDP("FNCC0403 Mtge","GENERIC_TICKER_VINTAGE")</f>
        <v>FNCL 6 2025</v>
      </c>
      <c r="D2123" t="str">
        <f>_xll.BDP("FNCC0403 Mtge","CRNCY")</f>
        <v>USD</v>
      </c>
      <c r="E2123">
        <v>61443250</v>
      </c>
      <c r="F2123">
        <f>_xll.BDP("FNCC0403 Mtge","CPN")</f>
        <v>6</v>
      </c>
      <c r="G2123">
        <f>_xll.BDP("FNCC0403 Mtge","MTG_FACTOR")</f>
        <v>0.89829462999999998</v>
      </c>
      <c r="H2123">
        <f>_xll.BDP("FNCC0403 Mtge","MTG_WAL")</f>
        <v>3.2448000000000001</v>
      </c>
      <c r="I2123" t="str">
        <f>_xll.BDP("FNCC0403 Mtge","MTG_ORIG_WAL")</f>
        <v>#N/A N/A</v>
      </c>
    </row>
    <row r="2124" spans="1:9" x14ac:dyDescent="0.25">
      <c r="A2124" t="str">
        <f>_xll.BDP("FNCC0404 Mtge","ID_CUSIP")</f>
        <v>3140Y6NW6</v>
      </c>
      <c r="B2124" t="str">
        <f>_xll.BDP("FNCC0404 Mtge","SECURITY_NAME")</f>
        <v>FN CC0404</v>
      </c>
      <c r="C2124" t="str">
        <f>_xll.BDP("FNCC0404 Mtge","GENERIC_TICKER_VINTAGE")</f>
        <v>FNCL 6 2025</v>
      </c>
      <c r="D2124" t="str">
        <f>_xll.BDP("FNCC0404 Mtge","CRNCY")</f>
        <v>USD</v>
      </c>
      <c r="E2124">
        <v>110504308</v>
      </c>
      <c r="F2124">
        <f>_xll.BDP("FNCC0404 Mtge","CPN")</f>
        <v>6</v>
      </c>
      <c r="G2124">
        <f>_xll.BDP("FNCC0404 Mtge","MTG_FACTOR")</f>
        <v>0.92463576999999997</v>
      </c>
      <c r="H2124">
        <f>_xll.BDP("FNCC0404 Mtge","MTG_WAL")</f>
        <v>3.2431000000000001</v>
      </c>
      <c r="I2124" t="str">
        <f>_xll.BDP("FNCC0404 Mtge","MTG_ORIG_WAL")</f>
        <v>#N/A N/A</v>
      </c>
    </row>
    <row r="2125" spans="1:9" x14ac:dyDescent="0.25">
      <c r="A2125" t="str">
        <f>_xll.BDP("FNCC0408 Mtge","ID_CUSIP")</f>
        <v>3140Y6N22</v>
      </c>
      <c r="B2125" t="str">
        <f>_xll.BDP("FNCC0408 Mtge","SECURITY_NAME")</f>
        <v>FN CC0408</v>
      </c>
      <c r="C2125" t="str">
        <f>_xll.BDP("FNCC0408 Mtge","GENERIC_TICKER_VINTAGE")</f>
        <v>FNCL 6 2025</v>
      </c>
      <c r="D2125" t="str">
        <f>_xll.BDP("FNCC0408 Mtge","CRNCY")</f>
        <v>USD</v>
      </c>
      <c r="E2125">
        <v>14558696</v>
      </c>
      <c r="F2125">
        <f>_xll.BDP("FNCC0408 Mtge","CPN")</f>
        <v>6</v>
      </c>
      <c r="G2125">
        <f>_xll.BDP("FNCC0408 Mtge","MTG_FACTOR")</f>
        <v>0.91222758999999998</v>
      </c>
      <c r="H2125">
        <f>_xll.BDP("FNCC0408 Mtge","MTG_WAL")</f>
        <v>3.2378</v>
      </c>
      <c r="I2125" t="str">
        <f>_xll.BDP("FNCC0408 Mtge","MTG_ORIG_WAL")</f>
        <v>#N/A N/A</v>
      </c>
    </row>
    <row r="2126" spans="1:9" x14ac:dyDescent="0.25">
      <c r="A2126" t="str">
        <f>_xll.BDP("FNCC0409 Mtge","ID_CUSIP")</f>
        <v>3140Y6N30</v>
      </c>
      <c r="B2126" t="str">
        <f>_xll.BDP("FNCC0409 Mtge","SECURITY_NAME")</f>
        <v>FN CC0409</v>
      </c>
      <c r="C2126" t="str">
        <f>_xll.BDP("FNCC0409 Mtge","GENERIC_TICKER_VINTAGE")</f>
        <v>FNCL 6 2025</v>
      </c>
      <c r="D2126" t="str">
        <f>_xll.BDP("FNCC0409 Mtge","CRNCY")</f>
        <v>USD</v>
      </c>
      <c r="E2126">
        <v>70842768</v>
      </c>
      <c r="F2126">
        <f>_xll.BDP("FNCC0409 Mtge","CPN")</f>
        <v>6</v>
      </c>
      <c r="G2126">
        <f>_xll.BDP("FNCC0409 Mtge","MTG_FACTOR")</f>
        <v>0.95697045999999997</v>
      </c>
      <c r="H2126">
        <f>_xll.BDP("FNCC0409 Mtge","MTG_WAL")</f>
        <v>3.2435999999999998</v>
      </c>
      <c r="I2126" t="str">
        <f>_xll.BDP("FNCC0409 Mtge","MTG_ORIG_WAL")</f>
        <v>#N/A N/A</v>
      </c>
    </row>
    <row r="2127" spans="1:9" x14ac:dyDescent="0.25">
      <c r="A2127" t="str">
        <f>_xll.BDP("FNCC0421 Mtge","ID_CUSIP")</f>
        <v>3140Y6PF1</v>
      </c>
      <c r="B2127" t="str">
        <f>_xll.BDP("FNCC0421 Mtge","SECURITY_NAME")</f>
        <v>FN CC0421</v>
      </c>
      <c r="C2127" t="str">
        <f>_xll.BDP("FNCC0421 Mtge","GENERIC_TICKER_VINTAGE")</f>
        <v>FNCL 6 2025</v>
      </c>
      <c r="D2127" t="str">
        <f>_xll.BDP("FNCC0421 Mtge","CRNCY")</f>
        <v>USD</v>
      </c>
      <c r="E2127">
        <v>209948620</v>
      </c>
      <c r="F2127">
        <f>_xll.BDP("FNCC0421 Mtge","CPN")</f>
        <v>6</v>
      </c>
      <c r="G2127">
        <f>_xll.BDP("FNCC0421 Mtge","MTG_FACTOR")</f>
        <v>0.89354513000000002</v>
      </c>
      <c r="H2127">
        <f>_xll.BDP("FNCC0421 Mtge","MTG_WAL")</f>
        <v>3.2441</v>
      </c>
      <c r="I2127" t="str">
        <f>_xll.BDP("FNCC0421 Mtge","MTG_ORIG_WAL")</f>
        <v>#N/A N/A</v>
      </c>
    </row>
    <row r="2128" spans="1:9" x14ac:dyDescent="0.25">
      <c r="A2128" t="str">
        <f>_xll.BDP("FNCC0436 Mtge","ID_CUSIP")</f>
        <v>3140Y6PW4</v>
      </c>
      <c r="B2128" t="str">
        <f>_xll.BDP("FNCC0436 Mtge","SECURITY_NAME")</f>
        <v>FN CC0436</v>
      </c>
      <c r="C2128" t="str">
        <f>_xll.BDP("FNCC0436 Mtge","GENERIC_TICKER_VINTAGE")</f>
        <v>FNCL 6 2025</v>
      </c>
      <c r="D2128" t="str">
        <f>_xll.BDP("FNCC0436 Mtge","CRNCY")</f>
        <v>USD</v>
      </c>
      <c r="E2128">
        <v>104267562</v>
      </c>
      <c r="F2128">
        <f>_xll.BDP("FNCC0436 Mtge","CPN")</f>
        <v>6</v>
      </c>
      <c r="G2128">
        <f>_xll.BDP("FNCC0436 Mtge","MTG_FACTOR")</f>
        <v>0.93091137000000002</v>
      </c>
      <c r="H2128">
        <f>_xll.BDP("FNCC0436 Mtge","MTG_WAL")</f>
        <v>3.2439</v>
      </c>
      <c r="I2128" t="str">
        <f>_xll.BDP("FNCC0436 Mtge","MTG_ORIG_WAL")</f>
        <v>#N/A N/A</v>
      </c>
    </row>
    <row r="2129" spans="1:9" x14ac:dyDescent="0.25">
      <c r="A2129" t="str">
        <f>_xll.BDP("FNCC0437 Mtge","ID_CUSIP")</f>
        <v>3140Y6PX2</v>
      </c>
      <c r="B2129" t="str">
        <f>_xll.BDP("FNCC0437 Mtge","SECURITY_NAME")</f>
        <v>FN CC0437</v>
      </c>
      <c r="C2129" t="str">
        <f>_xll.BDP("FNCC0437 Mtge","GENERIC_TICKER_VINTAGE")</f>
        <v>FNCL 6 2025</v>
      </c>
      <c r="D2129" t="str">
        <f>_xll.BDP("FNCC0437 Mtge","CRNCY")</f>
        <v>USD</v>
      </c>
      <c r="E2129">
        <v>101233796</v>
      </c>
      <c r="F2129">
        <f>_xll.BDP("FNCC0437 Mtge","CPN")</f>
        <v>6</v>
      </c>
      <c r="G2129">
        <f>_xll.BDP("FNCC0437 Mtge","MTG_FACTOR")</f>
        <v>0.88700593000000005</v>
      </c>
      <c r="H2129">
        <f>_xll.BDP("FNCC0437 Mtge","MTG_WAL")</f>
        <v>3.2471000000000001</v>
      </c>
      <c r="I2129" t="str">
        <f>_xll.BDP("FNCC0437 Mtge","MTG_ORIG_WAL")</f>
        <v>#N/A N/A</v>
      </c>
    </row>
    <row r="2130" spans="1:9" x14ac:dyDescent="0.25">
      <c r="A2130" t="str">
        <f>_xll.BDP("FNCC0439 Mtge","ID_CUSIP")</f>
        <v>3140Y6PZ7</v>
      </c>
      <c r="B2130" t="str">
        <f>_xll.BDP("FNCC0439 Mtge","SECURITY_NAME")</f>
        <v>FN CC0439</v>
      </c>
      <c r="C2130" t="str">
        <f>_xll.BDP("FNCC0439 Mtge","GENERIC_TICKER_VINTAGE")</f>
        <v>FNCL 6 2025</v>
      </c>
      <c r="D2130" t="str">
        <f>_xll.BDP("FNCC0439 Mtge","CRNCY")</f>
        <v>USD</v>
      </c>
      <c r="E2130">
        <v>66783422</v>
      </c>
      <c r="F2130">
        <f>_xll.BDP("FNCC0439 Mtge","CPN")</f>
        <v>6</v>
      </c>
      <c r="G2130">
        <f>_xll.BDP("FNCC0439 Mtge","MTG_FACTOR")</f>
        <v>0.87416453000000005</v>
      </c>
      <c r="H2130">
        <f>_xll.BDP("FNCC0439 Mtge","MTG_WAL")</f>
        <v>3.2387999999999999</v>
      </c>
      <c r="I2130" t="str">
        <f>_xll.BDP("FNCC0439 Mtge","MTG_ORIG_WAL")</f>
        <v>#N/A N/A</v>
      </c>
    </row>
    <row r="2131" spans="1:9" x14ac:dyDescent="0.25">
      <c r="A2131" t="str">
        <f>_xll.BDP("FNCC0441 Mtge","ID_CUSIP")</f>
        <v>3140Y6P38</v>
      </c>
      <c r="B2131" t="str">
        <f>_xll.BDP("FNCC0441 Mtge","SECURITY_NAME")</f>
        <v>FN CC0441</v>
      </c>
      <c r="C2131" t="str">
        <f>_xll.BDP("FNCC0441 Mtge","GENERIC_TICKER_VINTAGE")</f>
        <v>FNCL 6 2025</v>
      </c>
      <c r="D2131" t="str">
        <f>_xll.BDP("FNCC0441 Mtge","CRNCY")</f>
        <v>USD</v>
      </c>
      <c r="E2131">
        <v>54234782</v>
      </c>
      <c r="F2131">
        <f>_xll.BDP("FNCC0441 Mtge","CPN")</f>
        <v>6</v>
      </c>
      <c r="G2131">
        <f>_xll.BDP("FNCC0441 Mtge","MTG_FACTOR")</f>
        <v>0.86087184000000005</v>
      </c>
      <c r="H2131">
        <f>_xll.BDP("FNCC0441 Mtge","MTG_WAL")</f>
        <v>3.2427000000000001</v>
      </c>
      <c r="I2131" t="str">
        <f>_xll.BDP("FNCC0441 Mtge","MTG_ORIG_WAL")</f>
        <v>#N/A N/A</v>
      </c>
    </row>
    <row r="2132" spans="1:9" x14ac:dyDescent="0.25">
      <c r="A2132" t="str">
        <f>_xll.BDP("FNCC0458 Mtge","ID_CUSIP")</f>
        <v>3140Y6QL7</v>
      </c>
      <c r="B2132" t="str">
        <f>_xll.BDP("FNCC0458 Mtge","SECURITY_NAME")</f>
        <v>FN CC0458</v>
      </c>
      <c r="C2132" t="str">
        <f>_xll.BDP("FNCC0458 Mtge","GENERIC_TICKER_VINTAGE")</f>
        <v>FNCL 6 2025</v>
      </c>
      <c r="D2132" t="str">
        <f>_xll.BDP("FNCC0458 Mtge","CRNCY")</f>
        <v>USD</v>
      </c>
      <c r="E2132">
        <v>3246112</v>
      </c>
      <c r="F2132">
        <f>_xll.BDP("FNCC0458 Mtge","CPN")</f>
        <v>6</v>
      </c>
      <c r="G2132">
        <f>_xll.BDP("FNCC0458 Mtge","MTG_FACTOR")</f>
        <v>0.89620575999999996</v>
      </c>
      <c r="H2132">
        <f>_xll.BDP("FNCC0458 Mtge","MTG_WAL")</f>
        <v>3.2930999999999999</v>
      </c>
      <c r="I2132" t="str">
        <f>_xll.BDP("FNCC0458 Mtge","MTG_ORIG_WAL")</f>
        <v>#N/A N/A</v>
      </c>
    </row>
    <row r="2133" spans="1:9" x14ac:dyDescent="0.25">
      <c r="A2133" t="str">
        <f>_xll.BDP("FNCC0496 Mtge","ID_CUSIP")</f>
        <v>3140Y6RS1</v>
      </c>
      <c r="B2133" t="str">
        <f>_xll.BDP("FNCC0496 Mtge","SECURITY_NAME")</f>
        <v>FN CC0496</v>
      </c>
      <c r="C2133" t="str">
        <f>_xll.BDP("FNCC0496 Mtge","GENERIC_TICKER_VINTAGE")</f>
        <v>FNCL 6 2025</v>
      </c>
      <c r="D2133" t="str">
        <f>_xll.BDP("FNCC0496 Mtge","CRNCY")</f>
        <v>USD</v>
      </c>
      <c r="E2133">
        <v>2486131</v>
      </c>
      <c r="F2133">
        <f>_xll.BDP("FNCC0496 Mtge","CPN")</f>
        <v>6</v>
      </c>
      <c r="G2133">
        <f>_xll.BDP("FNCC0496 Mtge","MTG_FACTOR")</f>
        <v>0.92826233999999996</v>
      </c>
      <c r="H2133">
        <f>_xll.BDP("FNCC0496 Mtge","MTG_WAL")</f>
        <v>3.2860999999999998</v>
      </c>
      <c r="I2133" t="str">
        <f>_xll.BDP("FNCC0496 Mtge","MTG_ORIG_WAL")</f>
        <v>#N/A N/A</v>
      </c>
    </row>
    <row r="2134" spans="1:9" x14ac:dyDescent="0.25">
      <c r="A2134" t="str">
        <f>_xll.BDP("FNCC0539 Mtge","ID_CUSIP")</f>
        <v>3140Y6S50</v>
      </c>
      <c r="B2134" t="str">
        <f>_xll.BDP("FNCC0539 Mtge","SECURITY_NAME")</f>
        <v>FN CC0539</v>
      </c>
      <c r="C2134" t="str">
        <f>_xll.BDP("FNCC0539 Mtge","GENERIC_TICKER_VINTAGE")</f>
        <v>FNCL 6 2025</v>
      </c>
      <c r="D2134" t="str">
        <f>_xll.BDP("FNCC0539 Mtge","CRNCY")</f>
        <v>USD</v>
      </c>
      <c r="E2134">
        <v>6679057</v>
      </c>
      <c r="F2134">
        <f>_xll.BDP("FNCC0539 Mtge","CPN")</f>
        <v>6</v>
      </c>
      <c r="G2134">
        <f>_xll.BDP("FNCC0539 Mtge","MTG_FACTOR")</f>
        <v>0.98438550999999996</v>
      </c>
      <c r="H2134">
        <f>_xll.BDP("FNCC0539 Mtge","MTG_WAL")</f>
        <v>3.2846000000000002</v>
      </c>
      <c r="I2134" t="str">
        <f>_xll.BDP("FNCC0539 Mtge","MTG_ORIG_WAL")</f>
        <v>#N/A N/A</v>
      </c>
    </row>
    <row r="2135" spans="1:9" x14ac:dyDescent="0.25">
      <c r="A2135" t="str">
        <f>_xll.BDP("FNCC0575 Mtge","ID_CUSIP")</f>
        <v>3140Y6T91</v>
      </c>
      <c r="B2135" t="str">
        <f>_xll.BDP("FNCC0575 Mtge","SECURITY_NAME")</f>
        <v>FN CC0575</v>
      </c>
      <c r="C2135" t="str">
        <f>_xll.BDP("FNCC0575 Mtge","GENERIC_TICKER_VINTAGE")</f>
        <v>FNCL 6 2025</v>
      </c>
      <c r="D2135" t="str">
        <f>_xll.BDP("FNCC0575 Mtge","CRNCY")</f>
        <v>USD</v>
      </c>
      <c r="E2135">
        <v>32870151</v>
      </c>
      <c r="F2135">
        <f>_xll.BDP("FNCC0575 Mtge","CPN")</f>
        <v>6</v>
      </c>
      <c r="G2135">
        <f>_xll.BDP("FNCC0575 Mtge","MTG_FACTOR")</f>
        <v>0.93545568999999995</v>
      </c>
      <c r="H2135">
        <f>_xll.BDP("FNCC0575 Mtge","MTG_WAL")</f>
        <v>3.2814000000000001</v>
      </c>
      <c r="I2135" t="str">
        <f>_xll.BDP("FNCC0575 Mtge","MTG_ORIG_WAL")</f>
        <v>#N/A N/A</v>
      </c>
    </row>
    <row r="2136" spans="1:9" x14ac:dyDescent="0.25">
      <c r="A2136" t="str">
        <f>_xll.BDP("FNCC0577 Mtge","ID_CUSIP")</f>
        <v>3140Y6UB4</v>
      </c>
      <c r="B2136" t="str">
        <f>_xll.BDP("FNCC0577 Mtge","SECURITY_NAME")</f>
        <v>FN CC0577</v>
      </c>
      <c r="C2136" t="str">
        <f>_xll.BDP("FNCC0577 Mtge","GENERIC_TICKER_VINTAGE")</f>
        <v>FNCL 6 2025</v>
      </c>
      <c r="D2136" t="str">
        <f>_xll.BDP("FNCC0577 Mtge","CRNCY")</f>
        <v>USD</v>
      </c>
      <c r="E2136">
        <v>81199239</v>
      </c>
      <c r="F2136">
        <f>_xll.BDP("FNCC0577 Mtge","CPN")</f>
        <v>6</v>
      </c>
      <c r="G2136">
        <f>_xll.BDP("FNCC0577 Mtge","MTG_FACTOR")</f>
        <v>0.93560882000000001</v>
      </c>
      <c r="H2136">
        <f>_xll.BDP("FNCC0577 Mtge","MTG_WAL")</f>
        <v>3.2824</v>
      </c>
      <c r="I2136" t="str">
        <f>_xll.BDP("FNCC0577 Mtge","MTG_ORIG_WAL")</f>
        <v>#N/A N/A</v>
      </c>
    </row>
    <row r="2137" spans="1:9" x14ac:dyDescent="0.25">
      <c r="A2137" t="str">
        <f>_xll.BDP("FNCC0578 Mtge","ID_CUSIP")</f>
        <v>3140Y6UC2</v>
      </c>
      <c r="B2137" t="str">
        <f>_xll.BDP("FNCC0578 Mtge","SECURITY_NAME")</f>
        <v>FN CC0578</v>
      </c>
      <c r="C2137" t="str">
        <f>_xll.BDP("FNCC0578 Mtge","GENERIC_TICKER_VINTAGE")</f>
        <v>FNCL 6 2025</v>
      </c>
      <c r="D2137" t="str">
        <f>_xll.BDP("FNCC0578 Mtge","CRNCY")</f>
        <v>USD</v>
      </c>
      <c r="E2137">
        <v>87583880</v>
      </c>
      <c r="F2137">
        <f>_xll.BDP("FNCC0578 Mtge","CPN")</f>
        <v>6</v>
      </c>
      <c r="G2137">
        <f>_xll.BDP("FNCC0578 Mtge","MTG_FACTOR")</f>
        <v>0.93345752999999998</v>
      </c>
      <c r="H2137">
        <f>_xll.BDP("FNCC0578 Mtge","MTG_WAL")</f>
        <v>3.2845</v>
      </c>
      <c r="I2137" t="str">
        <f>_xll.BDP("FNCC0578 Mtge","MTG_ORIG_WAL")</f>
        <v>#N/A N/A</v>
      </c>
    </row>
    <row r="2138" spans="1:9" x14ac:dyDescent="0.25">
      <c r="A2138" t="str">
        <f>_xll.BDP("FNCC0585 Mtge","ID_CUSIP")</f>
        <v>3140Y6UK4</v>
      </c>
      <c r="B2138" t="str">
        <f>_xll.BDP("FNCC0585 Mtge","SECURITY_NAME")</f>
        <v>FN CC0585</v>
      </c>
      <c r="C2138" t="str">
        <f>_xll.BDP("FNCC0585 Mtge","GENERIC_TICKER_VINTAGE")</f>
        <v>FNCL 6 2025</v>
      </c>
      <c r="D2138" t="str">
        <f>_xll.BDP("FNCC0585 Mtge","CRNCY")</f>
        <v>USD</v>
      </c>
      <c r="E2138">
        <v>220457138</v>
      </c>
      <c r="F2138">
        <f>_xll.BDP("FNCC0585 Mtge","CPN")</f>
        <v>6</v>
      </c>
      <c r="G2138">
        <f>_xll.BDP("FNCC0585 Mtge","MTG_FACTOR")</f>
        <v>0.83889773999999995</v>
      </c>
      <c r="H2138">
        <f>_xll.BDP("FNCC0585 Mtge","MTG_WAL")</f>
        <v>3.2894000000000001</v>
      </c>
      <c r="I2138" t="str">
        <f>_xll.BDP("FNCC0585 Mtge","MTG_ORIG_WAL")</f>
        <v>#N/A N/A</v>
      </c>
    </row>
    <row r="2139" spans="1:9" x14ac:dyDescent="0.25">
      <c r="A2139" t="str">
        <f>_xll.BDP("FNCC0628 Mtge","ID_CUSIP")</f>
        <v>3140Y6VW7</v>
      </c>
      <c r="B2139" t="str">
        <f>_xll.BDP("FNCC0628 Mtge","SECURITY_NAME")</f>
        <v>FN CC0628</v>
      </c>
      <c r="C2139" t="str">
        <f>_xll.BDP("FNCC0628 Mtge","GENERIC_TICKER_VINTAGE")</f>
        <v>FNCL 6 2025</v>
      </c>
      <c r="D2139" t="str">
        <f>_xll.BDP("FNCC0628 Mtge","CRNCY")</f>
        <v>USD</v>
      </c>
      <c r="E2139">
        <v>2439714</v>
      </c>
      <c r="F2139">
        <f>_xll.BDP("FNCC0628 Mtge","CPN")</f>
        <v>6</v>
      </c>
      <c r="G2139">
        <f>_xll.BDP("FNCC0628 Mtge","MTG_FACTOR")</f>
        <v>0.95738917999999995</v>
      </c>
      <c r="H2139">
        <f>_xll.BDP("FNCC0628 Mtge","MTG_WAL")</f>
        <v>3.3429000000000002</v>
      </c>
      <c r="I2139" t="str">
        <f>_xll.BDP("FNCC0628 Mtge","MTG_ORIG_WAL")</f>
        <v>#N/A N/A</v>
      </c>
    </row>
    <row r="2140" spans="1:9" x14ac:dyDescent="0.25">
      <c r="A2140" t="str">
        <f>_xll.BDP("FNCC0629 Mtge","ID_CUSIP")</f>
        <v>3140Y6VX5</v>
      </c>
      <c r="B2140" t="str">
        <f>_xll.BDP("FNCC0629 Mtge","SECURITY_NAME")</f>
        <v>FN CC0629</v>
      </c>
      <c r="C2140" t="str">
        <f>_xll.BDP("FNCC0629 Mtge","GENERIC_TICKER_VINTAGE")</f>
        <v>FNCL 6 2025</v>
      </c>
      <c r="D2140" t="str">
        <f>_xll.BDP("FNCC0629 Mtge","CRNCY")</f>
        <v>USD</v>
      </c>
      <c r="E2140">
        <v>49910127</v>
      </c>
      <c r="F2140">
        <f>_xll.BDP("FNCC0629 Mtge","CPN")</f>
        <v>6</v>
      </c>
      <c r="G2140">
        <f>_xll.BDP("FNCC0629 Mtge","MTG_FACTOR")</f>
        <v>0.84456193000000002</v>
      </c>
      <c r="H2140">
        <f>_xll.BDP("FNCC0629 Mtge","MTG_WAL")</f>
        <v>3.2004999999999999</v>
      </c>
      <c r="I2140" t="str">
        <f>_xll.BDP("FNCC0629 Mtge","MTG_ORIG_WAL")</f>
        <v>#N/A N/A</v>
      </c>
    </row>
    <row r="2141" spans="1:9" x14ac:dyDescent="0.25">
      <c r="A2141" t="str">
        <f>_xll.BDP("FNCC0648 Mtge","ID_CUSIP")</f>
        <v>3140Y6WJ5</v>
      </c>
      <c r="B2141" t="str">
        <f>_xll.BDP("FNCC0648 Mtge","SECURITY_NAME")</f>
        <v>FN CC0648</v>
      </c>
      <c r="C2141" t="str">
        <f>_xll.BDP("FNCC0648 Mtge","GENERIC_TICKER_VINTAGE")</f>
        <v>FNCL 6 2025</v>
      </c>
      <c r="D2141" t="str">
        <f>_xll.BDP("FNCC0648 Mtge","CRNCY")</f>
        <v>USD</v>
      </c>
      <c r="E2141">
        <v>4113590</v>
      </c>
      <c r="F2141">
        <f>_xll.BDP("FNCC0648 Mtge","CPN")</f>
        <v>6</v>
      </c>
      <c r="G2141">
        <f>_xll.BDP("FNCC0648 Mtge","MTG_FACTOR")</f>
        <v>0.94584725000000003</v>
      </c>
      <c r="H2141">
        <f>_xll.BDP("FNCC0648 Mtge","MTG_WAL")</f>
        <v>3.3380999999999998</v>
      </c>
      <c r="I2141" t="str">
        <f>_xll.BDP("FNCC0648 Mtge","MTG_ORIG_WAL")</f>
        <v>#N/A N/A</v>
      </c>
    </row>
    <row r="2142" spans="1:9" x14ac:dyDescent="0.25">
      <c r="A2142" t="str">
        <f>_xll.BDP("FNCC0721 Mtge","ID_CUSIP")</f>
        <v>3140Y6YT1</v>
      </c>
      <c r="B2142" t="str">
        <f>_xll.BDP("FNCC0721 Mtge","SECURITY_NAME")</f>
        <v>FN CC0721</v>
      </c>
      <c r="C2142" t="str">
        <f>_xll.BDP("FNCC0721 Mtge","GENERIC_TICKER_VINTAGE")</f>
        <v>FNCL 6 2025</v>
      </c>
      <c r="D2142" t="str">
        <f>_xll.BDP("FNCC0721 Mtge","CRNCY")</f>
        <v>USD</v>
      </c>
      <c r="E2142">
        <v>211225507</v>
      </c>
      <c r="F2142">
        <f>_xll.BDP("FNCC0721 Mtge","CPN")</f>
        <v>6</v>
      </c>
      <c r="G2142">
        <f>_xll.BDP("FNCC0721 Mtge","MTG_FACTOR")</f>
        <v>0.94688183999999997</v>
      </c>
      <c r="H2142">
        <f>_xll.BDP("FNCC0721 Mtge","MTG_WAL")</f>
        <v>3.3422999999999998</v>
      </c>
      <c r="I2142" t="str">
        <f>_xll.BDP("FNCC0721 Mtge","MTG_ORIG_WAL")</f>
        <v>#N/A N/A</v>
      </c>
    </row>
    <row r="2143" spans="1:9" x14ac:dyDescent="0.25">
      <c r="A2143" t="str">
        <f>_xll.BDP("FNCC0794 Mtge","ID_CUSIP")</f>
        <v>3140Y63C2</v>
      </c>
      <c r="B2143" t="str">
        <f>_xll.BDP("FNCC0794 Mtge","SECURITY_NAME")</f>
        <v>FN CC0794</v>
      </c>
      <c r="C2143" t="str">
        <f>_xll.BDP("FNCC0794 Mtge","GENERIC_TICKER_VINTAGE")</f>
        <v>FNCL 6 2025</v>
      </c>
      <c r="D2143" t="str">
        <f>_xll.BDP("FNCC0794 Mtge","CRNCY")</f>
        <v>USD</v>
      </c>
      <c r="E2143">
        <v>1849108</v>
      </c>
      <c r="F2143">
        <f>_xll.BDP("FNCC0794 Mtge","CPN")</f>
        <v>6</v>
      </c>
      <c r="G2143">
        <f>_xll.BDP("FNCC0794 Mtge","MTG_FACTOR")</f>
        <v>0.92132775</v>
      </c>
      <c r="H2143">
        <f>_xll.BDP("FNCC0794 Mtge","MTG_WAL")</f>
        <v>3.3950999999999998</v>
      </c>
      <c r="I2143" t="str">
        <f>_xll.BDP("FNCC0794 Mtge","MTG_ORIG_WAL")</f>
        <v>#N/A N/A</v>
      </c>
    </row>
    <row r="2144" spans="1:9" x14ac:dyDescent="0.25">
      <c r="A2144" t="str">
        <f>_xll.BDP("FNCC0795 Mtge","ID_CUSIP")</f>
        <v>3140Y63D0</v>
      </c>
      <c r="B2144" t="str">
        <f>_xll.BDP("FNCC0795 Mtge","SECURITY_NAME")</f>
        <v>FN CC0795</v>
      </c>
      <c r="C2144" t="str">
        <f>_xll.BDP("FNCC0795 Mtge","GENERIC_TICKER_VINTAGE")</f>
        <v>FNCL 6 2025</v>
      </c>
      <c r="D2144" t="str">
        <f>_xll.BDP("FNCC0795 Mtge","CRNCY")</f>
        <v>USD</v>
      </c>
      <c r="E2144">
        <v>2148223</v>
      </c>
      <c r="F2144">
        <f>_xll.BDP("FNCC0795 Mtge","CPN")</f>
        <v>6</v>
      </c>
      <c r="G2144">
        <f>_xll.BDP("FNCC0795 Mtge","MTG_FACTOR")</f>
        <v>0.98578250000000001</v>
      </c>
      <c r="H2144">
        <f>_xll.BDP("FNCC0795 Mtge","MTG_WAL")</f>
        <v>3.3906999999999998</v>
      </c>
      <c r="I2144" t="str">
        <f>_xll.BDP("FNCC0795 Mtge","MTG_ORIG_WAL")</f>
        <v>#N/A N/A</v>
      </c>
    </row>
    <row r="2145" spans="1:9" x14ac:dyDescent="0.25">
      <c r="A2145" t="str">
        <f>_xll.BDP("FNCC0809 Mtge","ID_CUSIP")</f>
        <v>3140Y63T5</v>
      </c>
      <c r="B2145" t="str">
        <f>_xll.BDP("FNCC0809 Mtge","SECURITY_NAME")</f>
        <v>FN CC0809</v>
      </c>
      <c r="C2145" t="str">
        <f>_xll.BDP("FNCC0809 Mtge","GENERIC_TICKER_VINTAGE")</f>
        <v>FNCL 6 2025</v>
      </c>
      <c r="D2145" t="str">
        <f>_xll.BDP("FNCC0809 Mtge","CRNCY")</f>
        <v>USD</v>
      </c>
      <c r="E2145">
        <v>1340410</v>
      </c>
      <c r="F2145">
        <f>_xll.BDP("FNCC0809 Mtge","CPN")</f>
        <v>6</v>
      </c>
      <c r="G2145">
        <f>_xll.BDP("FNCC0809 Mtge","MTG_FACTOR")</f>
        <v>0.99193556999999999</v>
      </c>
      <c r="H2145">
        <f>_xll.BDP("FNCC0809 Mtge","MTG_WAL")</f>
        <v>3.3956</v>
      </c>
      <c r="I2145" t="str">
        <f>_xll.BDP("FNCC0809 Mtge","MTG_ORIG_WAL")</f>
        <v>#N/A N/A</v>
      </c>
    </row>
    <row r="2146" spans="1:9" x14ac:dyDescent="0.25">
      <c r="A2146" t="str">
        <f>_xll.BDP("FNCC0815 Mtge","ID_CUSIP")</f>
        <v>3140Y63Z1</v>
      </c>
      <c r="B2146" t="str">
        <f>_xll.BDP("FNCC0815 Mtge","SECURITY_NAME")</f>
        <v>FN CC0815</v>
      </c>
      <c r="C2146" t="str">
        <f>_xll.BDP("FNCC0815 Mtge","GENERIC_TICKER_VINTAGE")</f>
        <v>FNCL 6 2025</v>
      </c>
      <c r="D2146" t="str">
        <f>_xll.BDP("FNCC0815 Mtge","CRNCY")</f>
        <v>USD</v>
      </c>
      <c r="E2146">
        <v>3285323</v>
      </c>
      <c r="F2146">
        <f>_xll.BDP("FNCC0815 Mtge","CPN")</f>
        <v>6</v>
      </c>
      <c r="G2146">
        <f>_xll.BDP("FNCC0815 Mtge","MTG_FACTOR")</f>
        <v>0.92160759999999997</v>
      </c>
      <c r="H2146">
        <f>_xll.BDP("FNCC0815 Mtge","MTG_WAL")</f>
        <v>3.3969999999999998</v>
      </c>
      <c r="I2146" t="str">
        <f>_xll.BDP("FNCC0815 Mtge","MTG_ORIG_WAL")</f>
        <v>#N/A N/A</v>
      </c>
    </row>
    <row r="2147" spans="1:9" x14ac:dyDescent="0.25">
      <c r="A2147" t="str">
        <f>_xll.BDP("FNDB2875 Mtge","ID_CUSIP")</f>
        <v>3140ACFR9</v>
      </c>
      <c r="B2147" t="str">
        <f>_xll.BDP("FNDB2875 Mtge","SECURITY_NAME")</f>
        <v>FN DB2875</v>
      </c>
      <c r="C2147" t="str">
        <f>_xll.BDP("FNDB2875 Mtge","GENERIC_TICKER_VINTAGE")</f>
        <v>FNCL 6 2025</v>
      </c>
      <c r="D2147" t="str">
        <f>_xll.BDP("FNDB2875 Mtge","CRNCY")</f>
        <v>USD</v>
      </c>
      <c r="E2147">
        <v>1193602</v>
      </c>
      <c r="F2147">
        <f>_xll.BDP("FNDB2875 Mtge","CPN")</f>
        <v>6</v>
      </c>
      <c r="G2147">
        <f>_xll.BDP("FNDB2875 Mtge","MTG_FACTOR")</f>
        <v>0.98513384999999998</v>
      </c>
      <c r="H2147">
        <f>_xll.BDP("FNDB2875 Mtge","MTG_WAL")</f>
        <v>3.2012</v>
      </c>
      <c r="I2147" t="str">
        <f>_xll.BDP("FNDB2875 Mtge","MTG_ORIG_WAL")</f>
        <v>#N/A N/A</v>
      </c>
    </row>
    <row r="2148" spans="1:9" x14ac:dyDescent="0.25">
      <c r="A2148" t="str">
        <f>_xll.BDP("FNDB2890 Mtge","ID_CUSIP")</f>
        <v>3140ACF81</v>
      </c>
      <c r="B2148" t="str">
        <f>_xll.BDP("FNDB2890 Mtge","SECURITY_NAME")</f>
        <v>FN DB2890</v>
      </c>
      <c r="C2148" t="str">
        <f>_xll.BDP("FNDB2890 Mtge","GENERIC_TICKER_VINTAGE")</f>
        <v>FNCL 6 2025</v>
      </c>
      <c r="D2148" t="str">
        <f>_xll.BDP("FNDB2890 Mtge","CRNCY")</f>
        <v>USD</v>
      </c>
      <c r="E2148">
        <v>10214878</v>
      </c>
      <c r="F2148">
        <f>_xll.BDP("FNDB2890 Mtge","CPN")</f>
        <v>6</v>
      </c>
      <c r="G2148">
        <f>_xll.BDP("FNDB2890 Mtge","MTG_FACTOR")</f>
        <v>0.85989006000000001</v>
      </c>
      <c r="H2148">
        <f>_xll.BDP("FNDB2890 Mtge","MTG_WAL")</f>
        <v>3.1926999999999999</v>
      </c>
      <c r="I2148" t="str">
        <f>_xll.BDP("FNDB2890 Mtge","MTG_ORIG_WAL")</f>
        <v>#N/A N/A</v>
      </c>
    </row>
    <row r="2149" spans="1:9" x14ac:dyDescent="0.25">
      <c r="A2149" t="str">
        <f>_xll.BDP("FNDB4916 Mtge","ID_CUSIP")</f>
        <v>3140AEPA1</v>
      </c>
      <c r="B2149" t="str">
        <f>_xll.BDP("FNDB4916 Mtge","SECURITY_NAME")</f>
        <v>FN DB4916</v>
      </c>
      <c r="C2149" t="str">
        <f>_xll.BDP("FNDB4916 Mtge","GENERIC_TICKER_VINTAGE")</f>
        <v>FNCL 6 2025</v>
      </c>
      <c r="D2149" t="str">
        <f>_xll.BDP("FNDB4916 Mtge","CRNCY")</f>
        <v>USD</v>
      </c>
      <c r="E2149">
        <v>1028240</v>
      </c>
      <c r="F2149">
        <f>_xll.BDP("FNDB4916 Mtge","CPN")</f>
        <v>6</v>
      </c>
      <c r="G2149">
        <f>_xll.BDP("FNDB4916 Mtge","MTG_FACTOR")</f>
        <v>0.96983070000000005</v>
      </c>
      <c r="H2149">
        <f>_xll.BDP("FNDB4916 Mtge","MTG_WAL")</f>
        <v>3.145</v>
      </c>
      <c r="I2149" t="str">
        <f>_xll.BDP("FNDB4916 Mtge","MTG_ORIG_WAL")</f>
        <v>#N/A N/A</v>
      </c>
    </row>
    <row r="2150" spans="1:9" x14ac:dyDescent="0.25">
      <c r="A2150" t="str">
        <f>_xll.BDP("FNDB4924 Mtge","ID_CUSIP")</f>
        <v>3140AEPJ2</v>
      </c>
      <c r="B2150" t="str">
        <f>_xll.BDP("FNDB4924 Mtge","SECURITY_NAME")</f>
        <v>FN DB4924</v>
      </c>
      <c r="C2150" t="str">
        <f>_xll.BDP("FNDB4924 Mtge","GENERIC_TICKER_VINTAGE")</f>
        <v>FNCL 6 2025</v>
      </c>
      <c r="D2150" t="str">
        <f>_xll.BDP("FNDB4924 Mtge","CRNCY")</f>
        <v>USD</v>
      </c>
      <c r="E2150">
        <v>1249748</v>
      </c>
      <c r="F2150">
        <f>_xll.BDP("FNDB4924 Mtge","CPN")</f>
        <v>6</v>
      </c>
      <c r="G2150">
        <f>_xll.BDP("FNDB4924 Mtge","MTG_FACTOR")</f>
        <v>0.77193122999999997</v>
      </c>
      <c r="H2150">
        <f>_xll.BDP("FNDB4924 Mtge","MTG_WAL")</f>
        <v>3.1636000000000002</v>
      </c>
      <c r="I2150" t="str">
        <f>_xll.BDP("FNDB4924 Mtge","MTG_ORIG_WAL")</f>
        <v>#N/A N/A</v>
      </c>
    </row>
    <row r="2151" spans="1:9" x14ac:dyDescent="0.25">
      <c r="A2151" t="str">
        <f>_xll.BDP("FNDB7454 Mtge","ID_CUSIP")</f>
        <v>3140AHH88</v>
      </c>
      <c r="B2151" t="str">
        <f>_xll.BDP("FNDB7454 Mtge","SECURITY_NAME")</f>
        <v>FN DB7454</v>
      </c>
      <c r="C2151" t="str">
        <f>_xll.BDP("FNDB7454 Mtge","GENERIC_TICKER_VINTAGE")</f>
        <v>FNCL 6 2025</v>
      </c>
      <c r="D2151" t="str">
        <f>_xll.BDP("FNDB7454 Mtge","CRNCY")</f>
        <v>USD</v>
      </c>
      <c r="E2151">
        <v>1056341</v>
      </c>
      <c r="F2151">
        <f>_xll.BDP("FNDB7454 Mtge","CPN")</f>
        <v>6</v>
      </c>
      <c r="G2151">
        <f>_xll.BDP("FNDB7454 Mtge","MTG_FACTOR")</f>
        <v>0.98587303000000004</v>
      </c>
      <c r="H2151">
        <f>_xll.BDP("FNDB7454 Mtge","MTG_WAL")</f>
        <v>3.1608000000000001</v>
      </c>
      <c r="I2151" t="str">
        <f>_xll.BDP("FNDB7454 Mtge","MTG_ORIG_WAL")</f>
        <v>#N/A N/A</v>
      </c>
    </row>
    <row r="2152" spans="1:9" x14ac:dyDescent="0.25">
      <c r="A2152" t="str">
        <f>_xll.BDP("FNDB7467 Mtge","ID_CUSIP")</f>
        <v>3140AHJM5</v>
      </c>
      <c r="B2152" t="str">
        <f>_xll.BDP("FNDB7467 Mtge","SECURITY_NAME")</f>
        <v>FN DB7467</v>
      </c>
      <c r="C2152" t="str">
        <f>_xll.BDP("FNDB7467 Mtge","GENERIC_TICKER_VINTAGE")</f>
        <v>FNCL 6 2025</v>
      </c>
      <c r="D2152" t="str">
        <f>_xll.BDP("FNDB7467 Mtge","CRNCY")</f>
        <v>USD</v>
      </c>
      <c r="E2152">
        <v>1452504</v>
      </c>
      <c r="F2152">
        <f>_xll.BDP("FNDB7467 Mtge","CPN")</f>
        <v>6</v>
      </c>
      <c r="G2152">
        <f>_xll.BDP("FNDB7467 Mtge","MTG_FACTOR")</f>
        <v>0.95782120000000004</v>
      </c>
      <c r="H2152">
        <f>_xll.BDP("FNDB7467 Mtge","MTG_WAL")</f>
        <v>3.18</v>
      </c>
      <c r="I2152" t="str">
        <f>_xll.BDP("FNDB7467 Mtge","MTG_ORIG_WAL")</f>
        <v>#N/A N/A</v>
      </c>
    </row>
    <row r="2153" spans="1:9" x14ac:dyDescent="0.25">
      <c r="A2153" t="str">
        <f>_xll.BDP("FNDB7476 Mtge","ID_CUSIP")</f>
        <v>3140AHJW3</v>
      </c>
      <c r="B2153" t="str">
        <f>_xll.BDP("FNDB7476 Mtge","SECURITY_NAME")</f>
        <v>FN DB7476</v>
      </c>
      <c r="C2153" t="str">
        <f>_xll.BDP("FNDB7476 Mtge","GENERIC_TICKER_VINTAGE")</f>
        <v>FNCL 6 2025</v>
      </c>
      <c r="D2153" t="str">
        <f>_xll.BDP("FNDB7476 Mtge","CRNCY")</f>
        <v>USD</v>
      </c>
      <c r="E2153">
        <v>1140581</v>
      </c>
      <c r="F2153">
        <f>_xll.BDP("FNDB7476 Mtge","CPN")</f>
        <v>6</v>
      </c>
      <c r="G2153">
        <f>_xll.BDP("FNDB7476 Mtge","MTG_FACTOR")</f>
        <v>0.69719958999999998</v>
      </c>
      <c r="H2153">
        <f>_xll.BDP("FNDB7476 Mtge","MTG_WAL")</f>
        <v>3.1699000000000002</v>
      </c>
      <c r="I2153" t="str">
        <f>_xll.BDP("FNDB7476 Mtge","MTG_ORIG_WAL")</f>
        <v>#N/A N/A</v>
      </c>
    </row>
    <row r="2154" spans="1:9" x14ac:dyDescent="0.25">
      <c r="A2154" t="str">
        <f>_xll.BDP("FNDB7477 Mtge","ID_CUSIP")</f>
        <v>3140AHJX1</v>
      </c>
      <c r="B2154" t="str">
        <f>_xll.BDP("FNDB7477 Mtge","SECURITY_NAME")</f>
        <v>FN DB7477</v>
      </c>
      <c r="C2154" t="str">
        <f>_xll.BDP("FNDB7477 Mtge","GENERIC_TICKER_VINTAGE")</f>
        <v>FNCL 6 2025</v>
      </c>
      <c r="D2154" t="str">
        <f>_xll.BDP("FNDB7477 Mtge","CRNCY")</f>
        <v>USD</v>
      </c>
      <c r="E2154">
        <v>1334519</v>
      </c>
      <c r="F2154">
        <f>_xll.BDP("FNDB7477 Mtge","CPN")</f>
        <v>6</v>
      </c>
      <c r="G2154">
        <f>_xll.BDP("FNDB7477 Mtge","MTG_FACTOR")</f>
        <v>0.98840468000000004</v>
      </c>
      <c r="H2154">
        <f>_xll.BDP("FNDB7477 Mtge","MTG_WAL")</f>
        <v>3.1597</v>
      </c>
      <c r="I2154" t="str">
        <f>_xll.BDP("FNDB7477 Mtge","MTG_ORIG_WAL")</f>
        <v>#N/A N/A</v>
      </c>
    </row>
    <row r="2155" spans="1:9" x14ac:dyDescent="0.25">
      <c r="A2155" t="str">
        <f>_xll.BDP("FNDC0768 Mtge","ID_CUSIP")</f>
        <v>3140AM2A8</v>
      </c>
      <c r="B2155" t="str">
        <f>_xll.BDP("FNDC0768 Mtge","SECURITY_NAME")</f>
        <v>FN DC0768</v>
      </c>
      <c r="C2155" t="str">
        <f>_xll.BDP("FNDC0768 Mtge","GENERIC_TICKER_VINTAGE")</f>
        <v>FNCL 6 2025</v>
      </c>
      <c r="D2155" t="str">
        <f>_xll.BDP("FNDC0768 Mtge","CRNCY")</f>
        <v>USD</v>
      </c>
      <c r="E2155">
        <v>2127234</v>
      </c>
      <c r="F2155">
        <f>_xll.BDP("FNDC0768 Mtge","CPN")</f>
        <v>6</v>
      </c>
      <c r="G2155">
        <f>_xll.BDP("FNDC0768 Mtge","MTG_FACTOR")</f>
        <v>0.88506218000000003</v>
      </c>
      <c r="H2155">
        <f>_xll.BDP("FNDC0768 Mtge","MTG_WAL")</f>
        <v>3.1623999999999999</v>
      </c>
      <c r="I2155" t="str">
        <f>_xll.BDP("FNDC0768 Mtge","MTG_ORIG_WAL")</f>
        <v>#N/A N/A</v>
      </c>
    </row>
    <row r="2156" spans="1:9" x14ac:dyDescent="0.25">
      <c r="A2156" t="str">
        <f>_xll.BDP("FNDC0771 Mtge","ID_CUSIP")</f>
        <v>3140AM2D2</v>
      </c>
      <c r="B2156" t="str">
        <f>_xll.BDP("FNDC0771 Mtge","SECURITY_NAME")</f>
        <v>FN DC0771</v>
      </c>
      <c r="C2156" t="str">
        <f>_xll.BDP("FNDC0771 Mtge","GENERIC_TICKER_VINTAGE")</f>
        <v>FNCL 6 2025</v>
      </c>
      <c r="D2156" t="str">
        <f>_xll.BDP("FNDC0771 Mtge","CRNCY")</f>
        <v>USD</v>
      </c>
      <c r="E2156">
        <v>1910535</v>
      </c>
      <c r="F2156">
        <f>_xll.BDP("FNDC0771 Mtge","CPN")</f>
        <v>6</v>
      </c>
      <c r="G2156">
        <f>_xll.BDP("FNDC0771 Mtge","MTG_FACTOR")</f>
        <v>0.98393854000000003</v>
      </c>
      <c r="H2156">
        <f>_xll.BDP("FNDC0771 Mtge","MTG_WAL")</f>
        <v>3.1991000000000001</v>
      </c>
      <c r="I2156" t="str">
        <f>_xll.BDP("FNDC0771 Mtge","MTG_ORIG_WAL")</f>
        <v>#N/A N/A</v>
      </c>
    </row>
    <row r="2157" spans="1:9" x14ac:dyDescent="0.25">
      <c r="A2157" t="str">
        <f>_xll.BDP("FNDC0773 Mtge","ID_CUSIP")</f>
        <v>3140AM2F7</v>
      </c>
      <c r="B2157" t="str">
        <f>_xll.BDP("FNDC0773 Mtge","SECURITY_NAME")</f>
        <v>FN DC0773</v>
      </c>
      <c r="C2157" t="str">
        <f>_xll.BDP("FNDC0773 Mtge","GENERIC_TICKER_VINTAGE")</f>
        <v>FNCL 6 2025</v>
      </c>
      <c r="D2157" t="str">
        <f>_xll.BDP("FNDC0773 Mtge","CRNCY")</f>
        <v>USD</v>
      </c>
      <c r="E2157">
        <v>1067773</v>
      </c>
      <c r="F2157">
        <f>_xll.BDP("FNDC0773 Mtge","CPN")</f>
        <v>6</v>
      </c>
      <c r="G2157">
        <f>_xll.BDP("FNDC0773 Mtge","MTG_FACTOR")</f>
        <v>0.89018976999999999</v>
      </c>
      <c r="H2157">
        <f>_xll.BDP("FNDC0773 Mtge","MTG_WAL")</f>
        <v>3.1983000000000001</v>
      </c>
      <c r="I2157" t="str">
        <f>_xll.BDP("FNDC0773 Mtge","MTG_ORIG_WAL")</f>
        <v>#N/A N/A</v>
      </c>
    </row>
    <row r="2158" spans="1:9" x14ac:dyDescent="0.25">
      <c r="A2158" t="str">
        <f>_xll.BDP("FNDC0826 Mtge","ID_CUSIP")</f>
        <v>3140AM4L2</v>
      </c>
      <c r="B2158" t="str">
        <f>_xll.BDP("FNDC0826 Mtge","SECURITY_NAME")</f>
        <v>FN DC0826</v>
      </c>
      <c r="C2158" t="str">
        <f>_xll.BDP("FNDC0826 Mtge","GENERIC_TICKER_VINTAGE")</f>
        <v>FNCL 6 2025</v>
      </c>
      <c r="D2158" t="str">
        <f>_xll.BDP("FNDC0826 Mtge","CRNCY")</f>
        <v>USD</v>
      </c>
      <c r="E2158">
        <v>3785725</v>
      </c>
      <c r="F2158">
        <f>_xll.BDP("FNDC0826 Mtge","CPN")</f>
        <v>6</v>
      </c>
      <c r="G2158">
        <f>_xll.BDP("FNDC0826 Mtge","MTG_FACTOR")</f>
        <v>0.90842204999999998</v>
      </c>
      <c r="H2158">
        <f>_xll.BDP("FNDC0826 Mtge","MTG_WAL")</f>
        <v>3.1574</v>
      </c>
      <c r="I2158" t="str">
        <f>_xll.BDP("FNDC0826 Mtge","MTG_ORIG_WAL")</f>
        <v>#N/A N/A</v>
      </c>
    </row>
    <row r="2159" spans="1:9" x14ac:dyDescent="0.25">
      <c r="A2159" t="str">
        <f>_xll.BDP("FNDC0827 Mtge","ID_CUSIP")</f>
        <v>3140AM4M0</v>
      </c>
      <c r="B2159" t="str">
        <f>_xll.BDP("FNDC0827 Mtge","SECURITY_NAME")</f>
        <v>FN DC0827</v>
      </c>
      <c r="C2159" t="str">
        <f>_xll.BDP("FNDC0827 Mtge","GENERIC_TICKER_VINTAGE")</f>
        <v>FNCL 6 2025</v>
      </c>
      <c r="D2159" t="str">
        <f>_xll.BDP("FNDC0827 Mtge","CRNCY")</f>
        <v>USD</v>
      </c>
      <c r="E2159">
        <v>1776606</v>
      </c>
      <c r="F2159">
        <f>_xll.BDP("FNDC0827 Mtge","CPN")</f>
        <v>6</v>
      </c>
      <c r="G2159">
        <f>_xll.BDP("FNDC0827 Mtge","MTG_FACTOR")</f>
        <v>0.89262914000000004</v>
      </c>
      <c r="H2159">
        <f>_xll.BDP("FNDC0827 Mtge","MTG_WAL")</f>
        <v>3.1541000000000001</v>
      </c>
      <c r="I2159" t="str">
        <f>_xll.BDP("FNDC0827 Mtge","MTG_ORIG_WAL")</f>
        <v>#N/A N/A</v>
      </c>
    </row>
    <row r="2160" spans="1:9" x14ac:dyDescent="0.25">
      <c r="A2160" t="str">
        <f>_xll.BDP("FNDC0828 Mtge","ID_CUSIP")</f>
        <v>3140AM4N8</v>
      </c>
      <c r="B2160" t="str">
        <f>_xll.BDP("FNDC0828 Mtge","SECURITY_NAME")</f>
        <v>FN DC0828</v>
      </c>
      <c r="C2160" t="str">
        <f>_xll.BDP("FNDC0828 Mtge","GENERIC_TICKER_VINTAGE")</f>
        <v>FNCL 6 2025</v>
      </c>
      <c r="D2160" t="str">
        <f>_xll.BDP("FNDC0828 Mtge","CRNCY")</f>
        <v>USD</v>
      </c>
      <c r="E2160">
        <v>3388563</v>
      </c>
      <c r="F2160">
        <f>_xll.BDP("FNDC0828 Mtge","CPN")</f>
        <v>6</v>
      </c>
      <c r="G2160">
        <f>_xll.BDP("FNDC0828 Mtge","MTG_FACTOR")</f>
        <v>0.91699125999999997</v>
      </c>
      <c r="H2160">
        <f>_xll.BDP("FNDC0828 Mtge","MTG_WAL")</f>
        <v>3.1574</v>
      </c>
      <c r="I2160" t="str">
        <f>_xll.BDP("FNDC0828 Mtge","MTG_ORIG_WAL")</f>
        <v>#N/A N/A</v>
      </c>
    </row>
    <row r="2161" spans="1:9" x14ac:dyDescent="0.25">
      <c r="A2161" t="str">
        <f>_xll.BDP("FNDC0829 Mtge","ID_CUSIP")</f>
        <v>3140AM4P3</v>
      </c>
      <c r="B2161" t="str">
        <f>_xll.BDP("FNDC0829 Mtge","SECURITY_NAME")</f>
        <v>FN DC0829</v>
      </c>
      <c r="C2161" t="str">
        <f>_xll.BDP("FNDC0829 Mtge","GENERIC_TICKER_VINTAGE")</f>
        <v>FNCL 6 2025</v>
      </c>
      <c r="D2161" t="str">
        <f>_xll.BDP("FNDC0829 Mtge","CRNCY")</f>
        <v>USD</v>
      </c>
      <c r="E2161">
        <v>2392407</v>
      </c>
      <c r="F2161">
        <f>_xll.BDP("FNDC0829 Mtge","CPN")</f>
        <v>6</v>
      </c>
      <c r="G2161">
        <f>_xll.BDP("FNDC0829 Mtge","MTG_FACTOR")</f>
        <v>0.98564647000000005</v>
      </c>
      <c r="H2161">
        <f>_xll.BDP("FNDC0829 Mtge","MTG_WAL")</f>
        <v>3.1576</v>
      </c>
      <c r="I2161" t="str">
        <f>_xll.BDP("FNDC0829 Mtge","MTG_ORIG_WAL")</f>
        <v>#N/A N/A</v>
      </c>
    </row>
    <row r="2162" spans="1:9" x14ac:dyDescent="0.25">
      <c r="A2162" t="str">
        <f>_xll.BDP("FNDC0831 Mtge","ID_CUSIP")</f>
        <v>3140AM4R9</v>
      </c>
      <c r="B2162" t="str">
        <f>_xll.BDP("FNDC0831 Mtge","SECURITY_NAME")</f>
        <v>FN DC0831</v>
      </c>
      <c r="C2162" t="str">
        <f>_xll.BDP("FNDC0831 Mtge","GENERIC_TICKER_VINTAGE")</f>
        <v>FNCL 6 2025</v>
      </c>
      <c r="D2162" t="str">
        <f>_xll.BDP("FNDC0831 Mtge","CRNCY")</f>
        <v>USD</v>
      </c>
      <c r="E2162">
        <v>3694981</v>
      </c>
      <c r="F2162">
        <f>_xll.BDP("FNDC0831 Mtge","CPN")</f>
        <v>6</v>
      </c>
      <c r="G2162">
        <f>_xll.BDP("FNDC0831 Mtge","MTG_FACTOR")</f>
        <v>0.90055246</v>
      </c>
      <c r="H2162">
        <f>_xll.BDP("FNDC0831 Mtge","MTG_WAL")</f>
        <v>3.1507000000000001</v>
      </c>
      <c r="I2162" t="str">
        <f>_xll.BDP("FNDC0831 Mtge","MTG_ORIG_WAL")</f>
        <v>#N/A N/A</v>
      </c>
    </row>
    <row r="2163" spans="1:9" x14ac:dyDescent="0.25">
      <c r="A2163" t="str">
        <f>_xll.BDP("FNDC0837 Mtge","ID_CUSIP")</f>
        <v>3140AM4X6</v>
      </c>
      <c r="B2163" t="str">
        <f>_xll.BDP("FNDC0837 Mtge","SECURITY_NAME")</f>
        <v>FN DC0837</v>
      </c>
      <c r="C2163" t="str">
        <f>_xll.BDP("FNDC0837 Mtge","GENERIC_TICKER_VINTAGE")</f>
        <v>FNCL 6 2025</v>
      </c>
      <c r="D2163" t="str">
        <f>_xll.BDP("FNDC0837 Mtge","CRNCY")</f>
        <v>USD</v>
      </c>
      <c r="E2163">
        <v>40982974</v>
      </c>
      <c r="F2163">
        <f>_xll.BDP("FNDC0837 Mtge","CPN")</f>
        <v>6</v>
      </c>
      <c r="G2163">
        <f>_xll.BDP("FNDC0837 Mtge","MTG_FACTOR")</f>
        <v>0.77779715999999999</v>
      </c>
      <c r="H2163">
        <f>_xll.BDP("FNDC0837 Mtge","MTG_WAL")</f>
        <v>3.1528</v>
      </c>
      <c r="I2163" t="str">
        <f>_xll.BDP("FNDC0837 Mtge","MTG_ORIG_WAL")</f>
        <v>#N/A N/A</v>
      </c>
    </row>
    <row r="2164" spans="1:9" x14ac:dyDescent="0.25">
      <c r="A2164" t="str">
        <f>_xll.BDP("FNDC0878 Mtge","ID_CUSIP")</f>
        <v>3140AM6Q9</v>
      </c>
      <c r="B2164" t="str">
        <f>_xll.BDP("FNDC0878 Mtge","SECURITY_NAME")</f>
        <v>FN DC0878</v>
      </c>
      <c r="C2164" t="str">
        <f>_xll.BDP("FNDC0878 Mtge","GENERIC_TICKER_VINTAGE")</f>
        <v>FNCL 6 2025</v>
      </c>
      <c r="D2164" t="str">
        <f>_xll.BDP("FNDC0878 Mtge","CRNCY")</f>
        <v>USD</v>
      </c>
      <c r="E2164">
        <v>4277092</v>
      </c>
      <c r="F2164">
        <f>_xll.BDP("FNDC0878 Mtge","CPN")</f>
        <v>6</v>
      </c>
      <c r="G2164">
        <f>_xll.BDP("FNDC0878 Mtge","MTG_FACTOR")</f>
        <v>0.98690745000000002</v>
      </c>
      <c r="H2164">
        <f>_xll.BDP("FNDC0878 Mtge","MTG_WAL")</f>
        <v>3.2023999999999999</v>
      </c>
      <c r="I2164" t="str">
        <f>_xll.BDP("FNDC0878 Mtge","MTG_ORIG_WAL")</f>
        <v>#N/A N/A</v>
      </c>
    </row>
    <row r="2165" spans="1:9" x14ac:dyDescent="0.25">
      <c r="A2165" t="str">
        <f>_xll.BDP("FNDC0884 Mtge","ID_CUSIP")</f>
        <v>3140AM6W6</v>
      </c>
      <c r="B2165" t="str">
        <f>_xll.BDP("FNDC0884 Mtge","SECURITY_NAME")</f>
        <v>FN DC0884</v>
      </c>
      <c r="C2165" t="str">
        <f>_xll.BDP("FNDC0884 Mtge","GENERIC_TICKER_VINTAGE")</f>
        <v>FNCL 6 2025</v>
      </c>
      <c r="D2165" t="str">
        <f>_xll.BDP("FNDC0884 Mtge","CRNCY")</f>
        <v>USD</v>
      </c>
      <c r="E2165">
        <v>44699845</v>
      </c>
      <c r="F2165">
        <f>_xll.BDP("FNDC0884 Mtge","CPN")</f>
        <v>6</v>
      </c>
      <c r="G2165">
        <f>_xll.BDP("FNDC0884 Mtge","MTG_FACTOR")</f>
        <v>0.86588807000000001</v>
      </c>
      <c r="H2165">
        <f>_xll.BDP("FNDC0884 Mtge","MTG_WAL")</f>
        <v>3.1974999999999998</v>
      </c>
      <c r="I2165" t="str">
        <f>_xll.BDP("FNDC0884 Mtge","MTG_ORIG_WAL")</f>
        <v>#N/A N/A</v>
      </c>
    </row>
    <row r="2166" spans="1:9" x14ac:dyDescent="0.25">
      <c r="A2166" t="str">
        <f>_xll.BDP("FNDC0887 Mtge","ID_CUSIP")</f>
        <v>3140AM6Z9</v>
      </c>
      <c r="B2166" t="str">
        <f>_xll.BDP("FNDC0887 Mtge","SECURITY_NAME")</f>
        <v>FN DC0887</v>
      </c>
      <c r="C2166" t="str">
        <f>_xll.BDP("FNDC0887 Mtge","GENERIC_TICKER_VINTAGE")</f>
        <v>FNCL 6 2025</v>
      </c>
      <c r="D2166" t="str">
        <f>_xll.BDP("FNDC0887 Mtge","CRNCY")</f>
        <v>USD</v>
      </c>
      <c r="E2166">
        <v>2884248</v>
      </c>
      <c r="F2166">
        <f>_xll.BDP("FNDC0887 Mtge","CPN")</f>
        <v>6</v>
      </c>
      <c r="G2166">
        <f>_xll.BDP("FNDC0887 Mtge","MTG_FACTOR")</f>
        <v>0.91650505999999998</v>
      </c>
      <c r="H2166">
        <f>_xll.BDP("FNDC0887 Mtge","MTG_WAL")</f>
        <v>3.1993</v>
      </c>
      <c r="I2166" t="str">
        <f>_xll.BDP("FNDC0887 Mtge","MTG_ORIG_WAL")</f>
        <v>#N/A N/A</v>
      </c>
    </row>
    <row r="2167" spans="1:9" x14ac:dyDescent="0.25">
      <c r="A2167" t="str">
        <f>_xll.BDP("FNDC0889 Mtge","ID_CUSIP")</f>
        <v>3140AM7B1</v>
      </c>
      <c r="B2167" t="str">
        <f>_xll.BDP("FNDC0889 Mtge","SECURITY_NAME")</f>
        <v>FN DC0889</v>
      </c>
      <c r="C2167" t="str">
        <f>_xll.BDP("FNDC0889 Mtge","GENERIC_TICKER_VINTAGE")</f>
        <v>FNCL 6 2025</v>
      </c>
      <c r="D2167" t="str">
        <f>_xll.BDP("FNDC0889 Mtge","CRNCY")</f>
        <v>USD</v>
      </c>
      <c r="E2167">
        <v>3091521</v>
      </c>
      <c r="F2167">
        <f>_xll.BDP("FNDC0889 Mtge","CPN")</f>
        <v>6</v>
      </c>
      <c r="G2167">
        <f>_xll.BDP("FNDC0889 Mtge","MTG_FACTOR")</f>
        <v>0.93884173999999998</v>
      </c>
      <c r="H2167">
        <f>_xll.BDP("FNDC0889 Mtge","MTG_WAL")</f>
        <v>3.2025000000000001</v>
      </c>
      <c r="I2167" t="str">
        <f>_xll.BDP("FNDC0889 Mtge","MTG_ORIG_WAL")</f>
        <v>#N/A N/A</v>
      </c>
    </row>
    <row r="2168" spans="1:9" x14ac:dyDescent="0.25">
      <c r="A2168" t="str">
        <f>_xll.BDP("FNDC0890 Mtge","ID_CUSIP")</f>
        <v>3140AM7C9</v>
      </c>
      <c r="B2168" t="str">
        <f>_xll.BDP("FNDC0890 Mtge","SECURITY_NAME")</f>
        <v>FN DC0890</v>
      </c>
      <c r="C2168" t="str">
        <f>_xll.BDP("FNDC0890 Mtge","GENERIC_TICKER_VINTAGE")</f>
        <v>FNCL 6 2025</v>
      </c>
      <c r="D2168" t="str">
        <f>_xll.BDP("FNDC0890 Mtge","CRNCY")</f>
        <v>USD</v>
      </c>
      <c r="E2168">
        <v>3077811</v>
      </c>
      <c r="F2168">
        <f>_xll.BDP("FNDC0890 Mtge","CPN")</f>
        <v>6</v>
      </c>
      <c r="G2168">
        <f>_xll.BDP("FNDC0890 Mtge","MTG_FACTOR")</f>
        <v>0.98685265</v>
      </c>
      <c r="H2168">
        <f>_xll.BDP("FNDC0890 Mtge","MTG_WAL")</f>
        <v>3.2012</v>
      </c>
      <c r="I2168" t="str">
        <f>_xll.BDP("FNDC0890 Mtge","MTG_ORIG_WAL")</f>
        <v>#N/A N/A</v>
      </c>
    </row>
    <row r="2169" spans="1:9" x14ac:dyDescent="0.25">
      <c r="A2169" t="str">
        <f>_xll.BDP("FNDC2580 Mtge","ID_CUSIP")</f>
        <v>3140AP2N3</v>
      </c>
      <c r="B2169" t="str">
        <f>_xll.BDP("FNDC2580 Mtge","SECURITY_NAME")</f>
        <v>FN DC2580</v>
      </c>
      <c r="C2169" t="str">
        <f>_xll.BDP("FNDC2580 Mtge","GENERIC_TICKER_VINTAGE")</f>
        <v>FNCL 6 2025</v>
      </c>
      <c r="D2169" t="str">
        <f>_xll.BDP("FNDC2580 Mtge","CRNCY")</f>
        <v>USD</v>
      </c>
      <c r="E2169">
        <v>21104097</v>
      </c>
      <c r="F2169">
        <f>_xll.BDP("FNDC2580 Mtge","CPN")</f>
        <v>6</v>
      </c>
      <c r="G2169">
        <f>_xll.BDP("FNDC2580 Mtge","MTG_FACTOR")</f>
        <v>0.98175506999999995</v>
      </c>
      <c r="H2169">
        <f>_xll.BDP("FNDC2580 Mtge","MTG_WAL")</f>
        <v>3.1564999999999999</v>
      </c>
      <c r="I2169" t="str">
        <f>_xll.BDP("FNDC2580 Mtge","MTG_ORIG_WAL")</f>
        <v>#N/A N/A</v>
      </c>
    </row>
    <row r="2170" spans="1:9" x14ac:dyDescent="0.25">
      <c r="A2170" t="str">
        <f>_xll.BDP("FNDC2581 Mtge","ID_CUSIP")</f>
        <v>3140AP2P8</v>
      </c>
      <c r="B2170" t="str">
        <f>_xll.BDP("FNDC2581 Mtge","SECURITY_NAME")</f>
        <v>FN DC2581</v>
      </c>
      <c r="C2170" t="str">
        <f>_xll.BDP("FNDC2581 Mtge","GENERIC_TICKER_VINTAGE")</f>
        <v>FNCL 6 2025</v>
      </c>
      <c r="D2170" t="str">
        <f>_xll.BDP("FNDC2581 Mtge","CRNCY")</f>
        <v>USD</v>
      </c>
      <c r="E2170">
        <v>1281947</v>
      </c>
      <c r="F2170">
        <f>_xll.BDP("FNDC2581 Mtge","CPN")</f>
        <v>6</v>
      </c>
      <c r="G2170">
        <f>_xll.BDP("FNDC2581 Mtge","MTG_FACTOR")</f>
        <v>0.98978776000000002</v>
      </c>
      <c r="H2170">
        <f>_xll.BDP("FNDC2581 Mtge","MTG_WAL")</f>
        <v>3.1638000000000002</v>
      </c>
      <c r="I2170" t="str">
        <f>_xll.BDP("FNDC2581 Mtge","MTG_ORIG_WAL")</f>
        <v>#N/A N/A</v>
      </c>
    </row>
    <row r="2171" spans="1:9" x14ac:dyDescent="0.25">
      <c r="A2171" t="str">
        <f>_xll.BDP("FNDC2583 Mtge","ID_CUSIP")</f>
        <v>3140AP2R4</v>
      </c>
      <c r="B2171" t="str">
        <f>_xll.BDP("FNDC2583 Mtge","SECURITY_NAME")</f>
        <v>FN DC2583</v>
      </c>
      <c r="C2171" t="str">
        <f>_xll.BDP("FNDC2583 Mtge","GENERIC_TICKER_VINTAGE")</f>
        <v>FNCL 6 2025</v>
      </c>
      <c r="D2171" t="str">
        <f>_xll.BDP("FNDC2583 Mtge","CRNCY")</f>
        <v>USD</v>
      </c>
      <c r="E2171">
        <v>1806697</v>
      </c>
      <c r="F2171">
        <f>_xll.BDP("FNDC2583 Mtge","CPN")</f>
        <v>6</v>
      </c>
      <c r="G2171">
        <f>_xll.BDP("FNDC2583 Mtge","MTG_FACTOR")</f>
        <v>0.98970351000000001</v>
      </c>
      <c r="H2171">
        <f>_xll.BDP("FNDC2583 Mtge","MTG_WAL")</f>
        <v>3.1636000000000002</v>
      </c>
      <c r="I2171" t="str">
        <f>_xll.BDP("FNDC2583 Mtge","MTG_ORIG_WAL")</f>
        <v>#N/A N/A</v>
      </c>
    </row>
    <row r="2172" spans="1:9" x14ac:dyDescent="0.25">
      <c r="A2172" t="str">
        <f>_xll.BDP("FNDC2586 Mtge","ID_CUSIP")</f>
        <v>3140AP2U7</v>
      </c>
      <c r="B2172" t="str">
        <f>_xll.BDP("FNDC2586 Mtge","SECURITY_NAME")</f>
        <v>FN DC2586</v>
      </c>
      <c r="C2172" t="str">
        <f>_xll.BDP("FNDC2586 Mtge","GENERIC_TICKER_VINTAGE")</f>
        <v>FNCL 6 2025</v>
      </c>
      <c r="D2172" t="str">
        <f>_xll.BDP("FNDC2586 Mtge","CRNCY")</f>
        <v>USD</v>
      </c>
      <c r="E2172">
        <v>10138889</v>
      </c>
      <c r="F2172">
        <f>_xll.BDP("FNDC2586 Mtge","CPN")</f>
        <v>6</v>
      </c>
      <c r="G2172">
        <f>_xll.BDP("FNDC2586 Mtge","MTG_FACTOR")</f>
        <v>0.91738839000000005</v>
      </c>
      <c r="H2172">
        <f>_xll.BDP("FNDC2586 Mtge","MTG_WAL")</f>
        <v>3.161</v>
      </c>
      <c r="I2172" t="str">
        <f>_xll.BDP("FNDC2586 Mtge","MTG_ORIG_WAL")</f>
        <v>#N/A N/A</v>
      </c>
    </row>
    <row r="2173" spans="1:9" x14ac:dyDescent="0.25">
      <c r="A2173" t="str">
        <f>_xll.BDP("FNDC2591 Mtge","ID_CUSIP")</f>
        <v>3140AP2Z6</v>
      </c>
      <c r="B2173" t="str">
        <f>_xll.BDP("FNDC2591 Mtge","SECURITY_NAME")</f>
        <v>FN DC2591</v>
      </c>
      <c r="C2173" t="str">
        <f>_xll.BDP("FNDC2591 Mtge","GENERIC_TICKER_VINTAGE")</f>
        <v>FNCL 6 2025</v>
      </c>
      <c r="D2173" t="str">
        <f>_xll.BDP("FNDC2591 Mtge","CRNCY")</f>
        <v>USD</v>
      </c>
      <c r="E2173">
        <v>1460548</v>
      </c>
      <c r="F2173">
        <f>_xll.BDP("FNDC2591 Mtge","CPN")</f>
        <v>6</v>
      </c>
      <c r="G2173">
        <f>_xll.BDP("FNDC2591 Mtge","MTG_FACTOR")</f>
        <v>0.98687526999999997</v>
      </c>
      <c r="H2173">
        <f>_xll.BDP("FNDC2591 Mtge","MTG_WAL")</f>
        <v>3.2014999999999998</v>
      </c>
      <c r="I2173" t="str">
        <f>_xll.BDP("FNDC2591 Mtge","MTG_ORIG_WAL")</f>
        <v>#N/A N/A</v>
      </c>
    </row>
    <row r="2174" spans="1:9" x14ac:dyDescent="0.25">
      <c r="A2174" t="str">
        <f>_xll.BDP("FNDC2593 Mtge","ID_CUSIP")</f>
        <v>3140AP3B8</v>
      </c>
      <c r="B2174" t="str">
        <f>_xll.BDP("FNDC2593 Mtge","SECURITY_NAME")</f>
        <v>FN DC2593</v>
      </c>
      <c r="C2174" t="str">
        <f>_xll.BDP("FNDC2593 Mtge","GENERIC_TICKER_VINTAGE")</f>
        <v>FNCL 6 2025</v>
      </c>
      <c r="D2174" t="str">
        <f>_xll.BDP("FNDC2593 Mtge","CRNCY")</f>
        <v>USD</v>
      </c>
      <c r="E2174">
        <v>18115015</v>
      </c>
      <c r="F2174">
        <f>_xll.BDP("FNDC2593 Mtge","CPN")</f>
        <v>6</v>
      </c>
      <c r="G2174">
        <f>_xll.BDP("FNDC2593 Mtge","MTG_FACTOR")</f>
        <v>0.98853484000000003</v>
      </c>
      <c r="H2174">
        <f>_xll.BDP("FNDC2593 Mtge","MTG_WAL")</f>
        <v>3.1619000000000002</v>
      </c>
      <c r="I2174" t="str">
        <f>_xll.BDP("FNDC2593 Mtge","MTG_ORIG_WAL")</f>
        <v>#N/A N/A</v>
      </c>
    </row>
    <row r="2175" spans="1:9" x14ac:dyDescent="0.25">
      <c r="A2175" t="str">
        <f>_xll.BDP("FNDC2597 Mtge","ID_CUSIP")</f>
        <v>3140AP3F9</v>
      </c>
      <c r="B2175" t="str">
        <f>_xll.BDP("FNDC2597 Mtge","SECURITY_NAME")</f>
        <v>FN DC2597</v>
      </c>
      <c r="C2175" t="str">
        <f>_xll.BDP("FNDC2597 Mtge","GENERIC_TICKER_VINTAGE")</f>
        <v>FNCL 6 2025</v>
      </c>
      <c r="D2175" t="str">
        <f>_xll.BDP("FNDC2597 Mtge","CRNCY")</f>
        <v>USD</v>
      </c>
      <c r="E2175">
        <v>2018346</v>
      </c>
      <c r="F2175">
        <f>_xll.BDP("FNDC2597 Mtge","CPN")</f>
        <v>6</v>
      </c>
      <c r="G2175">
        <f>_xll.BDP("FNDC2597 Mtge","MTG_FACTOR")</f>
        <v>0.86513905999999996</v>
      </c>
      <c r="H2175">
        <f>_xll.BDP("FNDC2597 Mtge","MTG_WAL")</f>
        <v>3.1619999999999999</v>
      </c>
      <c r="I2175" t="str">
        <f>_xll.BDP("FNDC2597 Mtge","MTG_ORIG_WAL")</f>
        <v>#N/A N/A</v>
      </c>
    </row>
    <row r="2176" spans="1:9" x14ac:dyDescent="0.25">
      <c r="A2176" t="str">
        <f>_xll.BDP("FNDC2599 Mtge","ID_CUSIP")</f>
        <v>3140AP3H5</v>
      </c>
      <c r="B2176" t="str">
        <f>_xll.BDP("FNDC2599 Mtge","SECURITY_NAME")</f>
        <v>FN DC2599</v>
      </c>
      <c r="C2176" t="str">
        <f>_xll.BDP("FNDC2599 Mtge","GENERIC_TICKER_VINTAGE")</f>
        <v>FNCL 6 2025</v>
      </c>
      <c r="D2176" t="str">
        <f>_xll.BDP("FNDC2599 Mtge","CRNCY")</f>
        <v>USD</v>
      </c>
      <c r="E2176">
        <v>4669250</v>
      </c>
      <c r="F2176">
        <f>_xll.BDP("FNDC2599 Mtge","CPN")</f>
        <v>6</v>
      </c>
      <c r="G2176">
        <f>_xll.BDP("FNDC2599 Mtge","MTG_FACTOR")</f>
        <v>0.73013136999999995</v>
      </c>
      <c r="H2176">
        <f>_xll.BDP("FNDC2599 Mtge","MTG_WAL")</f>
        <v>3.2482000000000002</v>
      </c>
      <c r="I2176" t="str">
        <f>_xll.BDP("FNDC2599 Mtge","MTG_ORIG_WAL")</f>
        <v>#N/A N/A</v>
      </c>
    </row>
    <row r="2177" spans="1:9" x14ac:dyDescent="0.25">
      <c r="A2177" t="str">
        <f>_xll.BDP("FNDC2604 Mtge","ID_CUSIP")</f>
        <v>3140AP3N2</v>
      </c>
      <c r="B2177" t="str">
        <f>_xll.BDP("FNDC2604 Mtge","SECURITY_NAME")</f>
        <v>FN DC2604</v>
      </c>
      <c r="C2177" t="str">
        <f>_xll.BDP("FNDC2604 Mtge","GENERIC_TICKER_VINTAGE")</f>
        <v>FNCL 6 2025</v>
      </c>
      <c r="D2177" t="str">
        <f>_xll.BDP("FNDC2604 Mtge","CRNCY")</f>
        <v>USD</v>
      </c>
      <c r="E2177">
        <v>39491643</v>
      </c>
      <c r="F2177">
        <f>_xll.BDP("FNDC2604 Mtge","CPN")</f>
        <v>6</v>
      </c>
      <c r="G2177">
        <f>_xll.BDP("FNDC2604 Mtge","MTG_FACTOR")</f>
        <v>0.97958325999999996</v>
      </c>
      <c r="H2177">
        <f>_xll.BDP("FNDC2604 Mtge","MTG_WAL")</f>
        <v>3.2035999999999998</v>
      </c>
      <c r="I2177" t="str">
        <f>_xll.BDP("FNDC2604 Mtge","MTG_ORIG_WAL")</f>
        <v>#N/A N/A</v>
      </c>
    </row>
    <row r="2178" spans="1:9" x14ac:dyDescent="0.25">
      <c r="A2178" t="str">
        <f>_xll.BDP("FNDC2606 Mtge","ID_CUSIP")</f>
        <v>3140AP3Q5</v>
      </c>
      <c r="B2178" t="str">
        <f>_xll.BDP("FNDC2606 Mtge","SECURITY_NAME")</f>
        <v>FN DC2606</v>
      </c>
      <c r="C2178" t="str">
        <f>_xll.BDP("FNDC2606 Mtge","GENERIC_TICKER_VINTAGE")</f>
        <v>FNCL 6 2025</v>
      </c>
      <c r="D2178" t="str">
        <f>_xll.BDP("FNDC2606 Mtge","CRNCY")</f>
        <v>USD</v>
      </c>
      <c r="E2178">
        <v>1363355</v>
      </c>
      <c r="F2178">
        <f>_xll.BDP("FNDC2606 Mtge","CPN")</f>
        <v>6</v>
      </c>
      <c r="G2178">
        <f>_xll.BDP("FNDC2606 Mtge","MTG_FACTOR")</f>
        <v>0.99051297999999999</v>
      </c>
      <c r="H2178">
        <f>_xll.BDP("FNDC2606 Mtge","MTG_WAL")</f>
        <v>3.2496999999999998</v>
      </c>
      <c r="I2178" t="str">
        <f>_xll.BDP("FNDC2606 Mtge","MTG_ORIG_WAL")</f>
        <v>#N/A N/A</v>
      </c>
    </row>
    <row r="2179" spans="1:9" x14ac:dyDescent="0.25">
      <c r="A2179" t="str">
        <f>_xll.BDP("FNDC2608 Mtge","ID_CUSIP")</f>
        <v>3140AP3S1</v>
      </c>
      <c r="B2179" t="str">
        <f>_xll.BDP("FNDC2608 Mtge","SECURITY_NAME")</f>
        <v>FN DC2608</v>
      </c>
      <c r="C2179" t="str">
        <f>_xll.BDP("FNDC2608 Mtge","GENERIC_TICKER_VINTAGE")</f>
        <v>FNCL 6 2025</v>
      </c>
      <c r="D2179" t="str">
        <f>_xll.BDP("FNDC2608 Mtge","CRNCY")</f>
        <v>USD</v>
      </c>
      <c r="E2179">
        <v>11931397</v>
      </c>
      <c r="F2179">
        <f>_xll.BDP("FNDC2608 Mtge","CPN")</f>
        <v>6</v>
      </c>
      <c r="G2179">
        <f>_xll.BDP("FNDC2608 Mtge","MTG_FACTOR")</f>
        <v>0.98760506000000003</v>
      </c>
      <c r="H2179">
        <f>_xll.BDP("FNDC2608 Mtge","MTG_WAL")</f>
        <v>3.2002999999999999</v>
      </c>
      <c r="I2179" t="str">
        <f>_xll.BDP("FNDC2608 Mtge","MTG_ORIG_WAL")</f>
        <v>#N/A N/A</v>
      </c>
    </row>
    <row r="2180" spans="1:9" x14ac:dyDescent="0.25">
      <c r="A2180" t="str">
        <f>_xll.BDP("FNDC2610 Mtge","ID_CUSIP")</f>
        <v>3140AP3U6</v>
      </c>
      <c r="B2180" t="str">
        <f>_xll.BDP("FNDC2610 Mtge","SECURITY_NAME")</f>
        <v>FN DC2610</v>
      </c>
      <c r="C2180" t="str">
        <f>_xll.BDP("FNDC2610 Mtge","GENERIC_TICKER_VINTAGE")</f>
        <v>FNCL 6 2025</v>
      </c>
      <c r="D2180" t="str">
        <f>_xll.BDP("FNDC2610 Mtge","CRNCY")</f>
        <v>USD</v>
      </c>
      <c r="E2180">
        <v>20776162</v>
      </c>
      <c r="F2180">
        <f>_xll.BDP("FNDC2610 Mtge","CPN")</f>
        <v>6</v>
      </c>
      <c r="G2180">
        <f>_xll.BDP("FNDC2610 Mtge","MTG_FACTOR")</f>
        <v>0.96560619999999997</v>
      </c>
      <c r="H2180">
        <f>_xll.BDP("FNDC2610 Mtge","MTG_WAL")</f>
        <v>3.2033999999999998</v>
      </c>
      <c r="I2180" t="str">
        <f>_xll.BDP("FNDC2610 Mtge","MTG_ORIG_WAL")</f>
        <v>#N/A N/A</v>
      </c>
    </row>
    <row r="2181" spans="1:9" x14ac:dyDescent="0.25">
      <c r="A2181" t="str">
        <f>_xll.BDP("FNDC2611 Mtge","ID_CUSIP")</f>
        <v>3140AP3V4</v>
      </c>
      <c r="B2181" t="str">
        <f>_xll.BDP("FNDC2611 Mtge","SECURITY_NAME")</f>
        <v>FN DC2611</v>
      </c>
      <c r="C2181" t="str">
        <f>_xll.BDP("FNDC2611 Mtge","GENERIC_TICKER_VINTAGE")</f>
        <v>FNCL 6 2025</v>
      </c>
      <c r="D2181" t="str">
        <f>_xll.BDP("FNDC2611 Mtge","CRNCY")</f>
        <v>USD</v>
      </c>
      <c r="E2181">
        <v>1575999</v>
      </c>
      <c r="F2181">
        <f>_xll.BDP("FNDC2611 Mtge","CPN")</f>
        <v>6</v>
      </c>
      <c r="G2181">
        <f>_xll.BDP("FNDC2611 Mtge","MTG_FACTOR")</f>
        <v>0.99039270000000001</v>
      </c>
      <c r="H2181">
        <f>_xll.BDP("FNDC2611 Mtge","MTG_WAL")</f>
        <v>3.2031000000000001</v>
      </c>
      <c r="I2181" t="str">
        <f>_xll.BDP("FNDC2611 Mtge","MTG_ORIG_WAL")</f>
        <v>#N/A N/A</v>
      </c>
    </row>
    <row r="2182" spans="1:9" x14ac:dyDescent="0.25">
      <c r="A2182" t="str">
        <f>_xll.BDP("FNDC2612 Mtge","ID_CUSIP")</f>
        <v>3140AP3W2</v>
      </c>
      <c r="B2182" t="str">
        <f>_xll.BDP("FNDC2612 Mtge","SECURITY_NAME")</f>
        <v>FN DC2612</v>
      </c>
      <c r="C2182" t="str">
        <f>_xll.BDP("FNDC2612 Mtge","GENERIC_TICKER_VINTAGE")</f>
        <v>FNCL 6 2025</v>
      </c>
      <c r="D2182" t="str">
        <f>_xll.BDP("FNDC2612 Mtge","CRNCY")</f>
        <v>USD</v>
      </c>
      <c r="E2182">
        <v>1006519</v>
      </c>
      <c r="F2182">
        <f>_xll.BDP("FNDC2612 Mtge","CPN")</f>
        <v>6</v>
      </c>
      <c r="G2182">
        <f>_xll.BDP("FNDC2612 Mtge","MTG_FACTOR")</f>
        <v>0.98938325000000005</v>
      </c>
      <c r="H2182">
        <f>_xll.BDP("FNDC2612 Mtge","MTG_WAL")</f>
        <v>3.2035999999999998</v>
      </c>
      <c r="I2182" t="str">
        <f>_xll.BDP("FNDC2612 Mtge","MTG_ORIG_WAL")</f>
        <v>#N/A N/A</v>
      </c>
    </row>
    <row r="2183" spans="1:9" x14ac:dyDescent="0.25">
      <c r="A2183" t="str">
        <f>_xll.BDP("FNDC2613 Mtge","ID_CUSIP")</f>
        <v>3140AP3X0</v>
      </c>
      <c r="B2183" t="str">
        <f>_xll.BDP("FNDC2613 Mtge","SECURITY_NAME")</f>
        <v>FN DC2613</v>
      </c>
      <c r="C2183" t="str">
        <f>_xll.BDP("FNDC2613 Mtge","GENERIC_TICKER_VINTAGE")</f>
        <v>FNCL 6 2025</v>
      </c>
      <c r="D2183" t="str">
        <f>_xll.BDP("FNDC2613 Mtge","CRNCY")</f>
        <v>USD</v>
      </c>
      <c r="E2183">
        <v>1729196</v>
      </c>
      <c r="F2183">
        <f>_xll.BDP("FNDC2613 Mtge","CPN")</f>
        <v>6</v>
      </c>
      <c r="G2183">
        <f>_xll.BDP("FNDC2613 Mtge","MTG_FACTOR")</f>
        <v>0.98751926000000001</v>
      </c>
      <c r="H2183">
        <f>_xll.BDP("FNDC2613 Mtge","MTG_WAL")</f>
        <v>3.2010000000000001</v>
      </c>
      <c r="I2183" t="str">
        <f>_xll.BDP("FNDC2613 Mtge","MTG_ORIG_WAL")</f>
        <v>#N/A N/A</v>
      </c>
    </row>
    <row r="2184" spans="1:9" x14ac:dyDescent="0.25">
      <c r="A2184" t="str">
        <f>_xll.BDP("FNDC2614 Mtge","ID_CUSIP")</f>
        <v>3140AP3Y8</v>
      </c>
      <c r="B2184" t="str">
        <f>_xll.BDP("FNDC2614 Mtge","SECURITY_NAME")</f>
        <v>FN DC2614</v>
      </c>
      <c r="C2184" t="str">
        <f>_xll.BDP("FNDC2614 Mtge","GENERIC_TICKER_VINTAGE")</f>
        <v>FNCL 6 2025</v>
      </c>
      <c r="D2184" t="str">
        <f>_xll.BDP("FNDC2614 Mtge","CRNCY")</f>
        <v>USD</v>
      </c>
      <c r="E2184">
        <v>1177260</v>
      </c>
      <c r="F2184">
        <f>_xll.BDP("FNDC2614 Mtge","CPN")</f>
        <v>6</v>
      </c>
      <c r="G2184">
        <f>_xll.BDP("FNDC2614 Mtge","MTG_FACTOR")</f>
        <v>0.99036625</v>
      </c>
      <c r="H2184">
        <f>_xll.BDP("FNDC2614 Mtge","MTG_WAL")</f>
        <v>3.2029000000000001</v>
      </c>
      <c r="I2184" t="str">
        <f>_xll.BDP("FNDC2614 Mtge","MTG_ORIG_WAL")</f>
        <v>#N/A N/A</v>
      </c>
    </row>
    <row r="2185" spans="1:9" x14ac:dyDescent="0.25">
      <c r="A2185" t="str">
        <f>_xll.BDP("FNDC2615 Mtge","ID_CUSIP")</f>
        <v>3140AP3Z5</v>
      </c>
      <c r="B2185" t="str">
        <f>_xll.BDP("FNDC2615 Mtge","SECURITY_NAME")</f>
        <v>FN DC2615</v>
      </c>
      <c r="C2185" t="str">
        <f>_xll.BDP("FNDC2615 Mtge","GENERIC_TICKER_VINTAGE")</f>
        <v>FNCL 6 2025</v>
      </c>
      <c r="D2185" t="str">
        <f>_xll.BDP("FNDC2615 Mtge","CRNCY")</f>
        <v>USD</v>
      </c>
      <c r="E2185">
        <v>1246244</v>
      </c>
      <c r="F2185">
        <f>_xll.BDP("FNDC2615 Mtge","CPN")</f>
        <v>6</v>
      </c>
      <c r="G2185">
        <f>_xll.BDP("FNDC2615 Mtge","MTG_FACTOR")</f>
        <v>0.98676752000000001</v>
      </c>
      <c r="H2185">
        <f>_xll.BDP("FNDC2615 Mtge","MTG_WAL")</f>
        <v>3.2014999999999998</v>
      </c>
      <c r="I2185" t="str">
        <f>_xll.BDP("FNDC2615 Mtge","MTG_ORIG_WAL")</f>
        <v>#N/A N/A</v>
      </c>
    </row>
    <row r="2186" spans="1:9" x14ac:dyDescent="0.25">
      <c r="A2186" t="str">
        <f>_xll.BDP("FNDC2620 Mtge","ID_CUSIP")</f>
        <v>3140AP4E1</v>
      </c>
      <c r="B2186" t="str">
        <f>_xll.BDP("FNDC2620 Mtge","SECURITY_NAME")</f>
        <v>FN DC2620</v>
      </c>
      <c r="C2186" t="str">
        <f>_xll.BDP("FNDC2620 Mtge","GENERIC_TICKER_VINTAGE")</f>
        <v>FNCL 6 2025</v>
      </c>
      <c r="D2186" t="str">
        <f>_xll.BDP("FNDC2620 Mtge","CRNCY")</f>
        <v>USD</v>
      </c>
      <c r="E2186">
        <v>1519228</v>
      </c>
      <c r="F2186">
        <f>_xll.BDP("FNDC2620 Mtge","CPN")</f>
        <v>6</v>
      </c>
      <c r="G2186">
        <f>_xll.BDP("FNDC2620 Mtge","MTG_FACTOR")</f>
        <v>0.99029703000000002</v>
      </c>
      <c r="H2186">
        <f>_xll.BDP("FNDC2620 Mtge","MTG_WAL")</f>
        <v>3.202</v>
      </c>
      <c r="I2186" t="str">
        <f>_xll.BDP("FNDC2620 Mtge","MTG_ORIG_WAL")</f>
        <v>#N/A N/A</v>
      </c>
    </row>
    <row r="2187" spans="1:9" x14ac:dyDescent="0.25">
      <c r="A2187" t="str">
        <f>_xll.BDP("FNDC2629 Mtge","ID_CUSIP")</f>
        <v>3140AP4P6</v>
      </c>
      <c r="B2187" t="str">
        <f>_xll.BDP("FNDC2629 Mtge","SECURITY_NAME")</f>
        <v>FN DC2629</v>
      </c>
      <c r="C2187" t="str">
        <f>_xll.BDP("FNDC2629 Mtge","GENERIC_TICKER_VINTAGE")</f>
        <v>FNCL 6 2025</v>
      </c>
      <c r="D2187" t="str">
        <f>_xll.BDP("FNDC2629 Mtge","CRNCY")</f>
        <v>USD</v>
      </c>
      <c r="E2187">
        <v>1333150</v>
      </c>
      <c r="F2187">
        <f>_xll.BDP("FNDC2629 Mtge","CPN")</f>
        <v>6</v>
      </c>
      <c r="G2187">
        <f>_xll.BDP("FNDC2629 Mtge","MTG_FACTOR")</f>
        <v>0.99041674000000002</v>
      </c>
      <c r="H2187">
        <f>_xll.BDP("FNDC2629 Mtge","MTG_WAL")</f>
        <v>3.2475999999999998</v>
      </c>
      <c r="I2187" t="str">
        <f>_xll.BDP("FNDC2629 Mtge","MTG_ORIG_WAL")</f>
        <v>#N/A N/A</v>
      </c>
    </row>
    <row r="2188" spans="1:9" x14ac:dyDescent="0.25">
      <c r="A2188" t="str">
        <f>_xll.BDP("FNDC2634 Mtge","ID_CUSIP")</f>
        <v>3140AP4U5</v>
      </c>
      <c r="B2188" t="str">
        <f>_xll.BDP("FNDC2634 Mtge","SECURITY_NAME")</f>
        <v>FN DC2634</v>
      </c>
      <c r="C2188" t="str">
        <f>_xll.BDP("FNDC2634 Mtge","GENERIC_TICKER_VINTAGE")</f>
        <v>FNCL 6 2025</v>
      </c>
      <c r="D2188" t="str">
        <f>_xll.BDP("FNDC2634 Mtge","CRNCY")</f>
        <v>USD</v>
      </c>
      <c r="E2188">
        <v>1059728</v>
      </c>
      <c r="F2188">
        <f>_xll.BDP("FNDC2634 Mtge","CPN")</f>
        <v>6</v>
      </c>
      <c r="G2188">
        <f>_xll.BDP("FNDC2634 Mtge","MTG_FACTOR")</f>
        <v>0.99032580000000003</v>
      </c>
      <c r="H2188">
        <f>_xll.BDP("FNDC2634 Mtge","MTG_WAL")</f>
        <v>3.2467000000000001</v>
      </c>
      <c r="I2188" t="str">
        <f>_xll.BDP("FNDC2634 Mtge","MTG_ORIG_WAL")</f>
        <v>#N/A N/A</v>
      </c>
    </row>
    <row r="2189" spans="1:9" x14ac:dyDescent="0.25">
      <c r="A2189" t="str">
        <f>_xll.BDP("FNDC2641 Mtge","ID_CUSIP")</f>
        <v>3140AP5B6</v>
      </c>
      <c r="B2189" t="str">
        <f>_xll.BDP("FNDC2641 Mtge","SECURITY_NAME")</f>
        <v>FN DC2641</v>
      </c>
      <c r="C2189" t="str">
        <f>_xll.BDP("FNDC2641 Mtge","GENERIC_TICKER_VINTAGE")</f>
        <v>FNCL 6 2025</v>
      </c>
      <c r="D2189" t="str">
        <f>_xll.BDP("FNDC2641 Mtge","CRNCY")</f>
        <v>USD</v>
      </c>
      <c r="E2189">
        <v>3318750</v>
      </c>
      <c r="F2189">
        <f>_xll.BDP("FNDC2641 Mtge","CPN")</f>
        <v>6</v>
      </c>
      <c r="G2189">
        <f>_xll.BDP("FNDC2641 Mtge","MTG_FACTOR")</f>
        <v>0.98974466000000005</v>
      </c>
      <c r="H2189">
        <f>_xll.BDP("FNDC2641 Mtge","MTG_WAL")</f>
        <v>3.2492000000000001</v>
      </c>
      <c r="I2189" t="str">
        <f>_xll.BDP("FNDC2641 Mtge","MTG_ORIG_WAL")</f>
        <v>#N/A N/A</v>
      </c>
    </row>
    <row r="2190" spans="1:9" x14ac:dyDescent="0.25">
      <c r="A2190" t="str">
        <f>_xll.BDP("FNDC2642 Mtge","ID_CUSIP")</f>
        <v>3140AP5C4</v>
      </c>
      <c r="B2190" t="str">
        <f>_xll.BDP("FNDC2642 Mtge","SECURITY_NAME")</f>
        <v>FN DC2642</v>
      </c>
      <c r="C2190" t="str">
        <f>_xll.BDP("FNDC2642 Mtge","GENERIC_TICKER_VINTAGE")</f>
        <v>FNCL 6 2025</v>
      </c>
      <c r="D2190" t="str">
        <f>_xll.BDP("FNDC2642 Mtge","CRNCY")</f>
        <v>USD</v>
      </c>
      <c r="E2190">
        <v>8801037</v>
      </c>
      <c r="F2190">
        <f>_xll.BDP("FNDC2642 Mtge","CPN")</f>
        <v>6</v>
      </c>
      <c r="G2190">
        <f>_xll.BDP("FNDC2642 Mtge","MTG_FACTOR")</f>
        <v>0.95946927000000004</v>
      </c>
      <c r="H2190">
        <f>_xll.BDP("FNDC2642 Mtge","MTG_WAL")</f>
        <v>3.2320000000000002</v>
      </c>
      <c r="I2190" t="str">
        <f>_xll.BDP("FNDC2642 Mtge","MTG_ORIG_WAL")</f>
        <v>#N/A N/A</v>
      </c>
    </row>
    <row r="2191" spans="1:9" x14ac:dyDescent="0.25">
      <c r="A2191" t="str">
        <f>_xll.BDP("FNDC2649 Mtge","ID_CUSIP")</f>
        <v>3140AP5K6</v>
      </c>
      <c r="B2191" t="str">
        <f>_xll.BDP("FNDC2649 Mtge","SECURITY_NAME")</f>
        <v>FN DC2649</v>
      </c>
      <c r="C2191" t="str">
        <f>_xll.BDP("FNDC2649 Mtge","GENERIC_TICKER_VINTAGE")</f>
        <v>FNCL 6 2025</v>
      </c>
      <c r="D2191" t="str">
        <f>_xll.BDP("FNDC2649 Mtge","CRNCY")</f>
        <v>USD</v>
      </c>
      <c r="E2191">
        <v>2671156</v>
      </c>
      <c r="F2191">
        <f>_xll.BDP("FNDC2649 Mtge","CPN")</f>
        <v>6</v>
      </c>
      <c r="G2191">
        <f>_xll.BDP("FNDC2649 Mtge","MTG_FACTOR")</f>
        <v>0.98956379999999999</v>
      </c>
      <c r="H2191">
        <f>_xll.BDP("FNDC2649 Mtge","MTG_WAL")</f>
        <v>3.2410000000000001</v>
      </c>
      <c r="I2191" t="str">
        <f>_xll.BDP("FNDC2649 Mtge","MTG_ORIG_WAL")</f>
        <v>#N/A N/A</v>
      </c>
    </row>
    <row r="2192" spans="1:9" x14ac:dyDescent="0.25">
      <c r="A2192" t="str">
        <f>_xll.BDP("FNDC2663 Mtge","ID_CUSIP")</f>
        <v>3140AP5Z3</v>
      </c>
      <c r="B2192" t="str">
        <f>_xll.BDP("FNDC2663 Mtge","SECURITY_NAME")</f>
        <v>FN DC2663</v>
      </c>
      <c r="C2192" t="str">
        <f>_xll.BDP("FNDC2663 Mtge","GENERIC_TICKER_VINTAGE")</f>
        <v>FNCL 6 2025</v>
      </c>
      <c r="D2192" t="str">
        <f>_xll.BDP("FNDC2663 Mtge","CRNCY")</f>
        <v>USD</v>
      </c>
      <c r="E2192">
        <v>1013450</v>
      </c>
      <c r="F2192">
        <f>_xll.BDP("FNDC2663 Mtge","CPN")</f>
        <v>6</v>
      </c>
      <c r="G2192">
        <f>_xll.BDP("FNDC2663 Mtge","MTG_FACTOR")</f>
        <v>0.65426470999999997</v>
      </c>
      <c r="H2192">
        <f>_xll.BDP("FNDC2663 Mtge","MTG_WAL")</f>
        <v>3.2410999999999999</v>
      </c>
      <c r="I2192" t="str">
        <f>_xll.BDP("FNDC2663 Mtge","MTG_ORIG_WAL")</f>
        <v>#N/A N/A</v>
      </c>
    </row>
    <row r="2193" spans="1:9" x14ac:dyDescent="0.25">
      <c r="A2193" t="str">
        <f>_xll.BDP("FNDC2664 Mtge","ID_CUSIP")</f>
        <v>3140AP6A7</v>
      </c>
      <c r="B2193" t="str">
        <f>_xll.BDP("FNDC2664 Mtge","SECURITY_NAME")</f>
        <v>FN DC2664</v>
      </c>
      <c r="C2193" t="str">
        <f>_xll.BDP("FNDC2664 Mtge","GENERIC_TICKER_VINTAGE")</f>
        <v>FNCL 6 2025</v>
      </c>
      <c r="D2193" t="str">
        <f>_xll.BDP("FNDC2664 Mtge","CRNCY")</f>
        <v>USD</v>
      </c>
      <c r="E2193">
        <v>1868394</v>
      </c>
      <c r="F2193">
        <f>_xll.BDP("FNDC2664 Mtge","CPN")</f>
        <v>6</v>
      </c>
      <c r="G2193">
        <f>_xll.BDP("FNDC2664 Mtge","MTG_FACTOR")</f>
        <v>0.82031964000000002</v>
      </c>
      <c r="H2193">
        <f>_xll.BDP("FNDC2664 Mtge","MTG_WAL")</f>
        <v>3.2890000000000001</v>
      </c>
      <c r="I2193" t="str">
        <f>_xll.BDP("FNDC2664 Mtge","MTG_ORIG_WAL")</f>
        <v>#N/A N/A</v>
      </c>
    </row>
    <row r="2194" spans="1:9" x14ac:dyDescent="0.25">
      <c r="A2194" t="str">
        <f>_xll.BDP("FNDC2665 Mtge","ID_CUSIP")</f>
        <v>3140AP6B5</v>
      </c>
      <c r="B2194" t="str">
        <f>_xll.BDP("FNDC2665 Mtge","SECURITY_NAME")</f>
        <v>FN DC2665</v>
      </c>
      <c r="C2194" t="str">
        <f>_xll.BDP("FNDC2665 Mtge","GENERIC_TICKER_VINTAGE")</f>
        <v>FNCL 6 2025</v>
      </c>
      <c r="D2194" t="str">
        <f>_xll.BDP("FNDC2665 Mtge","CRNCY")</f>
        <v>USD</v>
      </c>
      <c r="E2194">
        <v>1463754</v>
      </c>
      <c r="F2194">
        <f>_xll.BDP("FNDC2665 Mtge","CPN")</f>
        <v>6</v>
      </c>
      <c r="G2194">
        <f>_xll.BDP("FNDC2665 Mtge","MTG_FACTOR")</f>
        <v>0.79352354000000003</v>
      </c>
      <c r="H2194">
        <f>_xll.BDP("FNDC2665 Mtge","MTG_WAL")</f>
        <v>3.2433000000000001</v>
      </c>
      <c r="I2194" t="str">
        <f>_xll.BDP("FNDC2665 Mtge","MTG_ORIG_WAL")</f>
        <v>#N/A N/A</v>
      </c>
    </row>
    <row r="2195" spans="1:9" x14ac:dyDescent="0.25">
      <c r="A2195" t="str">
        <f>_xll.BDP("FNDC2669 Mtge","ID_CUSIP")</f>
        <v>3140AP6F6</v>
      </c>
      <c r="B2195" t="str">
        <f>_xll.BDP("FNDC2669 Mtge","SECURITY_NAME")</f>
        <v>FN DC2669</v>
      </c>
      <c r="C2195" t="str">
        <f>_xll.BDP("FNDC2669 Mtge","GENERIC_TICKER_VINTAGE")</f>
        <v>FNCL 6 2025</v>
      </c>
      <c r="D2195" t="str">
        <f>_xll.BDP("FNDC2669 Mtge","CRNCY")</f>
        <v>USD</v>
      </c>
      <c r="E2195">
        <v>1078213</v>
      </c>
      <c r="F2195">
        <f>_xll.BDP("FNDC2669 Mtge","CPN")</f>
        <v>6</v>
      </c>
      <c r="G2195">
        <f>_xll.BDP("FNDC2669 Mtge","MTG_FACTOR")</f>
        <v>0.72872751999999996</v>
      </c>
      <c r="H2195">
        <f>_xll.BDP("FNDC2669 Mtge","MTG_WAL")</f>
        <v>3.2498</v>
      </c>
      <c r="I2195" t="str">
        <f>_xll.BDP("FNDC2669 Mtge","MTG_ORIG_WAL")</f>
        <v>#N/A N/A</v>
      </c>
    </row>
    <row r="2196" spans="1:9" x14ac:dyDescent="0.25">
      <c r="A2196" t="str">
        <f>_xll.BDP("FNDC2670 Mtge","ID_CUSIP")</f>
        <v>3140AP6G4</v>
      </c>
      <c r="B2196" t="str">
        <f>_xll.BDP("FNDC2670 Mtge","SECURITY_NAME")</f>
        <v>FN DC2670</v>
      </c>
      <c r="C2196" t="str">
        <f>_xll.BDP("FNDC2670 Mtge","GENERIC_TICKER_VINTAGE")</f>
        <v>FNCL 6 2025</v>
      </c>
      <c r="D2196" t="str">
        <f>_xll.BDP("FNDC2670 Mtge","CRNCY")</f>
        <v>USD</v>
      </c>
      <c r="E2196">
        <v>5019637</v>
      </c>
      <c r="F2196">
        <f>_xll.BDP("FNDC2670 Mtge","CPN")</f>
        <v>6</v>
      </c>
      <c r="G2196">
        <f>_xll.BDP("FNDC2670 Mtge","MTG_FACTOR")</f>
        <v>0.82915271999999995</v>
      </c>
      <c r="H2196">
        <f>_xll.BDP("FNDC2670 Mtge","MTG_WAL")</f>
        <v>3.2513000000000001</v>
      </c>
      <c r="I2196" t="str">
        <f>_xll.BDP("FNDC2670 Mtge","MTG_ORIG_WAL")</f>
        <v>#N/A N/A</v>
      </c>
    </row>
    <row r="2197" spans="1:9" x14ac:dyDescent="0.25">
      <c r="A2197" t="str">
        <f>_xll.BDP("FNDC2673 Mtge","ID_CUSIP")</f>
        <v>3140AP6K5</v>
      </c>
      <c r="B2197" t="str">
        <f>_xll.BDP("FNDC2673 Mtge","SECURITY_NAME")</f>
        <v>FN DC2673</v>
      </c>
      <c r="C2197" t="str">
        <f>_xll.BDP("FNDC2673 Mtge","GENERIC_TICKER_VINTAGE")</f>
        <v>FNCL 6 2025</v>
      </c>
      <c r="D2197" t="str">
        <f>_xll.BDP("FNDC2673 Mtge","CRNCY")</f>
        <v>USD</v>
      </c>
      <c r="E2197">
        <v>7642174</v>
      </c>
      <c r="F2197">
        <f>_xll.BDP("FNDC2673 Mtge","CPN")</f>
        <v>6</v>
      </c>
      <c r="G2197">
        <f>_xll.BDP("FNDC2673 Mtge","MTG_FACTOR")</f>
        <v>0.99074635</v>
      </c>
      <c r="H2197">
        <f>_xll.BDP("FNDC2673 Mtge","MTG_WAL")</f>
        <v>3.2507000000000001</v>
      </c>
      <c r="I2197" t="str">
        <f>_xll.BDP("FNDC2673 Mtge","MTG_ORIG_WAL")</f>
        <v>#N/A N/A</v>
      </c>
    </row>
    <row r="2198" spans="1:9" x14ac:dyDescent="0.25">
      <c r="A2198" t="str">
        <f>_xll.BDP("FNDC2675 Mtge","ID_CUSIP")</f>
        <v>3140AP6M1</v>
      </c>
      <c r="B2198" t="str">
        <f>_xll.BDP("FNDC2675 Mtge","SECURITY_NAME")</f>
        <v>FN DC2675</v>
      </c>
      <c r="C2198" t="str">
        <f>_xll.BDP("FNDC2675 Mtge","GENERIC_TICKER_VINTAGE")</f>
        <v>FNCL 6 2025</v>
      </c>
      <c r="D2198" t="str">
        <f>_xll.BDP("FNDC2675 Mtge","CRNCY")</f>
        <v>USD</v>
      </c>
      <c r="E2198">
        <v>14374755</v>
      </c>
      <c r="F2198">
        <f>_xll.BDP("FNDC2675 Mtge","CPN")</f>
        <v>6</v>
      </c>
      <c r="G2198">
        <f>_xll.BDP("FNDC2675 Mtge","MTG_FACTOR")</f>
        <v>0.99034608000000002</v>
      </c>
      <c r="H2198">
        <f>_xll.BDP("FNDC2675 Mtge","MTG_WAL")</f>
        <v>3.2423000000000002</v>
      </c>
      <c r="I2198" t="str">
        <f>_xll.BDP("FNDC2675 Mtge","MTG_ORIG_WAL")</f>
        <v>#N/A N/A</v>
      </c>
    </row>
    <row r="2199" spans="1:9" x14ac:dyDescent="0.25">
      <c r="A2199" t="str">
        <f>_xll.BDP("FNDC2745 Mtge","ID_CUSIP")</f>
        <v>3140AQBP6</v>
      </c>
      <c r="B2199" t="str">
        <f>_xll.BDP("FNDC2745 Mtge","SECURITY_NAME")</f>
        <v>FN DC2745</v>
      </c>
      <c r="C2199" t="str">
        <f>_xll.BDP("FNDC2745 Mtge","GENERIC_TICKER_VINTAGE")</f>
        <v>FNCL 6 2025</v>
      </c>
      <c r="D2199" t="str">
        <f>_xll.BDP("FNDC2745 Mtge","CRNCY")</f>
        <v>USD</v>
      </c>
      <c r="E2199">
        <v>2915200</v>
      </c>
      <c r="F2199">
        <f>_xll.BDP("FNDC2745 Mtge","CPN")</f>
        <v>6</v>
      </c>
      <c r="G2199">
        <f>_xll.BDP("FNDC2745 Mtge","MTG_FACTOR")</f>
        <v>0.98651082000000001</v>
      </c>
      <c r="H2199">
        <f>_xll.BDP("FNDC2745 Mtge","MTG_WAL")</f>
        <v>3.1625999999999999</v>
      </c>
      <c r="I2199" t="str">
        <f>_xll.BDP("FNDC2745 Mtge","MTG_ORIG_WAL")</f>
        <v>#N/A N/A</v>
      </c>
    </row>
    <row r="2200" spans="1:9" x14ac:dyDescent="0.25">
      <c r="A2200" t="str">
        <f>_xll.BDP("FNDC2750 Mtge","ID_CUSIP")</f>
        <v>3140AQBU5</v>
      </c>
      <c r="B2200" t="str">
        <f>_xll.BDP("FNDC2750 Mtge","SECURITY_NAME")</f>
        <v>FN DC2750</v>
      </c>
      <c r="C2200" t="str">
        <f>_xll.BDP("FNDC2750 Mtge","GENERIC_TICKER_VINTAGE")</f>
        <v>FNCL 6 2025</v>
      </c>
      <c r="D2200" t="str">
        <f>_xll.BDP("FNDC2750 Mtge","CRNCY")</f>
        <v>USD</v>
      </c>
      <c r="E2200">
        <v>2676762</v>
      </c>
      <c r="F2200">
        <f>_xll.BDP("FNDC2750 Mtge","CPN")</f>
        <v>6</v>
      </c>
      <c r="G2200">
        <f>_xll.BDP("FNDC2750 Mtge","MTG_FACTOR")</f>
        <v>0.98919683000000003</v>
      </c>
      <c r="H2200">
        <f>_xll.BDP("FNDC2750 Mtge","MTG_WAL")</f>
        <v>3.2033</v>
      </c>
      <c r="I2200" t="str">
        <f>_xll.BDP("FNDC2750 Mtge","MTG_ORIG_WAL")</f>
        <v>#N/A N/A</v>
      </c>
    </row>
    <row r="2201" spans="1:9" x14ac:dyDescent="0.25">
      <c r="A2201" t="str">
        <f>_xll.BDP("FNDC2751 Mtge","ID_CUSIP")</f>
        <v>3140AQBV3</v>
      </c>
      <c r="B2201" t="str">
        <f>_xll.BDP("FNDC2751 Mtge","SECURITY_NAME")</f>
        <v>FN DC2751</v>
      </c>
      <c r="C2201" t="str">
        <f>_xll.BDP("FNDC2751 Mtge","GENERIC_TICKER_VINTAGE")</f>
        <v>FNCL 6 2025</v>
      </c>
      <c r="D2201" t="str">
        <f>_xll.BDP("FNDC2751 Mtge","CRNCY")</f>
        <v>USD</v>
      </c>
      <c r="E2201">
        <v>2244844</v>
      </c>
      <c r="F2201">
        <f>_xll.BDP("FNDC2751 Mtge","CPN")</f>
        <v>6</v>
      </c>
      <c r="G2201">
        <f>_xll.BDP("FNDC2751 Mtge","MTG_FACTOR")</f>
        <v>0.98946774999999998</v>
      </c>
      <c r="H2201">
        <f>_xll.BDP("FNDC2751 Mtge","MTG_WAL")</f>
        <v>3.1631</v>
      </c>
      <c r="I2201" t="str">
        <f>_xll.BDP("FNDC2751 Mtge","MTG_ORIG_WAL")</f>
        <v>#N/A N/A</v>
      </c>
    </row>
    <row r="2202" spans="1:9" x14ac:dyDescent="0.25">
      <c r="A2202" t="str">
        <f>_xll.BDP("FNDC2752 Mtge","ID_CUSIP")</f>
        <v>3140AQBW1</v>
      </c>
      <c r="B2202" t="str">
        <f>_xll.BDP("FNDC2752 Mtge","SECURITY_NAME")</f>
        <v>FN DC2752</v>
      </c>
      <c r="C2202" t="str">
        <f>_xll.BDP("FNDC2752 Mtge","GENERIC_TICKER_VINTAGE")</f>
        <v>FNCL 6 2025</v>
      </c>
      <c r="D2202" t="str">
        <f>_xll.BDP("FNDC2752 Mtge","CRNCY")</f>
        <v>USD</v>
      </c>
      <c r="E2202">
        <v>1567650</v>
      </c>
      <c r="F2202">
        <f>_xll.BDP("FNDC2752 Mtge","CPN")</f>
        <v>6</v>
      </c>
      <c r="G2202">
        <f>_xll.BDP("FNDC2752 Mtge","MTG_FACTOR")</f>
        <v>0.98666321999999995</v>
      </c>
      <c r="H2202">
        <f>_xll.BDP("FNDC2752 Mtge","MTG_WAL")</f>
        <v>3.1595</v>
      </c>
      <c r="I2202" t="str">
        <f>_xll.BDP("FNDC2752 Mtge","MTG_ORIG_WAL")</f>
        <v>#N/A N/A</v>
      </c>
    </row>
    <row r="2203" spans="1:9" x14ac:dyDescent="0.25">
      <c r="A2203" t="str">
        <f>_xll.BDP("FNDC2754 Mtge","ID_CUSIP")</f>
        <v>3140AQBY7</v>
      </c>
      <c r="B2203" t="str">
        <f>_xll.BDP("FNDC2754 Mtge","SECURITY_NAME")</f>
        <v>FN DC2754</v>
      </c>
      <c r="C2203" t="str">
        <f>_xll.BDP("FNDC2754 Mtge","GENERIC_TICKER_VINTAGE")</f>
        <v>FNCL 6 2025</v>
      </c>
      <c r="D2203" t="str">
        <f>_xll.BDP("FNDC2754 Mtge","CRNCY")</f>
        <v>USD</v>
      </c>
      <c r="E2203">
        <v>1175230</v>
      </c>
      <c r="F2203">
        <f>_xll.BDP("FNDC2754 Mtge","CPN")</f>
        <v>6</v>
      </c>
      <c r="G2203">
        <f>_xll.BDP("FNDC2754 Mtge","MTG_FACTOR")</f>
        <v>0.98971149999999997</v>
      </c>
      <c r="H2203">
        <f>_xll.BDP("FNDC2754 Mtge","MTG_WAL")</f>
        <v>3.2050000000000001</v>
      </c>
      <c r="I2203" t="str">
        <f>_xll.BDP("FNDC2754 Mtge","MTG_ORIG_WAL")</f>
        <v>#N/A N/A</v>
      </c>
    </row>
    <row r="2204" spans="1:9" x14ac:dyDescent="0.25">
      <c r="A2204" t="str">
        <f>_xll.BDP("FNDC2761 Mtge","ID_CUSIP")</f>
        <v>3140AQB76</v>
      </c>
      <c r="B2204" t="str">
        <f>_xll.BDP("FNDC2761 Mtge","SECURITY_NAME")</f>
        <v>FN DC2761</v>
      </c>
      <c r="C2204" t="str">
        <f>_xll.BDP("FNDC2761 Mtge","GENERIC_TICKER_VINTAGE")</f>
        <v>FNCL 6 2025</v>
      </c>
      <c r="D2204" t="str">
        <f>_xll.BDP("FNDC2761 Mtge","CRNCY")</f>
        <v>USD</v>
      </c>
      <c r="E2204">
        <v>3109661</v>
      </c>
      <c r="F2204">
        <f>_xll.BDP("FNDC2761 Mtge","CPN")</f>
        <v>6</v>
      </c>
      <c r="G2204">
        <f>_xll.BDP("FNDC2761 Mtge","MTG_FACTOR")</f>
        <v>0.76203562999999996</v>
      </c>
      <c r="H2204">
        <f>_xll.BDP("FNDC2761 Mtge","MTG_WAL")</f>
        <v>3.2054</v>
      </c>
      <c r="I2204" t="str">
        <f>_xll.BDP("FNDC2761 Mtge","MTG_ORIG_WAL")</f>
        <v>#N/A N/A</v>
      </c>
    </row>
    <row r="2205" spans="1:9" x14ac:dyDescent="0.25">
      <c r="A2205" t="str">
        <f>_xll.BDP("FNDC2766 Mtge","ID_CUSIP")</f>
        <v>3140AQCC4</v>
      </c>
      <c r="B2205" t="str">
        <f>_xll.BDP("FNDC2766 Mtge","SECURITY_NAME")</f>
        <v>FN DC2766</v>
      </c>
      <c r="C2205" t="str">
        <f>_xll.BDP("FNDC2766 Mtge","GENERIC_TICKER_VINTAGE")</f>
        <v>FNCL 6 2025</v>
      </c>
      <c r="D2205" t="str">
        <f>_xll.BDP("FNDC2766 Mtge","CRNCY")</f>
        <v>USD</v>
      </c>
      <c r="E2205">
        <v>1254047</v>
      </c>
      <c r="F2205">
        <f>_xll.BDP("FNDC2766 Mtge","CPN")</f>
        <v>6</v>
      </c>
      <c r="G2205">
        <f>_xll.BDP("FNDC2766 Mtge","MTG_FACTOR")</f>
        <v>0.99065985999999995</v>
      </c>
      <c r="H2205">
        <f>_xll.BDP("FNDC2766 Mtge","MTG_WAL")</f>
        <v>3.2059000000000002</v>
      </c>
      <c r="I2205" t="str">
        <f>_xll.BDP("FNDC2766 Mtge","MTG_ORIG_WAL")</f>
        <v>#N/A N/A</v>
      </c>
    </row>
    <row r="2206" spans="1:9" x14ac:dyDescent="0.25">
      <c r="A2206" t="str">
        <f>_xll.BDP("FNDC2769 Mtge","ID_CUSIP")</f>
        <v>3140AQCF7</v>
      </c>
      <c r="B2206" t="str">
        <f>_xll.BDP("FNDC2769 Mtge","SECURITY_NAME")</f>
        <v>FN DC2769</v>
      </c>
      <c r="C2206" t="str">
        <f>_xll.BDP("FNDC2769 Mtge","GENERIC_TICKER_VINTAGE")</f>
        <v>FNCL 6 2025</v>
      </c>
      <c r="D2206" t="str">
        <f>_xll.BDP("FNDC2769 Mtge","CRNCY")</f>
        <v>USD</v>
      </c>
      <c r="E2206">
        <v>1173000</v>
      </c>
      <c r="F2206">
        <f>_xll.BDP("FNDC2769 Mtge","CPN")</f>
        <v>6</v>
      </c>
      <c r="G2206">
        <f>_xll.BDP("FNDC2769 Mtge","MTG_FACTOR")</f>
        <v>0.26426927</v>
      </c>
      <c r="H2206">
        <f>_xll.BDP("FNDC2769 Mtge","MTG_WAL")</f>
        <v>3.2483</v>
      </c>
      <c r="I2206" t="str">
        <f>_xll.BDP("FNDC2769 Mtge","MTG_ORIG_WAL")</f>
        <v>#N/A N/A</v>
      </c>
    </row>
    <row r="2207" spans="1:9" x14ac:dyDescent="0.25">
      <c r="A2207" t="str">
        <f>_xll.BDP("FNDC2770 Mtge","ID_CUSIP")</f>
        <v>3140AQCG5</v>
      </c>
      <c r="B2207" t="str">
        <f>_xll.BDP("FNDC2770 Mtge","SECURITY_NAME")</f>
        <v>FN DC2770</v>
      </c>
      <c r="C2207" t="str">
        <f>_xll.BDP("FNDC2770 Mtge","GENERIC_TICKER_VINTAGE")</f>
        <v>FNCL 6 2025</v>
      </c>
      <c r="D2207" t="str">
        <f>_xll.BDP("FNDC2770 Mtge","CRNCY")</f>
        <v>USD</v>
      </c>
      <c r="E2207">
        <v>1435619</v>
      </c>
      <c r="F2207">
        <f>_xll.BDP("FNDC2770 Mtge","CPN")</f>
        <v>6</v>
      </c>
      <c r="G2207">
        <f>_xll.BDP("FNDC2770 Mtge","MTG_FACTOR")</f>
        <v>0.99059174999999999</v>
      </c>
      <c r="H2207">
        <f>_xll.BDP("FNDC2770 Mtge","MTG_WAL")</f>
        <v>3.2052</v>
      </c>
      <c r="I2207" t="str">
        <f>_xll.BDP("FNDC2770 Mtge","MTG_ORIG_WAL")</f>
        <v>#N/A N/A</v>
      </c>
    </row>
    <row r="2208" spans="1:9" x14ac:dyDescent="0.25">
      <c r="A2208" t="str">
        <f>_xll.BDP("FNDC2772 Mtge","ID_CUSIP")</f>
        <v>3140AQCJ9</v>
      </c>
      <c r="B2208" t="str">
        <f>_xll.BDP("FNDC2772 Mtge","SECURITY_NAME")</f>
        <v>FN DC2772</v>
      </c>
      <c r="C2208" t="str">
        <f>_xll.BDP("FNDC2772 Mtge","GENERIC_TICKER_VINTAGE")</f>
        <v>FNCL 6 2025</v>
      </c>
      <c r="D2208" t="str">
        <f>_xll.BDP("FNDC2772 Mtge","CRNCY")</f>
        <v>USD</v>
      </c>
      <c r="E2208">
        <v>3873720</v>
      </c>
      <c r="F2208">
        <f>_xll.BDP("FNDC2772 Mtge","CPN")</f>
        <v>6</v>
      </c>
      <c r="G2208">
        <f>_xll.BDP("FNDC2772 Mtge","MTG_FACTOR")</f>
        <v>0.79046947999999995</v>
      </c>
      <c r="H2208">
        <f>_xll.BDP("FNDC2772 Mtge","MTG_WAL")</f>
        <v>3.2016</v>
      </c>
      <c r="I2208" t="str">
        <f>_xll.BDP("FNDC2772 Mtge","MTG_ORIG_WAL")</f>
        <v>#N/A N/A</v>
      </c>
    </row>
    <row r="2209" spans="1:9" x14ac:dyDescent="0.25">
      <c r="A2209" t="str">
        <f>_xll.BDP("FNDC3381 Mtge","ID_CUSIP")</f>
        <v>3140AQXK3</v>
      </c>
      <c r="B2209" t="str">
        <f>_xll.BDP("FNDC3381 Mtge","SECURITY_NAME")</f>
        <v>FN DC3381</v>
      </c>
      <c r="C2209" t="str">
        <f>_xll.BDP("FNDC3381 Mtge","GENERIC_TICKER_VINTAGE")</f>
        <v>FNCL 6 2025</v>
      </c>
      <c r="D2209" t="str">
        <f>_xll.BDP("FNDC3381 Mtge","CRNCY")</f>
        <v>USD</v>
      </c>
      <c r="E2209">
        <v>1650274</v>
      </c>
      <c r="F2209">
        <f>_xll.BDP("FNDC3381 Mtge","CPN")</f>
        <v>6</v>
      </c>
      <c r="G2209">
        <f>_xll.BDP("FNDC3381 Mtge","MTG_FACTOR")</f>
        <v>0.74957379999999996</v>
      </c>
      <c r="H2209">
        <f>_xll.BDP("FNDC3381 Mtge","MTG_WAL")</f>
        <v>3.1604000000000001</v>
      </c>
      <c r="I2209" t="str">
        <f>_xll.BDP("FNDC3381 Mtge","MTG_ORIG_WAL")</f>
        <v>#N/A N/A</v>
      </c>
    </row>
    <row r="2210" spans="1:9" x14ac:dyDescent="0.25">
      <c r="A2210" t="str">
        <f>_xll.BDP("FNDC4764 Mtge","ID_CUSIP")</f>
        <v>3140ASJJ8</v>
      </c>
      <c r="B2210" t="str">
        <f>_xll.BDP("FNDC4764 Mtge","SECURITY_NAME")</f>
        <v>FN DC4764</v>
      </c>
      <c r="C2210" t="str">
        <f>_xll.BDP("FNDC4764 Mtge","GENERIC_TICKER_VINTAGE")</f>
        <v>FNCL 6 2025</v>
      </c>
      <c r="D2210" t="str">
        <f>_xll.BDP("FNDC4764 Mtge","CRNCY")</f>
        <v>USD</v>
      </c>
      <c r="E2210">
        <v>2696521</v>
      </c>
      <c r="F2210">
        <f>_xll.BDP("FNDC4764 Mtge","CPN")</f>
        <v>6</v>
      </c>
      <c r="G2210">
        <f>_xll.BDP("FNDC4764 Mtge","MTG_FACTOR")</f>
        <v>0.87238313999999995</v>
      </c>
      <c r="H2210">
        <f>_xll.BDP("FNDC4764 Mtge","MTG_WAL")</f>
        <v>3.1558999999999999</v>
      </c>
      <c r="I2210" t="str">
        <f>_xll.BDP("FNDC4764 Mtge","MTG_ORIG_WAL")</f>
        <v>#N/A N/A</v>
      </c>
    </row>
    <row r="2211" spans="1:9" x14ac:dyDescent="0.25">
      <c r="A2211" t="str">
        <f>_xll.BDP("FNDC4779 Mtge","ID_CUSIP")</f>
        <v>3140ASJZ2</v>
      </c>
      <c r="B2211" t="str">
        <f>_xll.BDP("FNDC4779 Mtge","SECURITY_NAME")</f>
        <v>FN DC4779</v>
      </c>
      <c r="C2211" t="str">
        <f>_xll.BDP("FNDC4779 Mtge","GENERIC_TICKER_VINTAGE")</f>
        <v>FNCL 6 2025</v>
      </c>
      <c r="D2211" t="str">
        <f>_xll.BDP("FNDC4779 Mtge","CRNCY")</f>
        <v>USD</v>
      </c>
      <c r="E2211">
        <v>1718442</v>
      </c>
      <c r="F2211">
        <f>_xll.BDP("FNDC4779 Mtge","CPN")</f>
        <v>6</v>
      </c>
      <c r="G2211">
        <f>_xll.BDP("FNDC4779 Mtge","MTG_FACTOR")</f>
        <v>0.94338412000000005</v>
      </c>
      <c r="H2211">
        <f>_xll.BDP("FNDC4779 Mtge","MTG_WAL")</f>
        <v>3.2284999999999999</v>
      </c>
      <c r="I2211" t="str">
        <f>_xll.BDP("FNDC4779 Mtge","MTG_ORIG_WAL")</f>
        <v>#N/A N/A</v>
      </c>
    </row>
    <row r="2212" spans="1:9" x14ac:dyDescent="0.25">
      <c r="A2212" t="str">
        <f>_xll.BDP("FNDC4791 Mtge","ID_CUSIP")</f>
        <v>3140ASKD9</v>
      </c>
      <c r="B2212" t="str">
        <f>_xll.BDP("FNDC4791 Mtge","SECURITY_NAME")</f>
        <v>FN DC4791</v>
      </c>
      <c r="C2212" t="str">
        <f>_xll.BDP("FNDC4791 Mtge","GENERIC_TICKER_VINTAGE")</f>
        <v>FNCL 6 2025</v>
      </c>
      <c r="D2212" t="str">
        <f>_xll.BDP("FNDC4791 Mtge","CRNCY")</f>
        <v>USD</v>
      </c>
      <c r="E2212">
        <v>1328429</v>
      </c>
      <c r="F2212">
        <f>_xll.BDP("FNDC4791 Mtge","CPN")</f>
        <v>6</v>
      </c>
      <c r="G2212">
        <f>_xll.BDP("FNDC4791 Mtge","MTG_FACTOR")</f>
        <v>0.84024929000000004</v>
      </c>
      <c r="H2212">
        <f>_xll.BDP("FNDC4791 Mtge","MTG_WAL")</f>
        <v>3.2008999999999999</v>
      </c>
      <c r="I2212" t="str">
        <f>_xll.BDP("FNDC4791 Mtge","MTG_ORIG_WAL")</f>
        <v>#N/A N/A</v>
      </c>
    </row>
    <row r="2213" spans="1:9" x14ac:dyDescent="0.25">
      <c r="A2213" t="str">
        <f>_xll.BDP("FNDC4811 Mtge","ID_CUSIP")</f>
        <v>3140ASKZ0</v>
      </c>
      <c r="B2213" t="str">
        <f>_xll.BDP("FNDC4811 Mtge","SECURITY_NAME")</f>
        <v>FN DC4811</v>
      </c>
      <c r="C2213" t="str">
        <f>_xll.BDP("FNDC4811 Mtge","GENERIC_TICKER_VINTAGE")</f>
        <v>FNCL 6 2025</v>
      </c>
      <c r="D2213" t="str">
        <f>_xll.BDP("FNDC4811 Mtge","CRNCY")</f>
        <v>USD</v>
      </c>
      <c r="E2213">
        <v>1715023</v>
      </c>
      <c r="F2213">
        <f>_xll.BDP("FNDC4811 Mtge","CPN")</f>
        <v>6</v>
      </c>
      <c r="G2213">
        <f>_xll.BDP("FNDC4811 Mtge","MTG_FACTOR")</f>
        <v>0.92496564999999997</v>
      </c>
      <c r="H2213">
        <f>_xll.BDP("FNDC4811 Mtge","MTG_WAL")</f>
        <v>3.2408999999999999</v>
      </c>
      <c r="I2213" t="str">
        <f>_xll.BDP("FNDC4811 Mtge","MTG_ORIG_WAL")</f>
        <v>#N/A N/A</v>
      </c>
    </row>
    <row r="2214" spans="1:9" x14ac:dyDescent="0.25">
      <c r="A2214" t="str">
        <f>_xll.BDP("FNDC4825 Mtge","ID_CUSIP")</f>
        <v>3140ASLF3</v>
      </c>
      <c r="B2214" t="str">
        <f>_xll.BDP("FNDC4825 Mtge","SECURITY_NAME")</f>
        <v>FN DC4825</v>
      </c>
      <c r="C2214" t="str">
        <f>_xll.BDP("FNDC4825 Mtge","GENERIC_TICKER_VINTAGE")</f>
        <v>FNCL 6 2025</v>
      </c>
      <c r="D2214" t="str">
        <f>_xll.BDP("FNDC4825 Mtge","CRNCY")</f>
        <v>USD</v>
      </c>
      <c r="E2214">
        <v>9979983</v>
      </c>
      <c r="F2214">
        <f>_xll.BDP("FNDC4825 Mtge","CPN")</f>
        <v>6</v>
      </c>
      <c r="G2214">
        <f>_xll.BDP("FNDC4825 Mtge","MTG_FACTOR")</f>
        <v>0.91775185999999997</v>
      </c>
      <c r="H2214">
        <f>_xll.BDP("FNDC4825 Mtge","MTG_WAL")</f>
        <v>3.1591</v>
      </c>
      <c r="I2214" t="str">
        <f>_xll.BDP("FNDC4825 Mtge","MTG_ORIG_WAL")</f>
        <v>#N/A N/A</v>
      </c>
    </row>
    <row r="2215" spans="1:9" x14ac:dyDescent="0.25">
      <c r="A2215" t="str">
        <f>_xll.BDP("FNDC6087 Mtge","ID_CUSIP")</f>
        <v>3140ATXR2</v>
      </c>
      <c r="B2215" t="str">
        <f>_xll.BDP("FNDC6087 Mtge","SECURITY_NAME")</f>
        <v>FN DC6087</v>
      </c>
      <c r="C2215" t="str">
        <f>_xll.BDP("FNDC6087 Mtge","GENERIC_TICKER_VINTAGE")</f>
        <v>FNCL 6 2025</v>
      </c>
      <c r="D2215" t="str">
        <f>_xll.BDP("FNDC6087 Mtge","CRNCY")</f>
        <v>USD</v>
      </c>
      <c r="E2215">
        <v>1804968</v>
      </c>
      <c r="F2215">
        <f>_xll.BDP("FNDC6087 Mtge","CPN")</f>
        <v>6</v>
      </c>
      <c r="G2215">
        <f>_xll.BDP("FNDC6087 Mtge","MTG_FACTOR")</f>
        <v>0.87908832000000003</v>
      </c>
      <c r="H2215">
        <f>_xll.BDP("FNDC6087 Mtge","MTG_WAL")</f>
        <v>3.2027000000000001</v>
      </c>
      <c r="I2215" t="str">
        <f>_xll.BDP("FNDC6087 Mtge","MTG_ORIG_WAL")</f>
        <v>#N/A N/A</v>
      </c>
    </row>
    <row r="2216" spans="1:9" x14ac:dyDescent="0.25">
      <c r="A2216" t="str">
        <f>_xll.BDP("FNDC6088 Mtge","ID_CUSIP")</f>
        <v>3140ATXS0</v>
      </c>
      <c r="B2216" t="str">
        <f>_xll.BDP("FNDC6088 Mtge","SECURITY_NAME")</f>
        <v>FN DC6088</v>
      </c>
      <c r="C2216" t="str">
        <f>_xll.BDP("FNDC6088 Mtge","GENERIC_TICKER_VINTAGE")</f>
        <v>FNCL 6 2025</v>
      </c>
      <c r="D2216" t="str">
        <f>_xll.BDP("FNDC6088 Mtge","CRNCY")</f>
        <v>USD</v>
      </c>
      <c r="E2216">
        <v>4815813</v>
      </c>
      <c r="F2216">
        <f>_xll.BDP("FNDC6088 Mtge","CPN")</f>
        <v>6</v>
      </c>
      <c r="G2216">
        <f>_xll.BDP("FNDC6088 Mtge","MTG_FACTOR")</f>
        <v>0.93020533000000005</v>
      </c>
      <c r="H2216">
        <f>_xll.BDP("FNDC6088 Mtge","MTG_WAL")</f>
        <v>3.2414999999999998</v>
      </c>
      <c r="I2216" t="str">
        <f>_xll.BDP("FNDC6088 Mtge","MTG_ORIG_WAL")</f>
        <v>#N/A N/A</v>
      </c>
    </row>
    <row r="2217" spans="1:9" x14ac:dyDescent="0.25">
      <c r="A2217" t="str">
        <f>_xll.BDP("FNDC6089 Mtge","ID_CUSIP")</f>
        <v>3140ATXT8</v>
      </c>
      <c r="B2217" t="str">
        <f>_xll.BDP("FNDC6089 Mtge","SECURITY_NAME")</f>
        <v>FN DC6089</v>
      </c>
      <c r="C2217" t="str">
        <f>_xll.BDP("FNDC6089 Mtge","GENERIC_TICKER_VINTAGE")</f>
        <v>FNCL 6 2025</v>
      </c>
      <c r="D2217" t="str">
        <f>_xll.BDP("FNDC6089 Mtge","CRNCY")</f>
        <v>USD</v>
      </c>
      <c r="E2217">
        <v>3450751</v>
      </c>
      <c r="F2217">
        <f>_xll.BDP("FNDC6089 Mtge","CPN")</f>
        <v>6</v>
      </c>
      <c r="G2217">
        <f>_xll.BDP("FNDC6089 Mtge","MTG_FACTOR")</f>
        <v>0.94523811999999996</v>
      </c>
      <c r="H2217">
        <f>_xll.BDP("FNDC6089 Mtge","MTG_WAL")</f>
        <v>3.2366000000000001</v>
      </c>
      <c r="I2217" t="str">
        <f>_xll.BDP("FNDC6089 Mtge","MTG_ORIG_WAL")</f>
        <v>#N/A N/A</v>
      </c>
    </row>
    <row r="2218" spans="1:9" x14ac:dyDescent="0.25">
      <c r="A2218" t="str">
        <f>_xll.BDP("FNDC6098 Mtge","ID_CUSIP")</f>
        <v>3140ATX43</v>
      </c>
      <c r="B2218" t="str">
        <f>_xll.BDP("FNDC6098 Mtge","SECURITY_NAME")</f>
        <v>FN DC6098</v>
      </c>
      <c r="C2218" t="str">
        <f>_xll.BDP("FNDC6098 Mtge","GENERIC_TICKER_VINTAGE")</f>
        <v>FNCL 6 2025</v>
      </c>
      <c r="D2218" t="str">
        <f>_xll.BDP("FNDC6098 Mtge","CRNCY")</f>
        <v>USD</v>
      </c>
      <c r="E2218">
        <v>73165944</v>
      </c>
      <c r="F2218">
        <f>_xll.BDP("FNDC6098 Mtge","CPN")</f>
        <v>6</v>
      </c>
      <c r="G2218">
        <f>_xll.BDP("FNDC6098 Mtge","MTG_FACTOR")</f>
        <v>0.80938648000000002</v>
      </c>
      <c r="H2218">
        <f>_xll.BDP("FNDC6098 Mtge","MTG_WAL")</f>
        <v>3.2423999999999999</v>
      </c>
      <c r="I2218" t="str">
        <f>_xll.BDP("FNDC6098 Mtge","MTG_ORIG_WAL")</f>
        <v>#N/A N/A</v>
      </c>
    </row>
    <row r="2219" spans="1:9" x14ac:dyDescent="0.25">
      <c r="A2219" t="str">
        <f>_xll.BDP("FNDC6101 Mtge","ID_CUSIP")</f>
        <v>3140ATX76</v>
      </c>
      <c r="B2219" t="str">
        <f>_xll.BDP("FNDC6101 Mtge","SECURITY_NAME")</f>
        <v>FN DC6101</v>
      </c>
      <c r="C2219" t="str">
        <f>_xll.BDP("FNDC6101 Mtge","GENERIC_TICKER_VINTAGE")</f>
        <v>FNCL 6 2025</v>
      </c>
      <c r="D2219" t="str">
        <f>_xll.BDP("FNDC6101 Mtge","CRNCY")</f>
        <v>USD</v>
      </c>
      <c r="E2219">
        <v>3867894</v>
      </c>
      <c r="F2219">
        <f>_xll.BDP("FNDC6101 Mtge","CPN")</f>
        <v>6</v>
      </c>
      <c r="G2219">
        <f>_xll.BDP("FNDC6101 Mtge","MTG_FACTOR")</f>
        <v>0.95958648999999996</v>
      </c>
      <c r="H2219">
        <f>_xll.BDP("FNDC6101 Mtge","MTG_WAL")</f>
        <v>3.2376999999999998</v>
      </c>
      <c r="I2219" t="str">
        <f>_xll.BDP("FNDC6101 Mtge","MTG_ORIG_WAL")</f>
        <v>#N/A N/A</v>
      </c>
    </row>
    <row r="2220" spans="1:9" x14ac:dyDescent="0.25">
      <c r="A2220" t="str">
        <f>_xll.BDP("FNDC6103 Mtge","ID_CUSIP")</f>
        <v>3140ATX92</v>
      </c>
      <c r="B2220" t="str">
        <f>_xll.BDP("FNDC6103 Mtge","SECURITY_NAME")</f>
        <v>FN DC6103</v>
      </c>
      <c r="C2220" t="str">
        <f>_xll.BDP("FNDC6103 Mtge","GENERIC_TICKER_VINTAGE")</f>
        <v>FNCL 6 2025</v>
      </c>
      <c r="D2220" t="str">
        <f>_xll.BDP("FNDC6103 Mtge","CRNCY")</f>
        <v>USD</v>
      </c>
      <c r="E2220">
        <v>3513385</v>
      </c>
      <c r="F2220">
        <f>_xll.BDP("FNDC6103 Mtge","CPN")</f>
        <v>6</v>
      </c>
      <c r="G2220">
        <f>_xll.BDP("FNDC6103 Mtge","MTG_FACTOR")</f>
        <v>0.80300853000000005</v>
      </c>
      <c r="H2220">
        <f>_xll.BDP("FNDC6103 Mtge","MTG_WAL")</f>
        <v>3.2450000000000001</v>
      </c>
      <c r="I2220" t="str">
        <f>_xll.BDP("FNDC6103 Mtge","MTG_ORIG_WAL")</f>
        <v>#N/A N/A</v>
      </c>
    </row>
    <row r="2221" spans="1:9" x14ac:dyDescent="0.25">
      <c r="A2221" t="str">
        <f>_xll.BDP("FNDC6171 Mtge","ID_CUSIP")</f>
        <v>3140AT2D7</v>
      </c>
      <c r="B2221" t="str">
        <f>_xll.BDP("FNDC6171 Mtge","SECURITY_NAME")</f>
        <v>FN DC6171</v>
      </c>
      <c r="C2221" t="str">
        <f>_xll.BDP("FNDC6171 Mtge","GENERIC_TICKER_VINTAGE")</f>
        <v>FNCL 6 2025</v>
      </c>
      <c r="D2221" t="str">
        <f>_xll.BDP("FNDC6171 Mtge","CRNCY")</f>
        <v>USD</v>
      </c>
      <c r="E2221">
        <v>2388570</v>
      </c>
      <c r="F2221">
        <f>_xll.BDP("FNDC6171 Mtge","CPN")</f>
        <v>6</v>
      </c>
      <c r="G2221">
        <f>_xll.BDP("FNDC6171 Mtge","MTG_FACTOR")</f>
        <v>0.98977221999999998</v>
      </c>
      <c r="H2221">
        <f>_xll.BDP("FNDC6171 Mtge","MTG_WAL")</f>
        <v>3.2924000000000002</v>
      </c>
      <c r="I2221" t="str">
        <f>_xll.BDP("FNDC6171 Mtge","MTG_ORIG_WAL")</f>
        <v>#N/A N/A</v>
      </c>
    </row>
    <row r="2222" spans="1:9" x14ac:dyDescent="0.25">
      <c r="A2222" t="str">
        <f>_xll.BDP("FNDC8165 Mtge","ID_CUSIP")</f>
        <v>3140AWCB3</v>
      </c>
      <c r="B2222" t="str">
        <f>_xll.BDP("FNDC8165 Mtge","SECURITY_NAME")</f>
        <v>FN DC8165</v>
      </c>
      <c r="C2222" t="str">
        <f>_xll.BDP("FNDC8165 Mtge","GENERIC_TICKER_VINTAGE")</f>
        <v>FNCL 6 2025</v>
      </c>
      <c r="D2222" t="str">
        <f>_xll.BDP("FNDC8165 Mtge","CRNCY")</f>
        <v>USD</v>
      </c>
      <c r="E2222">
        <v>2012992</v>
      </c>
      <c r="F2222">
        <f>_xll.BDP("FNDC8165 Mtge","CPN")</f>
        <v>6</v>
      </c>
      <c r="G2222">
        <f>_xll.BDP("FNDC8165 Mtge","MTG_FACTOR")</f>
        <v>0.96008148999999998</v>
      </c>
      <c r="H2222">
        <f>_xll.BDP("FNDC8165 Mtge","MTG_WAL")</f>
        <v>3.1425999999999998</v>
      </c>
      <c r="I2222" t="str">
        <f>_xll.BDP("FNDC8165 Mtge","MTG_ORIG_WAL")</f>
        <v>#N/A N/A</v>
      </c>
    </row>
    <row r="2223" spans="1:9" x14ac:dyDescent="0.25">
      <c r="A2223" t="str">
        <f>_xll.BDP("FNDC8166 Mtge","ID_CUSIP")</f>
        <v>3140AWCC1</v>
      </c>
      <c r="B2223" t="str">
        <f>_xll.BDP("FNDC8166 Mtge","SECURITY_NAME")</f>
        <v>FN DC8166</v>
      </c>
      <c r="C2223" t="str">
        <f>_xll.BDP("FNDC8166 Mtge","GENERIC_TICKER_VINTAGE")</f>
        <v>FNCL 6 2025</v>
      </c>
      <c r="D2223" t="str">
        <f>_xll.BDP("FNDC8166 Mtge","CRNCY")</f>
        <v>USD</v>
      </c>
      <c r="E2223">
        <v>3091358</v>
      </c>
      <c r="F2223">
        <f>_xll.BDP("FNDC8166 Mtge","CPN")</f>
        <v>6</v>
      </c>
      <c r="G2223">
        <f>_xll.BDP("FNDC8166 Mtge","MTG_FACTOR")</f>
        <v>0.98724992</v>
      </c>
      <c r="H2223">
        <f>_xll.BDP("FNDC8166 Mtge","MTG_WAL")</f>
        <v>3.1598999999999999</v>
      </c>
      <c r="I2223" t="str">
        <f>_xll.BDP("FNDC8166 Mtge","MTG_ORIG_WAL")</f>
        <v>#N/A N/A</v>
      </c>
    </row>
    <row r="2224" spans="1:9" x14ac:dyDescent="0.25">
      <c r="A2224" t="str">
        <f>_xll.BDP("FNDC8167 Mtge","ID_CUSIP")</f>
        <v>3140AWCD9</v>
      </c>
      <c r="B2224" t="str">
        <f>_xll.BDP("FNDC8167 Mtge","SECURITY_NAME")</f>
        <v>FN DC8167</v>
      </c>
      <c r="C2224" t="str">
        <f>_xll.BDP("FNDC8167 Mtge","GENERIC_TICKER_VINTAGE")</f>
        <v>FNCL 6 2025</v>
      </c>
      <c r="D2224" t="str">
        <f>_xll.BDP("FNDC8167 Mtge","CRNCY")</f>
        <v>USD</v>
      </c>
      <c r="E2224">
        <v>3213663</v>
      </c>
      <c r="F2224">
        <f>_xll.BDP("FNDC8167 Mtge","CPN")</f>
        <v>6</v>
      </c>
      <c r="G2224">
        <f>_xll.BDP("FNDC8167 Mtge","MTG_FACTOR")</f>
        <v>0.52397892000000001</v>
      </c>
      <c r="H2224">
        <f>_xll.BDP("FNDC8167 Mtge","MTG_WAL")</f>
        <v>3.1619999999999999</v>
      </c>
      <c r="I2224" t="str">
        <f>_xll.BDP("FNDC8167 Mtge","MTG_ORIG_WAL")</f>
        <v>#N/A N/A</v>
      </c>
    </row>
    <row r="2225" spans="1:9" x14ac:dyDescent="0.25">
      <c r="A2225" t="str">
        <f>_xll.BDP("FNDC8168 Mtge","ID_CUSIP")</f>
        <v>3140AWCE7</v>
      </c>
      <c r="B2225" t="str">
        <f>_xll.BDP("FNDC8168 Mtge","SECURITY_NAME")</f>
        <v>FN DC8168</v>
      </c>
      <c r="C2225" t="str">
        <f>_xll.BDP("FNDC8168 Mtge","GENERIC_TICKER_VINTAGE")</f>
        <v>FNCL 6 2025</v>
      </c>
      <c r="D2225" t="str">
        <f>_xll.BDP("FNDC8168 Mtge","CRNCY")</f>
        <v>USD</v>
      </c>
      <c r="E2225">
        <v>4558359</v>
      </c>
      <c r="F2225">
        <f>_xll.BDP("FNDC8168 Mtge","CPN")</f>
        <v>6</v>
      </c>
      <c r="G2225">
        <f>_xll.BDP("FNDC8168 Mtge","MTG_FACTOR")</f>
        <v>0.64805707000000001</v>
      </c>
      <c r="H2225">
        <f>_xll.BDP("FNDC8168 Mtge","MTG_WAL")</f>
        <v>3.1555</v>
      </c>
      <c r="I2225" t="str">
        <f>_xll.BDP("FNDC8168 Mtge","MTG_ORIG_WAL")</f>
        <v>#N/A N/A</v>
      </c>
    </row>
    <row r="2226" spans="1:9" x14ac:dyDescent="0.25">
      <c r="A2226" t="str">
        <f>_xll.BDP("FNDC8176 Mtge","ID_CUSIP")</f>
        <v>3140AWCN7</v>
      </c>
      <c r="B2226" t="str">
        <f>_xll.BDP("FNDC8176 Mtge","SECURITY_NAME")</f>
        <v>FN DC8176</v>
      </c>
      <c r="C2226" t="str">
        <f>_xll.BDP("FNDC8176 Mtge","GENERIC_TICKER_VINTAGE")</f>
        <v>FNCL 6 2025</v>
      </c>
      <c r="D2226" t="str">
        <f>_xll.BDP("FNDC8176 Mtge","CRNCY")</f>
        <v>USD</v>
      </c>
      <c r="E2226">
        <v>3050231</v>
      </c>
      <c r="F2226">
        <f>_xll.BDP("FNDC8176 Mtge","CPN")</f>
        <v>6</v>
      </c>
      <c r="G2226">
        <f>_xll.BDP("FNDC8176 Mtge","MTG_FACTOR")</f>
        <v>0.81637451999999999</v>
      </c>
      <c r="H2226">
        <f>_xll.BDP("FNDC8176 Mtge","MTG_WAL")</f>
        <v>3.2021999999999999</v>
      </c>
      <c r="I2226" t="str">
        <f>_xll.BDP("FNDC8176 Mtge","MTG_ORIG_WAL")</f>
        <v>#N/A N/A</v>
      </c>
    </row>
    <row r="2227" spans="1:9" x14ac:dyDescent="0.25">
      <c r="A2227" t="str">
        <f>_xll.BDP("FNDC8177 Mtge","ID_CUSIP")</f>
        <v>3140AWCP2</v>
      </c>
      <c r="B2227" t="str">
        <f>_xll.BDP("FNDC8177 Mtge","SECURITY_NAME")</f>
        <v>FN DC8177</v>
      </c>
      <c r="C2227" t="str">
        <f>_xll.BDP("FNDC8177 Mtge","GENERIC_TICKER_VINTAGE")</f>
        <v>FNCL 6 2025</v>
      </c>
      <c r="D2227" t="str">
        <f>_xll.BDP("FNDC8177 Mtge","CRNCY")</f>
        <v>USD</v>
      </c>
      <c r="E2227">
        <v>1830065</v>
      </c>
      <c r="F2227">
        <f>_xll.BDP("FNDC8177 Mtge","CPN")</f>
        <v>6</v>
      </c>
      <c r="G2227">
        <f>_xll.BDP("FNDC8177 Mtge","MTG_FACTOR")</f>
        <v>0.97919120000000004</v>
      </c>
      <c r="H2227">
        <f>_xll.BDP("FNDC8177 Mtge","MTG_WAL")</f>
        <v>3.1943999999999999</v>
      </c>
      <c r="I2227" t="str">
        <f>_xll.BDP("FNDC8177 Mtge","MTG_ORIG_WAL")</f>
        <v>#N/A N/A</v>
      </c>
    </row>
    <row r="2228" spans="1:9" x14ac:dyDescent="0.25">
      <c r="A2228" t="str">
        <f>_xll.BDP("FNDC8178 Mtge","ID_CUSIP")</f>
        <v>3140AWCQ0</v>
      </c>
      <c r="B2228" t="str">
        <f>_xll.BDP("FNDC8178 Mtge","SECURITY_NAME")</f>
        <v>FN DC8178</v>
      </c>
      <c r="C2228" t="str">
        <f>_xll.BDP("FNDC8178 Mtge","GENERIC_TICKER_VINTAGE")</f>
        <v>FNCL 6 2025</v>
      </c>
      <c r="D2228" t="str">
        <f>_xll.BDP("FNDC8178 Mtge","CRNCY")</f>
        <v>USD</v>
      </c>
      <c r="E2228">
        <v>1029874</v>
      </c>
      <c r="F2228">
        <f>_xll.BDP("FNDC8178 Mtge","CPN")</f>
        <v>6</v>
      </c>
      <c r="G2228">
        <f>_xll.BDP("FNDC8178 Mtge","MTG_FACTOR")</f>
        <v>0.66686709</v>
      </c>
      <c r="H2228">
        <f>_xll.BDP("FNDC8178 Mtge","MTG_WAL")</f>
        <v>3.2059000000000002</v>
      </c>
      <c r="I2228" t="str">
        <f>_xll.BDP("FNDC8178 Mtge","MTG_ORIG_WAL")</f>
        <v>#N/A N/A</v>
      </c>
    </row>
    <row r="2229" spans="1:9" x14ac:dyDescent="0.25">
      <c r="A2229" t="str">
        <f>_xll.BDP("FNDC8179 Mtge","ID_CUSIP")</f>
        <v>3140AWCR8</v>
      </c>
      <c r="B2229" t="str">
        <f>_xll.BDP("FNDC8179 Mtge","SECURITY_NAME")</f>
        <v>FN DC8179</v>
      </c>
      <c r="C2229" t="str">
        <f>_xll.BDP("FNDC8179 Mtge","GENERIC_TICKER_VINTAGE")</f>
        <v>FNCL 6 2025</v>
      </c>
      <c r="D2229" t="str">
        <f>_xll.BDP("FNDC8179 Mtge","CRNCY")</f>
        <v>USD</v>
      </c>
      <c r="E2229">
        <v>1511520</v>
      </c>
      <c r="F2229">
        <f>_xll.BDP("FNDC8179 Mtge","CPN")</f>
        <v>6</v>
      </c>
      <c r="G2229">
        <f>_xll.BDP("FNDC8179 Mtge","MTG_FACTOR")</f>
        <v>0.98728744000000002</v>
      </c>
      <c r="H2229">
        <f>_xll.BDP("FNDC8179 Mtge","MTG_WAL")</f>
        <v>3.2046999999999999</v>
      </c>
      <c r="I2229" t="str">
        <f>_xll.BDP("FNDC8179 Mtge","MTG_ORIG_WAL")</f>
        <v>#N/A N/A</v>
      </c>
    </row>
    <row r="2230" spans="1:9" x14ac:dyDescent="0.25">
      <c r="A2230" t="str">
        <f>_xll.BDP("FNDC8181 Mtge","ID_CUSIP")</f>
        <v>3140AWCT4</v>
      </c>
      <c r="B2230" t="str">
        <f>_xll.BDP("FNDC8181 Mtge","SECURITY_NAME")</f>
        <v>FN DC8181</v>
      </c>
      <c r="C2230" t="str">
        <f>_xll.BDP("FNDC8181 Mtge","GENERIC_TICKER_VINTAGE")</f>
        <v>FNCL 6 2025</v>
      </c>
      <c r="D2230" t="str">
        <f>_xll.BDP("FNDC8181 Mtge","CRNCY")</f>
        <v>USD</v>
      </c>
      <c r="E2230">
        <v>3547193</v>
      </c>
      <c r="F2230">
        <f>_xll.BDP("FNDC8181 Mtge","CPN")</f>
        <v>6</v>
      </c>
      <c r="G2230">
        <f>_xll.BDP("FNDC8181 Mtge","MTG_FACTOR")</f>
        <v>0.80578143999999996</v>
      </c>
      <c r="H2230">
        <f>_xll.BDP("FNDC8181 Mtge","MTG_WAL")</f>
        <v>3.1930999999999998</v>
      </c>
      <c r="I2230" t="str">
        <f>_xll.BDP("FNDC8181 Mtge","MTG_ORIG_WAL")</f>
        <v>#N/A N/A</v>
      </c>
    </row>
    <row r="2231" spans="1:9" x14ac:dyDescent="0.25">
      <c r="A2231" t="str">
        <f>_xll.BDP("FNDC8192 Mtge","ID_CUSIP")</f>
        <v>3140AWC64</v>
      </c>
      <c r="B2231" t="str">
        <f>_xll.BDP("FNDC8192 Mtge","SECURITY_NAME")</f>
        <v>FN DC8192</v>
      </c>
      <c r="C2231" t="str">
        <f>_xll.BDP("FNDC8192 Mtge","GENERIC_TICKER_VINTAGE")</f>
        <v>FNCL 6 2025</v>
      </c>
      <c r="D2231" t="str">
        <f>_xll.BDP("FNDC8192 Mtge","CRNCY")</f>
        <v>USD</v>
      </c>
      <c r="E2231">
        <v>1314259</v>
      </c>
      <c r="F2231">
        <f>_xll.BDP("FNDC8192 Mtge","CPN")</f>
        <v>6</v>
      </c>
      <c r="G2231">
        <f>_xll.BDP("FNDC8192 Mtge","MTG_FACTOR")</f>
        <v>0.99087345999999998</v>
      </c>
      <c r="H2231">
        <f>_xll.BDP("FNDC8192 Mtge","MTG_WAL")</f>
        <v>3.2025999999999999</v>
      </c>
      <c r="I2231" t="str">
        <f>_xll.BDP("FNDC8192 Mtge","MTG_ORIG_WAL")</f>
        <v>#N/A N/A</v>
      </c>
    </row>
    <row r="2232" spans="1:9" x14ac:dyDescent="0.25">
      <c r="A2232" t="str">
        <f>_xll.BDP("FNDC8194 Mtge","ID_CUSIP")</f>
        <v>3140AWC80</v>
      </c>
      <c r="B2232" t="str">
        <f>_xll.BDP("FNDC8194 Mtge","SECURITY_NAME")</f>
        <v>FN DC8194</v>
      </c>
      <c r="C2232" t="str">
        <f>_xll.BDP("FNDC8194 Mtge","GENERIC_TICKER_VINTAGE")</f>
        <v>FNCL 6 2025</v>
      </c>
      <c r="D2232" t="str">
        <f>_xll.BDP("FNDC8194 Mtge","CRNCY")</f>
        <v>USD</v>
      </c>
      <c r="E2232">
        <v>2165941</v>
      </c>
      <c r="F2232">
        <f>_xll.BDP("FNDC8194 Mtge","CPN")</f>
        <v>6</v>
      </c>
      <c r="G2232">
        <f>_xll.BDP("FNDC8194 Mtge","MTG_FACTOR")</f>
        <v>0.99103531</v>
      </c>
      <c r="H2232">
        <f>_xll.BDP("FNDC8194 Mtge","MTG_WAL")</f>
        <v>3.2035999999999998</v>
      </c>
      <c r="I2232" t="str">
        <f>_xll.BDP("FNDC8194 Mtge","MTG_ORIG_WAL")</f>
        <v>#N/A N/A</v>
      </c>
    </row>
    <row r="2233" spans="1:9" x14ac:dyDescent="0.25">
      <c r="A2233" t="str">
        <f>_xll.BDP("FNDC8197 Mtge","ID_CUSIP")</f>
        <v>3140AWDB2</v>
      </c>
      <c r="B2233" t="str">
        <f>_xll.BDP("FNDC8197 Mtge","SECURITY_NAME")</f>
        <v>FN DC8197</v>
      </c>
      <c r="C2233" t="str">
        <f>_xll.BDP("FNDC8197 Mtge","GENERIC_TICKER_VINTAGE")</f>
        <v>FNCL 6 2025</v>
      </c>
      <c r="D2233" t="str">
        <f>_xll.BDP("FNDC8197 Mtge","CRNCY")</f>
        <v>USD</v>
      </c>
      <c r="E2233">
        <v>1165282</v>
      </c>
      <c r="F2233">
        <f>_xll.BDP("FNDC8197 Mtge","CPN")</f>
        <v>6</v>
      </c>
      <c r="G2233">
        <f>_xll.BDP("FNDC8197 Mtge","MTG_FACTOR")</f>
        <v>0.65264538999999999</v>
      </c>
      <c r="H2233">
        <f>_xll.BDP("FNDC8197 Mtge","MTG_WAL")</f>
        <v>3.2505999999999999</v>
      </c>
      <c r="I2233" t="str">
        <f>_xll.BDP("FNDC8197 Mtge","MTG_ORIG_WAL")</f>
        <v>#N/A N/A</v>
      </c>
    </row>
    <row r="2234" spans="1:9" x14ac:dyDescent="0.25">
      <c r="A2234" t="str">
        <f>_xll.BDP("FNDC8201 Mtge","ID_CUSIP")</f>
        <v>3140AWDF3</v>
      </c>
      <c r="B2234" t="str">
        <f>_xll.BDP("FNDC8201 Mtge","SECURITY_NAME")</f>
        <v>FN DC8201</v>
      </c>
      <c r="C2234" t="str">
        <f>_xll.BDP("FNDC8201 Mtge","GENERIC_TICKER_VINTAGE")</f>
        <v>FNCL 6 2025</v>
      </c>
      <c r="D2234" t="str">
        <f>_xll.BDP("FNDC8201 Mtge","CRNCY")</f>
        <v>USD</v>
      </c>
      <c r="E2234">
        <v>2711337</v>
      </c>
      <c r="F2234">
        <f>_xll.BDP("FNDC8201 Mtge","CPN")</f>
        <v>6</v>
      </c>
      <c r="G2234">
        <f>_xll.BDP("FNDC8201 Mtge","MTG_FACTOR")</f>
        <v>0.83093002999999999</v>
      </c>
      <c r="H2234">
        <f>_xll.BDP("FNDC8201 Mtge","MTG_WAL")</f>
        <v>3.16</v>
      </c>
      <c r="I2234" t="str">
        <f>_xll.BDP("FNDC8201 Mtge","MTG_ORIG_WAL")</f>
        <v>#N/A N/A</v>
      </c>
    </row>
    <row r="2235" spans="1:9" x14ac:dyDescent="0.25">
      <c r="A2235" t="str">
        <f>_xll.BDP("FNDC8216 Mtge","ID_CUSIP")</f>
        <v>3140AWDW6</v>
      </c>
      <c r="B2235" t="str">
        <f>_xll.BDP("FNDC8216 Mtge","SECURITY_NAME")</f>
        <v>FN DC8216</v>
      </c>
      <c r="C2235" t="str">
        <f>_xll.BDP("FNDC8216 Mtge","GENERIC_TICKER_VINTAGE")</f>
        <v>FNCL 6 2025</v>
      </c>
      <c r="D2235" t="str">
        <f>_xll.BDP("FNDC8216 Mtge","CRNCY")</f>
        <v>USD</v>
      </c>
      <c r="E2235">
        <v>3562472</v>
      </c>
      <c r="F2235">
        <f>_xll.BDP("FNDC8216 Mtge","CPN")</f>
        <v>6</v>
      </c>
      <c r="G2235">
        <f>_xll.BDP("FNDC8216 Mtge","MTG_FACTOR")</f>
        <v>0.97640720000000003</v>
      </c>
      <c r="H2235">
        <f>_xll.BDP("FNDC8216 Mtge","MTG_WAL")</f>
        <v>3.2780999999999998</v>
      </c>
      <c r="I2235" t="str">
        <f>_xll.BDP("FNDC8216 Mtge","MTG_ORIG_WAL")</f>
        <v>#N/A N/A</v>
      </c>
    </row>
    <row r="2236" spans="1:9" x14ac:dyDescent="0.25">
      <c r="A2236" t="str">
        <f>_xll.BDP("FNDC8218 Mtge","ID_CUSIP")</f>
        <v>3140AWDY2</v>
      </c>
      <c r="B2236" t="str">
        <f>_xll.BDP("FNDC8218 Mtge","SECURITY_NAME")</f>
        <v>FN DC8218</v>
      </c>
      <c r="C2236" t="str">
        <f>_xll.BDP("FNDC8218 Mtge","GENERIC_TICKER_VINTAGE")</f>
        <v>FNCL 6 2025</v>
      </c>
      <c r="D2236" t="str">
        <f>_xll.BDP("FNDC8218 Mtge","CRNCY")</f>
        <v>USD</v>
      </c>
      <c r="E2236">
        <v>7199167</v>
      </c>
      <c r="F2236">
        <f>_xll.BDP("FNDC8218 Mtge","CPN")</f>
        <v>6</v>
      </c>
      <c r="G2236">
        <f>_xll.BDP("FNDC8218 Mtge","MTG_FACTOR")</f>
        <v>0.91108054000000005</v>
      </c>
      <c r="H2236">
        <f>_xll.BDP("FNDC8218 Mtge","MTG_WAL")</f>
        <v>3.2437</v>
      </c>
      <c r="I2236" t="str">
        <f>_xll.BDP("FNDC8218 Mtge","MTG_ORIG_WAL")</f>
        <v>#N/A N/A</v>
      </c>
    </row>
    <row r="2237" spans="1:9" x14ac:dyDescent="0.25">
      <c r="A2237" t="str">
        <f>_xll.BDP("FNDC9043 Mtge","ID_CUSIP")</f>
        <v>3140AXBM8</v>
      </c>
      <c r="B2237" t="str">
        <f>_xll.BDP("FNDC9043 Mtge","SECURITY_NAME")</f>
        <v>FN DC9043</v>
      </c>
      <c r="C2237" t="str">
        <f>_xll.BDP("FNDC9043 Mtge","GENERIC_TICKER_VINTAGE")</f>
        <v>FNCL 6 2025</v>
      </c>
      <c r="D2237" t="str">
        <f>_xll.BDP("FNDC9043 Mtge","CRNCY")</f>
        <v>USD</v>
      </c>
      <c r="E2237">
        <v>1289548</v>
      </c>
      <c r="F2237">
        <f>_xll.BDP("FNDC9043 Mtge","CPN")</f>
        <v>6</v>
      </c>
      <c r="G2237">
        <f>_xll.BDP("FNDC9043 Mtge","MTG_FACTOR")</f>
        <v>0.98867501000000002</v>
      </c>
      <c r="H2237">
        <f>_xll.BDP("FNDC9043 Mtge","MTG_WAL")</f>
        <v>3.1615000000000002</v>
      </c>
      <c r="I2237" t="str">
        <f>_xll.BDP("FNDC9043 Mtge","MTG_ORIG_WAL")</f>
        <v>#N/A N/A</v>
      </c>
    </row>
    <row r="2238" spans="1:9" x14ac:dyDescent="0.25">
      <c r="A2238" t="str">
        <f>_xll.BDP("FNDC9047 Mtge","ID_CUSIP")</f>
        <v>3140AXBR7</v>
      </c>
      <c r="B2238" t="str">
        <f>_xll.BDP("FNDC9047 Mtge","SECURITY_NAME")</f>
        <v>FN DC9047</v>
      </c>
      <c r="C2238" t="str">
        <f>_xll.BDP("FNDC9047 Mtge","GENERIC_TICKER_VINTAGE")</f>
        <v>FNCL 6 2025</v>
      </c>
      <c r="D2238" t="str">
        <f>_xll.BDP("FNDC9047 Mtge","CRNCY")</f>
        <v>USD</v>
      </c>
      <c r="E2238">
        <v>3967491</v>
      </c>
      <c r="F2238">
        <f>_xll.BDP("FNDC9047 Mtge","CPN")</f>
        <v>6</v>
      </c>
      <c r="G2238">
        <f>_xll.BDP("FNDC9047 Mtge","MTG_FACTOR")</f>
        <v>0.93866132000000002</v>
      </c>
      <c r="H2238">
        <f>_xll.BDP("FNDC9047 Mtge","MTG_WAL")</f>
        <v>3.2911000000000001</v>
      </c>
      <c r="I2238" t="str">
        <f>_xll.BDP("FNDC9047 Mtge","MTG_ORIG_WAL")</f>
        <v>#N/A N/A</v>
      </c>
    </row>
    <row r="2239" spans="1:9" x14ac:dyDescent="0.25">
      <c r="A2239" t="str">
        <f>_xll.BDP("FNDC9048 Mtge","ID_CUSIP")</f>
        <v>3140AXBS5</v>
      </c>
      <c r="B2239" t="str">
        <f>_xll.BDP("FNDC9048 Mtge","SECURITY_NAME")</f>
        <v>FN DC9048</v>
      </c>
      <c r="C2239" t="str">
        <f>_xll.BDP("FNDC9048 Mtge","GENERIC_TICKER_VINTAGE")</f>
        <v>FNCL 6 2025</v>
      </c>
      <c r="D2239" t="str">
        <f>_xll.BDP("FNDC9048 Mtge","CRNCY")</f>
        <v>USD</v>
      </c>
      <c r="E2239">
        <v>57339825</v>
      </c>
      <c r="F2239">
        <f>_xll.BDP("FNDC9048 Mtge","CPN")</f>
        <v>6</v>
      </c>
      <c r="G2239">
        <f>_xll.BDP("FNDC9048 Mtge","MTG_FACTOR")</f>
        <v>0.79520184000000005</v>
      </c>
      <c r="H2239">
        <f>_xll.BDP("FNDC9048 Mtge","MTG_WAL")</f>
        <v>3.2867999999999999</v>
      </c>
      <c r="I2239" t="str">
        <f>_xll.BDP("FNDC9048 Mtge","MTG_ORIG_WAL")</f>
        <v>#N/A N/A</v>
      </c>
    </row>
    <row r="2240" spans="1:9" x14ac:dyDescent="0.25">
      <c r="A2240" t="str">
        <f>_xll.BDP("FNDC9049 Mtge","ID_CUSIP")</f>
        <v>3140AXBT3</v>
      </c>
      <c r="B2240" t="str">
        <f>_xll.BDP("FNDC9049 Mtge","SECURITY_NAME")</f>
        <v>FN DC9049</v>
      </c>
      <c r="C2240" t="str">
        <f>_xll.BDP("FNDC9049 Mtge","GENERIC_TICKER_VINTAGE")</f>
        <v>FNCL 6 2025</v>
      </c>
      <c r="D2240" t="str">
        <f>_xll.BDP("FNDC9049 Mtge","CRNCY")</f>
        <v>USD</v>
      </c>
      <c r="E2240">
        <v>4687363</v>
      </c>
      <c r="F2240">
        <f>_xll.BDP("FNDC9049 Mtge","CPN")</f>
        <v>6</v>
      </c>
      <c r="G2240">
        <f>_xll.BDP("FNDC9049 Mtge","MTG_FACTOR")</f>
        <v>0.85739346000000005</v>
      </c>
      <c r="H2240">
        <f>_xll.BDP("FNDC9049 Mtge","MTG_WAL")</f>
        <v>3.2831999999999999</v>
      </c>
      <c r="I2240" t="str">
        <f>_xll.BDP("FNDC9049 Mtge","MTG_ORIG_WAL")</f>
        <v>#N/A N/A</v>
      </c>
    </row>
    <row r="2241" spans="1:9" x14ac:dyDescent="0.25">
      <c r="A2241" t="str">
        <f>_xll.BDP("FNDC9051 Mtge","ID_CUSIP")</f>
        <v>3140AXBV8</v>
      </c>
      <c r="B2241" t="str">
        <f>_xll.BDP("FNDC9051 Mtge","SECURITY_NAME")</f>
        <v>FN DC9051</v>
      </c>
      <c r="C2241" t="str">
        <f>_xll.BDP("FNDC9051 Mtge","GENERIC_TICKER_VINTAGE")</f>
        <v>FNCL 6 2025</v>
      </c>
      <c r="D2241" t="str">
        <f>_xll.BDP("FNDC9051 Mtge","CRNCY")</f>
        <v>USD</v>
      </c>
      <c r="E2241">
        <v>3969033</v>
      </c>
      <c r="F2241">
        <f>_xll.BDP("FNDC9051 Mtge","CPN")</f>
        <v>6</v>
      </c>
      <c r="G2241">
        <f>_xll.BDP("FNDC9051 Mtge","MTG_FACTOR")</f>
        <v>0.96894495999999997</v>
      </c>
      <c r="H2241">
        <f>_xll.BDP("FNDC9051 Mtge","MTG_WAL")</f>
        <v>3.2869999999999999</v>
      </c>
      <c r="I2241" t="str">
        <f>_xll.BDP("FNDC9051 Mtge","MTG_ORIG_WAL")</f>
        <v>#N/A N/A</v>
      </c>
    </row>
    <row r="2242" spans="1:9" x14ac:dyDescent="0.25">
      <c r="A2242" t="str">
        <f>_xll.BDP("FNDC9052 Mtge","ID_CUSIP")</f>
        <v>3140AXBW6</v>
      </c>
      <c r="B2242" t="str">
        <f>_xll.BDP("FNDC9052 Mtge","SECURITY_NAME")</f>
        <v>FN DC9052</v>
      </c>
      <c r="C2242" t="str">
        <f>_xll.BDP("FNDC9052 Mtge","GENERIC_TICKER_VINTAGE")</f>
        <v>FNCL 6 2025</v>
      </c>
      <c r="D2242" t="str">
        <f>_xll.BDP("FNDC9052 Mtge","CRNCY")</f>
        <v>USD</v>
      </c>
      <c r="E2242">
        <v>4191620</v>
      </c>
      <c r="F2242">
        <f>_xll.BDP("FNDC9052 Mtge","CPN")</f>
        <v>6</v>
      </c>
      <c r="G2242">
        <f>_xll.BDP("FNDC9052 Mtge","MTG_FACTOR")</f>
        <v>0.89894335000000003</v>
      </c>
      <c r="H2242">
        <f>_xll.BDP("FNDC9052 Mtge","MTG_WAL")</f>
        <v>3.2786</v>
      </c>
      <c r="I2242" t="str">
        <f>_xll.BDP("FNDC9052 Mtge","MTG_ORIG_WAL")</f>
        <v>#N/A N/A</v>
      </c>
    </row>
    <row r="2243" spans="1:9" x14ac:dyDescent="0.25">
      <c r="A2243" t="str">
        <f>_xll.BDP("FNDC9053 Mtge","ID_CUSIP")</f>
        <v>3140AXBX4</v>
      </c>
      <c r="B2243" t="str">
        <f>_xll.BDP("FNDC9053 Mtge","SECURITY_NAME")</f>
        <v>FN DC9053</v>
      </c>
      <c r="C2243" t="str">
        <f>_xll.BDP("FNDC9053 Mtge","GENERIC_TICKER_VINTAGE")</f>
        <v>FNCL 6 2025</v>
      </c>
      <c r="D2243" t="str">
        <f>_xll.BDP("FNDC9053 Mtge","CRNCY")</f>
        <v>USD</v>
      </c>
      <c r="E2243">
        <v>2114242</v>
      </c>
      <c r="F2243">
        <f>_xll.BDP("FNDC9053 Mtge","CPN")</f>
        <v>6</v>
      </c>
      <c r="G2243">
        <f>_xll.BDP("FNDC9053 Mtge","MTG_FACTOR")</f>
        <v>0.91474367999999995</v>
      </c>
      <c r="H2243">
        <f>_xll.BDP("FNDC9053 Mtge","MTG_WAL")</f>
        <v>3.2924000000000002</v>
      </c>
      <c r="I2243" t="str">
        <f>_xll.BDP("FNDC9053 Mtge","MTG_ORIG_WAL")</f>
        <v>#N/A N/A</v>
      </c>
    </row>
    <row r="2244" spans="1:9" x14ac:dyDescent="0.25">
      <c r="A2244" t="str">
        <f>_xll.BDP("FNDC9079 Mtge","ID_CUSIP")</f>
        <v>3140AXCR6</v>
      </c>
      <c r="B2244" t="str">
        <f>_xll.BDP("FNDC9079 Mtge","SECURITY_NAME")</f>
        <v>FN DC9079</v>
      </c>
      <c r="C2244" t="str">
        <f>_xll.BDP("FNDC9079 Mtge","GENERIC_TICKER_VINTAGE")</f>
        <v>FNCL 6 2025</v>
      </c>
      <c r="D2244" t="str">
        <f>_xll.BDP("FNDC9079 Mtge","CRNCY")</f>
        <v>USD</v>
      </c>
      <c r="E2244">
        <v>4286701</v>
      </c>
      <c r="F2244">
        <f>_xll.BDP("FNDC9079 Mtge","CPN")</f>
        <v>6</v>
      </c>
      <c r="G2244">
        <f>_xll.BDP("FNDC9079 Mtge","MTG_FACTOR")</f>
        <v>0.96062736999999998</v>
      </c>
      <c r="H2244">
        <f>_xll.BDP("FNDC9079 Mtge","MTG_WAL")</f>
        <v>3.3357000000000001</v>
      </c>
      <c r="I2244" t="str">
        <f>_xll.BDP("FNDC9079 Mtge","MTG_ORIG_WAL")</f>
        <v>#N/A N/A</v>
      </c>
    </row>
    <row r="2245" spans="1:9" x14ac:dyDescent="0.25">
      <c r="A2245" t="str">
        <f>_xll.BDP("FNDC9093 Mtge","ID_CUSIP")</f>
        <v>3140AXC70</v>
      </c>
      <c r="B2245" t="str">
        <f>_xll.BDP("FNDC9093 Mtge","SECURITY_NAME")</f>
        <v>FN DC9093</v>
      </c>
      <c r="C2245" t="str">
        <f>_xll.BDP("FNDC9093 Mtge","GENERIC_TICKER_VINTAGE")</f>
        <v>FNCL 6 2025</v>
      </c>
      <c r="D2245" t="str">
        <f>_xll.BDP("FNDC9093 Mtge","CRNCY")</f>
        <v>USD</v>
      </c>
      <c r="E2245">
        <v>2437416</v>
      </c>
      <c r="F2245">
        <f>_xll.BDP("FNDC9093 Mtge","CPN")</f>
        <v>6</v>
      </c>
      <c r="G2245">
        <f>_xll.BDP("FNDC9093 Mtge","MTG_FACTOR")</f>
        <v>0.99031305999999997</v>
      </c>
      <c r="H2245">
        <f>_xll.BDP("FNDC9093 Mtge","MTG_WAL")</f>
        <v>3.2854000000000001</v>
      </c>
      <c r="I2245" t="str">
        <f>_xll.BDP("FNDC9093 Mtge","MTG_ORIG_WAL")</f>
        <v>#N/A N/A</v>
      </c>
    </row>
    <row r="2246" spans="1:9" x14ac:dyDescent="0.25">
      <c r="A2246" t="str">
        <f>_xll.BDP("FNDC9095 Mtge","ID_CUSIP")</f>
        <v>3140AXC96</v>
      </c>
      <c r="B2246" t="str">
        <f>_xll.BDP("FNDC9095 Mtge","SECURITY_NAME")</f>
        <v>FN DC9095</v>
      </c>
      <c r="C2246" t="str">
        <f>_xll.BDP("FNDC9095 Mtge","GENERIC_TICKER_VINTAGE")</f>
        <v>FNCL 6 2025</v>
      </c>
      <c r="D2246" t="str">
        <f>_xll.BDP("FNDC9095 Mtge","CRNCY")</f>
        <v>USD</v>
      </c>
      <c r="E2246">
        <v>1330336</v>
      </c>
      <c r="F2246">
        <f>_xll.BDP("FNDC9095 Mtge","CPN")</f>
        <v>6</v>
      </c>
      <c r="G2246">
        <f>_xll.BDP("FNDC9095 Mtge","MTG_FACTOR")</f>
        <v>0.88185864000000003</v>
      </c>
      <c r="H2246">
        <f>_xll.BDP("FNDC9095 Mtge","MTG_WAL")</f>
        <v>3.3147000000000002</v>
      </c>
      <c r="I2246" t="str">
        <f>_xll.BDP("FNDC9095 Mtge","MTG_ORIG_WAL")</f>
        <v>#N/A N/A</v>
      </c>
    </row>
    <row r="2247" spans="1:9" x14ac:dyDescent="0.25">
      <c r="A2247" t="str">
        <f>_xll.BDP("FNDC9100 Mtge","ID_CUSIP")</f>
        <v>3140AXDE4</v>
      </c>
      <c r="B2247" t="str">
        <f>_xll.BDP("FNDC9100 Mtge","SECURITY_NAME")</f>
        <v>FN DC9100</v>
      </c>
      <c r="C2247" t="str">
        <f>_xll.BDP("FNDC9100 Mtge","GENERIC_TICKER_VINTAGE")</f>
        <v>FNCL 6 2025</v>
      </c>
      <c r="D2247" t="str">
        <f>_xll.BDP("FNDC9100 Mtge","CRNCY")</f>
        <v>USD</v>
      </c>
      <c r="E2247">
        <v>4210598</v>
      </c>
      <c r="F2247">
        <f>_xll.BDP("FNDC9100 Mtge","CPN")</f>
        <v>6</v>
      </c>
      <c r="G2247">
        <f>_xll.BDP("FNDC9100 Mtge","MTG_FACTOR")</f>
        <v>0.92769312000000004</v>
      </c>
      <c r="H2247">
        <f>_xll.BDP("FNDC9100 Mtge","MTG_WAL")</f>
        <v>3.3422999999999998</v>
      </c>
      <c r="I2247" t="str">
        <f>_xll.BDP("FNDC9100 Mtge","MTG_ORIG_WAL")</f>
        <v>#N/A N/A</v>
      </c>
    </row>
    <row r="2248" spans="1:9" x14ac:dyDescent="0.25">
      <c r="A2248" t="str">
        <f>_xll.BDP("FNDC9138 Mtge","ID_CUSIP")</f>
        <v>3140AXEL7</v>
      </c>
      <c r="B2248" t="str">
        <f>_xll.BDP("FNDC9138 Mtge","SECURITY_NAME")</f>
        <v>FN DC9138</v>
      </c>
      <c r="C2248" t="str">
        <f>_xll.BDP("FNDC9138 Mtge","GENERIC_TICKER_VINTAGE")</f>
        <v>FNCL 6 2025</v>
      </c>
      <c r="D2248" t="str">
        <f>_xll.BDP("FNDC9138 Mtge","CRNCY")</f>
        <v>USD</v>
      </c>
      <c r="E2248">
        <v>4000327</v>
      </c>
      <c r="F2248">
        <f>_xll.BDP("FNDC9138 Mtge","CPN")</f>
        <v>6</v>
      </c>
      <c r="G2248">
        <f>_xll.BDP("FNDC9138 Mtge","MTG_FACTOR")</f>
        <v>0.96691236999999997</v>
      </c>
      <c r="H2248">
        <f>_xll.BDP("FNDC9138 Mtge","MTG_WAL")</f>
        <v>3.3923000000000001</v>
      </c>
      <c r="I2248" t="str">
        <f>_xll.BDP("FNDC9138 Mtge","MTG_ORIG_WAL")</f>
        <v>#N/A N/A</v>
      </c>
    </row>
    <row r="2249" spans="1:9" x14ac:dyDescent="0.25">
      <c r="A2249" t="str">
        <f>_xll.BDP("FNDC9405 Mtge","ID_CUSIP")</f>
        <v>3140AXNX1</v>
      </c>
      <c r="B2249" t="str">
        <f>_xll.BDP("FNDC9405 Mtge","SECURITY_NAME")</f>
        <v>FN DC9405</v>
      </c>
      <c r="C2249" t="str">
        <f>_xll.BDP("FNDC9405 Mtge","GENERIC_TICKER_VINTAGE")</f>
        <v>FNCL 6 2025</v>
      </c>
      <c r="D2249" t="str">
        <f>_xll.BDP("FNDC9405 Mtge","CRNCY")</f>
        <v>USD</v>
      </c>
      <c r="E2249">
        <v>2090630</v>
      </c>
      <c r="F2249">
        <f>_xll.BDP("FNDC9405 Mtge","CPN")</f>
        <v>6</v>
      </c>
      <c r="G2249">
        <f>_xll.BDP("FNDC9405 Mtge","MTG_FACTOR")</f>
        <v>0.98487223000000002</v>
      </c>
      <c r="H2249">
        <f>_xll.BDP("FNDC9405 Mtge","MTG_WAL")</f>
        <v>3.1551</v>
      </c>
      <c r="I2249" t="str">
        <f>_xll.BDP("FNDC9405 Mtge","MTG_ORIG_WAL")</f>
        <v>#N/A N/A</v>
      </c>
    </row>
    <row r="2250" spans="1:9" x14ac:dyDescent="0.25">
      <c r="A2250" t="str">
        <f>_xll.BDP("FNDC9406 Mtge","ID_CUSIP")</f>
        <v>3140AXNY9</v>
      </c>
      <c r="B2250" t="str">
        <f>_xll.BDP("FNDC9406 Mtge","SECURITY_NAME")</f>
        <v>FN DC9406</v>
      </c>
      <c r="C2250" t="str">
        <f>_xll.BDP("FNDC9406 Mtge","GENERIC_TICKER_VINTAGE")</f>
        <v>FNCL 6 2025</v>
      </c>
      <c r="D2250" t="str">
        <f>_xll.BDP("FNDC9406 Mtge","CRNCY")</f>
        <v>USD</v>
      </c>
      <c r="E2250">
        <v>1574076</v>
      </c>
      <c r="F2250">
        <f>_xll.BDP("FNDC9406 Mtge","CPN")</f>
        <v>6</v>
      </c>
      <c r="G2250">
        <f>_xll.BDP("FNDC9406 Mtge","MTG_FACTOR")</f>
        <v>0.98727383000000002</v>
      </c>
      <c r="H2250">
        <f>_xll.BDP("FNDC9406 Mtge","MTG_WAL")</f>
        <v>3.1593</v>
      </c>
      <c r="I2250" t="str">
        <f>_xll.BDP("FNDC9406 Mtge","MTG_ORIG_WAL")</f>
        <v>#N/A N/A</v>
      </c>
    </row>
    <row r="2251" spans="1:9" x14ac:dyDescent="0.25">
      <c r="A2251" t="str">
        <f>_xll.BDP("FNDC9408 Mtge","ID_CUSIP")</f>
        <v>3140AXN29</v>
      </c>
      <c r="B2251" t="str">
        <f>_xll.BDP("FNDC9408 Mtge","SECURITY_NAME")</f>
        <v>FN DC9408</v>
      </c>
      <c r="C2251" t="str">
        <f>_xll.BDP("FNDC9408 Mtge","GENERIC_TICKER_VINTAGE")</f>
        <v>FNCL 6 2025</v>
      </c>
      <c r="D2251" t="str">
        <f>_xll.BDP("FNDC9408 Mtge","CRNCY")</f>
        <v>USD</v>
      </c>
      <c r="E2251">
        <v>1540976</v>
      </c>
      <c r="F2251">
        <f>_xll.BDP("FNDC9408 Mtge","CPN")</f>
        <v>6</v>
      </c>
      <c r="G2251">
        <f>_xll.BDP("FNDC9408 Mtge","MTG_FACTOR")</f>
        <v>0.98342503000000003</v>
      </c>
      <c r="H2251">
        <f>_xll.BDP("FNDC9408 Mtge","MTG_WAL")</f>
        <v>3.1549</v>
      </c>
      <c r="I2251" t="str">
        <f>_xll.BDP("FNDC9408 Mtge","MTG_ORIG_WAL")</f>
        <v>#N/A N/A</v>
      </c>
    </row>
    <row r="2252" spans="1:9" x14ac:dyDescent="0.25">
      <c r="A2252" t="str">
        <f>_xll.BDP("FNDC9426 Mtge","ID_CUSIP")</f>
        <v>3140AXPL5</v>
      </c>
      <c r="B2252" t="str">
        <f>_xll.BDP("FNDC9426 Mtge","SECURITY_NAME")</f>
        <v>FN DC9426</v>
      </c>
      <c r="C2252" t="str">
        <f>_xll.BDP("FNDC9426 Mtge","GENERIC_TICKER_VINTAGE")</f>
        <v>FNCL 6 2025</v>
      </c>
      <c r="D2252" t="str">
        <f>_xll.BDP("FNDC9426 Mtge","CRNCY")</f>
        <v>USD</v>
      </c>
      <c r="E2252">
        <v>1080600</v>
      </c>
      <c r="F2252">
        <f>_xll.BDP("FNDC9426 Mtge","CPN")</f>
        <v>6</v>
      </c>
      <c r="G2252">
        <f>_xll.BDP("FNDC9426 Mtge","MTG_FACTOR")</f>
        <v>0.9891257</v>
      </c>
      <c r="H2252">
        <f>_xll.BDP("FNDC9426 Mtge","MTG_WAL")</f>
        <v>3.1652999999999998</v>
      </c>
      <c r="I2252" t="str">
        <f>_xll.BDP("FNDC9426 Mtge","MTG_ORIG_WAL")</f>
        <v>#N/A N/A</v>
      </c>
    </row>
    <row r="2253" spans="1:9" x14ac:dyDescent="0.25">
      <c r="A2253" t="str">
        <f>_xll.BDP("FNDC9428 Mtge","ID_CUSIP")</f>
        <v>3140AXPN1</v>
      </c>
      <c r="B2253" t="str">
        <f>_xll.BDP("FNDC9428 Mtge","SECURITY_NAME")</f>
        <v>FN DC9428</v>
      </c>
      <c r="C2253" t="str">
        <f>_xll.BDP("FNDC9428 Mtge","GENERIC_TICKER_VINTAGE")</f>
        <v>FNCL 6 2025</v>
      </c>
      <c r="D2253" t="str">
        <f>_xll.BDP("FNDC9428 Mtge","CRNCY")</f>
        <v>USD</v>
      </c>
      <c r="E2253">
        <v>4340538</v>
      </c>
      <c r="F2253">
        <f>_xll.BDP("FNDC9428 Mtge","CPN")</f>
        <v>6</v>
      </c>
      <c r="G2253">
        <f>_xll.BDP("FNDC9428 Mtge","MTG_FACTOR")</f>
        <v>0.98855419</v>
      </c>
      <c r="H2253">
        <f>_xll.BDP("FNDC9428 Mtge","MTG_WAL")</f>
        <v>3.1631999999999998</v>
      </c>
      <c r="I2253" t="str">
        <f>_xll.BDP("FNDC9428 Mtge","MTG_ORIG_WAL")</f>
        <v>#N/A N/A</v>
      </c>
    </row>
    <row r="2254" spans="1:9" x14ac:dyDescent="0.25">
      <c r="A2254" t="str">
        <f>_xll.BDP("FNDC9429 Mtge","ID_CUSIP")</f>
        <v>3140AXPP6</v>
      </c>
      <c r="B2254" t="str">
        <f>_xll.BDP("FNDC9429 Mtge","SECURITY_NAME")</f>
        <v>FN DC9429</v>
      </c>
      <c r="C2254" t="str">
        <f>_xll.BDP("FNDC9429 Mtge","GENERIC_TICKER_VINTAGE")</f>
        <v>FNCL 6 2025</v>
      </c>
      <c r="D2254" t="str">
        <f>_xll.BDP("FNDC9429 Mtge","CRNCY")</f>
        <v>USD</v>
      </c>
      <c r="E2254">
        <v>2493700</v>
      </c>
      <c r="F2254">
        <f>_xll.BDP("FNDC9429 Mtge","CPN")</f>
        <v>6</v>
      </c>
      <c r="G2254">
        <f>_xll.BDP("FNDC9429 Mtge","MTG_FACTOR")</f>
        <v>0.98215430000000004</v>
      </c>
      <c r="H2254">
        <f>_xll.BDP("FNDC9429 Mtge","MTG_WAL")</f>
        <v>3.1536</v>
      </c>
      <c r="I2254" t="str">
        <f>_xll.BDP("FNDC9429 Mtge","MTG_ORIG_WAL")</f>
        <v>#N/A N/A</v>
      </c>
    </row>
    <row r="2255" spans="1:9" x14ac:dyDescent="0.25">
      <c r="A2255" t="str">
        <f>_xll.BDP("FNDC9440 Mtge","ID_CUSIP")</f>
        <v>3140AXP27</v>
      </c>
      <c r="B2255" t="str">
        <f>_xll.BDP("FNDC9440 Mtge","SECURITY_NAME")</f>
        <v>FN DC9440</v>
      </c>
      <c r="C2255" t="str">
        <f>_xll.BDP("FNDC9440 Mtge","GENERIC_TICKER_VINTAGE")</f>
        <v>FNCL 6 2025</v>
      </c>
      <c r="D2255" t="str">
        <f>_xll.BDP("FNDC9440 Mtge","CRNCY")</f>
        <v>USD</v>
      </c>
      <c r="E2255">
        <v>1407371</v>
      </c>
      <c r="F2255">
        <f>_xll.BDP("FNDC9440 Mtge","CPN")</f>
        <v>6</v>
      </c>
      <c r="G2255">
        <f>_xll.BDP("FNDC9440 Mtge","MTG_FACTOR")</f>
        <v>0.89827961000000001</v>
      </c>
      <c r="H2255">
        <f>_xll.BDP("FNDC9440 Mtge","MTG_WAL")</f>
        <v>3.1577000000000002</v>
      </c>
      <c r="I2255" t="str">
        <f>_xll.BDP("FNDC9440 Mtge","MTG_ORIG_WAL")</f>
        <v>#N/A N/A</v>
      </c>
    </row>
    <row r="2256" spans="1:9" x14ac:dyDescent="0.25">
      <c r="A2256" t="str">
        <f>_xll.BDP("FNDD0101 Mtge","ID_CUSIP")</f>
        <v>3140B0DF2</v>
      </c>
      <c r="B2256" t="str">
        <f>_xll.BDP("FNDD0101 Mtge","SECURITY_NAME")</f>
        <v>FN DD0101</v>
      </c>
      <c r="C2256" t="str">
        <f>_xll.BDP("FNDD0101 Mtge","GENERIC_TICKER_VINTAGE")</f>
        <v>FNCL 6 2025</v>
      </c>
      <c r="D2256" t="str">
        <f>_xll.BDP("FNDD0101 Mtge","CRNCY")</f>
        <v>USD</v>
      </c>
      <c r="E2256">
        <v>2021554</v>
      </c>
      <c r="F2256">
        <f>_xll.BDP("FNDD0101 Mtge","CPN")</f>
        <v>6</v>
      </c>
      <c r="G2256">
        <f>_xll.BDP("FNDD0101 Mtge","MTG_FACTOR")</f>
        <v>0.81580032999999996</v>
      </c>
      <c r="H2256">
        <f>_xll.BDP("FNDD0101 Mtge","MTG_WAL")</f>
        <v>3.1589999999999998</v>
      </c>
      <c r="I2256" t="str">
        <f>_xll.BDP("FNDD0101 Mtge","MTG_ORIG_WAL")</f>
        <v>#N/A N/A</v>
      </c>
    </row>
    <row r="2257" spans="1:9" x14ac:dyDescent="0.25">
      <c r="A2257" t="str">
        <f>_xll.BDP("FNDD0157 Mtge","ID_CUSIP")</f>
        <v>3140B0E79</v>
      </c>
      <c r="B2257" t="str">
        <f>_xll.BDP("FNDD0157 Mtge","SECURITY_NAME")</f>
        <v>FN DD0157</v>
      </c>
      <c r="C2257" t="str">
        <f>_xll.BDP("FNDD0157 Mtge","GENERIC_TICKER_VINTAGE")</f>
        <v>FNCL 6 2025</v>
      </c>
      <c r="D2257" t="str">
        <f>_xll.BDP("FNDD0157 Mtge","CRNCY")</f>
        <v>USD</v>
      </c>
      <c r="E2257">
        <v>1057786</v>
      </c>
      <c r="F2257">
        <f>_xll.BDP("FNDD0157 Mtge","CPN")</f>
        <v>6</v>
      </c>
      <c r="G2257">
        <f>_xll.BDP("FNDD0157 Mtge","MTG_FACTOR")</f>
        <v>0.86354903999999999</v>
      </c>
      <c r="H2257">
        <f>_xll.BDP("FNDD0157 Mtge","MTG_WAL")</f>
        <v>3.1419000000000001</v>
      </c>
      <c r="I2257" t="str">
        <f>_xll.BDP("FNDD0157 Mtge","MTG_ORIG_WAL")</f>
        <v>#N/A N/A</v>
      </c>
    </row>
    <row r="2258" spans="1:9" x14ac:dyDescent="0.25">
      <c r="A2258" t="str">
        <f>_xll.BDP("FNDD0165 Mtge","ID_CUSIP")</f>
        <v>3140B0FF0</v>
      </c>
      <c r="B2258" t="str">
        <f>_xll.BDP("FNDD0165 Mtge","SECURITY_NAME")</f>
        <v>FN DD0165</v>
      </c>
      <c r="C2258" t="str">
        <f>_xll.BDP("FNDD0165 Mtge","GENERIC_TICKER_VINTAGE")</f>
        <v>FNCL 6 2025</v>
      </c>
      <c r="D2258" t="str">
        <f>_xll.BDP("FNDD0165 Mtge","CRNCY")</f>
        <v>USD</v>
      </c>
      <c r="E2258">
        <v>12123244</v>
      </c>
      <c r="F2258">
        <f>_xll.BDP("FNDD0165 Mtge","CPN")</f>
        <v>6</v>
      </c>
      <c r="G2258">
        <f>_xll.BDP("FNDD0165 Mtge","MTG_FACTOR")</f>
        <v>0.82632971</v>
      </c>
      <c r="H2258">
        <f>_xll.BDP("FNDD0165 Mtge","MTG_WAL")</f>
        <v>3.2021000000000002</v>
      </c>
      <c r="I2258" t="str">
        <f>_xll.BDP("FNDD0165 Mtge","MTG_ORIG_WAL")</f>
        <v>#N/A N/A</v>
      </c>
    </row>
    <row r="2259" spans="1:9" x14ac:dyDescent="0.25">
      <c r="A2259" t="str">
        <f>_xll.BDP("FNDD0169 Mtge","ID_CUSIP")</f>
        <v>3140B0FK9</v>
      </c>
      <c r="B2259" t="str">
        <f>_xll.BDP("FNDD0169 Mtge","SECURITY_NAME")</f>
        <v>FN DD0169</v>
      </c>
      <c r="C2259" t="str">
        <f>_xll.BDP("FNDD0169 Mtge","GENERIC_TICKER_VINTAGE")</f>
        <v>FNCL 6 2025</v>
      </c>
      <c r="D2259" t="str">
        <f>_xll.BDP("FNDD0169 Mtge","CRNCY")</f>
        <v>USD</v>
      </c>
      <c r="E2259">
        <v>3135930</v>
      </c>
      <c r="F2259">
        <f>_xll.BDP("FNDD0169 Mtge","CPN")</f>
        <v>6</v>
      </c>
      <c r="G2259">
        <f>_xll.BDP("FNDD0169 Mtge","MTG_FACTOR")</f>
        <v>0.88640247000000005</v>
      </c>
      <c r="H2259">
        <f>_xll.BDP("FNDD0169 Mtge","MTG_WAL")</f>
        <v>3.2406999999999999</v>
      </c>
      <c r="I2259" t="str">
        <f>_xll.BDP("FNDD0169 Mtge","MTG_ORIG_WAL")</f>
        <v>#N/A N/A</v>
      </c>
    </row>
    <row r="2260" spans="1:9" x14ac:dyDescent="0.25">
      <c r="A2260" t="str">
        <f>_xll.BDP("FNDD0171 Mtge","ID_CUSIP")</f>
        <v>3140B0FM5</v>
      </c>
      <c r="B2260" t="str">
        <f>_xll.BDP("FNDD0171 Mtge","SECURITY_NAME")</f>
        <v>FN DD0171</v>
      </c>
      <c r="C2260" t="str">
        <f>_xll.BDP("FNDD0171 Mtge","GENERIC_TICKER_VINTAGE")</f>
        <v>FNCL 6 2025</v>
      </c>
      <c r="D2260" t="str">
        <f>_xll.BDP("FNDD0171 Mtge","CRNCY")</f>
        <v>USD</v>
      </c>
      <c r="E2260">
        <v>6267054</v>
      </c>
      <c r="F2260">
        <f>_xll.BDP("FNDD0171 Mtge","CPN")</f>
        <v>6</v>
      </c>
      <c r="G2260">
        <f>_xll.BDP("FNDD0171 Mtge","MTG_FACTOR")</f>
        <v>0.93561859000000003</v>
      </c>
      <c r="H2260">
        <f>_xll.BDP("FNDD0171 Mtge","MTG_WAL")</f>
        <v>3.1960999999999999</v>
      </c>
      <c r="I2260" t="str">
        <f>_xll.BDP("FNDD0171 Mtge","MTG_ORIG_WAL")</f>
        <v>#N/A N/A</v>
      </c>
    </row>
    <row r="2261" spans="1:9" x14ac:dyDescent="0.25">
      <c r="A2261" t="str">
        <f>_xll.BDP("FNDD0184 Mtge","ID_CUSIP")</f>
        <v>3140B0F29</v>
      </c>
      <c r="B2261" t="str">
        <f>_xll.BDP("FNDD0184 Mtge","SECURITY_NAME")</f>
        <v>FN DD0184</v>
      </c>
      <c r="C2261" t="str">
        <f>_xll.BDP("FNDD0184 Mtge","GENERIC_TICKER_VINTAGE")</f>
        <v>FNCL 6 2025</v>
      </c>
      <c r="D2261" t="str">
        <f>_xll.BDP("FNDD0184 Mtge","CRNCY")</f>
        <v>USD</v>
      </c>
      <c r="E2261">
        <v>4222845</v>
      </c>
      <c r="F2261">
        <f>_xll.BDP("FNDD0184 Mtge","CPN")</f>
        <v>6</v>
      </c>
      <c r="G2261">
        <f>_xll.BDP("FNDD0184 Mtge","MTG_FACTOR")</f>
        <v>0.90393933000000004</v>
      </c>
      <c r="H2261">
        <f>_xll.BDP("FNDD0184 Mtge","MTG_WAL")</f>
        <v>3.2313000000000001</v>
      </c>
      <c r="I2261" t="str">
        <f>_xll.BDP("FNDD0184 Mtge","MTG_ORIG_WAL")</f>
        <v>#N/A N/A</v>
      </c>
    </row>
    <row r="2262" spans="1:9" x14ac:dyDescent="0.25">
      <c r="A2262" t="str">
        <f>_xll.BDP("FNDD0188 Mtge","ID_CUSIP")</f>
        <v>3140B0F60</v>
      </c>
      <c r="B2262" t="str">
        <f>_xll.BDP("FNDD0188 Mtge","SECURITY_NAME")</f>
        <v>FN DD0188</v>
      </c>
      <c r="C2262" t="str">
        <f>_xll.BDP("FNDD0188 Mtge","GENERIC_TICKER_VINTAGE")</f>
        <v>FNCL 6 2025</v>
      </c>
      <c r="D2262" t="str">
        <f>_xll.BDP("FNDD0188 Mtge","CRNCY")</f>
        <v>USD</v>
      </c>
      <c r="E2262">
        <v>1647106</v>
      </c>
      <c r="F2262">
        <f>_xll.BDP("FNDD0188 Mtge","CPN")</f>
        <v>6</v>
      </c>
      <c r="G2262">
        <f>_xll.BDP("FNDD0188 Mtge","MTG_FACTOR")</f>
        <v>0.98943119999999996</v>
      </c>
      <c r="H2262">
        <f>_xll.BDP("FNDD0188 Mtge","MTG_WAL")</f>
        <v>3.2475999999999998</v>
      </c>
      <c r="I2262" t="str">
        <f>_xll.BDP("FNDD0188 Mtge","MTG_ORIG_WAL")</f>
        <v>#N/A N/A</v>
      </c>
    </row>
    <row r="2263" spans="1:9" x14ac:dyDescent="0.25">
      <c r="A2263" t="str">
        <f>_xll.BDP("FNDD0191 Mtge","ID_CUSIP")</f>
        <v>3140B0F94</v>
      </c>
      <c r="B2263" t="str">
        <f>_xll.BDP("FNDD0191 Mtge","SECURITY_NAME")</f>
        <v>FN DD0191</v>
      </c>
      <c r="C2263" t="str">
        <f>_xll.BDP("FNDD0191 Mtge","GENERIC_TICKER_VINTAGE")</f>
        <v>FNCL 6 2025</v>
      </c>
      <c r="D2263" t="str">
        <f>_xll.BDP("FNDD0191 Mtge","CRNCY")</f>
        <v>USD</v>
      </c>
      <c r="E2263">
        <v>1784359</v>
      </c>
      <c r="F2263">
        <f>_xll.BDP("FNDD0191 Mtge","CPN")</f>
        <v>6</v>
      </c>
      <c r="G2263">
        <f>_xll.BDP("FNDD0191 Mtge","MTG_FACTOR")</f>
        <v>0.98965937000000004</v>
      </c>
      <c r="H2263">
        <f>_xll.BDP("FNDD0191 Mtge","MTG_WAL")</f>
        <v>3.1610999999999998</v>
      </c>
      <c r="I2263" t="str">
        <f>_xll.BDP("FNDD0191 Mtge","MTG_ORIG_WAL")</f>
        <v>#N/A N/A</v>
      </c>
    </row>
    <row r="2264" spans="1:9" x14ac:dyDescent="0.25">
      <c r="A2264" t="str">
        <f>_xll.BDP("FNDD0192 Mtge","ID_CUSIP")</f>
        <v>3140B0GA0</v>
      </c>
      <c r="B2264" t="str">
        <f>_xll.BDP("FNDD0192 Mtge","SECURITY_NAME")</f>
        <v>FN DD0192</v>
      </c>
      <c r="C2264" t="str">
        <f>_xll.BDP("FNDD0192 Mtge","GENERIC_TICKER_VINTAGE")</f>
        <v>FNCL 6 2025</v>
      </c>
      <c r="D2264" t="str">
        <f>_xll.BDP("FNDD0192 Mtge","CRNCY")</f>
        <v>USD</v>
      </c>
      <c r="E2264">
        <v>1348476</v>
      </c>
      <c r="F2264">
        <f>_xll.BDP("FNDD0192 Mtge","CPN")</f>
        <v>6</v>
      </c>
      <c r="G2264">
        <f>_xll.BDP("FNDD0192 Mtge","MTG_FACTOR")</f>
        <v>0.89250631999999996</v>
      </c>
      <c r="H2264">
        <f>_xll.BDP("FNDD0192 Mtge","MTG_WAL")</f>
        <v>3.2031000000000001</v>
      </c>
      <c r="I2264" t="str">
        <f>_xll.BDP("FNDD0192 Mtge","MTG_ORIG_WAL")</f>
        <v>#N/A N/A</v>
      </c>
    </row>
    <row r="2265" spans="1:9" x14ac:dyDescent="0.25">
      <c r="A2265" t="str">
        <f>_xll.BDP("FNDD0213 Mtge","ID_CUSIP")</f>
        <v>3140B0GX0</v>
      </c>
      <c r="B2265" t="str">
        <f>_xll.BDP("FNDD0213 Mtge","SECURITY_NAME")</f>
        <v>FN DD0213</v>
      </c>
      <c r="C2265" t="str">
        <f>_xll.BDP("FNDD0213 Mtge","GENERIC_TICKER_VINTAGE")</f>
        <v>FNCL 6 2025</v>
      </c>
      <c r="D2265" t="str">
        <f>_xll.BDP("FNDD0213 Mtge","CRNCY")</f>
        <v>USD</v>
      </c>
      <c r="E2265">
        <v>9940758</v>
      </c>
      <c r="F2265">
        <f>_xll.BDP("FNDD0213 Mtge","CPN")</f>
        <v>6</v>
      </c>
      <c r="G2265">
        <f>_xll.BDP("FNDD0213 Mtge","MTG_FACTOR")</f>
        <v>0.74098578000000004</v>
      </c>
      <c r="H2265">
        <f>_xll.BDP("FNDD0213 Mtge","MTG_WAL")</f>
        <v>3.1556999999999999</v>
      </c>
      <c r="I2265" t="str">
        <f>_xll.BDP("FNDD0213 Mtge","MTG_ORIG_WAL")</f>
        <v>#N/A N/A</v>
      </c>
    </row>
    <row r="2266" spans="1:9" x14ac:dyDescent="0.25">
      <c r="A2266" t="str">
        <f>_xll.BDP("FNDD0215 Mtge","ID_CUSIP")</f>
        <v>3140B0GZ5</v>
      </c>
      <c r="B2266" t="str">
        <f>_xll.BDP("FNDD0215 Mtge","SECURITY_NAME")</f>
        <v>FN DD0215</v>
      </c>
      <c r="C2266" t="str">
        <f>_xll.BDP("FNDD0215 Mtge","GENERIC_TICKER_VINTAGE")</f>
        <v>FNCL 6 2025</v>
      </c>
      <c r="D2266" t="str">
        <f>_xll.BDP("FNDD0215 Mtge","CRNCY")</f>
        <v>USD</v>
      </c>
      <c r="E2266">
        <v>5583675</v>
      </c>
      <c r="F2266">
        <f>_xll.BDP("FNDD0215 Mtge","CPN")</f>
        <v>6</v>
      </c>
      <c r="G2266">
        <f>_xll.BDP("FNDD0215 Mtge","MTG_FACTOR")</f>
        <v>0.73607372999999998</v>
      </c>
      <c r="H2266">
        <f>_xll.BDP("FNDD0215 Mtge","MTG_WAL")</f>
        <v>3.1629</v>
      </c>
      <c r="I2266" t="str">
        <f>_xll.BDP("FNDD0215 Mtge","MTG_ORIG_WAL")</f>
        <v>#N/A N/A</v>
      </c>
    </row>
    <row r="2267" spans="1:9" x14ac:dyDescent="0.25">
      <c r="A2267" t="str">
        <f>_xll.BDP("FNDD0382 Mtge","ID_CUSIP")</f>
        <v>3140B0M88</v>
      </c>
      <c r="B2267" t="str">
        <f>_xll.BDP("FNDD0382 Mtge","SECURITY_NAME")</f>
        <v>FN DD0382</v>
      </c>
      <c r="C2267" t="str">
        <f>_xll.BDP("FNDD0382 Mtge","GENERIC_TICKER_VINTAGE")</f>
        <v>FNCL 6 2025</v>
      </c>
      <c r="D2267" t="str">
        <f>_xll.BDP("FNDD0382 Mtge","CRNCY")</f>
        <v>USD</v>
      </c>
      <c r="E2267">
        <v>912453</v>
      </c>
      <c r="F2267">
        <f>_xll.BDP("FNDD0382 Mtge","CPN")</f>
        <v>5.875</v>
      </c>
      <c r="G2267">
        <f>_xll.BDP("FNDD0382 Mtge","MTG_FACTOR")</f>
        <v>0.98754779000000004</v>
      </c>
      <c r="H2267">
        <f>_xll.BDP("FNDD0382 Mtge","MTG_WAL")</f>
        <v>3.1555</v>
      </c>
      <c r="I2267" t="str">
        <f>_xll.BDP("FNDD0382 Mtge","MTG_ORIG_WAL")</f>
        <v>#N/A N/A</v>
      </c>
    </row>
    <row r="2268" spans="1:9" x14ac:dyDescent="0.25">
      <c r="A2268" t="str">
        <f>_xll.BDP("FNDD0383 Mtge","ID_CUSIP")</f>
        <v>3140B0M96</v>
      </c>
      <c r="B2268" t="str">
        <f>_xll.BDP("FNDD0383 Mtge","SECURITY_NAME")</f>
        <v>FN DD0383</v>
      </c>
      <c r="C2268" t="str">
        <f>_xll.BDP("FNDD0383 Mtge","GENERIC_TICKER_VINTAGE")</f>
        <v>FNCL 6 2025</v>
      </c>
      <c r="D2268" t="str">
        <f>_xll.BDP("FNDD0383 Mtge","CRNCY")</f>
        <v>USD</v>
      </c>
      <c r="E2268">
        <v>1964514</v>
      </c>
      <c r="F2268">
        <f>_xll.BDP("FNDD0383 Mtge","CPN")</f>
        <v>6</v>
      </c>
      <c r="G2268">
        <f>_xll.BDP("FNDD0383 Mtge","MTG_FACTOR")</f>
        <v>0.98738269999999995</v>
      </c>
      <c r="H2268">
        <f>_xll.BDP("FNDD0383 Mtge","MTG_WAL")</f>
        <v>3.1579999999999999</v>
      </c>
      <c r="I2268" t="str">
        <f>_xll.BDP("FNDD0383 Mtge","MTG_ORIG_WAL")</f>
        <v>#N/A N/A</v>
      </c>
    </row>
    <row r="2269" spans="1:9" x14ac:dyDescent="0.25">
      <c r="A2269" t="str">
        <f>_xll.BDP("FNDD0457 Mtge","ID_CUSIP")</f>
        <v>3140B0QK7</v>
      </c>
      <c r="B2269" t="str">
        <f>_xll.BDP("FNDD0457 Mtge","SECURITY_NAME")</f>
        <v>FN DD0457</v>
      </c>
      <c r="C2269" t="str">
        <f>_xll.BDP("FNDD0457 Mtge","GENERIC_TICKER_VINTAGE")</f>
        <v>FNCL 6 2025</v>
      </c>
      <c r="D2269" t="str">
        <f>_xll.BDP("FNDD0457 Mtge","CRNCY")</f>
        <v>USD</v>
      </c>
      <c r="E2269">
        <v>4469508</v>
      </c>
      <c r="F2269">
        <f>_xll.BDP("FNDD0457 Mtge","CPN")</f>
        <v>6</v>
      </c>
      <c r="G2269">
        <f>_xll.BDP("FNDD0457 Mtge","MTG_FACTOR")</f>
        <v>0.79760863000000004</v>
      </c>
      <c r="H2269">
        <f>_xll.BDP("FNDD0457 Mtge","MTG_WAL")</f>
        <v>3.1612</v>
      </c>
      <c r="I2269" t="str">
        <f>_xll.BDP("FNDD0457 Mtge","MTG_ORIG_WAL")</f>
        <v>#N/A N/A</v>
      </c>
    </row>
    <row r="2270" spans="1:9" x14ac:dyDescent="0.25">
      <c r="A2270" t="str">
        <f>_xll.BDP("FNDD0459 Mtge","ID_CUSIP")</f>
        <v>3140B0QM3</v>
      </c>
      <c r="B2270" t="str">
        <f>_xll.BDP("FNDD0459 Mtge","SECURITY_NAME")</f>
        <v>FN DD0459</v>
      </c>
      <c r="C2270" t="str">
        <f>_xll.BDP("FNDD0459 Mtge","GENERIC_TICKER_VINTAGE")</f>
        <v>FNCL 6 2025</v>
      </c>
      <c r="D2270" t="str">
        <f>_xll.BDP("FNDD0459 Mtge","CRNCY")</f>
        <v>USD</v>
      </c>
      <c r="E2270">
        <v>10953522</v>
      </c>
      <c r="F2270">
        <f>_xll.BDP("FNDD0459 Mtge","CPN")</f>
        <v>6</v>
      </c>
      <c r="G2270">
        <f>_xll.BDP("FNDD0459 Mtge","MTG_FACTOR")</f>
        <v>0.57963882</v>
      </c>
      <c r="H2270">
        <f>_xll.BDP("FNDD0459 Mtge","MTG_WAL")</f>
        <v>3.1627999999999998</v>
      </c>
      <c r="I2270" t="str">
        <f>_xll.BDP("FNDD0459 Mtge","MTG_ORIG_WAL")</f>
        <v>#N/A N/A</v>
      </c>
    </row>
    <row r="2271" spans="1:9" x14ac:dyDescent="0.25">
      <c r="A2271" t="str">
        <f>_xll.BDP("FNDD0464 Mtge","ID_CUSIP")</f>
        <v>3140B0QS0</v>
      </c>
      <c r="B2271" t="str">
        <f>_xll.BDP("FNDD0464 Mtge","SECURITY_NAME")</f>
        <v>FN DD0464</v>
      </c>
      <c r="C2271" t="str">
        <f>_xll.BDP("FNDD0464 Mtge","GENERIC_TICKER_VINTAGE")</f>
        <v>FNCL 6 2025</v>
      </c>
      <c r="D2271" t="str">
        <f>_xll.BDP("FNDD0464 Mtge","CRNCY")</f>
        <v>USD</v>
      </c>
      <c r="E2271">
        <v>2314359</v>
      </c>
      <c r="F2271">
        <f>_xll.BDP("FNDD0464 Mtge","CPN")</f>
        <v>6</v>
      </c>
      <c r="G2271">
        <f>_xll.BDP("FNDD0464 Mtge","MTG_FACTOR")</f>
        <v>0.98408017999999997</v>
      </c>
      <c r="H2271">
        <f>_xll.BDP("FNDD0464 Mtge","MTG_WAL")</f>
        <v>3.1581999999999999</v>
      </c>
      <c r="I2271" t="str">
        <f>_xll.BDP("FNDD0464 Mtge","MTG_ORIG_WAL")</f>
        <v>#N/A N/A</v>
      </c>
    </row>
    <row r="2272" spans="1:9" x14ac:dyDescent="0.25">
      <c r="A2272" t="str">
        <f>_xll.BDP("FNDD0467 Mtge","ID_CUSIP")</f>
        <v>3140B0QV3</v>
      </c>
      <c r="B2272" t="str">
        <f>_xll.BDP("FNDD0467 Mtge","SECURITY_NAME")</f>
        <v>FN DD0467</v>
      </c>
      <c r="C2272" t="str">
        <f>_xll.BDP("FNDD0467 Mtge","GENERIC_TICKER_VINTAGE")</f>
        <v>FNCL 6 2025</v>
      </c>
      <c r="D2272" t="str">
        <f>_xll.BDP("FNDD0467 Mtge","CRNCY")</f>
        <v>USD</v>
      </c>
      <c r="E2272">
        <v>5639801</v>
      </c>
      <c r="F2272">
        <f>_xll.BDP("FNDD0467 Mtge","CPN")</f>
        <v>6</v>
      </c>
      <c r="G2272">
        <f>_xll.BDP("FNDD0467 Mtge","MTG_FACTOR")</f>
        <v>0.92335993000000005</v>
      </c>
      <c r="H2272">
        <f>_xll.BDP("FNDD0467 Mtge","MTG_WAL")</f>
        <v>3.1547999999999998</v>
      </c>
      <c r="I2272" t="str">
        <f>_xll.BDP("FNDD0467 Mtge","MTG_ORIG_WAL")</f>
        <v>#N/A N/A</v>
      </c>
    </row>
    <row r="2273" spans="1:9" x14ac:dyDescent="0.25">
      <c r="A2273" t="str">
        <f>_xll.BDP("FNDD0480 Mtge","ID_CUSIP")</f>
        <v>3140B0RA8</v>
      </c>
      <c r="B2273" t="str">
        <f>_xll.BDP("FNDD0480 Mtge","SECURITY_NAME")</f>
        <v>FN DD0480</v>
      </c>
      <c r="C2273" t="str">
        <f>_xll.BDP("FNDD0480 Mtge","GENERIC_TICKER_VINTAGE")</f>
        <v>FNCL 6 2025</v>
      </c>
      <c r="D2273" t="str">
        <f>_xll.BDP("FNDD0480 Mtge","CRNCY")</f>
        <v>USD</v>
      </c>
      <c r="E2273">
        <v>3431727</v>
      </c>
      <c r="F2273">
        <f>_xll.BDP("FNDD0480 Mtge","CPN")</f>
        <v>6</v>
      </c>
      <c r="G2273">
        <f>_xll.BDP("FNDD0480 Mtge","MTG_FACTOR")</f>
        <v>0.80692759999999997</v>
      </c>
      <c r="H2273">
        <f>_xll.BDP("FNDD0480 Mtge","MTG_WAL")</f>
        <v>3.1591</v>
      </c>
      <c r="I2273" t="str">
        <f>_xll.BDP("FNDD0480 Mtge","MTG_ORIG_WAL")</f>
        <v>#N/A N/A</v>
      </c>
    </row>
    <row r="2274" spans="1:9" x14ac:dyDescent="0.25">
      <c r="A2274" t="str">
        <f>_xll.BDP("FNDD0511 Mtge","ID_CUSIP")</f>
        <v>3140B0R91</v>
      </c>
      <c r="B2274" t="str">
        <f>_xll.BDP("FNDD0511 Mtge","SECURITY_NAME")</f>
        <v>FN DD0511</v>
      </c>
      <c r="C2274" t="str">
        <f>_xll.BDP("FNDD0511 Mtge","GENERIC_TICKER_VINTAGE")</f>
        <v>FNCL 6 2025</v>
      </c>
      <c r="D2274" t="str">
        <f>_xll.BDP("FNDD0511 Mtge","CRNCY")</f>
        <v>USD</v>
      </c>
      <c r="E2274">
        <v>1941772</v>
      </c>
      <c r="F2274">
        <f>_xll.BDP("FNDD0511 Mtge","CPN")</f>
        <v>6</v>
      </c>
      <c r="G2274">
        <f>_xll.BDP("FNDD0511 Mtge","MTG_FACTOR")</f>
        <v>0.97756065000000003</v>
      </c>
      <c r="H2274">
        <f>_xll.BDP("FNDD0511 Mtge","MTG_WAL")</f>
        <v>3.1520000000000001</v>
      </c>
      <c r="I2274" t="str">
        <f>_xll.BDP("FNDD0511 Mtge","MTG_ORIG_WAL")</f>
        <v>#N/A N/A</v>
      </c>
    </row>
    <row r="2275" spans="1:9" x14ac:dyDescent="0.25">
      <c r="A2275" t="str">
        <f>_xll.BDP("FNDD0533 Mtge","ID_CUSIP")</f>
        <v>3140B0SX7</v>
      </c>
      <c r="B2275" t="str">
        <f>_xll.BDP("FNDD0533 Mtge","SECURITY_NAME")</f>
        <v>FN DD0533</v>
      </c>
      <c r="C2275" t="str">
        <f>_xll.BDP("FNDD0533 Mtge","GENERIC_TICKER_VINTAGE")</f>
        <v>FNCL 6 2025</v>
      </c>
      <c r="D2275" t="str">
        <f>_xll.BDP("FNDD0533 Mtge","CRNCY")</f>
        <v>USD</v>
      </c>
      <c r="E2275">
        <v>2563949</v>
      </c>
      <c r="F2275">
        <f>_xll.BDP("FNDD0533 Mtge","CPN")</f>
        <v>6</v>
      </c>
      <c r="G2275">
        <f>_xll.BDP("FNDD0533 Mtge","MTG_FACTOR")</f>
        <v>0.78563908999999998</v>
      </c>
      <c r="H2275">
        <f>_xll.BDP("FNDD0533 Mtge","MTG_WAL")</f>
        <v>3.1594000000000002</v>
      </c>
      <c r="I2275" t="str">
        <f>_xll.BDP("FNDD0533 Mtge","MTG_ORIG_WAL")</f>
        <v>#N/A N/A</v>
      </c>
    </row>
    <row r="2276" spans="1:9" x14ac:dyDescent="0.25">
      <c r="A2276" t="str">
        <f>_xll.BDP("FNDD0538 Mtge","ID_CUSIP")</f>
        <v>3140B0S41</v>
      </c>
      <c r="B2276" t="str">
        <f>_xll.BDP("FNDD0538 Mtge","SECURITY_NAME")</f>
        <v>FN DD0538</v>
      </c>
      <c r="C2276" t="str">
        <f>_xll.BDP("FNDD0538 Mtge","GENERIC_TICKER_VINTAGE")</f>
        <v>FNCL 6 2025</v>
      </c>
      <c r="D2276" t="str">
        <f>_xll.BDP("FNDD0538 Mtge","CRNCY")</f>
        <v>USD</v>
      </c>
      <c r="E2276">
        <v>1470479</v>
      </c>
      <c r="F2276">
        <f>_xll.BDP("FNDD0538 Mtge","CPN")</f>
        <v>6</v>
      </c>
      <c r="G2276">
        <f>_xll.BDP("FNDD0538 Mtge","MTG_FACTOR")</f>
        <v>0.68423292000000002</v>
      </c>
      <c r="H2276">
        <f>_xll.BDP("FNDD0538 Mtge","MTG_WAL")</f>
        <v>3.1597</v>
      </c>
      <c r="I2276" t="str">
        <f>_xll.BDP("FNDD0538 Mtge","MTG_ORIG_WAL")</f>
        <v>#N/A N/A</v>
      </c>
    </row>
    <row r="2277" spans="1:9" x14ac:dyDescent="0.25">
      <c r="A2277" t="str">
        <f>_xll.BDP("FNDD0540 Mtge","ID_CUSIP")</f>
        <v>3140B0S66</v>
      </c>
      <c r="B2277" t="str">
        <f>_xll.BDP("FNDD0540 Mtge","SECURITY_NAME")</f>
        <v>FN DD0540</v>
      </c>
      <c r="C2277" t="str">
        <f>_xll.BDP("FNDD0540 Mtge","GENERIC_TICKER_VINTAGE")</f>
        <v>FNCL 6 2025</v>
      </c>
      <c r="D2277" t="str">
        <f>_xll.BDP("FNDD0540 Mtge","CRNCY")</f>
        <v>USD</v>
      </c>
      <c r="E2277">
        <v>28333524</v>
      </c>
      <c r="F2277">
        <f>_xll.BDP("FNDD0540 Mtge","CPN")</f>
        <v>6</v>
      </c>
      <c r="G2277">
        <f>_xll.BDP("FNDD0540 Mtge","MTG_FACTOR")</f>
        <v>0.92503226000000005</v>
      </c>
      <c r="H2277">
        <f>_xll.BDP("FNDD0540 Mtge","MTG_WAL")</f>
        <v>3.1524000000000001</v>
      </c>
      <c r="I2277" t="str">
        <f>_xll.BDP("FNDD0540 Mtge","MTG_ORIG_WAL")</f>
        <v>#N/A N/A</v>
      </c>
    </row>
    <row r="2278" spans="1:9" x14ac:dyDescent="0.25">
      <c r="A2278" t="str">
        <f>_xll.BDP("FNDD0556 Mtge","ID_CUSIP")</f>
        <v>3140B0TN8</v>
      </c>
      <c r="B2278" t="str">
        <f>_xll.BDP("FNDD0556 Mtge","SECURITY_NAME")</f>
        <v>FN DD0556</v>
      </c>
      <c r="C2278" t="str">
        <f>_xll.BDP("FNDD0556 Mtge","GENERIC_TICKER_VINTAGE")</f>
        <v>FNCL 6 2025</v>
      </c>
      <c r="D2278" t="str">
        <f>_xll.BDP("FNDD0556 Mtge","CRNCY")</f>
        <v>USD</v>
      </c>
      <c r="E2278">
        <v>3594433</v>
      </c>
      <c r="F2278">
        <f>_xll.BDP("FNDD0556 Mtge","CPN")</f>
        <v>6</v>
      </c>
      <c r="G2278">
        <f>_xll.BDP("FNDD0556 Mtge","MTG_FACTOR")</f>
        <v>0.72716331000000001</v>
      </c>
      <c r="H2278">
        <f>_xll.BDP("FNDD0556 Mtge","MTG_WAL")</f>
        <v>3.1537999999999999</v>
      </c>
      <c r="I2278" t="str">
        <f>_xll.BDP("FNDD0556 Mtge","MTG_ORIG_WAL")</f>
        <v>#N/A N/A</v>
      </c>
    </row>
    <row r="2279" spans="1:9" x14ac:dyDescent="0.25">
      <c r="A2279" t="str">
        <f>_xll.BDP("FNDD0563 Mtge","ID_CUSIP")</f>
        <v>3140B0TV0</v>
      </c>
      <c r="B2279" t="str">
        <f>_xll.BDP("FNDD0563 Mtge","SECURITY_NAME")</f>
        <v>FN DD0563</v>
      </c>
      <c r="C2279" t="str">
        <f>_xll.BDP("FNDD0563 Mtge","GENERIC_TICKER_VINTAGE")</f>
        <v>FNCL 6 2025</v>
      </c>
      <c r="D2279" t="str">
        <f>_xll.BDP("FNDD0563 Mtge","CRNCY")</f>
        <v>USD</v>
      </c>
      <c r="E2279">
        <v>5829659</v>
      </c>
      <c r="F2279">
        <f>_xll.BDP("FNDD0563 Mtge","CPN")</f>
        <v>6</v>
      </c>
      <c r="G2279">
        <f>_xll.BDP("FNDD0563 Mtge","MTG_FACTOR")</f>
        <v>0.98800927000000005</v>
      </c>
      <c r="H2279">
        <f>_xll.BDP("FNDD0563 Mtge","MTG_WAL")</f>
        <v>3.2010000000000001</v>
      </c>
      <c r="I2279" t="str">
        <f>_xll.BDP("FNDD0563 Mtge","MTG_ORIG_WAL")</f>
        <v>#N/A N/A</v>
      </c>
    </row>
    <row r="2280" spans="1:9" x14ac:dyDescent="0.25">
      <c r="A2280" t="str">
        <f>_xll.BDP("FNDD0566 Mtge","ID_CUSIP")</f>
        <v>3140B0TY4</v>
      </c>
      <c r="B2280" t="str">
        <f>_xll.BDP("FNDD0566 Mtge","SECURITY_NAME")</f>
        <v>FN DD0566</v>
      </c>
      <c r="C2280" t="str">
        <f>_xll.BDP("FNDD0566 Mtge","GENERIC_TICKER_VINTAGE")</f>
        <v>FNCL 6 2025</v>
      </c>
      <c r="D2280" t="str">
        <f>_xll.BDP("FNDD0566 Mtge","CRNCY")</f>
        <v>USD</v>
      </c>
      <c r="E2280">
        <v>2070232</v>
      </c>
      <c r="F2280">
        <f>_xll.BDP("FNDD0566 Mtge","CPN")</f>
        <v>6</v>
      </c>
      <c r="G2280">
        <f>_xll.BDP("FNDD0566 Mtge","MTG_FACTOR")</f>
        <v>0.98055884000000004</v>
      </c>
      <c r="H2280">
        <f>_xll.BDP("FNDD0566 Mtge","MTG_WAL")</f>
        <v>3.1985999999999999</v>
      </c>
      <c r="I2280" t="str">
        <f>_xll.BDP("FNDD0566 Mtge","MTG_ORIG_WAL")</f>
        <v>#N/A N/A</v>
      </c>
    </row>
    <row r="2281" spans="1:9" x14ac:dyDescent="0.25">
      <c r="A2281" t="str">
        <f>_xll.BDP("FNDD0572 Mtge","ID_CUSIP")</f>
        <v>3140B0T65</v>
      </c>
      <c r="B2281" t="str">
        <f>_xll.BDP("FNDD0572 Mtge","SECURITY_NAME")</f>
        <v>FN DD0572</v>
      </c>
      <c r="C2281" t="str">
        <f>_xll.BDP("FNDD0572 Mtge","GENERIC_TICKER_VINTAGE")</f>
        <v>FNCL 6 2025</v>
      </c>
      <c r="D2281" t="str">
        <f>_xll.BDP("FNDD0572 Mtge","CRNCY")</f>
        <v>USD</v>
      </c>
      <c r="E2281">
        <v>3498820</v>
      </c>
      <c r="F2281">
        <f>_xll.BDP("FNDD0572 Mtge","CPN")</f>
        <v>6</v>
      </c>
      <c r="G2281">
        <f>_xll.BDP("FNDD0572 Mtge","MTG_FACTOR")</f>
        <v>0.99005328000000004</v>
      </c>
      <c r="H2281">
        <f>_xll.BDP("FNDD0572 Mtge","MTG_WAL")</f>
        <v>3.2471999999999999</v>
      </c>
      <c r="I2281" t="str">
        <f>_xll.BDP("FNDD0572 Mtge","MTG_ORIG_WAL")</f>
        <v>#N/A N/A</v>
      </c>
    </row>
    <row r="2282" spans="1:9" x14ac:dyDescent="0.25">
      <c r="A2282" t="str">
        <f>_xll.BDP("FNDD0584 Mtge","ID_CUSIP")</f>
        <v>3140B0UJ5</v>
      </c>
      <c r="B2282" t="str">
        <f>_xll.BDP("FNDD0584 Mtge","SECURITY_NAME")</f>
        <v>FN DD0584</v>
      </c>
      <c r="C2282" t="str">
        <f>_xll.BDP("FNDD0584 Mtge","GENERIC_TICKER_VINTAGE")</f>
        <v>FNCL 6 2025</v>
      </c>
      <c r="D2282" t="str">
        <f>_xll.BDP("FNDD0584 Mtge","CRNCY")</f>
        <v>USD</v>
      </c>
      <c r="E2282">
        <v>11291170</v>
      </c>
      <c r="F2282">
        <f>_xll.BDP("FNDD0584 Mtge","CPN")</f>
        <v>6</v>
      </c>
      <c r="G2282">
        <f>_xll.BDP("FNDD0584 Mtge","MTG_FACTOR")</f>
        <v>0.85906833999999999</v>
      </c>
      <c r="H2282">
        <f>_xll.BDP("FNDD0584 Mtge","MTG_WAL")</f>
        <v>3.2027000000000001</v>
      </c>
      <c r="I2282" t="str">
        <f>_xll.BDP("FNDD0584 Mtge","MTG_ORIG_WAL")</f>
        <v>#N/A N/A</v>
      </c>
    </row>
    <row r="2283" spans="1:9" x14ac:dyDescent="0.25">
      <c r="A2283" t="str">
        <f>_xll.BDP("FNDD0648 Mtge","ID_CUSIP")</f>
        <v>3140B0WJ3</v>
      </c>
      <c r="B2283" t="str">
        <f>_xll.BDP("FNDD0648 Mtge","SECURITY_NAME")</f>
        <v>FN DD0648</v>
      </c>
      <c r="C2283" t="str">
        <f>_xll.BDP("FNDD0648 Mtge","GENERIC_TICKER_VINTAGE")</f>
        <v>FNCL 6 2025</v>
      </c>
      <c r="D2283" t="str">
        <f>_xll.BDP("FNDD0648 Mtge","CRNCY")</f>
        <v>USD</v>
      </c>
      <c r="E2283">
        <v>4778745</v>
      </c>
      <c r="F2283">
        <f>_xll.BDP("FNDD0648 Mtge","CPN")</f>
        <v>6</v>
      </c>
      <c r="G2283">
        <f>_xll.BDP("FNDD0648 Mtge","MTG_FACTOR")</f>
        <v>0.9462602</v>
      </c>
      <c r="H2283">
        <f>_xll.BDP("FNDD0648 Mtge","MTG_WAL")</f>
        <v>3.4504000000000001</v>
      </c>
      <c r="I2283" t="str">
        <f>_xll.BDP("FNDD0648 Mtge","MTG_ORIG_WAL")</f>
        <v>#N/A N/A</v>
      </c>
    </row>
    <row r="2284" spans="1:9" x14ac:dyDescent="0.25">
      <c r="A2284" t="str">
        <f>_xll.BDP("FNDD0773 Mtge","ID_CUSIP")</f>
        <v>3140B02F4</v>
      </c>
      <c r="B2284" t="str">
        <f>_xll.BDP("FNDD0773 Mtge","SECURITY_NAME")</f>
        <v>FN DD0773</v>
      </c>
      <c r="C2284" t="str">
        <f>_xll.BDP("FNDD0773 Mtge","GENERIC_TICKER_VINTAGE")</f>
        <v>FNCL 6 2025</v>
      </c>
      <c r="D2284" t="str">
        <f>_xll.BDP("FNDD0773 Mtge","CRNCY")</f>
        <v>USD</v>
      </c>
      <c r="E2284">
        <v>9959835</v>
      </c>
      <c r="F2284">
        <f>_xll.BDP("FNDD0773 Mtge","CPN")</f>
        <v>6</v>
      </c>
      <c r="G2284">
        <f>_xll.BDP("FNDD0773 Mtge","MTG_FACTOR")</f>
        <v>0.90793431000000002</v>
      </c>
      <c r="H2284">
        <f>_xll.BDP("FNDD0773 Mtge","MTG_WAL")</f>
        <v>3.1541000000000001</v>
      </c>
      <c r="I2284" t="str">
        <f>_xll.BDP("FNDD0773 Mtge","MTG_ORIG_WAL")</f>
        <v>#N/A N/A</v>
      </c>
    </row>
    <row r="2285" spans="1:9" x14ac:dyDescent="0.25">
      <c r="A2285" t="str">
        <f>_xll.BDP("FNDD0781 Mtge","ID_CUSIP")</f>
        <v>3140B02P2</v>
      </c>
      <c r="B2285" t="str">
        <f>_xll.BDP("FNDD0781 Mtge","SECURITY_NAME")</f>
        <v>FN DD0781</v>
      </c>
      <c r="C2285" t="str">
        <f>_xll.BDP("FNDD0781 Mtge","GENERIC_TICKER_VINTAGE")</f>
        <v>FNCL 6 2025</v>
      </c>
      <c r="D2285" t="str">
        <f>_xll.BDP("FNDD0781 Mtge","CRNCY")</f>
        <v>USD</v>
      </c>
      <c r="E2285">
        <v>2308141</v>
      </c>
      <c r="F2285">
        <f>_xll.BDP("FNDD0781 Mtge","CPN")</f>
        <v>6</v>
      </c>
      <c r="G2285">
        <f>_xll.BDP("FNDD0781 Mtge","MTG_FACTOR")</f>
        <v>0.97851142999999996</v>
      </c>
      <c r="H2285">
        <f>_xll.BDP("FNDD0781 Mtge","MTG_WAL")</f>
        <v>3.1535000000000002</v>
      </c>
      <c r="I2285" t="str">
        <f>_xll.BDP("FNDD0781 Mtge","MTG_ORIG_WAL")</f>
        <v>#N/A N/A</v>
      </c>
    </row>
    <row r="2286" spans="1:9" x14ac:dyDescent="0.25">
      <c r="A2286" t="str">
        <f>_xll.BDP("FNDD0783 Mtge","ID_CUSIP")</f>
        <v>3140B02R8</v>
      </c>
      <c r="B2286" t="str">
        <f>_xll.BDP("FNDD0783 Mtge","SECURITY_NAME")</f>
        <v>FN DD0783</v>
      </c>
      <c r="C2286" t="str">
        <f>_xll.BDP("FNDD0783 Mtge","GENERIC_TICKER_VINTAGE")</f>
        <v>FNCL 6 2025</v>
      </c>
      <c r="D2286" t="str">
        <f>_xll.BDP("FNDD0783 Mtge","CRNCY")</f>
        <v>USD</v>
      </c>
      <c r="E2286">
        <v>1482072</v>
      </c>
      <c r="F2286">
        <f>_xll.BDP("FNDD0783 Mtge","CPN")</f>
        <v>6</v>
      </c>
      <c r="G2286">
        <f>_xll.BDP("FNDD0783 Mtge","MTG_FACTOR")</f>
        <v>0.98870155999999998</v>
      </c>
      <c r="H2286">
        <f>_xll.BDP("FNDD0783 Mtge","MTG_WAL")</f>
        <v>3.1614</v>
      </c>
      <c r="I2286" t="str">
        <f>_xll.BDP("FNDD0783 Mtge","MTG_ORIG_WAL")</f>
        <v>#N/A N/A</v>
      </c>
    </row>
    <row r="2287" spans="1:9" x14ac:dyDescent="0.25">
      <c r="A2287" t="str">
        <f>_xll.BDP("FNDD0784 Mtge","ID_CUSIP")</f>
        <v>3140B02S6</v>
      </c>
      <c r="B2287" t="str">
        <f>_xll.BDP("FNDD0784 Mtge","SECURITY_NAME")</f>
        <v>FN DD0784</v>
      </c>
      <c r="C2287" t="str">
        <f>_xll.BDP("FNDD0784 Mtge","GENERIC_TICKER_VINTAGE")</f>
        <v>FNCL 6 2025</v>
      </c>
      <c r="D2287" t="str">
        <f>_xll.BDP("FNDD0784 Mtge","CRNCY")</f>
        <v>USD</v>
      </c>
      <c r="E2287">
        <v>1050257</v>
      </c>
      <c r="F2287">
        <f>_xll.BDP("FNDD0784 Mtge","CPN")</f>
        <v>6</v>
      </c>
      <c r="G2287">
        <f>_xll.BDP("FNDD0784 Mtge","MTG_FACTOR")</f>
        <v>0.98208470999999997</v>
      </c>
      <c r="H2287">
        <f>_xll.BDP("FNDD0784 Mtge","MTG_WAL")</f>
        <v>3.1558000000000002</v>
      </c>
      <c r="I2287" t="str">
        <f>_xll.BDP("FNDD0784 Mtge","MTG_ORIG_WAL")</f>
        <v>#N/A N/A</v>
      </c>
    </row>
    <row r="2288" spans="1:9" x14ac:dyDescent="0.25">
      <c r="A2288" t="str">
        <f>_xll.BDP("FNDD0786 Mtge","ID_CUSIP")</f>
        <v>3140B02U1</v>
      </c>
      <c r="B2288" t="str">
        <f>_xll.BDP("FNDD0786 Mtge","SECURITY_NAME")</f>
        <v>FN DD0786</v>
      </c>
      <c r="C2288" t="str">
        <f>_xll.BDP("FNDD0786 Mtge","GENERIC_TICKER_VINTAGE")</f>
        <v>FNCL 6 2025</v>
      </c>
      <c r="D2288" t="str">
        <f>_xll.BDP("FNDD0786 Mtge","CRNCY")</f>
        <v>USD</v>
      </c>
      <c r="E2288">
        <v>1140991</v>
      </c>
      <c r="F2288">
        <f>_xll.BDP("FNDD0786 Mtge","CPN")</f>
        <v>6</v>
      </c>
      <c r="G2288">
        <f>_xll.BDP("FNDD0786 Mtge","MTG_FACTOR")</f>
        <v>0.98114040999999996</v>
      </c>
      <c r="H2288">
        <f>_xll.BDP("FNDD0786 Mtge","MTG_WAL")</f>
        <v>3.1570999999999998</v>
      </c>
      <c r="I2288" t="str">
        <f>_xll.BDP("FNDD0786 Mtge","MTG_ORIG_WAL")</f>
        <v>#N/A N/A</v>
      </c>
    </row>
    <row r="2289" spans="1:9" x14ac:dyDescent="0.25">
      <c r="A2289" t="str">
        <f>_xll.BDP("FNDD1061 Mtge","ID_CUSIP")</f>
        <v>3140B1FB7</v>
      </c>
      <c r="B2289" t="str">
        <f>_xll.BDP("FNDD1061 Mtge","SECURITY_NAME")</f>
        <v>FN DD1061</v>
      </c>
      <c r="C2289" t="str">
        <f>_xll.BDP("FNDD1061 Mtge","GENERIC_TICKER_VINTAGE")</f>
        <v>FNCL 6 2025</v>
      </c>
      <c r="D2289" t="str">
        <f>_xll.BDP("FNDD1061 Mtge","CRNCY")</f>
        <v>USD</v>
      </c>
      <c r="E2289">
        <v>5737975</v>
      </c>
      <c r="F2289">
        <f>_xll.BDP("FNDD1061 Mtge","CPN")</f>
        <v>6</v>
      </c>
      <c r="G2289">
        <f>_xll.BDP("FNDD1061 Mtge","MTG_FACTOR")</f>
        <v>0.86640035000000004</v>
      </c>
      <c r="H2289">
        <f>_xll.BDP("FNDD1061 Mtge","MTG_WAL")</f>
        <v>3.1469999999999998</v>
      </c>
      <c r="I2289" t="str">
        <f>_xll.BDP("FNDD1061 Mtge","MTG_ORIG_WAL")</f>
        <v>#N/A N/A</v>
      </c>
    </row>
    <row r="2290" spans="1:9" x14ac:dyDescent="0.25">
      <c r="A2290" t="str">
        <f>_xll.BDP("FNDD1066 Mtge","ID_CUSIP")</f>
        <v>3140B1FG6</v>
      </c>
      <c r="B2290" t="str">
        <f>_xll.BDP("FNDD1066 Mtge","SECURITY_NAME")</f>
        <v>FN DD1066</v>
      </c>
      <c r="C2290" t="str">
        <f>_xll.BDP("FNDD1066 Mtge","GENERIC_TICKER_VINTAGE")</f>
        <v>FNCL 6 2025</v>
      </c>
      <c r="D2290" t="str">
        <f>_xll.BDP("FNDD1066 Mtge","CRNCY")</f>
        <v>USD</v>
      </c>
      <c r="E2290">
        <v>3211340</v>
      </c>
      <c r="F2290">
        <f>_xll.BDP("FNDD1066 Mtge","CPN")</f>
        <v>6</v>
      </c>
      <c r="G2290">
        <f>_xll.BDP("FNDD1066 Mtge","MTG_FACTOR")</f>
        <v>0.86520936000000004</v>
      </c>
      <c r="H2290">
        <f>_xll.BDP("FNDD1066 Mtge","MTG_WAL")</f>
        <v>3.1597</v>
      </c>
      <c r="I2290" t="str">
        <f>_xll.BDP("FNDD1066 Mtge","MTG_ORIG_WAL")</f>
        <v>#N/A N/A</v>
      </c>
    </row>
    <row r="2291" spans="1:9" x14ac:dyDescent="0.25">
      <c r="A2291" t="str">
        <f>_xll.BDP("FNDD1067 Mtge","ID_CUSIP")</f>
        <v>3140B1FH4</v>
      </c>
      <c r="B2291" t="str">
        <f>_xll.BDP("FNDD1067 Mtge","SECURITY_NAME")</f>
        <v>FN DD1067</v>
      </c>
      <c r="C2291" t="str">
        <f>_xll.BDP("FNDD1067 Mtge","GENERIC_TICKER_VINTAGE")</f>
        <v>FNCL 6 2025</v>
      </c>
      <c r="D2291" t="str">
        <f>_xll.BDP("FNDD1067 Mtge","CRNCY")</f>
        <v>USD</v>
      </c>
      <c r="E2291">
        <v>3475060</v>
      </c>
      <c r="F2291">
        <f>_xll.BDP("FNDD1067 Mtge","CPN")</f>
        <v>6</v>
      </c>
      <c r="G2291">
        <f>_xll.BDP("FNDD1067 Mtge","MTG_FACTOR")</f>
        <v>0.80503161000000001</v>
      </c>
      <c r="H2291">
        <f>_xll.BDP("FNDD1067 Mtge","MTG_WAL")</f>
        <v>3.1612</v>
      </c>
      <c r="I2291" t="str">
        <f>_xll.BDP("FNDD1067 Mtge","MTG_ORIG_WAL")</f>
        <v>#N/A N/A</v>
      </c>
    </row>
    <row r="2292" spans="1:9" x14ac:dyDescent="0.25">
      <c r="A2292" t="str">
        <f>_xll.BDP("FNDD1133 Mtge","ID_CUSIP")</f>
        <v>3140B1HK5</v>
      </c>
      <c r="B2292" t="str">
        <f>_xll.BDP("FNDD1133 Mtge","SECURITY_NAME")</f>
        <v>FN DD1133</v>
      </c>
      <c r="C2292" t="str">
        <f>_xll.BDP("FNDD1133 Mtge","GENERIC_TICKER_VINTAGE")</f>
        <v>FNCL 6 2025</v>
      </c>
      <c r="D2292" t="str">
        <f>_xll.BDP("FNDD1133 Mtge","CRNCY")</f>
        <v>USD</v>
      </c>
      <c r="E2292">
        <v>1211269</v>
      </c>
      <c r="F2292">
        <f>_xll.BDP("FNDD1133 Mtge","CPN")</f>
        <v>6</v>
      </c>
      <c r="G2292">
        <f>_xll.BDP("FNDD1133 Mtge","MTG_FACTOR")</f>
        <v>0.59710830000000004</v>
      </c>
      <c r="H2292">
        <f>_xll.BDP("FNDD1133 Mtge","MTG_WAL")</f>
        <v>3.1610999999999998</v>
      </c>
      <c r="I2292" t="str">
        <f>_xll.BDP("FNDD1133 Mtge","MTG_ORIG_WAL")</f>
        <v>#N/A N/A</v>
      </c>
    </row>
    <row r="2293" spans="1:9" x14ac:dyDescent="0.25">
      <c r="A2293" t="str">
        <f>_xll.BDP("FNDD1148 Mtge","ID_CUSIP")</f>
        <v>3140B1H25</v>
      </c>
      <c r="B2293" t="str">
        <f>_xll.BDP("FNDD1148 Mtge","SECURITY_NAME")</f>
        <v>FN DD1148</v>
      </c>
      <c r="C2293" t="str">
        <f>_xll.BDP("FNDD1148 Mtge","GENERIC_TICKER_VINTAGE")</f>
        <v>FNCL 6 2025</v>
      </c>
      <c r="D2293" t="str">
        <f>_xll.BDP("FNDD1148 Mtge","CRNCY")</f>
        <v>USD</v>
      </c>
      <c r="E2293">
        <v>9841554</v>
      </c>
      <c r="F2293">
        <f>_xll.BDP("FNDD1148 Mtge","CPN")</f>
        <v>6</v>
      </c>
      <c r="G2293">
        <f>_xll.BDP("FNDD1148 Mtge","MTG_FACTOR")</f>
        <v>0.92059840999999998</v>
      </c>
      <c r="H2293">
        <f>_xll.BDP("FNDD1148 Mtge","MTG_WAL")</f>
        <v>3.1617000000000002</v>
      </c>
      <c r="I2293" t="str">
        <f>_xll.BDP("FNDD1148 Mtge","MTG_ORIG_WAL")</f>
        <v>#N/A N/A</v>
      </c>
    </row>
    <row r="2294" spans="1:9" x14ac:dyDescent="0.25">
      <c r="A2294" t="str">
        <f>_xll.BDP("FNDD1149 Mtge","ID_CUSIP")</f>
        <v>3140B1H33</v>
      </c>
      <c r="B2294" t="str">
        <f>_xll.BDP("FNDD1149 Mtge","SECURITY_NAME")</f>
        <v>FN DD1149</v>
      </c>
      <c r="C2294" t="str">
        <f>_xll.BDP("FNDD1149 Mtge","GENERIC_TICKER_VINTAGE")</f>
        <v>FNCL 6 2025</v>
      </c>
      <c r="D2294" t="str">
        <f>_xll.BDP("FNDD1149 Mtge","CRNCY")</f>
        <v>USD</v>
      </c>
      <c r="E2294">
        <v>1884380</v>
      </c>
      <c r="F2294">
        <f>_xll.BDP("FNDD1149 Mtge","CPN")</f>
        <v>6</v>
      </c>
      <c r="G2294">
        <f>_xll.BDP("FNDD1149 Mtge","MTG_FACTOR")</f>
        <v>0.98822025000000002</v>
      </c>
      <c r="H2294">
        <f>_xll.BDP("FNDD1149 Mtge","MTG_WAL")</f>
        <v>3.1604999999999999</v>
      </c>
      <c r="I2294" t="str">
        <f>_xll.BDP("FNDD1149 Mtge","MTG_ORIG_WAL")</f>
        <v>#N/A N/A</v>
      </c>
    </row>
    <row r="2295" spans="1:9" x14ac:dyDescent="0.25">
      <c r="A2295" t="str">
        <f>_xll.BDP("FNDD1164 Mtge","ID_CUSIP")</f>
        <v>3140B1JJ6</v>
      </c>
      <c r="B2295" t="str">
        <f>_xll.BDP("FNDD1164 Mtge","SECURITY_NAME")</f>
        <v>FN DD1164</v>
      </c>
      <c r="C2295" t="str">
        <f>_xll.BDP("FNDD1164 Mtge","GENERIC_TICKER_VINTAGE")</f>
        <v>FNCL 6 2025</v>
      </c>
      <c r="D2295" t="str">
        <f>_xll.BDP("FNDD1164 Mtge","CRNCY")</f>
        <v>USD</v>
      </c>
      <c r="E2295">
        <v>7429295</v>
      </c>
      <c r="F2295">
        <f>_xll.BDP("FNDD1164 Mtge","CPN")</f>
        <v>6</v>
      </c>
      <c r="G2295">
        <f>_xll.BDP("FNDD1164 Mtge","MTG_FACTOR")</f>
        <v>0.78074290000000002</v>
      </c>
      <c r="H2295">
        <f>_xll.BDP("FNDD1164 Mtge","MTG_WAL")</f>
        <v>3.1625999999999999</v>
      </c>
      <c r="I2295" t="str">
        <f>_xll.BDP("FNDD1164 Mtge","MTG_ORIG_WAL")</f>
        <v>#N/A N/A</v>
      </c>
    </row>
    <row r="2296" spans="1:9" x14ac:dyDescent="0.25">
      <c r="A2296" t="str">
        <f>_xll.BDP("FNDD1166 Mtge","ID_CUSIP")</f>
        <v>3140B1JL1</v>
      </c>
      <c r="B2296" t="str">
        <f>_xll.BDP("FNDD1166 Mtge","SECURITY_NAME")</f>
        <v>FN DD1166</v>
      </c>
      <c r="C2296" t="str">
        <f>_xll.BDP("FNDD1166 Mtge","GENERIC_TICKER_VINTAGE")</f>
        <v>FNCL 6 2025</v>
      </c>
      <c r="D2296" t="str">
        <f>_xll.BDP("FNDD1166 Mtge","CRNCY")</f>
        <v>USD</v>
      </c>
      <c r="E2296">
        <v>1786736</v>
      </c>
      <c r="F2296">
        <f>_xll.BDP("FNDD1166 Mtge","CPN")</f>
        <v>6</v>
      </c>
      <c r="G2296">
        <f>_xll.BDP("FNDD1166 Mtge","MTG_FACTOR")</f>
        <v>0.68455381999999998</v>
      </c>
      <c r="H2296">
        <f>_xll.BDP("FNDD1166 Mtge","MTG_WAL")</f>
        <v>3.16</v>
      </c>
      <c r="I2296" t="str">
        <f>_xll.BDP("FNDD1166 Mtge","MTG_ORIG_WAL")</f>
        <v>#N/A N/A</v>
      </c>
    </row>
    <row r="2297" spans="1:9" x14ac:dyDescent="0.25">
      <c r="A2297" t="str">
        <f>_xll.BDP("FNDD1347 Mtge","ID_CUSIP")</f>
        <v>3140B1P91</v>
      </c>
      <c r="B2297" t="str">
        <f>_xll.BDP("FNDD1347 Mtge","SECURITY_NAME")</f>
        <v>FN DD1347</v>
      </c>
      <c r="C2297" t="str">
        <f>_xll.BDP("FNDD1347 Mtge","GENERIC_TICKER_VINTAGE")</f>
        <v>FNCL 6 2025</v>
      </c>
      <c r="D2297" t="str">
        <f>_xll.BDP("FNDD1347 Mtge","CRNCY")</f>
        <v>USD</v>
      </c>
      <c r="E2297">
        <v>1082450</v>
      </c>
      <c r="F2297">
        <f>_xll.BDP("FNDD1347 Mtge","CPN")</f>
        <v>6</v>
      </c>
      <c r="G2297">
        <f>_xll.BDP("FNDD1347 Mtge","MTG_FACTOR")</f>
        <v>0.98721641999999998</v>
      </c>
      <c r="H2297">
        <f>_xll.BDP("FNDD1347 Mtge","MTG_WAL")</f>
        <v>3.1596000000000002</v>
      </c>
      <c r="I2297" t="str">
        <f>_xll.BDP("FNDD1347 Mtge","MTG_ORIG_WAL")</f>
        <v>#N/A N/A</v>
      </c>
    </row>
    <row r="2298" spans="1:9" x14ac:dyDescent="0.25">
      <c r="A2298" t="str">
        <f>_xll.BDP("FNDD1363 Mtge","ID_CUSIP")</f>
        <v>3140B1QR0</v>
      </c>
      <c r="B2298" t="str">
        <f>_xll.BDP("FNDD1363 Mtge","SECURITY_NAME")</f>
        <v>FN DD1363</v>
      </c>
      <c r="C2298" t="str">
        <f>_xll.BDP("FNDD1363 Mtge","GENERIC_TICKER_VINTAGE")</f>
        <v>FNCL 6 2025</v>
      </c>
      <c r="D2298" t="str">
        <f>_xll.BDP("FNDD1363 Mtge","CRNCY")</f>
        <v>USD</v>
      </c>
      <c r="E2298">
        <v>1406442</v>
      </c>
      <c r="F2298">
        <f>_xll.BDP("FNDD1363 Mtge","CPN")</f>
        <v>6</v>
      </c>
      <c r="G2298">
        <f>_xll.BDP("FNDD1363 Mtge","MTG_FACTOR")</f>
        <v>0.98834730000000004</v>
      </c>
      <c r="H2298">
        <f>_xll.BDP("FNDD1363 Mtge","MTG_WAL")</f>
        <v>3.1608999999999998</v>
      </c>
      <c r="I2298" t="str">
        <f>_xll.BDP("FNDD1363 Mtge","MTG_ORIG_WAL")</f>
        <v>#N/A N/A</v>
      </c>
    </row>
    <row r="2299" spans="1:9" x14ac:dyDescent="0.25">
      <c r="A2299" t="str">
        <f>_xll.BDP("FNDD1371 Mtge","ID_CUSIP")</f>
        <v>3140B1QZ2</v>
      </c>
      <c r="B2299" t="str">
        <f>_xll.BDP("FNDD1371 Mtge","SECURITY_NAME")</f>
        <v>FN DD1371</v>
      </c>
      <c r="C2299" t="str">
        <f>_xll.BDP("FNDD1371 Mtge","GENERIC_TICKER_VINTAGE")</f>
        <v>FNCL 6 2025</v>
      </c>
      <c r="D2299" t="str">
        <f>_xll.BDP("FNDD1371 Mtge","CRNCY")</f>
        <v>USD</v>
      </c>
      <c r="E2299">
        <v>1926254</v>
      </c>
      <c r="F2299">
        <f>_xll.BDP("FNDD1371 Mtge","CPN")</f>
        <v>6</v>
      </c>
      <c r="G2299">
        <f>_xll.BDP("FNDD1371 Mtge","MTG_FACTOR")</f>
        <v>0.92029605000000003</v>
      </c>
      <c r="H2299">
        <f>_xll.BDP("FNDD1371 Mtge","MTG_WAL")</f>
        <v>3.1320000000000001</v>
      </c>
      <c r="I2299" t="str">
        <f>_xll.BDP("FNDD1371 Mtge","MTG_ORIG_WAL")</f>
        <v>#N/A N/A</v>
      </c>
    </row>
    <row r="2300" spans="1:9" x14ac:dyDescent="0.25">
      <c r="A2300" t="str">
        <f>_xll.BDP("FNDD1378 Mtge","ID_CUSIP")</f>
        <v>3140B1Q82</v>
      </c>
      <c r="B2300" t="str">
        <f>_xll.BDP("FNDD1378 Mtge","SECURITY_NAME")</f>
        <v>FN DD1378</v>
      </c>
      <c r="C2300" t="str">
        <f>_xll.BDP("FNDD1378 Mtge","GENERIC_TICKER_VINTAGE")</f>
        <v>FNCL 6 2025</v>
      </c>
      <c r="D2300" t="str">
        <f>_xll.BDP("FNDD1378 Mtge","CRNCY")</f>
        <v>USD</v>
      </c>
      <c r="E2300">
        <v>1161304</v>
      </c>
      <c r="F2300">
        <f>_xll.BDP("FNDD1378 Mtge","CPN")</f>
        <v>6</v>
      </c>
      <c r="G2300">
        <f>_xll.BDP("FNDD1378 Mtge","MTG_FACTOR")</f>
        <v>0.98553842000000003</v>
      </c>
      <c r="H2300">
        <f>_xll.BDP("FNDD1378 Mtge","MTG_WAL")</f>
        <v>3.1581999999999999</v>
      </c>
      <c r="I2300" t="str">
        <f>_xll.BDP("FNDD1378 Mtge","MTG_ORIG_WAL")</f>
        <v>#N/A N/A</v>
      </c>
    </row>
    <row r="2301" spans="1:9" x14ac:dyDescent="0.25">
      <c r="A2301" t="str">
        <f>_xll.BDP("FNDD1379 Mtge","ID_CUSIP")</f>
        <v>3140B1Q90</v>
      </c>
      <c r="B2301" t="str">
        <f>_xll.BDP("FNDD1379 Mtge","SECURITY_NAME")</f>
        <v>FN DD1379</v>
      </c>
      <c r="C2301" t="str">
        <f>_xll.BDP("FNDD1379 Mtge","GENERIC_TICKER_VINTAGE")</f>
        <v>FNCL 6 2025</v>
      </c>
      <c r="D2301" t="str">
        <f>_xll.BDP("FNDD1379 Mtge","CRNCY")</f>
        <v>USD</v>
      </c>
      <c r="E2301">
        <v>2021175</v>
      </c>
      <c r="F2301">
        <f>_xll.BDP("FNDD1379 Mtge","CPN")</f>
        <v>6</v>
      </c>
      <c r="G2301">
        <f>_xll.BDP("FNDD1379 Mtge","MTG_FACTOR")</f>
        <v>0.84757545999999995</v>
      </c>
      <c r="H2301">
        <f>_xll.BDP("FNDD1379 Mtge","MTG_WAL")</f>
        <v>3.1591</v>
      </c>
      <c r="I2301" t="str">
        <f>_xll.BDP("FNDD1379 Mtge","MTG_ORIG_WAL")</f>
        <v>#N/A N/A</v>
      </c>
    </row>
    <row r="2302" spans="1:9" x14ac:dyDescent="0.25">
      <c r="A2302" t="str">
        <f>_xll.BDP("FNDD1384 Mtge","ID_CUSIP")</f>
        <v>3140B1RE8</v>
      </c>
      <c r="B2302" t="str">
        <f>_xll.BDP("FNDD1384 Mtge","SECURITY_NAME")</f>
        <v>FN DD1384</v>
      </c>
      <c r="C2302" t="str">
        <f>_xll.BDP("FNDD1384 Mtge","GENERIC_TICKER_VINTAGE")</f>
        <v>FNCL 6 2025</v>
      </c>
      <c r="D2302" t="str">
        <f>_xll.BDP("FNDD1384 Mtge","CRNCY")</f>
        <v>USD</v>
      </c>
      <c r="E2302">
        <v>1161653</v>
      </c>
      <c r="F2302">
        <f>_xll.BDP("FNDD1384 Mtge","CPN")</f>
        <v>6</v>
      </c>
      <c r="G2302">
        <f>_xll.BDP("FNDD1384 Mtge","MTG_FACTOR")</f>
        <v>0.73373725999999995</v>
      </c>
      <c r="H2302">
        <f>_xll.BDP("FNDD1384 Mtge","MTG_WAL")</f>
        <v>3.1636000000000002</v>
      </c>
      <c r="I2302" t="str">
        <f>_xll.BDP("FNDD1384 Mtge","MTG_ORIG_WAL")</f>
        <v>#N/A N/A</v>
      </c>
    </row>
    <row r="2303" spans="1:9" x14ac:dyDescent="0.25">
      <c r="A2303" t="str">
        <f>_xll.BDP("FNDD1386 Mtge","ID_CUSIP")</f>
        <v>3140B1RG3</v>
      </c>
      <c r="B2303" t="str">
        <f>_xll.BDP("FNDD1386 Mtge","SECURITY_NAME")</f>
        <v>FN DD1386</v>
      </c>
      <c r="C2303" t="str">
        <f>_xll.BDP("FNDD1386 Mtge","GENERIC_TICKER_VINTAGE")</f>
        <v>FNCL 6 2025</v>
      </c>
      <c r="D2303" t="str">
        <f>_xll.BDP("FNDD1386 Mtge","CRNCY")</f>
        <v>USD</v>
      </c>
      <c r="E2303">
        <v>1150940</v>
      </c>
      <c r="F2303">
        <f>_xll.BDP("FNDD1386 Mtge","CPN")</f>
        <v>6</v>
      </c>
      <c r="G2303">
        <f>_xll.BDP("FNDD1386 Mtge","MTG_FACTOR")</f>
        <v>0.98419097</v>
      </c>
      <c r="H2303">
        <f>_xll.BDP("FNDD1386 Mtge","MTG_WAL")</f>
        <v>3.1585999999999999</v>
      </c>
      <c r="I2303" t="str">
        <f>_xll.BDP("FNDD1386 Mtge","MTG_ORIG_WAL")</f>
        <v>#N/A N/A</v>
      </c>
    </row>
    <row r="2304" spans="1:9" x14ac:dyDescent="0.25">
      <c r="A2304" t="str">
        <f>_xll.BDP("FNDD1387 Mtge","ID_CUSIP")</f>
        <v>3140B1RH1</v>
      </c>
      <c r="B2304" t="str">
        <f>_xll.BDP("FNDD1387 Mtge","SECURITY_NAME")</f>
        <v>FN DD1387</v>
      </c>
      <c r="C2304" t="str">
        <f>_xll.BDP("FNDD1387 Mtge","GENERIC_TICKER_VINTAGE")</f>
        <v>FNCL 6 2025</v>
      </c>
      <c r="D2304" t="str">
        <f>_xll.BDP("FNDD1387 Mtge","CRNCY")</f>
        <v>USD</v>
      </c>
      <c r="E2304">
        <v>1306672</v>
      </c>
      <c r="F2304">
        <f>_xll.BDP("FNDD1387 Mtge","CPN")</f>
        <v>6</v>
      </c>
      <c r="G2304">
        <f>_xll.BDP("FNDD1387 Mtge","MTG_FACTOR")</f>
        <v>0.49560307999999997</v>
      </c>
      <c r="H2304">
        <f>_xll.BDP("FNDD1387 Mtge","MTG_WAL")</f>
        <v>3.1613000000000002</v>
      </c>
      <c r="I2304" t="str">
        <f>_xll.BDP("FNDD1387 Mtge","MTG_ORIG_WAL")</f>
        <v>#N/A N/A</v>
      </c>
    </row>
    <row r="2305" spans="1:9" x14ac:dyDescent="0.25">
      <c r="A2305" t="str">
        <f>_xll.BDP("FNDD1388 Mtge","ID_CUSIP")</f>
        <v>3140B1RJ7</v>
      </c>
      <c r="B2305" t="str">
        <f>_xll.BDP("FNDD1388 Mtge","SECURITY_NAME")</f>
        <v>FN DD1388</v>
      </c>
      <c r="C2305" t="str">
        <f>_xll.BDP("FNDD1388 Mtge","GENERIC_TICKER_VINTAGE")</f>
        <v>FNCL 6 2025</v>
      </c>
      <c r="D2305" t="str">
        <f>_xll.BDP("FNDD1388 Mtge","CRNCY")</f>
        <v>USD</v>
      </c>
      <c r="E2305">
        <v>1194443</v>
      </c>
      <c r="F2305">
        <f>_xll.BDP("FNDD1388 Mtge","CPN")</f>
        <v>6</v>
      </c>
      <c r="G2305">
        <f>_xll.BDP("FNDD1388 Mtge","MTG_FACTOR")</f>
        <v>0.98725534000000004</v>
      </c>
      <c r="H2305">
        <f>_xll.BDP("FNDD1388 Mtge","MTG_WAL")</f>
        <v>3.161</v>
      </c>
      <c r="I2305" t="str">
        <f>_xll.BDP("FNDD1388 Mtge","MTG_ORIG_WAL")</f>
        <v>#N/A N/A</v>
      </c>
    </row>
    <row r="2306" spans="1:9" x14ac:dyDescent="0.25">
      <c r="A2306" t="str">
        <f>_xll.BDP("FNDD1394 Mtge","ID_CUSIP")</f>
        <v>3140B1RQ1</v>
      </c>
      <c r="B2306" t="str">
        <f>_xll.BDP("FNDD1394 Mtge","SECURITY_NAME")</f>
        <v>FN DD1394</v>
      </c>
      <c r="C2306" t="str">
        <f>_xll.BDP("FNDD1394 Mtge","GENERIC_TICKER_VINTAGE")</f>
        <v>FNCL 6 2025</v>
      </c>
      <c r="D2306" t="str">
        <f>_xll.BDP("FNDD1394 Mtge","CRNCY")</f>
        <v>USD</v>
      </c>
      <c r="E2306">
        <v>1151300</v>
      </c>
      <c r="F2306">
        <f>_xll.BDP("FNDD1394 Mtge","CPN")</f>
        <v>6</v>
      </c>
      <c r="G2306">
        <f>_xll.BDP("FNDD1394 Mtge","MTG_FACTOR")</f>
        <v>0.67531401999999996</v>
      </c>
      <c r="H2306">
        <f>_xll.BDP("FNDD1394 Mtge","MTG_WAL")</f>
        <v>3.1621999999999999</v>
      </c>
      <c r="I2306" t="str">
        <f>_xll.BDP("FNDD1394 Mtge","MTG_ORIG_WAL")</f>
        <v>#N/A N/A</v>
      </c>
    </row>
    <row r="2307" spans="1:9" x14ac:dyDescent="0.25">
      <c r="A2307" t="str">
        <f>_xll.BDP("FNDD1395 Mtge","ID_CUSIP")</f>
        <v>3140B1RR9</v>
      </c>
      <c r="B2307" t="str">
        <f>_xll.BDP("FNDD1395 Mtge","SECURITY_NAME")</f>
        <v>FN DD1395</v>
      </c>
      <c r="C2307" t="str">
        <f>_xll.BDP("FNDD1395 Mtge","GENERIC_TICKER_VINTAGE")</f>
        <v>FNCL 6 2025</v>
      </c>
      <c r="D2307" t="str">
        <f>_xll.BDP("FNDD1395 Mtge","CRNCY")</f>
        <v>USD</v>
      </c>
      <c r="E2307">
        <v>1129403</v>
      </c>
      <c r="F2307">
        <f>_xll.BDP("FNDD1395 Mtge","CPN")</f>
        <v>6</v>
      </c>
      <c r="G2307">
        <f>_xll.BDP("FNDD1395 Mtge","MTG_FACTOR")</f>
        <v>0.98843848999999995</v>
      </c>
      <c r="H2307">
        <f>_xll.BDP("FNDD1395 Mtge","MTG_WAL")</f>
        <v>3.1615000000000002</v>
      </c>
      <c r="I2307" t="str">
        <f>_xll.BDP("FNDD1395 Mtge","MTG_ORIG_WAL")</f>
        <v>#N/A N/A</v>
      </c>
    </row>
    <row r="2308" spans="1:9" x14ac:dyDescent="0.25">
      <c r="A2308" t="str">
        <f>_xll.BDP("FNDD1402 Mtge","ID_CUSIP")</f>
        <v>3140B1RY4</v>
      </c>
      <c r="B2308" t="str">
        <f>_xll.BDP("FNDD1402 Mtge","SECURITY_NAME")</f>
        <v>FN DD1402</v>
      </c>
      <c r="C2308" t="str">
        <f>_xll.BDP("FNDD1402 Mtge","GENERIC_TICKER_VINTAGE")</f>
        <v>FNCL 6 2025</v>
      </c>
      <c r="D2308" t="str">
        <f>_xll.BDP("FNDD1402 Mtge","CRNCY")</f>
        <v>USD</v>
      </c>
      <c r="E2308">
        <v>1801290</v>
      </c>
      <c r="F2308">
        <f>_xll.BDP("FNDD1402 Mtge","CPN")</f>
        <v>6</v>
      </c>
      <c r="G2308">
        <f>_xll.BDP("FNDD1402 Mtge","MTG_FACTOR")</f>
        <v>0.53329229</v>
      </c>
      <c r="H2308">
        <f>_xll.BDP("FNDD1402 Mtge","MTG_WAL")</f>
        <v>3.1088</v>
      </c>
      <c r="I2308" t="str">
        <f>_xll.BDP("FNDD1402 Mtge","MTG_ORIG_WAL")</f>
        <v>#N/A N/A</v>
      </c>
    </row>
    <row r="2309" spans="1:9" x14ac:dyDescent="0.25">
      <c r="A2309" t="str">
        <f>_xll.BDP("FNDD1403 Mtge","ID_CUSIP")</f>
        <v>3140B1RZ1</v>
      </c>
      <c r="B2309" t="str">
        <f>_xll.BDP("FNDD1403 Mtge","SECURITY_NAME")</f>
        <v>FN DD1403</v>
      </c>
      <c r="C2309" t="str">
        <f>_xll.BDP("FNDD1403 Mtge","GENERIC_TICKER_VINTAGE")</f>
        <v>FNCL 6 2025</v>
      </c>
      <c r="D2309" t="str">
        <f>_xll.BDP("FNDD1403 Mtge","CRNCY")</f>
        <v>USD</v>
      </c>
      <c r="E2309">
        <v>1447500</v>
      </c>
      <c r="F2309">
        <f>_xll.BDP("FNDD1403 Mtge","CPN")</f>
        <v>6</v>
      </c>
      <c r="G2309">
        <f>_xll.BDP("FNDD1403 Mtge","MTG_FACTOR")</f>
        <v>0.78707545000000001</v>
      </c>
      <c r="H2309">
        <f>_xll.BDP("FNDD1403 Mtge","MTG_WAL")</f>
        <v>3.1547999999999998</v>
      </c>
      <c r="I2309" t="str">
        <f>_xll.BDP("FNDD1403 Mtge","MTG_ORIG_WAL")</f>
        <v>#N/A N/A</v>
      </c>
    </row>
    <row r="2310" spans="1:9" x14ac:dyDescent="0.25">
      <c r="A2310" t="str">
        <f>_xll.BDP("FNDD1405 Mtge","ID_CUSIP")</f>
        <v>3140B1R32</v>
      </c>
      <c r="B2310" t="str">
        <f>_xll.BDP("FNDD1405 Mtge","SECURITY_NAME")</f>
        <v>FN DD1405</v>
      </c>
      <c r="C2310" t="str">
        <f>_xll.BDP("FNDD1405 Mtge","GENERIC_TICKER_VINTAGE")</f>
        <v>FNCL 6 2025</v>
      </c>
      <c r="D2310" t="str">
        <f>_xll.BDP("FNDD1405 Mtge","CRNCY")</f>
        <v>USD</v>
      </c>
      <c r="E2310">
        <v>1175750</v>
      </c>
      <c r="F2310">
        <f>_xll.BDP("FNDD1405 Mtge","CPN")</f>
        <v>6</v>
      </c>
      <c r="G2310">
        <f>_xll.BDP("FNDD1405 Mtge","MTG_FACTOR")</f>
        <v>0.98639949999999998</v>
      </c>
      <c r="H2310">
        <f>_xll.BDP("FNDD1405 Mtge","MTG_WAL")</f>
        <v>3.1570999999999998</v>
      </c>
      <c r="I2310" t="str">
        <f>_xll.BDP("FNDD1405 Mtge","MTG_ORIG_WAL")</f>
        <v>#N/A N/A</v>
      </c>
    </row>
    <row r="2311" spans="1:9" x14ac:dyDescent="0.25">
      <c r="A2311" t="str">
        <f>_xll.BDP("FNDD1410 Mtge","ID_CUSIP")</f>
        <v>3140B1R81</v>
      </c>
      <c r="B2311" t="str">
        <f>_xll.BDP("FNDD1410 Mtge","SECURITY_NAME")</f>
        <v>FN DD1410</v>
      </c>
      <c r="C2311" t="str">
        <f>_xll.BDP("FNDD1410 Mtge","GENERIC_TICKER_VINTAGE")</f>
        <v>FNCL 6 2025</v>
      </c>
      <c r="D2311" t="str">
        <f>_xll.BDP("FNDD1410 Mtge","CRNCY")</f>
        <v>USD</v>
      </c>
      <c r="E2311">
        <v>1536050</v>
      </c>
      <c r="F2311">
        <f>_xll.BDP("FNDD1410 Mtge","CPN")</f>
        <v>6</v>
      </c>
      <c r="G2311">
        <f>_xll.BDP("FNDD1410 Mtge","MTG_FACTOR")</f>
        <v>0.98868990999999995</v>
      </c>
      <c r="H2311">
        <f>_xll.BDP("FNDD1410 Mtge","MTG_WAL")</f>
        <v>3.1634000000000002</v>
      </c>
      <c r="I2311" t="str">
        <f>_xll.BDP("FNDD1410 Mtge","MTG_ORIG_WAL")</f>
        <v>#N/A N/A</v>
      </c>
    </row>
    <row r="2312" spans="1:9" x14ac:dyDescent="0.25">
      <c r="A2312" t="str">
        <f>_xll.BDP("FNDD1411 Mtge","ID_CUSIP")</f>
        <v>3140B1R99</v>
      </c>
      <c r="B2312" t="str">
        <f>_xll.BDP("FNDD1411 Mtge","SECURITY_NAME")</f>
        <v>FN DD1411</v>
      </c>
      <c r="C2312" t="str">
        <f>_xll.BDP("FNDD1411 Mtge","GENERIC_TICKER_VINTAGE")</f>
        <v>FNCL 6 2025</v>
      </c>
      <c r="D2312" t="str">
        <f>_xll.BDP("FNDD1411 Mtge","CRNCY")</f>
        <v>USD</v>
      </c>
      <c r="E2312">
        <v>1376989</v>
      </c>
      <c r="F2312">
        <f>_xll.BDP("FNDD1411 Mtge","CPN")</f>
        <v>6</v>
      </c>
      <c r="G2312">
        <f>_xll.BDP("FNDD1411 Mtge","MTG_FACTOR")</f>
        <v>0.98821627000000001</v>
      </c>
      <c r="H2312">
        <f>_xll.BDP("FNDD1411 Mtge","MTG_WAL")</f>
        <v>3.1621000000000001</v>
      </c>
      <c r="I2312" t="str">
        <f>_xll.BDP("FNDD1411 Mtge","MTG_ORIG_WAL")</f>
        <v>#N/A N/A</v>
      </c>
    </row>
    <row r="2313" spans="1:9" x14ac:dyDescent="0.25">
      <c r="A2313" t="str">
        <f>_xll.BDP("FNDD1412 Mtge","ID_CUSIP")</f>
        <v>3140B1SA5</v>
      </c>
      <c r="B2313" t="str">
        <f>_xll.BDP("FNDD1412 Mtge","SECURITY_NAME")</f>
        <v>FN DD1412</v>
      </c>
      <c r="C2313" t="str">
        <f>_xll.BDP("FNDD1412 Mtge","GENERIC_TICKER_VINTAGE")</f>
        <v>FNCL 6 2025</v>
      </c>
      <c r="D2313" t="str">
        <f>_xll.BDP("FNDD1412 Mtge","CRNCY")</f>
        <v>USD</v>
      </c>
      <c r="E2313">
        <v>1228880</v>
      </c>
      <c r="F2313">
        <f>_xll.BDP("FNDD1412 Mtge","CPN")</f>
        <v>6</v>
      </c>
      <c r="G2313">
        <f>_xll.BDP("FNDD1412 Mtge","MTG_FACTOR")</f>
        <v>0.98354631999999997</v>
      </c>
      <c r="H2313">
        <f>_xll.BDP("FNDD1412 Mtge","MTG_WAL")</f>
        <v>3.1585999999999999</v>
      </c>
      <c r="I2313" t="str">
        <f>_xll.BDP("FNDD1412 Mtge","MTG_ORIG_WAL")</f>
        <v>#N/A N/A</v>
      </c>
    </row>
    <row r="2314" spans="1:9" x14ac:dyDescent="0.25">
      <c r="A2314" t="str">
        <f>_xll.BDP("FNDD1414 Mtge","ID_CUSIP")</f>
        <v>3140B1SC1</v>
      </c>
      <c r="B2314" t="str">
        <f>_xll.BDP("FNDD1414 Mtge","SECURITY_NAME")</f>
        <v>FN DD1414</v>
      </c>
      <c r="C2314" t="str">
        <f>_xll.BDP("FNDD1414 Mtge","GENERIC_TICKER_VINTAGE")</f>
        <v>FNCL 6 2025</v>
      </c>
      <c r="D2314" t="str">
        <f>_xll.BDP("FNDD1414 Mtge","CRNCY")</f>
        <v>USD</v>
      </c>
      <c r="E2314">
        <v>1435136</v>
      </c>
      <c r="F2314">
        <f>_xll.BDP("FNDD1414 Mtge","CPN")</f>
        <v>6</v>
      </c>
      <c r="G2314">
        <f>_xll.BDP("FNDD1414 Mtge","MTG_FACTOR")</f>
        <v>0.98639918000000004</v>
      </c>
      <c r="H2314">
        <f>_xll.BDP("FNDD1414 Mtge","MTG_WAL")</f>
        <v>3.1602000000000001</v>
      </c>
      <c r="I2314" t="str">
        <f>_xll.BDP("FNDD1414 Mtge","MTG_ORIG_WAL")</f>
        <v>#N/A N/A</v>
      </c>
    </row>
    <row r="2315" spans="1:9" x14ac:dyDescent="0.25">
      <c r="A2315" t="str">
        <f>_xll.BDP("FNDD1417 Mtge","ID_CUSIP")</f>
        <v>3140B1SF4</v>
      </c>
      <c r="B2315" t="str">
        <f>_xll.BDP("FNDD1417 Mtge","SECURITY_NAME")</f>
        <v>FN DD1417</v>
      </c>
      <c r="C2315" t="str">
        <f>_xll.BDP("FNDD1417 Mtge","GENERIC_TICKER_VINTAGE")</f>
        <v>FNCL 6 2025</v>
      </c>
      <c r="D2315" t="str">
        <f>_xll.BDP("FNDD1417 Mtge","CRNCY")</f>
        <v>USD</v>
      </c>
      <c r="E2315">
        <v>1155571</v>
      </c>
      <c r="F2315">
        <f>_xll.BDP("FNDD1417 Mtge","CPN")</f>
        <v>6</v>
      </c>
      <c r="G2315">
        <f>_xll.BDP("FNDD1417 Mtge","MTG_FACTOR")</f>
        <v>0.63207639999999998</v>
      </c>
      <c r="H2315">
        <f>_xll.BDP("FNDD1417 Mtge","MTG_WAL")</f>
        <v>3.1234000000000002</v>
      </c>
      <c r="I2315" t="str">
        <f>_xll.BDP("FNDD1417 Mtge","MTG_ORIG_WAL")</f>
        <v>#N/A N/A</v>
      </c>
    </row>
    <row r="2316" spans="1:9" x14ac:dyDescent="0.25">
      <c r="A2316" t="str">
        <f>_xll.BDP("FNDD1419 Mtge","ID_CUSIP")</f>
        <v>3140B1SH0</v>
      </c>
      <c r="B2316" t="str">
        <f>_xll.BDP("FNDD1419 Mtge","SECURITY_NAME")</f>
        <v>FN DD1419</v>
      </c>
      <c r="C2316" t="str">
        <f>_xll.BDP("FNDD1419 Mtge","GENERIC_TICKER_VINTAGE")</f>
        <v>FNCL 6 2025</v>
      </c>
      <c r="D2316" t="str">
        <f>_xll.BDP("FNDD1419 Mtge","CRNCY")</f>
        <v>USD</v>
      </c>
      <c r="E2316">
        <v>1259351</v>
      </c>
      <c r="F2316">
        <f>_xll.BDP("FNDD1419 Mtge","CPN")</f>
        <v>6</v>
      </c>
      <c r="G2316">
        <f>_xll.BDP("FNDD1419 Mtge","MTG_FACTOR")</f>
        <v>0.98862377999999995</v>
      </c>
      <c r="H2316">
        <f>_xll.BDP("FNDD1419 Mtge","MTG_WAL")</f>
        <v>3.161</v>
      </c>
      <c r="I2316" t="str">
        <f>_xll.BDP("FNDD1419 Mtge","MTG_ORIG_WAL")</f>
        <v>#N/A N/A</v>
      </c>
    </row>
    <row r="2317" spans="1:9" x14ac:dyDescent="0.25">
      <c r="A2317" t="str">
        <f>_xll.BDP("FNDD1420 Mtge","ID_CUSIP")</f>
        <v>3140B1SJ6</v>
      </c>
      <c r="B2317" t="str">
        <f>_xll.BDP("FNDD1420 Mtge","SECURITY_NAME")</f>
        <v>FN DD1420</v>
      </c>
      <c r="C2317" t="str">
        <f>_xll.BDP("FNDD1420 Mtge","GENERIC_TICKER_VINTAGE")</f>
        <v>FNCL 6 2025</v>
      </c>
      <c r="D2317" t="str">
        <f>_xll.BDP("FNDD1420 Mtge","CRNCY")</f>
        <v>USD</v>
      </c>
      <c r="E2317">
        <v>1930460</v>
      </c>
      <c r="F2317">
        <f>_xll.BDP("FNDD1420 Mtge","CPN")</f>
        <v>6</v>
      </c>
      <c r="G2317">
        <f>_xll.BDP("FNDD1420 Mtge","MTG_FACTOR")</f>
        <v>0.98683093</v>
      </c>
      <c r="H2317">
        <f>_xll.BDP("FNDD1420 Mtge","MTG_WAL")</f>
        <v>3.1627000000000001</v>
      </c>
      <c r="I2317" t="str">
        <f>_xll.BDP("FNDD1420 Mtge","MTG_ORIG_WAL")</f>
        <v>#N/A N/A</v>
      </c>
    </row>
    <row r="2318" spans="1:9" x14ac:dyDescent="0.25">
      <c r="A2318" t="str">
        <f>_xll.BDP("FNDD1422 Mtge","ID_CUSIP")</f>
        <v>3140B1SL1</v>
      </c>
      <c r="B2318" t="str">
        <f>_xll.BDP("FNDD1422 Mtge","SECURITY_NAME")</f>
        <v>FN DD1422</v>
      </c>
      <c r="C2318" t="str">
        <f>_xll.BDP("FNDD1422 Mtge","GENERIC_TICKER_VINTAGE")</f>
        <v>FNCL 6 2025</v>
      </c>
      <c r="D2318" t="str">
        <f>_xll.BDP("FNDD1422 Mtge","CRNCY")</f>
        <v>USD</v>
      </c>
      <c r="E2318">
        <v>1758000</v>
      </c>
      <c r="F2318">
        <f>_xll.BDP("FNDD1422 Mtge","CPN")</f>
        <v>6</v>
      </c>
      <c r="G2318">
        <f>_xll.BDP("FNDD1422 Mtge","MTG_FACTOR")</f>
        <v>0.98651624999999998</v>
      </c>
      <c r="H2318">
        <f>_xll.BDP("FNDD1422 Mtge","MTG_WAL")</f>
        <v>3.1606000000000001</v>
      </c>
      <c r="I2318" t="str">
        <f>_xll.BDP("FNDD1422 Mtge","MTG_ORIG_WAL")</f>
        <v>#N/A N/A</v>
      </c>
    </row>
    <row r="2319" spans="1:9" x14ac:dyDescent="0.25">
      <c r="A2319" t="str">
        <f>_xll.BDP("FNDD1654 Mtge","ID_CUSIP")</f>
        <v>3140B1ZU3</v>
      </c>
      <c r="B2319" t="str">
        <f>_xll.BDP("FNDD1654 Mtge","SECURITY_NAME")</f>
        <v>FN DD1654</v>
      </c>
      <c r="C2319" t="str">
        <f>_xll.BDP("FNDD1654 Mtge","GENERIC_TICKER_VINTAGE")</f>
        <v>FNCL 6 2025</v>
      </c>
      <c r="D2319" t="str">
        <f>_xll.BDP("FNDD1654 Mtge","CRNCY")</f>
        <v>USD</v>
      </c>
      <c r="E2319">
        <v>1011540</v>
      </c>
      <c r="F2319">
        <f>_xll.BDP("FNDD1654 Mtge","CPN")</f>
        <v>6</v>
      </c>
      <c r="G2319">
        <f>_xll.BDP("FNDD1654 Mtge","MTG_FACTOR")</f>
        <v>0.98648714000000004</v>
      </c>
      <c r="H2319">
        <f>_xll.BDP("FNDD1654 Mtge","MTG_WAL")</f>
        <v>3.1610999999999998</v>
      </c>
      <c r="I2319" t="str">
        <f>_xll.BDP("FNDD1654 Mtge","MTG_ORIG_WAL")</f>
        <v>#N/A N/A</v>
      </c>
    </row>
    <row r="2320" spans="1:9" x14ac:dyDescent="0.25">
      <c r="A2320" t="str">
        <f>_xll.BDP("FNDD1664 Mtge","ID_CUSIP")</f>
        <v>3140B1Z66</v>
      </c>
      <c r="B2320" t="str">
        <f>_xll.BDP("FNDD1664 Mtge","SECURITY_NAME")</f>
        <v>FN DD1664</v>
      </c>
      <c r="C2320" t="str">
        <f>_xll.BDP("FNDD1664 Mtge","GENERIC_TICKER_VINTAGE")</f>
        <v>FNCL 6 2025</v>
      </c>
      <c r="D2320" t="str">
        <f>_xll.BDP("FNDD1664 Mtge","CRNCY")</f>
        <v>USD</v>
      </c>
      <c r="E2320">
        <v>2339853</v>
      </c>
      <c r="F2320">
        <f>_xll.BDP("FNDD1664 Mtge","CPN")</f>
        <v>6</v>
      </c>
      <c r="G2320">
        <f>_xll.BDP("FNDD1664 Mtge","MTG_FACTOR")</f>
        <v>0.98718022999999999</v>
      </c>
      <c r="H2320">
        <f>_xll.BDP("FNDD1664 Mtge","MTG_WAL")</f>
        <v>3.1621999999999999</v>
      </c>
      <c r="I2320" t="str">
        <f>_xll.BDP("FNDD1664 Mtge","MTG_ORIG_WAL")</f>
        <v>#N/A N/A</v>
      </c>
    </row>
    <row r="2321" spans="1:9" x14ac:dyDescent="0.25">
      <c r="A2321" t="str">
        <f>_xll.BDP("FNDD1666 Mtge","ID_CUSIP")</f>
        <v>3140B1Z82</v>
      </c>
      <c r="B2321" t="str">
        <f>_xll.BDP("FNDD1666 Mtge","SECURITY_NAME")</f>
        <v>FN DD1666</v>
      </c>
      <c r="C2321" t="str">
        <f>_xll.BDP("FNDD1666 Mtge","GENERIC_TICKER_VINTAGE")</f>
        <v>FNCL 6 2025</v>
      </c>
      <c r="D2321" t="str">
        <f>_xll.BDP("FNDD1666 Mtge","CRNCY")</f>
        <v>USD</v>
      </c>
      <c r="E2321">
        <v>1309147</v>
      </c>
      <c r="F2321">
        <f>_xll.BDP("FNDD1666 Mtge","CPN")</f>
        <v>6</v>
      </c>
      <c r="G2321">
        <f>_xll.BDP("FNDD1666 Mtge","MTG_FACTOR")</f>
        <v>0.98682097999999996</v>
      </c>
      <c r="H2321">
        <f>_xll.BDP("FNDD1666 Mtge","MTG_WAL")</f>
        <v>3.1600999999999999</v>
      </c>
      <c r="I2321" t="str">
        <f>_xll.BDP("FNDD1666 Mtge","MTG_ORIG_WAL")</f>
        <v>#N/A N/A</v>
      </c>
    </row>
    <row r="2322" spans="1:9" x14ac:dyDescent="0.25">
      <c r="A2322" t="str">
        <f>_xll.BDP("FNDD1668 Mtge","ID_CUSIP")</f>
        <v>3140B12A3</v>
      </c>
      <c r="B2322" t="str">
        <f>_xll.BDP("FNDD1668 Mtge","SECURITY_NAME")</f>
        <v>FN DD1668</v>
      </c>
      <c r="C2322" t="str">
        <f>_xll.BDP("FNDD1668 Mtge","GENERIC_TICKER_VINTAGE")</f>
        <v>FNCL 6 2025</v>
      </c>
      <c r="D2322" t="str">
        <f>_xll.BDP("FNDD1668 Mtge","CRNCY")</f>
        <v>USD</v>
      </c>
      <c r="E2322">
        <v>1681929</v>
      </c>
      <c r="F2322">
        <f>_xll.BDP("FNDD1668 Mtge","CPN")</f>
        <v>6</v>
      </c>
      <c r="G2322">
        <f>_xll.BDP("FNDD1668 Mtge","MTG_FACTOR")</f>
        <v>0.79085583999999998</v>
      </c>
      <c r="H2322">
        <f>_xll.BDP("FNDD1668 Mtge","MTG_WAL")</f>
        <v>3.1610999999999998</v>
      </c>
      <c r="I2322" t="str">
        <f>_xll.BDP("FNDD1668 Mtge","MTG_ORIG_WAL")</f>
        <v>#N/A N/A</v>
      </c>
    </row>
    <row r="2323" spans="1:9" x14ac:dyDescent="0.25">
      <c r="A2323" t="str">
        <f>_xll.BDP("FNDD1678 Mtge","ID_CUSIP")</f>
        <v>3140B12L9</v>
      </c>
      <c r="B2323" t="str">
        <f>_xll.BDP("FNDD1678 Mtge","SECURITY_NAME")</f>
        <v>FN DD1678</v>
      </c>
      <c r="C2323" t="str">
        <f>_xll.BDP("FNDD1678 Mtge","GENERIC_TICKER_VINTAGE")</f>
        <v>FNCL 6 2025</v>
      </c>
      <c r="D2323" t="str">
        <f>_xll.BDP("FNDD1678 Mtge","CRNCY")</f>
        <v>USD</v>
      </c>
      <c r="E2323">
        <v>1011425</v>
      </c>
      <c r="F2323">
        <f>_xll.BDP("FNDD1678 Mtge","CPN")</f>
        <v>6</v>
      </c>
      <c r="G2323">
        <f>_xll.BDP("FNDD1678 Mtge","MTG_FACTOR")</f>
        <v>0.98751913000000002</v>
      </c>
      <c r="H2323">
        <f>_xll.BDP("FNDD1678 Mtge","MTG_WAL")</f>
        <v>3.1604999999999999</v>
      </c>
      <c r="I2323" t="str">
        <f>_xll.BDP("FNDD1678 Mtge","MTG_ORIG_WAL")</f>
        <v>#N/A N/A</v>
      </c>
    </row>
    <row r="2324" spans="1:9" x14ac:dyDescent="0.25">
      <c r="A2324" t="str">
        <f>_xll.BDP("FNDD1687 Mtge","ID_CUSIP")</f>
        <v>3140B12V7</v>
      </c>
      <c r="B2324" t="str">
        <f>_xll.BDP("FNDD1687 Mtge","SECURITY_NAME")</f>
        <v>FN DD1687</v>
      </c>
      <c r="C2324" t="str">
        <f>_xll.BDP("FNDD1687 Mtge","GENERIC_TICKER_VINTAGE")</f>
        <v>FNCL 6 2025</v>
      </c>
      <c r="D2324" t="str">
        <f>_xll.BDP("FNDD1687 Mtge","CRNCY")</f>
        <v>USD</v>
      </c>
      <c r="E2324">
        <v>2347388</v>
      </c>
      <c r="F2324">
        <f>_xll.BDP("FNDD1687 Mtge","CPN")</f>
        <v>6</v>
      </c>
      <c r="G2324">
        <f>_xll.BDP("FNDD1687 Mtge","MTG_FACTOR")</f>
        <v>0.98793492999999999</v>
      </c>
      <c r="H2324">
        <f>_xll.BDP("FNDD1687 Mtge","MTG_WAL")</f>
        <v>3.1631</v>
      </c>
      <c r="I2324" t="str">
        <f>_xll.BDP("FNDD1687 Mtge","MTG_ORIG_WAL")</f>
        <v>#N/A N/A</v>
      </c>
    </row>
    <row r="2325" spans="1:9" x14ac:dyDescent="0.25">
      <c r="A2325" t="str">
        <f>_xll.BDP("FNDD1688 Mtge","ID_CUSIP")</f>
        <v>3140B12W5</v>
      </c>
      <c r="B2325" t="str">
        <f>_xll.BDP("FNDD1688 Mtge","SECURITY_NAME")</f>
        <v>FN DD1688</v>
      </c>
      <c r="C2325" t="str">
        <f>_xll.BDP("FNDD1688 Mtge","GENERIC_TICKER_VINTAGE")</f>
        <v>FNCL 6 2025</v>
      </c>
      <c r="D2325" t="str">
        <f>_xll.BDP("FNDD1688 Mtge","CRNCY")</f>
        <v>USD</v>
      </c>
      <c r="E2325">
        <v>1239053</v>
      </c>
      <c r="F2325">
        <f>_xll.BDP("FNDD1688 Mtge","CPN")</f>
        <v>6</v>
      </c>
      <c r="G2325">
        <f>_xll.BDP("FNDD1688 Mtge","MTG_FACTOR")</f>
        <v>0.98821464000000003</v>
      </c>
      <c r="H2325">
        <f>_xll.BDP("FNDD1688 Mtge","MTG_WAL")</f>
        <v>3.1617999999999999</v>
      </c>
      <c r="I2325" t="str">
        <f>_xll.BDP("FNDD1688 Mtge","MTG_ORIG_WAL")</f>
        <v>#N/A N/A</v>
      </c>
    </row>
    <row r="2326" spans="1:9" x14ac:dyDescent="0.25">
      <c r="A2326" t="str">
        <f>_xll.BDP("FNDD1689 Mtge","ID_CUSIP")</f>
        <v>3140B12X3</v>
      </c>
      <c r="B2326" t="str">
        <f>_xll.BDP("FNDD1689 Mtge","SECURITY_NAME")</f>
        <v>FN DD1689</v>
      </c>
      <c r="C2326" t="str">
        <f>_xll.BDP("FNDD1689 Mtge","GENERIC_TICKER_VINTAGE")</f>
        <v>FNCL 6 2025</v>
      </c>
      <c r="D2326" t="str">
        <f>_xll.BDP("FNDD1689 Mtge","CRNCY")</f>
        <v>USD</v>
      </c>
      <c r="E2326">
        <v>1348848</v>
      </c>
      <c r="F2326">
        <f>_xll.BDP("FNDD1689 Mtge","CPN")</f>
        <v>6</v>
      </c>
      <c r="G2326">
        <f>_xll.BDP("FNDD1689 Mtge","MTG_FACTOR")</f>
        <v>0.74662282999999996</v>
      </c>
      <c r="H2326">
        <f>_xll.BDP("FNDD1689 Mtge","MTG_WAL")</f>
        <v>3.1636000000000002</v>
      </c>
      <c r="I2326" t="str">
        <f>_xll.BDP("FNDD1689 Mtge","MTG_ORIG_WAL")</f>
        <v>#N/A N/A</v>
      </c>
    </row>
    <row r="2327" spans="1:9" x14ac:dyDescent="0.25">
      <c r="A2327" t="str">
        <f>_xll.BDP("FNDD1693 Mtge","ID_CUSIP")</f>
        <v>3140B13B0</v>
      </c>
      <c r="B2327" t="str">
        <f>_xll.BDP("FNDD1693 Mtge","SECURITY_NAME")</f>
        <v>FN DD1693</v>
      </c>
      <c r="C2327" t="str">
        <f>_xll.BDP("FNDD1693 Mtge","GENERIC_TICKER_VINTAGE")</f>
        <v>FNCL 6 2025</v>
      </c>
      <c r="D2327" t="str">
        <f>_xll.BDP("FNDD1693 Mtge","CRNCY")</f>
        <v>USD</v>
      </c>
      <c r="E2327">
        <v>1876947</v>
      </c>
      <c r="F2327">
        <f>_xll.BDP("FNDD1693 Mtge","CPN")</f>
        <v>6</v>
      </c>
      <c r="G2327">
        <f>_xll.BDP("FNDD1693 Mtge","MTG_FACTOR")</f>
        <v>0.98583622000000004</v>
      </c>
      <c r="H2327">
        <f>_xll.BDP("FNDD1693 Mtge","MTG_WAL")</f>
        <v>3.2006000000000001</v>
      </c>
      <c r="I2327" t="str">
        <f>_xll.BDP("FNDD1693 Mtge","MTG_ORIG_WAL")</f>
        <v>#N/A N/A</v>
      </c>
    </row>
    <row r="2328" spans="1:9" x14ac:dyDescent="0.25">
      <c r="A2328" t="str">
        <f>_xll.BDP("FNDD1694 Mtge","ID_CUSIP")</f>
        <v>3140B13C8</v>
      </c>
      <c r="B2328" t="str">
        <f>_xll.BDP("FNDD1694 Mtge","SECURITY_NAME")</f>
        <v>FN DD1694</v>
      </c>
      <c r="C2328" t="str">
        <f>_xll.BDP("FNDD1694 Mtge","GENERIC_TICKER_VINTAGE")</f>
        <v>FNCL 6 2025</v>
      </c>
      <c r="D2328" t="str">
        <f>_xll.BDP("FNDD1694 Mtge","CRNCY")</f>
        <v>USD</v>
      </c>
      <c r="E2328">
        <v>1215956</v>
      </c>
      <c r="F2328">
        <f>_xll.BDP("FNDD1694 Mtge","CPN")</f>
        <v>6</v>
      </c>
      <c r="G2328">
        <f>_xll.BDP("FNDD1694 Mtge","MTG_FACTOR")</f>
        <v>0.98317034000000003</v>
      </c>
      <c r="H2328">
        <f>_xll.BDP("FNDD1694 Mtge","MTG_WAL")</f>
        <v>3.1998000000000002</v>
      </c>
      <c r="I2328" t="str">
        <f>_xll.BDP("FNDD1694 Mtge","MTG_ORIG_WAL")</f>
        <v>#N/A N/A</v>
      </c>
    </row>
    <row r="2329" spans="1:9" x14ac:dyDescent="0.25">
      <c r="A2329" t="str">
        <f>_xll.BDP("FNDD1695 Mtge","ID_CUSIP")</f>
        <v>3140B13D6</v>
      </c>
      <c r="B2329" t="str">
        <f>_xll.BDP("FNDD1695 Mtge","SECURITY_NAME")</f>
        <v>FN DD1695</v>
      </c>
      <c r="C2329" t="str">
        <f>_xll.BDP("FNDD1695 Mtge","GENERIC_TICKER_VINTAGE")</f>
        <v>FNCL 6 2025</v>
      </c>
      <c r="D2329" t="str">
        <f>_xll.BDP("FNDD1695 Mtge","CRNCY")</f>
        <v>USD</v>
      </c>
      <c r="E2329">
        <v>1006559</v>
      </c>
      <c r="F2329">
        <f>_xll.BDP("FNDD1695 Mtge","CPN")</f>
        <v>6</v>
      </c>
      <c r="G2329">
        <f>_xll.BDP("FNDD1695 Mtge","MTG_FACTOR")</f>
        <v>0.98856131999999997</v>
      </c>
      <c r="H2329">
        <f>_xll.BDP("FNDD1695 Mtge","MTG_WAL")</f>
        <v>3.2042999999999999</v>
      </c>
      <c r="I2329" t="str">
        <f>_xll.BDP("FNDD1695 Mtge","MTG_ORIG_WAL")</f>
        <v>#N/A N/A</v>
      </c>
    </row>
    <row r="2330" spans="1:9" x14ac:dyDescent="0.25">
      <c r="A2330" t="str">
        <f>_xll.BDP("FNDD1705 Mtge","ID_CUSIP")</f>
        <v>3140B13P9</v>
      </c>
      <c r="B2330" t="str">
        <f>_xll.BDP("FNDD1705 Mtge","SECURITY_NAME")</f>
        <v>FN DD1705</v>
      </c>
      <c r="C2330" t="str">
        <f>_xll.BDP("FNDD1705 Mtge","GENERIC_TICKER_VINTAGE")</f>
        <v>FNCL 6 2025</v>
      </c>
      <c r="D2330" t="str">
        <f>_xll.BDP("FNDD1705 Mtge","CRNCY")</f>
        <v>USD</v>
      </c>
      <c r="E2330">
        <v>1066308</v>
      </c>
      <c r="F2330">
        <f>_xll.BDP("FNDD1705 Mtge","CPN")</f>
        <v>6</v>
      </c>
      <c r="G2330">
        <f>_xll.BDP("FNDD1705 Mtge","MTG_FACTOR")</f>
        <v>0.98089702000000001</v>
      </c>
      <c r="H2330">
        <f>_xll.BDP("FNDD1705 Mtge","MTG_WAL")</f>
        <v>3.1335999999999999</v>
      </c>
      <c r="I2330" t="str">
        <f>_xll.BDP("FNDD1705 Mtge","MTG_ORIG_WAL")</f>
        <v>#N/A N/A</v>
      </c>
    </row>
    <row r="2331" spans="1:9" x14ac:dyDescent="0.25">
      <c r="A2331" t="str">
        <f>_xll.BDP("FNDD1706 Mtge","ID_CUSIP")</f>
        <v>3140B13Q7</v>
      </c>
      <c r="B2331" t="str">
        <f>_xll.BDP("FNDD1706 Mtge","SECURITY_NAME")</f>
        <v>FN DD1706</v>
      </c>
      <c r="C2331" t="str">
        <f>_xll.BDP("FNDD1706 Mtge","GENERIC_TICKER_VINTAGE")</f>
        <v>FNCL 6 2025</v>
      </c>
      <c r="D2331" t="str">
        <f>_xll.BDP("FNDD1706 Mtge","CRNCY")</f>
        <v>USD</v>
      </c>
      <c r="E2331">
        <v>1857427</v>
      </c>
      <c r="F2331">
        <f>_xll.BDP("FNDD1706 Mtge","CPN")</f>
        <v>6</v>
      </c>
      <c r="G2331">
        <f>_xll.BDP("FNDD1706 Mtge","MTG_FACTOR")</f>
        <v>0.98887435999999995</v>
      </c>
      <c r="H2331">
        <f>_xll.BDP("FNDD1706 Mtge","MTG_WAL")</f>
        <v>3.2044000000000001</v>
      </c>
      <c r="I2331" t="str">
        <f>_xll.BDP("FNDD1706 Mtge","MTG_ORIG_WAL")</f>
        <v>#N/A N/A</v>
      </c>
    </row>
    <row r="2332" spans="1:9" x14ac:dyDescent="0.25">
      <c r="A2332" t="str">
        <f>_xll.BDP("FNDD1707 Mtge","ID_CUSIP")</f>
        <v>3140B13R5</v>
      </c>
      <c r="B2332" t="str">
        <f>_xll.BDP("FNDD1707 Mtge","SECURITY_NAME")</f>
        <v>FN DD1707</v>
      </c>
      <c r="C2332" t="str">
        <f>_xll.BDP("FNDD1707 Mtge","GENERIC_TICKER_VINTAGE")</f>
        <v>FNCL 6 2025</v>
      </c>
      <c r="D2332" t="str">
        <f>_xll.BDP("FNDD1707 Mtge","CRNCY")</f>
        <v>USD</v>
      </c>
      <c r="E2332">
        <v>2271640</v>
      </c>
      <c r="F2332">
        <f>_xll.BDP("FNDD1707 Mtge","CPN")</f>
        <v>6</v>
      </c>
      <c r="G2332">
        <f>_xll.BDP("FNDD1707 Mtge","MTG_FACTOR")</f>
        <v>0.98968138000000005</v>
      </c>
      <c r="H2332">
        <f>_xll.BDP("FNDD1707 Mtge","MTG_WAL")</f>
        <v>3.2044999999999999</v>
      </c>
      <c r="I2332" t="str">
        <f>_xll.BDP("FNDD1707 Mtge","MTG_ORIG_WAL")</f>
        <v>#N/A N/A</v>
      </c>
    </row>
    <row r="2333" spans="1:9" x14ac:dyDescent="0.25">
      <c r="A2333" t="str">
        <f>_xll.BDP("FNDD1713 Mtge","ID_CUSIP")</f>
        <v>3140B13X2</v>
      </c>
      <c r="B2333" t="str">
        <f>_xll.BDP("FNDD1713 Mtge","SECURITY_NAME")</f>
        <v>FN DD1713</v>
      </c>
      <c r="C2333" t="str">
        <f>_xll.BDP("FNDD1713 Mtge","GENERIC_TICKER_VINTAGE")</f>
        <v>FNCL 6 2025</v>
      </c>
      <c r="D2333" t="str">
        <f>_xll.BDP("FNDD1713 Mtge","CRNCY")</f>
        <v>USD</v>
      </c>
      <c r="E2333">
        <v>1477966</v>
      </c>
      <c r="F2333">
        <f>_xll.BDP("FNDD1713 Mtge","CPN")</f>
        <v>6</v>
      </c>
      <c r="G2333">
        <f>_xll.BDP("FNDD1713 Mtge","MTG_FACTOR")</f>
        <v>0.86645260000000002</v>
      </c>
      <c r="H2333">
        <f>_xll.BDP("FNDD1713 Mtge","MTG_WAL")</f>
        <v>3.1368</v>
      </c>
      <c r="I2333" t="str">
        <f>_xll.BDP("FNDD1713 Mtge","MTG_ORIG_WAL")</f>
        <v>#N/A N/A</v>
      </c>
    </row>
    <row r="2334" spans="1:9" x14ac:dyDescent="0.25">
      <c r="A2334" t="str">
        <f>_xll.BDP("FNDD1715 Mtge","ID_CUSIP")</f>
        <v>3140B13Z7</v>
      </c>
      <c r="B2334" t="str">
        <f>_xll.BDP("FNDD1715 Mtge","SECURITY_NAME")</f>
        <v>FN DD1715</v>
      </c>
      <c r="C2334" t="str">
        <f>_xll.BDP("FNDD1715 Mtge","GENERIC_TICKER_VINTAGE")</f>
        <v>FNCL 6 2025</v>
      </c>
      <c r="D2334" t="str">
        <f>_xll.BDP("FNDD1715 Mtge","CRNCY")</f>
        <v>USD</v>
      </c>
      <c r="E2334">
        <v>1205259</v>
      </c>
      <c r="F2334">
        <f>_xll.BDP("FNDD1715 Mtge","CPN")</f>
        <v>6</v>
      </c>
      <c r="G2334">
        <f>_xll.BDP("FNDD1715 Mtge","MTG_FACTOR")</f>
        <v>0.98825569000000002</v>
      </c>
      <c r="H2334">
        <f>_xll.BDP("FNDD1715 Mtge","MTG_WAL")</f>
        <v>3.2031999999999998</v>
      </c>
      <c r="I2334" t="str">
        <f>_xll.BDP("FNDD1715 Mtge","MTG_ORIG_WAL")</f>
        <v>#N/A N/A</v>
      </c>
    </row>
    <row r="2335" spans="1:9" x14ac:dyDescent="0.25">
      <c r="A2335" t="str">
        <f>_xll.BDP("FNDD1722 Mtge","ID_CUSIP")</f>
        <v>3140B14G8</v>
      </c>
      <c r="B2335" t="str">
        <f>_xll.BDP("FNDD1722 Mtge","SECURITY_NAME")</f>
        <v>FN DD1722</v>
      </c>
      <c r="C2335" t="str">
        <f>_xll.BDP("FNDD1722 Mtge","GENERIC_TICKER_VINTAGE")</f>
        <v>FNCL 6 2025</v>
      </c>
      <c r="D2335" t="str">
        <f>_xll.BDP("FNDD1722 Mtge","CRNCY")</f>
        <v>USD</v>
      </c>
      <c r="E2335">
        <v>1148850</v>
      </c>
      <c r="F2335">
        <f>_xll.BDP("FNDD1722 Mtge","CPN")</f>
        <v>6</v>
      </c>
      <c r="G2335">
        <f>_xll.BDP("FNDD1722 Mtge","MTG_FACTOR")</f>
        <v>0.98931060000000004</v>
      </c>
      <c r="H2335">
        <f>_xll.BDP("FNDD1722 Mtge","MTG_WAL")</f>
        <v>3.2496</v>
      </c>
      <c r="I2335" t="str">
        <f>_xll.BDP("FNDD1722 Mtge","MTG_ORIG_WAL")</f>
        <v>#N/A N/A</v>
      </c>
    </row>
    <row r="2336" spans="1:9" x14ac:dyDescent="0.25">
      <c r="A2336" t="str">
        <f>_xll.BDP("FNDD1723 Mtge","ID_CUSIP")</f>
        <v>3140B14H6</v>
      </c>
      <c r="B2336" t="str">
        <f>_xll.BDP("FNDD1723 Mtge","SECURITY_NAME")</f>
        <v>FN DD1723</v>
      </c>
      <c r="C2336" t="str">
        <f>_xll.BDP("FNDD1723 Mtge","GENERIC_TICKER_VINTAGE")</f>
        <v>FNCL 6 2025</v>
      </c>
      <c r="D2336" t="str">
        <f>_xll.BDP("FNDD1723 Mtge","CRNCY")</f>
        <v>USD</v>
      </c>
      <c r="E2336">
        <v>1553540</v>
      </c>
      <c r="F2336">
        <f>_xll.BDP("FNDD1723 Mtge","CPN")</f>
        <v>6</v>
      </c>
      <c r="G2336">
        <f>_xll.BDP("FNDD1723 Mtge","MTG_FACTOR")</f>
        <v>0.79762602000000005</v>
      </c>
      <c r="H2336">
        <f>_xll.BDP("FNDD1723 Mtge","MTG_WAL")</f>
        <v>3.2496</v>
      </c>
      <c r="I2336" t="str">
        <f>_xll.BDP("FNDD1723 Mtge","MTG_ORIG_WAL")</f>
        <v>#N/A N/A</v>
      </c>
    </row>
    <row r="2337" spans="1:9" x14ac:dyDescent="0.25">
      <c r="A2337" t="str">
        <f>_xll.BDP("FNDD1726 Mtge","ID_CUSIP")</f>
        <v>3140B14L7</v>
      </c>
      <c r="B2337" t="str">
        <f>_xll.BDP("FNDD1726 Mtge","SECURITY_NAME")</f>
        <v>FN DD1726</v>
      </c>
      <c r="C2337" t="str">
        <f>_xll.BDP("FNDD1726 Mtge","GENERIC_TICKER_VINTAGE")</f>
        <v>FNCL 6 2025</v>
      </c>
      <c r="D2337" t="str">
        <f>_xll.BDP("FNDD1726 Mtge","CRNCY")</f>
        <v>USD</v>
      </c>
      <c r="E2337">
        <v>1911264</v>
      </c>
      <c r="F2337">
        <f>_xll.BDP("FNDD1726 Mtge","CPN")</f>
        <v>6</v>
      </c>
      <c r="G2337">
        <f>_xll.BDP("FNDD1726 Mtge","MTG_FACTOR")</f>
        <v>0.99028172000000003</v>
      </c>
      <c r="H2337">
        <f>_xll.BDP("FNDD1726 Mtge","MTG_WAL")</f>
        <v>3.2050999999999998</v>
      </c>
      <c r="I2337" t="str">
        <f>_xll.BDP("FNDD1726 Mtge","MTG_ORIG_WAL")</f>
        <v>#N/A N/A</v>
      </c>
    </row>
    <row r="2338" spans="1:9" x14ac:dyDescent="0.25">
      <c r="A2338" t="str">
        <f>_xll.BDP("FNDD1727 Mtge","ID_CUSIP")</f>
        <v>3140B14M5</v>
      </c>
      <c r="B2338" t="str">
        <f>_xll.BDP("FNDD1727 Mtge","SECURITY_NAME")</f>
        <v>FN DD1727</v>
      </c>
      <c r="C2338" t="str">
        <f>_xll.BDP("FNDD1727 Mtge","GENERIC_TICKER_VINTAGE")</f>
        <v>FNCL 6 2025</v>
      </c>
      <c r="D2338" t="str">
        <f>_xll.BDP("FNDD1727 Mtge","CRNCY")</f>
        <v>USD</v>
      </c>
      <c r="E2338">
        <v>2014082</v>
      </c>
      <c r="F2338">
        <f>_xll.BDP("FNDD1727 Mtge","CPN")</f>
        <v>6</v>
      </c>
      <c r="G2338">
        <f>_xll.BDP("FNDD1727 Mtge","MTG_FACTOR")</f>
        <v>0.98885493000000002</v>
      </c>
      <c r="H2338">
        <f>_xll.BDP("FNDD1727 Mtge","MTG_WAL")</f>
        <v>3.2467000000000001</v>
      </c>
      <c r="I2338" t="str">
        <f>_xll.BDP("FNDD1727 Mtge","MTG_ORIG_WAL")</f>
        <v>#N/A N/A</v>
      </c>
    </row>
    <row r="2339" spans="1:9" x14ac:dyDescent="0.25">
      <c r="A2339" t="str">
        <f>_xll.BDP("FNDD1728 Mtge","ID_CUSIP")</f>
        <v>3140B14N3</v>
      </c>
      <c r="B2339" t="str">
        <f>_xll.BDP("FNDD1728 Mtge","SECURITY_NAME")</f>
        <v>FN DD1728</v>
      </c>
      <c r="C2339" t="str">
        <f>_xll.BDP("FNDD1728 Mtge","GENERIC_TICKER_VINTAGE")</f>
        <v>FNCL 6 2025</v>
      </c>
      <c r="D2339" t="str">
        <f>_xll.BDP("FNDD1728 Mtge","CRNCY")</f>
        <v>USD</v>
      </c>
      <c r="E2339">
        <v>1575471</v>
      </c>
      <c r="F2339">
        <f>_xll.BDP("FNDD1728 Mtge","CPN")</f>
        <v>6</v>
      </c>
      <c r="G2339">
        <f>_xll.BDP("FNDD1728 Mtge","MTG_FACTOR")</f>
        <v>0.78715652999999997</v>
      </c>
      <c r="H2339">
        <f>_xll.BDP("FNDD1728 Mtge","MTG_WAL")</f>
        <v>3.2469000000000001</v>
      </c>
      <c r="I2339" t="str">
        <f>_xll.BDP("FNDD1728 Mtge","MTG_ORIG_WAL")</f>
        <v>#N/A N/A</v>
      </c>
    </row>
    <row r="2340" spans="1:9" x14ac:dyDescent="0.25">
      <c r="A2340" t="str">
        <f>_xll.BDP("FNDD1729 Mtge","ID_CUSIP")</f>
        <v>3140B14P8</v>
      </c>
      <c r="B2340" t="str">
        <f>_xll.BDP("FNDD1729 Mtge","SECURITY_NAME")</f>
        <v>FN DD1729</v>
      </c>
      <c r="C2340" t="str">
        <f>_xll.BDP("FNDD1729 Mtge","GENERIC_TICKER_VINTAGE")</f>
        <v>FNCL 6 2025</v>
      </c>
      <c r="D2340" t="str">
        <f>_xll.BDP("FNDD1729 Mtge","CRNCY")</f>
        <v>USD</v>
      </c>
      <c r="E2340">
        <v>1348060</v>
      </c>
      <c r="F2340">
        <f>_xll.BDP("FNDD1729 Mtge","CPN")</f>
        <v>6</v>
      </c>
      <c r="G2340">
        <f>_xll.BDP("FNDD1729 Mtge","MTG_FACTOR")</f>
        <v>0.98650506999999998</v>
      </c>
      <c r="H2340">
        <f>_xll.BDP("FNDD1729 Mtge","MTG_WAL")</f>
        <v>3.2463000000000002</v>
      </c>
      <c r="I2340" t="str">
        <f>_xll.BDP("FNDD1729 Mtge","MTG_ORIG_WAL")</f>
        <v>#N/A N/A</v>
      </c>
    </row>
    <row r="2341" spans="1:9" x14ac:dyDescent="0.25">
      <c r="A2341" t="str">
        <f>_xll.BDP("FNDD1795 Mtge","ID_CUSIP")</f>
        <v>3140B17H3</v>
      </c>
      <c r="B2341" t="str">
        <f>_xll.BDP("FNDD1795 Mtge","SECURITY_NAME")</f>
        <v>FN DD1795</v>
      </c>
      <c r="C2341" t="str">
        <f>_xll.BDP("FNDD1795 Mtge","GENERIC_TICKER_VINTAGE")</f>
        <v>FNCL 6 2025</v>
      </c>
      <c r="D2341" t="str">
        <f>_xll.BDP("FNDD1795 Mtge","CRNCY")</f>
        <v>USD</v>
      </c>
      <c r="E2341">
        <v>1696369</v>
      </c>
      <c r="F2341">
        <f>_xll.BDP("FNDD1795 Mtge","CPN")</f>
        <v>6</v>
      </c>
      <c r="G2341">
        <f>_xll.BDP("FNDD1795 Mtge","MTG_FACTOR")</f>
        <v>0.76640284000000003</v>
      </c>
      <c r="H2341">
        <f>_xll.BDP("FNDD1795 Mtge","MTG_WAL")</f>
        <v>3.1558000000000002</v>
      </c>
      <c r="I2341" t="str">
        <f>_xll.BDP("FNDD1795 Mtge","MTG_ORIG_WAL")</f>
        <v>#N/A N/A</v>
      </c>
    </row>
    <row r="2342" spans="1:9" x14ac:dyDescent="0.25">
      <c r="A2342" t="str">
        <f>_xll.BDP("FNDD1797 Mtge","ID_CUSIP")</f>
        <v>3140B17K6</v>
      </c>
      <c r="B2342" t="str">
        <f>_xll.BDP("FNDD1797 Mtge","SECURITY_NAME")</f>
        <v>FN DD1797</v>
      </c>
      <c r="C2342" t="str">
        <f>_xll.BDP("FNDD1797 Mtge","GENERIC_TICKER_VINTAGE")</f>
        <v>FNCL 6 2025</v>
      </c>
      <c r="D2342" t="str">
        <f>_xll.BDP("FNDD1797 Mtge","CRNCY")</f>
        <v>USD</v>
      </c>
      <c r="E2342">
        <v>1656252</v>
      </c>
      <c r="F2342">
        <f>_xll.BDP("FNDD1797 Mtge","CPN")</f>
        <v>6</v>
      </c>
      <c r="G2342">
        <f>_xll.BDP("FNDD1797 Mtge","MTG_FACTOR")</f>
        <v>0.98382415000000001</v>
      </c>
      <c r="H2342">
        <f>_xll.BDP("FNDD1797 Mtge","MTG_WAL")</f>
        <v>3.1566000000000001</v>
      </c>
      <c r="I2342" t="str">
        <f>_xll.BDP("FNDD1797 Mtge","MTG_ORIG_WAL")</f>
        <v>#N/A N/A</v>
      </c>
    </row>
    <row r="2343" spans="1:9" x14ac:dyDescent="0.25">
      <c r="A2343" t="str">
        <f>_xll.BDP("FNDD1802 Mtge","ID_CUSIP")</f>
        <v>3140B2AC8</v>
      </c>
      <c r="B2343" t="str">
        <f>_xll.BDP("FNDD1802 Mtge","SECURITY_NAME")</f>
        <v>FN DD1802</v>
      </c>
      <c r="C2343" t="str">
        <f>_xll.BDP("FNDD1802 Mtge","GENERIC_TICKER_VINTAGE")</f>
        <v>FNCL 6 2025</v>
      </c>
      <c r="D2343" t="str">
        <f>_xll.BDP("FNDD1802 Mtge","CRNCY")</f>
        <v>USD</v>
      </c>
      <c r="E2343">
        <v>1038986</v>
      </c>
      <c r="F2343">
        <f>_xll.BDP("FNDD1802 Mtge","CPN")</f>
        <v>6</v>
      </c>
      <c r="G2343">
        <f>_xll.BDP("FNDD1802 Mtge","MTG_FACTOR")</f>
        <v>0.80125427000000005</v>
      </c>
      <c r="H2343">
        <f>_xll.BDP("FNDD1802 Mtge","MTG_WAL")</f>
        <v>3.1619000000000002</v>
      </c>
      <c r="I2343" t="str">
        <f>_xll.BDP("FNDD1802 Mtge","MTG_ORIG_WAL")</f>
        <v>#N/A N/A</v>
      </c>
    </row>
    <row r="2344" spans="1:9" x14ac:dyDescent="0.25">
      <c r="A2344" t="str">
        <f>_xll.BDP("FNDD1920 Mtge","ID_CUSIP")</f>
        <v>3140B2D27</v>
      </c>
      <c r="B2344" t="str">
        <f>_xll.BDP("FNDD1920 Mtge","SECURITY_NAME")</f>
        <v>FN DD1920</v>
      </c>
      <c r="C2344" t="str">
        <f>_xll.BDP("FNDD1920 Mtge","GENERIC_TICKER_VINTAGE")</f>
        <v>FNCL 6 2025</v>
      </c>
      <c r="D2344" t="str">
        <f>_xll.BDP("FNDD1920 Mtge","CRNCY")</f>
        <v>USD</v>
      </c>
      <c r="E2344">
        <v>30095482</v>
      </c>
      <c r="F2344">
        <f>_xll.BDP("FNDD1920 Mtge","CPN")</f>
        <v>6</v>
      </c>
      <c r="G2344">
        <f>_xll.BDP("FNDD1920 Mtge","MTG_FACTOR")</f>
        <v>0.69961021000000001</v>
      </c>
      <c r="H2344">
        <f>_xll.BDP("FNDD1920 Mtge","MTG_WAL")</f>
        <v>3.1615000000000002</v>
      </c>
      <c r="I2344" t="str">
        <f>_xll.BDP("FNDD1920 Mtge","MTG_ORIG_WAL")</f>
        <v>#N/A N/A</v>
      </c>
    </row>
    <row r="2345" spans="1:9" x14ac:dyDescent="0.25">
      <c r="A2345" t="str">
        <f>_xll.BDP("FNDD1924 Mtge","ID_CUSIP")</f>
        <v>3140B2D68</v>
      </c>
      <c r="B2345" t="str">
        <f>_xll.BDP("FNDD1924 Mtge","SECURITY_NAME")</f>
        <v>FN DD1924</v>
      </c>
      <c r="C2345" t="str">
        <f>_xll.BDP("FNDD1924 Mtge","GENERIC_TICKER_VINTAGE")</f>
        <v>FNCL 6 2025</v>
      </c>
      <c r="D2345" t="str">
        <f>_xll.BDP("FNDD1924 Mtge","CRNCY")</f>
        <v>USD</v>
      </c>
      <c r="E2345">
        <v>12729600</v>
      </c>
      <c r="F2345">
        <f>_xll.BDP("FNDD1924 Mtge","CPN")</f>
        <v>6</v>
      </c>
      <c r="G2345">
        <f>_xll.BDP("FNDD1924 Mtge","MTG_FACTOR")</f>
        <v>0.66383581999999997</v>
      </c>
      <c r="H2345">
        <f>_xll.BDP("FNDD1924 Mtge","MTG_WAL")</f>
        <v>3.1612</v>
      </c>
      <c r="I2345" t="str">
        <f>_xll.BDP("FNDD1924 Mtge","MTG_ORIG_WAL")</f>
        <v>#N/A N/A</v>
      </c>
    </row>
    <row r="2346" spans="1:9" x14ac:dyDescent="0.25">
      <c r="A2346" t="str">
        <f>_xll.BDP("FNDD1926 Mtge","ID_CUSIP")</f>
        <v>3140B2D84</v>
      </c>
      <c r="B2346" t="str">
        <f>_xll.BDP("FNDD1926 Mtge","SECURITY_NAME")</f>
        <v>FN DD1926</v>
      </c>
      <c r="C2346" t="str">
        <f>_xll.BDP("FNDD1926 Mtge","GENERIC_TICKER_VINTAGE")</f>
        <v>FNCL 6 2025</v>
      </c>
      <c r="D2346" t="str">
        <f>_xll.BDP("FNDD1926 Mtge","CRNCY")</f>
        <v>USD</v>
      </c>
      <c r="E2346">
        <v>20378978</v>
      </c>
      <c r="F2346">
        <f>_xll.BDP("FNDD1926 Mtge","CPN")</f>
        <v>6</v>
      </c>
      <c r="G2346">
        <f>_xll.BDP("FNDD1926 Mtge","MTG_FACTOR")</f>
        <v>0.75118472999999997</v>
      </c>
      <c r="H2346">
        <f>_xll.BDP("FNDD1926 Mtge","MTG_WAL")</f>
        <v>3.1597</v>
      </c>
      <c r="I2346" t="str">
        <f>_xll.BDP("FNDD1926 Mtge","MTG_ORIG_WAL")</f>
        <v>#N/A N/A</v>
      </c>
    </row>
    <row r="2347" spans="1:9" x14ac:dyDescent="0.25">
      <c r="A2347" t="str">
        <f>_xll.BDP("FNDD1950 Mtge","ID_CUSIP")</f>
        <v>3140B2EY6</v>
      </c>
      <c r="B2347" t="str">
        <f>_xll.BDP("FNDD1950 Mtge","SECURITY_NAME")</f>
        <v>FN DD1950</v>
      </c>
      <c r="C2347" t="str">
        <f>_xll.BDP("FNDD1950 Mtge","GENERIC_TICKER_VINTAGE")</f>
        <v>FNCL 6 2025</v>
      </c>
      <c r="D2347" t="str">
        <f>_xll.BDP("FNDD1950 Mtge","CRNCY")</f>
        <v>USD</v>
      </c>
      <c r="E2347">
        <v>1029325</v>
      </c>
      <c r="F2347">
        <f>_xll.BDP("FNDD1950 Mtge","CPN")</f>
        <v>6</v>
      </c>
      <c r="G2347">
        <f>_xll.BDP("FNDD1950 Mtge","MTG_FACTOR")</f>
        <v>0.97484895000000005</v>
      </c>
      <c r="H2347">
        <f>_xll.BDP("FNDD1950 Mtge","MTG_WAL")</f>
        <v>3.1522999999999999</v>
      </c>
      <c r="I2347" t="str">
        <f>_xll.BDP("FNDD1950 Mtge","MTG_ORIG_WAL")</f>
        <v>#N/A N/A</v>
      </c>
    </row>
    <row r="2348" spans="1:9" x14ac:dyDescent="0.25">
      <c r="A2348" t="str">
        <f>_xll.BDP("FNDD1951 Mtge","ID_CUSIP")</f>
        <v>3140B2EZ3</v>
      </c>
      <c r="B2348" t="str">
        <f>_xll.BDP("FNDD1951 Mtge","SECURITY_NAME")</f>
        <v>FN DD1951</v>
      </c>
      <c r="C2348" t="str">
        <f>_xll.BDP("FNDD1951 Mtge","GENERIC_TICKER_VINTAGE")</f>
        <v>FNCL 6 2025</v>
      </c>
      <c r="D2348" t="str">
        <f>_xll.BDP("FNDD1951 Mtge","CRNCY")</f>
        <v>USD</v>
      </c>
      <c r="E2348">
        <v>1374000</v>
      </c>
      <c r="F2348">
        <f>_xll.BDP("FNDD1951 Mtge","CPN")</f>
        <v>6</v>
      </c>
      <c r="G2348">
        <f>_xll.BDP("FNDD1951 Mtge","MTG_FACTOR")</f>
        <v>0.97803512000000004</v>
      </c>
      <c r="H2348">
        <f>_xll.BDP("FNDD1951 Mtge","MTG_WAL")</f>
        <v>3.1534</v>
      </c>
      <c r="I2348" t="str">
        <f>_xll.BDP("FNDD1951 Mtge","MTG_ORIG_WAL")</f>
        <v>#N/A N/A</v>
      </c>
    </row>
    <row r="2349" spans="1:9" x14ac:dyDescent="0.25">
      <c r="A2349" t="str">
        <f>_xll.BDP("FNDD1955 Mtge","ID_CUSIP")</f>
        <v>3140B2E59</v>
      </c>
      <c r="B2349" t="str">
        <f>_xll.BDP("FNDD1955 Mtge","SECURITY_NAME")</f>
        <v>FN DD1955</v>
      </c>
      <c r="C2349" t="str">
        <f>_xll.BDP("FNDD1955 Mtge","GENERIC_TICKER_VINTAGE")</f>
        <v>FNCL 6 2025</v>
      </c>
      <c r="D2349" t="str">
        <f>_xll.BDP("FNDD1955 Mtge","CRNCY")</f>
        <v>USD</v>
      </c>
      <c r="E2349">
        <v>5284663</v>
      </c>
      <c r="F2349">
        <f>_xll.BDP("FNDD1955 Mtge","CPN")</f>
        <v>6</v>
      </c>
      <c r="G2349">
        <f>_xll.BDP("FNDD1955 Mtge","MTG_FACTOR")</f>
        <v>0.87916598999999995</v>
      </c>
      <c r="H2349">
        <f>_xll.BDP("FNDD1955 Mtge","MTG_WAL")</f>
        <v>3.1541999999999999</v>
      </c>
      <c r="I2349" t="str">
        <f>_xll.BDP("FNDD1955 Mtge","MTG_ORIG_WAL")</f>
        <v>#N/A N/A</v>
      </c>
    </row>
    <row r="2350" spans="1:9" x14ac:dyDescent="0.25">
      <c r="A2350" t="str">
        <f>_xll.BDP("FNDD1957 Mtge","ID_CUSIP")</f>
        <v>3140B2E75</v>
      </c>
      <c r="B2350" t="str">
        <f>_xll.BDP("FNDD1957 Mtge","SECURITY_NAME")</f>
        <v>FN DD1957</v>
      </c>
      <c r="C2350" t="str">
        <f>_xll.BDP("FNDD1957 Mtge","GENERIC_TICKER_VINTAGE")</f>
        <v>FNCL 6 2025</v>
      </c>
      <c r="D2350" t="str">
        <f>_xll.BDP("FNDD1957 Mtge","CRNCY")</f>
        <v>USD</v>
      </c>
      <c r="E2350">
        <v>9819613</v>
      </c>
      <c r="F2350">
        <f>_xll.BDP("FNDD1957 Mtge","CPN")</f>
        <v>6</v>
      </c>
      <c r="G2350">
        <f>_xll.BDP("FNDD1957 Mtge","MTG_FACTOR")</f>
        <v>0.88475661999999999</v>
      </c>
      <c r="H2350">
        <f>_xll.BDP("FNDD1957 Mtge","MTG_WAL")</f>
        <v>3.1572</v>
      </c>
      <c r="I2350" t="str">
        <f>_xll.BDP("FNDD1957 Mtge","MTG_ORIG_WAL")</f>
        <v>#N/A N/A</v>
      </c>
    </row>
    <row r="2351" spans="1:9" x14ac:dyDescent="0.25">
      <c r="A2351" t="str">
        <f>_xll.BDP("FNDD1959 Mtge","ID_CUSIP")</f>
        <v>3140B2E91</v>
      </c>
      <c r="B2351" t="str">
        <f>_xll.BDP("FNDD1959 Mtge","SECURITY_NAME")</f>
        <v>FN DD1959</v>
      </c>
      <c r="C2351" t="str">
        <f>_xll.BDP("FNDD1959 Mtge","GENERIC_TICKER_VINTAGE")</f>
        <v>FNCL 6 2025</v>
      </c>
      <c r="D2351" t="str">
        <f>_xll.BDP("FNDD1959 Mtge","CRNCY")</f>
        <v>USD</v>
      </c>
      <c r="E2351">
        <v>10100943</v>
      </c>
      <c r="F2351">
        <f>_xll.BDP("FNDD1959 Mtge","CPN")</f>
        <v>6</v>
      </c>
      <c r="G2351">
        <f>_xll.BDP("FNDD1959 Mtge","MTG_FACTOR")</f>
        <v>0.48778294</v>
      </c>
      <c r="H2351">
        <f>_xll.BDP("FNDD1959 Mtge","MTG_WAL")</f>
        <v>3.1617999999999999</v>
      </c>
      <c r="I2351" t="str">
        <f>_xll.BDP("FNDD1959 Mtge","MTG_ORIG_WAL")</f>
        <v>#N/A N/A</v>
      </c>
    </row>
    <row r="2352" spans="1:9" x14ac:dyDescent="0.25">
      <c r="A2352" t="str">
        <f>_xll.BDP("FNDD1960 Mtge","ID_CUSIP")</f>
        <v>3140B2FA7</v>
      </c>
      <c r="B2352" t="str">
        <f>_xll.BDP("FNDD1960 Mtge","SECURITY_NAME")</f>
        <v>FN DD1960</v>
      </c>
      <c r="C2352" t="str">
        <f>_xll.BDP("FNDD1960 Mtge","GENERIC_TICKER_VINTAGE")</f>
        <v>FNCL 6 2025</v>
      </c>
      <c r="D2352" t="str">
        <f>_xll.BDP("FNDD1960 Mtge","CRNCY")</f>
        <v>USD</v>
      </c>
      <c r="E2352">
        <v>3571493</v>
      </c>
      <c r="F2352">
        <f>_xll.BDP("FNDD1960 Mtge","CPN")</f>
        <v>6</v>
      </c>
      <c r="G2352">
        <f>_xll.BDP("FNDD1960 Mtge","MTG_FACTOR")</f>
        <v>0.90882041000000002</v>
      </c>
      <c r="H2352">
        <f>_xll.BDP("FNDD1960 Mtge","MTG_WAL")</f>
        <v>3.1343000000000001</v>
      </c>
      <c r="I2352" t="str">
        <f>_xll.BDP("FNDD1960 Mtge","MTG_ORIG_WAL")</f>
        <v>#N/A N/A</v>
      </c>
    </row>
    <row r="2353" spans="1:9" x14ac:dyDescent="0.25">
      <c r="A2353" t="str">
        <f>_xll.BDP("FNDD1961 Mtge","ID_CUSIP")</f>
        <v>3140B2FB5</v>
      </c>
      <c r="B2353" t="str">
        <f>_xll.BDP("FNDD1961 Mtge","SECURITY_NAME")</f>
        <v>FN DD1961</v>
      </c>
      <c r="C2353" t="str">
        <f>_xll.BDP("FNDD1961 Mtge","GENERIC_TICKER_VINTAGE")</f>
        <v>FNCL 6 2025</v>
      </c>
      <c r="D2353" t="str">
        <f>_xll.BDP("FNDD1961 Mtge","CRNCY")</f>
        <v>USD</v>
      </c>
      <c r="E2353">
        <v>1732455</v>
      </c>
      <c r="F2353">
        <f>_xll.BDP("FNDD1961 Mtge","CPN")</f>
        <v>6</v>
      </c>
      <c r="G2353">
        <f>_xll.BDP("FNDD1961 Mtge","MTG_FACTOR")</f>
        <v>0.90825630999999996</v>
      </c>
      <c r="H2353">
        <f>_xll.BDP("FNDD1961 Mtge","MTG_WAL")</f>
        <v>3.1545000000000001</v>
      </c>
      <c r="I2353" t="str">
        <f>_xll.BDP("FNDD1961 Mtge","MTG_ORIG_WAL")</f>
        <v>#N/A N/A</v>
      </c>
    </row>
    <row r="2354" spans="1:9" x14ac:dyDescent="0.25">
      <c r="A2354" t="str">
        <f>_xll.BDP("FNDD2101 Mtge","ID_CUSIP")</f>
        <v>3140B2KP8</v>
      </c>
      <c r="B2354" t="str">
        <f>_xll.BDP("FNDD2101 Mtge","SECURITY_NAME")</f>
        <v>FN DD2101</v>
      </c>
      <c r="C2354" t="str">
        <f>_xll.BDP("FNDD2101 Mtge","GENERIC_TICKER_VINTAGE")</f>
        <v>FNCL 6 2025</v>
      </c>
      <c r="D2354" t="str">
        <f>_xll.BDP("FNDD2101 Mtge","CRNCY")</f>
        <v>USD</v>
      </c>
      <c r="E2354">
        <v>1670000</v>
      </c>
      <c r="F2354">
        <f>_xll.BDP("FNDD2101 Mtge","CPN")</f>
        <v>6</v>
      </c>
      <c r="G2354">
        <f>_xll.BDP("FNDD2101 Mtge","MTG_FACTOR")</f>
        <v>0.98859995000000001</v>
      </c>
      <c r="H2354">
        <f>_xll.BDP("FNDD2101 Mtge","MTG_WAL")</f>
        <v>3.1579999999999999</v>
      </c>
      <c r="I2354" t="str">
        <f>_xll.BDP("FNDD2101 Mtge","MTG_ORIG_WAL")</f>
        <v>#N/A N/A</v>
      </c>
    </row>
    <row r="2355" spans="1:9" x14ac:dyDescent="0.25">
      <c r="A2355" t="str">
        <f>_xll.BDP("FNDD2102 Mtge","ID_CUSIP")</f>
        <v>3140B2KQ6</v>
      </c>
      <c r="B2355" t="str">
        <f>_xll.BDP("FNDD2102 Mtge","SECURITY_NAME")</f>
        <v>FN DD2102</v>
      </c>
      <c r="C2355" t="str">
        <f>_xll.BDP("FNDD2102 Mtge","GENERIC_TICKER_VINTAGE")</f>
        <v>FNCL 6 2025</v>
      </c>
      <c r="D2355" t="str">
        <f>_xll.BDP("FNDD2102 Mtge","CRNCY")</f>
        <v>USD</v>
      </c>
      <c r="E2355">
        <v>1603436</v>
      </c>
      <c r="F2355">
        <f>_xll.BDP("FNDD2102 Mtge","CPN")</f>
        <v>6</v>
      </c>
      <c r="G2355">
        <f>_xll.BDP("FNDD2102 Mtge","MTG_FACTOR")</f>
        <v>0.98741387000000003</v>
      </c>
      <c r="H2355">
        <f>_xll.BDP("FNDD2102 Mtge","MTG_WAL")</f>
        <v>3.1591999999999998</v>
      </c>
      <c r="I2355" t="str">
        <f>_xll.BDP("FNDD2102 Mtge","MTG_ORIG_WAL")</f>
        <v>#N/A N/A</v>
      </c>
    </row>
    <row r="2356" spans="1:9" x14ac:dyDescent="0.25">
      <c r="A2356" t="str">
        <f>_xll.BDP("FNDD2103 Mtge","ID_CUSIP")</f>
        <v>3140B2KR4</v>
      </c>
      <c r="B2356" t="str">
        <f>_xll.BDP("FNDD2103 Mtge","SECURITY_NAME")</f>
        <v>FN DD2103</v>
      </c>
      <c r="C2356" t="str">
        <f>_xll.BDP("FNDD2103 Mtge","GENERIC_TICKER_VINTAGE")</f>
        <v>FNCL 6 2025</v>
      </c>
      <c r="D2356" t="str">
        <f>_xll.BDP("FNDD2103 Mtge","CRNCY")</f>
        <v>USD</v>
      </c>
      <c r="E2356">
        <v>1067196</v>
      </c>
      <c r="F2356">
        <f>_xll.BDP("FNDD2103 Mtge","CPN")</f>
        <v>6</v>
      </c>
      <c r="G2356">
        <f>_xll.BDP("FNDD2103 Mtge","MTG_FACTOR")</f>
        <v>0.60981052000000002</v>
      </c>
      <c r="H2356">
        <f>_xll.BDP("FNDD2103 Mtge","MTG_WAL")</f>
        <v>3.1059999999999999</v>
      </c>
      <c r="I2356" t="str">
        <f>_xll.BDP("FNDD2103 Mtge","MTG_ORIG_WAL")</f>
        <v>#N/A N/A</v>
      </c>
    </row>
    <row r="2357" spans="1:9" x14ac:dyDescent="0.25">
      <c r="A2357" t="str">
        <f>_xll.BDP("FNDD2104 Mtge","ID_CUSIP")</f>
        <v>3140B2KS2</v>
      </c>
      <c r="B2357" t="str">
        <f>_xll.BDP("FNDD2104 Mtge","SECURITY_NAME")</f>
        <v>FN DD2104</v>
      </c>
      <c r="C2357" t="str">
        <f>_xll.BDP("FNDD2104 Mtge","GENERIC_TICKER_VINTAGE")</f>
        <v>FNCL 6 2025</v>
      </c>
      <c r="D2357" t="str">
        <f>_xll.BDP("FNDD2104 Mtge","CRNCY")</f>
        <v>USD</v>
      </c>
      <c r="E2357">
        <v>2301278</v>
      </c>
      <c r="F2357">
        <f>_xll.BDP("FNDD2104 Mtge","CPN")</f>
        <v>6</v>
      </c>
      <c r="G2357">
        <f>_xll.BDP("FNDD2104 Mtge","MTG_FACTOR")</f>
        <v>0.97898916000000002</v>
      </c>
      <c r="H2357">
        <f>_xll.BDP("FNDD2104 Mtge","MTG_WAL")</f>
        <v>3.153</v>
      </c>
      <c r="I2357" t="str">
        <f>_xll.BDP("FNDD2104 Mtge","MTG_ORIG_WAL")</f>
        <v>#N/A N/A</v>
      </c>
    </row>
    <row r="2358" spans="1:9" x14ac:dyDescent="0.25">
      <c r="A2358" t="str">
        <f>_xll.BDP("FNDD2105 Mtge","ID_CUSIP")</f>
        <v>3140B2KT0</v>
      </c>
      <c r="B2358" t="str">
        <f>_xll.BDP("FNDD2105 Mtge","SECURITY_NAME")</f>
        <v>FN DD2105</v>
      </c>
      <c r="C2358" t="str">
        <f>_xll.BDP("FNDD2105 Mtge","GENERIC_TICKER_VINTAGE")</f>
        <v>FNCL 6 2025</v>
      </c>
      <c r="D2358" t="str">
        <f>_xll.BDP("FNDD2105 Mtge","CRNCY")</f>
        <v>USD</v>
      </c>
      <c r="E2358">
        <v>1555800</v>
      </c>
      <c r="F2358">
        <f>_xll.BDP("FNDD2105 Mtge","CPN")</f>
        <v>6</v>
      </c>
      <c r="G2358">
        <f>_xll.BDP("FNDD2105 Mtge","MTG_FACTOR")</f>
        <v>0.98733903999999995</v>
      </c>
      <c r="H2358">
        <f>_xll.BDP("FNDD2105 Mtge","MTG_WAL")</f>
        <v>3.1598999999999999</v>
      </c>
      <c r="I2358" t="str">
        <f>_xll.BDP("FNDD2105 Mtge","MTG_ORIG_WAL")</f>
        <v>#N/A N/A</v>
      </c>
    </row>
    <row r="2359" spans="1:9" x14ac:dyDescent="0.25">
      <c r="A2359" t="str">
        <f>_xll.BDP("FNDD2108 Mtge","ID_CUSIP")</f>
        <v>3140B2KW3</v>
      </c>
      <c r="B2359" t="str">
        <f>_xll.BDP("FNDD2108 Mtge","SECURITY_NAME")</f>
        <v>FN DD2108</v>
      </c>
      <c r="C2359" t="str">
        <f>_xll.BDP("FNDD2108 Mtge","GENERIC_TICKER_VINTAGE")</f>
        <v>FNCL 6 2025</v>
      </c>
      <c r="D2359" t="str">
        <f>_xll.BDP("FNDD2108 Mtge","CRNCY")</f>
        <v>USD</v>
      </c>
      <c r="E2359">
        <v>1704060</v>
      </c>
      <c r="F2359">
        <f>_xll.BDP("FNDD2108 Mtge","CPN")</f>
        <v>6</v>
      </c>
      <c r="G2359">
        <f>_xll.BDP("FNDD2108 Mtge","MTG_FACTOR")</f>
        <v>0.78449177000000003</v>
      </c>
      <c r="H2359">
        <f>_xll.BDP("FNDD2108 Mtge","MTG_WAL")</f>
        <v>3.1593</v>
      </c>
      <c r="I2359" t="str">
        <f>_xll.BDP("FNDD2108 Mtge","MTG_ORIG_WAL")</f>
        <v>#N/A N/A</v>
      </c>
    </row>
    <row r="2360" spans="1:9" x14ac:dyDescent="0.25">
      <c r="A2360" t="str">
        <f>_xll.BDP("FNDD2117 Mtge","ID_CUSIP")</f>
        <v>3140B2K78</v>
      </c>
      <c r="B2360" t="str">
        <f>_xll.BDP("FNDD2117 Mtge","SECURITY_NAME")</f>
        <v>FN DD2117</v>
      </c>
      <c r="C2360" t="str">
        <f>_xll.BDP("FNDD2117 Mtge","GENERIC_TICKER_VINTAGE")</f>
        <v>FNCL 6 2025</v>
      </c>
      <c r="D2360" t="str">
        <f>_xll.BDP("FNDD2117 Mtge","CRNCY")</f>
        <v>USD</v>
      </c>
      <c r="E2360">
        <v>2513717</v>
      </c>
      <c r="F2360">
        <f>_xll.BDP("FNDD2117 Mtge","CPN")</f>
        <v>6</v>
      </c>
      <c r="G2360">
        <f>_xll.BDP("FNDD2117 Mtge","MTG_FACTOR")</f>
        <v>0.98856898000000004</v>
      </c>
      <c r="H2360">
        <f>_xll.BDP("FNDD2117 Mtge","MTG_WAL")</f>
        <v>3.1644000000000001</v>
      </c>
      <c r="I2360" t="str">
        <f>_xll.BDP("FNDD2117 Mtge","MTG_ORIG_WAL")</f>
        <v>#N/A N/A</v>
      </c>
    </row>
    <row r="2361" spans="1:9" x14ac:dyDescent="0.25">
      <c r="A2361" t="str">
        <f>_xll.BDP("FNDD2120 Mtge","ID_CUSIP")</f>
        <v>3140B2LA0</v>
      </c>
      <c r="B2361" t="str">
        <f>_xll.BDP("FNDD2120 Mtge","SECURITY_NAME")</f>
        <v>FN DD2120</v>
      </c>
      <c r="C2361" t="str">
        <f>_xll.BDP("FNDD2120 Mtge","GENERIC_TICKER_VINTAGE")</f>
        <v>FNCL 6 2025</v>
      </c>
      <c r="D2361" t="str">
        <f>_xll.BDP("FNDD2120 Mtge","CRNCY")</f>
        <v>USD</v>
      </c>
      <c r="E2361">
        <v>1562349</v>
      </c>
      <c r="F2361">
        <f>_xll.BDP("FNDD2120 Mtge","CPN")</f>
        <v>6</v>
      </c>
      <c r="G2361">
        <f>_xll.BDP("FNDD2120 Mtge","MTG_FACTOR")</f>
        <v>0.97932936000000004</v>
      </c>
      <c r="H2361">
        <f>_xll.BDP("FNDD2120 Mtge","MTG_WAL")</f>
        <v>3.1541999999999999</v>
      </c>
      <c r="I2361" t="str">
        <f>_xll.BDP("FNDD2120 Mtge","MTG_ORIG_WAL")</f>
        <v>#N/A N/A</v>
      </c>
    </row>
    <row r="2362" spans="1:9" x14ac:dyDescent="0.25">
      <c r="A2362" t="str">
        <f>_xll.BDP("FNDD2121 Mtge","ID_CUSIP")</f>
        <v>3140B2LB8</v>
      </c>
      <c r="B2362" t="str">
        <f>_xll.BDP("FNDD2121 Mtge","SECURITY_NAME")</f>
        <v>FN DD2121</v>
      </c>
      <c r="C2362" t="str">
        <f>_xll.BDP("FNDD2121 Mtge","GENERIC_TICKER_VINTAGE")</f>
        <v>FNCL 6 2025</v>
      </c>
      <c r="D2362" t="str">
        <f>_xll.BDP("FNDD2121 Mtge","CRNCY")</f>
        <v>USD</v>
      </c>
      <c r="E2362">
        <v>1560283</v>
      </c>
      <c r="F2362">
        <f>_xll.BDP("FNDD2121 Mtge","CPN")</f>
        <v>6</v>
      </c>
      <c r="G2362">
        <f>_xll.BDP("FNDD2121 Mtge","MTG_FACTOR")</f>
        <v>0.30994317999999998</v>
      </c>
      <c r="H2362">
        <f>_xll.BDP("FNDD2121 Mtge","MTG_WAL")</f>
        <v>3.1589</v>
      </c>
      <c r="I2362" t="str">
        <f>_xll.BDP("FNDD2121 Mtge","MTG_ORIG_WAL")</f>
        <v>#N/A N/A</v>
      </c>
    </row>
    <row r="2363" spans="1:9" x14ac:dyDescent="0.25">
      <c r="A2363" t="str">
        <f>_xll.BDP("FNDD2127 Mtge","ID_CUSIP")</f>
        <v>3140B2LH5</v>
      </c>
      <c r="B2363" t="str">
        <f>_xll.BDP("FNDD2127 Mtge","SECURITY_NAME")</f>
        <v>FN DD2127</v>
      </c>
      <c r="C2363" t="str">
        <f>_xll.BDP("FNDD2127 Mtge","GENERIC_TICKER_VINTAGE")</f>
        <v>FNCL 6 2025</v>
      </c>
      <c r="D2363" t="str">
        <f>_xll.BDP("FNDD2127 Mtge","CRNCY")</f>
        <v>USD</v>
      </c>
      <c r="E2363">
        <v>1021236</v>
      </c>
      <c r="F2363">
        <f>_xll.BDP("FNDD2127 Mtge","CPN")</f>
        <v>6</v>
      </c>
      <c r="G2363">
        <f>_xll.BDP("FNDD2127 Mtge","MTG_FACTOR")</f>
        <v>0.66136426000000004</v>
      </c>
      <c r="H2363">
        <f>_xll.BDP("FNDD2127 Mtge","MTG_WAL")</f>
        <v>3.2035999999999998</v>
      </c>
      <c r="I2363" t="str">
        <f>_xll.BDP("FNDD2127 Mtge","MTG_ORIG_WAL")</f>
        <v>#N/A N/A</v>
      </c>
    </row>
    <row r="2364" spans="1:9" x14ac:dyDescent="0.25">
      <c r="A2364" t="str">
        <f>_xll.BDP("FNDD2130 Mtge","ID_CUSIP")</f>
        <v>3140B2LL6</v>
      </c>
      <c r="B2364" t="str">
        <f>_xll.BDP("FNDD2130 Mtge","SECURITY_NAME")</f>
        <v>FN DD2130</v>
      </c>
      <c r="C2364" t="str">
        <f>_xll.BDP("FNDD2130 Mtge","GENERIC_TICKER_VINTAGE")</f>
        <v>FNCL 6 2025</v>
      </c>
      <c r="D2364" t="str">
        <f>_xll.BDP("FNDD2130 Mtge","CRNCY")</f>
        <v>USD</v>
      </c>
      <c r="E2364">
        <v>3354489</v>
      </c>
      <c r="F2364">
        <f>_xll.BDP("FNDD2130 Mtge","CPN")</f>
        <v>6</v>
      </c>
      <c r="G2364">
        <f>_xll.BDP("FNDD2130 Mtge","MTG_FACTOR")</f>
        <v>0.87451109999999999</v>
      </c>
      <c r="H2364">
        <f>_xll.BDP("FNDD2130 Mtge","MTG_WAL")</f>
        <v>3.2004999999999999</v>
      </c>
      <c r="I2364" t="str">
        <f>_xll.BDP("FNDD2130 Mtge","MTG_ORIG_WAL")</f>
        <v>#N/A N/A</v>
      </c>
    </row>
    <row r="2365" spans="1:9" x14ac:dyDescent="0.25">
      <c r="A2365" t="str">
        <f>_xll.BDP("FNDD2133 Mtge","ID_CUSIP")</f>
        <v>3140B2LP7</v>
      </c>
      <c r="B2365" t="str">
        <f>_xll.BDP("FNDD2133 Mtge","SECURITY_NAME")</f>
        <v>FN DD2133</v>
      </c>
      <c r="C2365" t="str">
        <f>_xll.BDP("FNDD2133 Mtge","GENERIC_TICKER_VINTAGE")</f>
        <v>FNCL 6 2025</v>
      </c>
      <c r="D2365" t="str">
        <f>_xll.BDP("FNDD2133 Mtge","CRNCY")</f>
        <v>USD</v>
      </c>
      <c r="E2365">
        <v>3700153</v>
      </c>
      <c r="F2365">
        <f>_xll.BDP("FNDD2133 Mtge","CPN")</f>
        <v>6</v>
      </c>
      <c r="G2365">
        <f>_xll.BDP("FNDD2133 Mtge","MTG_FACTOR")</f>
        <v>0.98957788000000002</v>
      </c>
      <c r="H2365">
        <f>_xll.BDP("FNDD2133 Mtge","MTG_WAL")</f>
        <v>3.2057000000000002</v>
      </c>
      <c r="I2365" t="str">
        <f>_xll.BDP("FNDD2133 Mtge","MTG_ORIG_WAL")</f>
        <v>#N/A N/A</v>
      </c>
    </row>
    <row r="2366" spans="1:9" x14ac:dyDescent="0.25">
      <c r="A2366" t="str">
        <f>_xll.BDP("FNDD2135 Mtge","ID_CUSIP")</f>
        <v>3140B2LR3</v>
      </c>
      <c r="B2366" t="str">
        <f>_xll.BDP("FNDD2135 Mtge","SECURITY_NAME")</f>
        <v>FN DD2135</v>
      </c>
      <c r="C2366" t="str">
        <f>_xll.BDP("FNDD2135 Mtge","GENERIC_TICKER_VINTAGE")</f>
        <v>FNCL 6 2025</v>
      </c>
      <c r="D2366" t="str">
        <f>_xll.BDP("FNDD2135 Mtge","CRNCY")</f>
        <v>USD</v>
      </c>
      <c r="E2366">
        <v>2785602</v>
      </c>
      <c r="F2366">
        <f>_xll.BDP("FNDD2135 Mtge","CPN")</f>
        <v>6</v>
      </c>
      <c r="G2366">
        <f>_xll.BDP("FNDD2135 Mtge","MTG_FACTOR")</f>
        <v>0.98694382999999997</v>
      </c>
      <c r="H2366">
        <f>_xll.BDP("FNDD2135 Mtge","MTG_WAL")</f>
        <v>3.2037</v>
      </c>
      <c r="I2366" t="str">
        <f>_xll.BDP("FNDD2135 Mtge","MTG_ORIG_WAL")</f>
        <v>#N/A N/A</v>
      </c>
    </row>
    <row r="2367" spans="1:9" x14ac:dyDescent="0.25">
      <c r="A2367" t="str">
        <f>_xll.BDP("FNDD2141 Mtge","ID_CUSIP")</f>
        <v>3140B2LX0</v>
      </c>
      <c r="B2367" t="str">
        <f>_xll.BDP("FNDD2141 Mtge","SECURITY_NAME")</f>
        <v>FN DD2141</v>
      </c>
      <c r="C2367" t="str">
        <f>_xll.BDP("FNDD2141 Mtge","GENERIC_TICKER_VINTAGE")</f>
        <v>FNCL 6 2025</v>
      </c>
      <c r="D2367" t="str">
        <f>_xll.BDP("FNDD2141 Mtge","CRNCY")</f>
        <v>USD</v>
      </c>
      <c r="E2367">
        <v>2323871</v>
      </c>
      <c r="F2367">
        <f>_xll.BDP("FNDD2141 Mtge","CPN")</f>
        <v>6</v>
      </c>
      <c r="G2367">
        <f>_xll.BDP("FNDD2141 Mtge","MTG_FACTOR")</f>
        <v>0.87553755</v>
      </c>
      <c r="H2367">
        <f>_xll.BDP("FNDD2141 Mtge","MTG_WAL")</f>
        <v>3.2018</v>
      </c>
      <c r="I2367" t="str">
        <f>_xll.BDP("FNDD2141 Mtge","MTG_ORIG_WAL")</f>
        <v>#N/A N/A</v>
      </c>
    </row>
    <row r="2368" spans="1:9" x14ac:dyDescent="0.25">
      <c r="A2368" t="str">
        <f>_xll.BDP("FNDD2146 Mtge","ID_CUSIP")</f>
        <v>3140B2L44</v>
      </c>
      <c r="B2368" t="str">
        <f>_xll.BDP("FNDD2146 Mtge","SECURITY_NAME")</f>
        <v>FN DD2146</v>
      </c>
      <c r="C2368" t="str">
        <f>_xll.BDP("FNDD2146 Mtge","GENERIC_TICKER_VINTAGE")</f>
        <v>FNCL 6 2025</v>
      </c>
      <c r="D2368" t="str">
        <f>_xll.BDP("FNDD2146 Mtge","CRNCY")</f>
        <v>USD</v>
      </c>
      <c r="E2368">
        <v>3125022</v>
      </c>
      <c r="F2368">
        <f>_xll.BDP("FNDD2146 Mtge","CPN")</f>
        <v>6</v>
      </c>
      <c r="G2368">
        <f>_xll.BDP("FNDD2146 Mtge","MTG_FACTOR")</f>
        <v>0.64217718999999995</v>
      </c>
      <c r="H2368">
        <f>_xll.BDP("FNDD2146 Mtge","MTG_WAL")</f>
        <v>3.2031999999999998</v>
      </c>
      <c r="I2368" t="str">
        <f>_xll.BDP("FNDD2146 Mtge","MTG_ORIG_WAL")</f>
        <v>#N/A N/A</v>
      </c>
    </row>
    <row r="2369" spans="1:9" x14ac:dyDescent="0.25">
      <c r="A2369" t="str">
        <f>_xll.BDP("FNDD2148 Mtge","ID_CUSIP")</f>
        <v>3140B2L69</v>
      </c>
      <c r="B2369" t="str">
        <f>_xll.BDP("FNDD2148 Mtge","SECURITY_NAME")</f>
        <v>FN DD2148</v>
      </c>
      <c r="C2369" t="str">
        <f>_xll.BDP("FNDD2148 Mtge","GENERIC_TICKER_VINTAGE")</f>
        <v>FNCL 6 2025</v>
      </c>
      <c r="D2369" t="str">
        <f>_xll.BDP("FNDD2148 Mtge","CRNCY")</f>
        <v>USD</v>
      </c>
      <c r="E2369">
        <v>1065000</v>
      </c>
      <c r="F2369">
        <f>_xll.BDP("FNDD2148 Mtge","CPN")</f>
        <v>6</v>
      </c>
      <c r="G2369">
        <f>_xll.BDP("FNDD2148 Mtge","MTG_FACTOR")</f>
        <v>0.74192468</v>
      </c>
      <c r="H2369">
        <f>_xll.BDP("FNDD2148 Mtge","MTG_WAL")</f>
        <v>3.2467000000000001</v>
      </c>
      <c r="I2369" t="str">
        <f>_xll.BDP("FNDD2148 Mtge","MTG_ORIG_WAL")</f>
        <v>#N/A N/A</v>
      </c>
    </row>
    <row r="2370" spans="1:9" x14ac:dyDescent="0.25">
      <c r="A2370" t="str">
        <f>_xll.BDP("FNDD2153 Mtge","ID_CUSIP")</f>
        <v>3140B2MB7</v>
      </c>
      <c r="B2370" t="str">
        <f>_xll.BDP("FNDD2153 Mtge","SECURITY_NAME")</f>
        <v>FN DD2153</v>
      </c>
      <c r="C2370" t="str">
        <f>_xll.BDP("FNDD2153 Mtge","GENERIC_TICKER_VINTAGE")</f>
        <v>FNCL 6 2025</v>
      </c>
      <c r="D2370" t="str">
        <f>_xll.BDP("FNDD2153 Mtge","CRNCY")</f>
        <v>USD</v>
      </c>
      <c r="E2370">
        <v>1365320</v>
      </c>
      <c r="F2370">
        <f>_xll.BDP("FNDD2153 Mtge","CPN")</f>
        <v>6</v>
      </c>
      <c r="G2370">
        <f>_xll.BDP("FNDD2153 Mtge","MTG_FACTOR")</f>
        <v>0.98992458000000005</v>
      </c>
      <c r="H2370">
        <f>_xll.BDP("FNDD2153 Mtge","MTG_WAL")</f>
        <v>3.2046999999999999</v>
      </c>
      <c r="I2370" t="str">
        <f>_xll.BDP("FNDD2153 Mtge","MTG_ORIG_WAL")</f>
        <v>#N/A N/A</v>
      </c>
    </row>
    <row r="2371" spans="1:9" x14ac:dyDescent="0.25">
      <c r="A2371" t="str">
        <f>_xll.BDP("FNDD2156 Mtge","ID_CUSIP")</f>
        <v>3140B2ME1</v>
      </c>
      <c r="B2371" t="str">
        <f>_xll.BDP("FNDD2156 Mtge","SECURITY_NAME")</f>
        <v>FN DD2156</v>
      </c>
      <c r="C2371" t="str">
        <f>_xll.BDP("FNDD2156 Mtge","GENERIC_TICKER_VINTAGE")</f>
        <v>FNCL 6 2025</v>
      </c>
      <c r="D2371" t="str">
        <f>_xll.BDP("FNDD2156 Mtge","CRNCY")</f>
        <v>USD</v>
      </c>
      <c r="E2371">
        <v>2275405</v>
      </c>
      <c r="F2371">
        <f>_xll.BDP("FNDD2156 Mtge","CPN")</f>
        <v>6</v>
      </c>
      <c r="G2371">
        <f>_xll.BDP("FNDD2156 Mtge","MTG_FACTOR")</f>
        <v>0.82343056999999997</v>
      </c>
      <c r="H2371">
        <f>_xll.BDP("FNDD2156 Mtge","MTG_WAL")</f>
        <v>3.2496</v>
      </c>
      <c r="I2371" t="str">
        <f>_xll.BDP("FNDD2156 Mtge","MTG_ORIG_WAL")</f>
        <v>#N/A N/A</v>
      </c>
    </row>
    <row r="2372" spans="1:9" x14ac:dyDescent="0.25">
      <c r="A2372" t="str">
        <f>_xll.BDP("FNDD2166 Mtge","ID_CUSIP")</f>
        <v>3140B2MQ4</v>
      </c>
      <c r="B2372" t="str">
        <f>_xll.BDP("FNDD2166 Mtge","SECURITY_NAME")</f>
        <v>FN DD2166</v>
      </c>
      <c r="C2372" t="str">
        <f>_xll.BDP("FNDD2166 Mtge","GENERIC_TICKER_VINTAGE")</f>
        <v>FNCL 6 2025</v>
      </c>
      <c r="D2372" t="str">
        <f>_xll.BDP("FNDD2166 Mtge","CRNCY")</f>
        <v>USD</v>
      </c>
      <c r="E2372">
        <v>1167700</v>
      </c>
      <c r="F2372">
        <f>_xll.BDP("FNDD2166 Mtge","CPN")</f>
        <v>6</v>
      </c>
      <c r="G2372">
        <f>_xll.BDP("FNDD2166 Mtge","MTG_FACTOR")</f>
        <v>0.99029725999999996</v>
      </c>
      <c r="H2372">
        <f>_xll.BDP("FNDD2166 Mtge","MTG_WAL")</f>
        <v>3.2490999999999999</v>
      </c>
      <c r="I2372" t="str">
        <f>_xll.BDP("FNDD2166 Mtge","MTG_ORIG_WAL")</f>
        <v>#N/A N/A</v>
      </c>
    </row>
    <row r="2373" spans="1:9" x14ac:dyDescent="0.25">
      <c r="A2373" t="str">
        <f>_xll.BDP("FNDD2168 Mtge","ID_CUSIP")</f>
        <v>3140B2MS0</v>
      </c>
      <c r="B2373" t="str">
        <f>_xll.BDP("FNDD2168 Mtge","SECURITY_NAME")</f>
        <v>FN DD2168</v>
      </c>
      <c r="C2373" t="str">
        <f>_xll.BDP("FNDD2168 Mtge","GENERIC_TICKER_VINTAGE")</f>
        <v>FNCL 6 2025</v>
      </c>
      <c r="D2373" t="str">
        <f>_xll.BDP("FNDD2168 Mtge","CRNCY")</f>
        <v>USD</v>
      </c>
      <c r="E2373">
        <v>1193179</v>
      </c>
      <c r="F2373">
        <f>_xll.BDP("FNDD2168 Mtge","CPN")</f>
        <v>6</v>
      </c>
      <c r="G2373">
        <f>_xll.BDP("FNDD2168 Mtge","MTG_FACTOR")</f>
        <v>0.91372949000000003</v>
      </c>
      <c r="H2373">
        <f>_xll.BDP("FNDD2168 Mtge","MTG_WAL")</f>
        <v>3.2461000000000002</v>
      </c>
      <c r="I2373" t="str">
        <f>_xll.BDP("FNDD2168 Mtge","MTG_ORIG_WAL")</f>
        <v>#N/A N/A</v>
      </c>
    </row>
    <row r="2374" spans="1:9" x14ac:dyDescent="0.25">
      <c r="A2374" t="str">
        <f>_xll.BDP("FNDD2169 Mtge","ID_CUSIP")</f>
        <v>3140B2MT8</v>
      </c>
      <c r="B2374" t="str">
        <f>_xll.BDP("FNDD2169 Mtge","SECURITY_NAME")</f>
        <v>FN DD2169</v>
      </c>
      <c r="C2374" t="str">
        <f>_xll.BDP("FNDD2169 Mtge","GENERIC_TICKER_VINTAGE")</f>
        <v>FNCL 6 2025</v>
      </c>
      <c r="D2374" t="str">
        <f>_xll.BDP("FNDD2169 Mtge","CRNCY")</f>
        <v>USD</v>
      </c>
      <c r="E2374">
        <v>1032550</v>
      </c>
      <c r="F2374">
        <f>_xll.BDP("FNDD2169 Mtge","CPN")</f>
        <v>6</v>
      </c>
      <c r="G2374">
        <f>_xll.BDP("FNDD2169 Mtge","MTG_FACTOR")</f>
        <v>0.98877302</v>
      </c>
      <c r="H2374">
        <f>_xll.BDP("FNDD2169 Mtge","MTG_WAL")</f>
        <v>3.2473999999999998</v>
      </c>
      <c r="I2374" t="str">
        <f>_xll.BDP("FNDD2169 Mtge","MTG_ORIG_WAL")</f>
        <v>#N/A N/A</v>
      </c>
    </row>
    <row r="2375" spans="1:9" x14ac:dyDescent="0.25">
      <c r="A2375" t="str">
        <f>_xll.BDP("FNDD2172 Mtge","ID_CUSIP")</f>
        <v>3140B2MW1</v>
      </c>
      <c r="B2375" t="str">
        <f>_xll.BDP("FNDD2172 Mtge","SECURITY_NAME")</f>
        <v>FN DD2172</v>
      </c>
      <c r="C2375" t="str">
        <f>_xll.BDP("FNDD2172 Mtge","GENERIC_TICKER_VINTAGE")</f>
        <v>FNCL 6 2025</v>
      </c>
      <c r="D2375" t="str">
        <f>_xll.BDP("FNDD2172 Mtge","CRNCY")</f>
        <v>USD</v>
      </c>
      <c r="E2375">
        <v>1209152</v>
      </c>
      <c r="F2375">
        <f>_xll.BDP("FNDD2172 Mtge","CPN")</f>
        <v>6</v>
      </c>
      <c r="G2375">
        <f>_xll.BDP("FNDD2172 Mtge","MTG_FACTOR")</f>
        <v>0.99033168999999999</v>
      </c>
      <c r="H2375">
        <f>_xll.BDP("FNDD2172 Mtge","MTG_WAL")</f>
        <v>3.2467999999999999</v>
      </c>
      <c r="I2375" t="str">
        <f>_xll.BDP("FNDD2172 Mtge","MTG_ORIG_WAL")</f>
        <v>#N/A N/A</v>
      </c>
    </row>
    <row r="2376" spans="1:9" x14ac:dyDescent="0.25">
      <c r="A2376" t="str">
        <f>_xll.BDP("FNDD2174 Mtge","ID_CUSIP")</f>
        <v>3140B2MY7</v>
      </c>
      <c r="B2376" t="str">
        <f>_xll.BDP("FNDD2174 Mtge","SECURITY_NAME")</f>
        <v>FN DD2174</v>
      </c>
      <c r="C2376" t="str">
        <f>_xll.BDP("FNDD2174 Mtge","GENERIC_TICKER_VINTAGE")</f>
        <v>FNCL 6 2025</v>
      </c>
      <c r="D2376" t="str">
        <f>_xll.BDP("FNDD2174 Mtge","CRNCY")</f>
        <v>USD</v>
      </c>
      <c r="E2376">
        <v>1064994</v>
      </c>
      <c r="F2376">
        <f>_xll.BDP("FNDD2174 Mtge","CPN")</f>
        <v>6</v>
      </c>
      <c r="G2376">
        <f>_xll.BDP("FNDD2174 Mtge","MTG_FACTOR")</f>
        <v>0.73441909000000005</v>
      </c>
      <c r="H2376">
        <f>_xll.BDP("FNDD2174 Mtge","MTG_WAL")</f>
        <v>3.2482000000000002</v>
      </c>
      <c r="I2376" t="str">
        <f>_xll.BDP("FNDD2174 Mtge","MTG_ORIG_WAL")</f>
        <v>#N/A N/A</v>
      </c>
    </row>
    <row r="2377" spans="1:9" x14ac:dyDescent="0.25">
      <c r="A2377" t="str">
        <f>_xll.BDP("FNDD2178 Mtge","ID_CUSIP")</f>
        <v>3140B2M43</v>
      </c>
      <c r="B2377" t="str">
        <f>_xll.BDP("FNDD2178 Mtge","SECURITY_NAME")</f>
        <v>FN DD2178</v>
      </c>
      <c r="C2377" t="str">
        <f>_xll.BDP("FNDD2178 Mtge","GENERIC_TICKER_VINTAGE")</f>
        <v>FNCL 6 2025</v>
      </c>
      <c r="D2377" t="str">
        <f>_xll.BDP("FNDD2178 Mtge","CRNCY")</f>
        <v>USD</v>
      </c>
      <c r="E2377">
        <v>1004955</v>
      </c>
      <c r="F2377">
        <f>_xll.BDP("FNDD2178 Mtge","CPN")</f>
        <v>6</v>
      </c>
      <c r="G2377">
        <f>_xll.BDP("FNDD2178 Mtge","MTG_FACTOR")</f>
        <v>0.43465160000000003</v>
      </c>
      <c r="H2377">
        <f>_xll.BDP("FNDD2178 Mtge","MTG_WAL")</f>
        <v>3.2532999999999999</v>
      </c>
      <c r="I2377" t="str">
        <f>_xll.BDP("FNDD2178 Mtge","MTG_ORIG_WAL")</f>
        <v>#N/A N/A</v>
      </c>
    </row>
    <row r="2378" spans="1:9" x14ac:dyDescent="0.25">
      <c r="A2378" t="str">
        <f>_xll.BDP("FNDD2179 Mtge","ID_CUSIP")</f>
        <v>3140B2M50</v>
      </c>
      <c r="B2378" t="str">
        <f>_xll.BDP("FNDD2179 Mtge","SECURITY_NAME")</f>
        <v>FN DD2179</v>
      </c>
      <c r="C2378" t="str">
        <f>_xll.BDP("FNDD2179 Mtge","GENERIC_TICKER_VINTAGE")</f>
        <v>FNCL 6 2025</v>
      </c>
      <c r="D2378" t="str">
        <f>_xll.BDP("FNDD2179 Mtge","CRNCY")</f>
        <v>USD</v>
      </c>
      <c r="E2378">
        <v>1247941</v>
      </c>
      <c r="F2378">
        <f>_xll.BDP("FNDD2179 Mtge","CPN")</f>
        <v>6</v>
      </c>
      <c r="G2378">
        <f>_xll.BDP("FNDD2179 Mtge","MTG_FACTOR")</f>
        <v>0.94569404000000001</v>
      </c>
      <c r="H2378">
        <f>_xll.BDP("FNDD2179 Mtge","MTG_WAL")</f>
        <v>3.2183999999999999</v>
      </c>
      <c r="I2378" t="str">
        <f>_xll.BDP("FNDD2179 Mtge","MTG_ORIG_WAL")</f>
        <v>#N/A N/A</v>
      </c>
    </row>
    <row r="2379" spans="1:9" x14ac:dyDescent="0.25">
      <c r="A2379" t="str">
        <f>_xll.BDP("FNDD2184 Mtge","ID_CUSIP")</f>
        <v>3140B2NA8</v>
      </c>
      <c r="B2379" t="str">
        <f>_xll.BDP("FNDD2184 Mtge","SECURITY_NAME")</f>
        <v>FN DD2184</v>
      </c>
      <c r="C2379" t="str">
        <f>_xll.BDP("FNDD2184 Mtge","GENERIC_TICKER_VINTAGE")</f>
        <v>FNCL 6 2025</v>
      </c>
      <c r="D2379" t="str">
        <f>_xll.BDP("FNDD2184 Mtge","CRNCY")</f>
        <v>USD</v>
      </c>
      <c r="E2379">
        <v>5359143</v>
      </c>
      <c r="F2379">
        <f>_xll.BDP("FNDD2184 Mtge","CPN")</f>
        <v>6</v>
      </c>
      <c r="G2379">
        <f>_xll.BDP("FNDD2184 Mtge","MTG_FACTOR")</f>
        <v>0.77267998999999998</v>
      </c>
      <c r="H2379">
        <f>_xll.BDP("FNDD2184 Mtge","MTG_WAL")</f>
        <v>3.2482000000000002</v>
      </c>
      <c r="I2379" t="str">
        <f>_xll.BDP("FNDD2184 Mtge","MTG_ORIG_WAL")</f>
        <v>#N/A N/A</v>
      </c>
    </row>
    <row r="2380" spans="1:9" x14ac:dyDescent="0.25">
      <c r="A2380" t="str">
        <f>_xll.BDP("FNDD2185 Mtge","ID_CUSIP")</f>
        <v>3140B2NB6</v>
      </c>
      <c r="B2380" t="str">
        <f>_xll.BDP("FNDD2185 Mtge","SECURITY_NAME")</f>
        <v>FN DD2185</v>
      </c>
      <c r="C2380" t="str">
        <f>_xll.BDP("FNDD2185 Mtge","GENERIC_TICKER_VINTAGE")</f>
        <v>FNCL 6 2025</v>
      </c>
      <c r="D2380" t="str">
        <f>_xll.BDP("FNDD2185 Mtge","CRNCY")</f>
        <v>USD</v>
      </c>
      <c r="E2380">
        <v>1019363</v>
      </c>
      <c r="F2380">
        <f>_xll.BDP("FNDD2185 Mtge","CPN")</f>
        <v>6</v>
      </c>
      <c r="G2380">
        <f>_xll.BDP("FNDD2185 Mtge","MTG_FACTOR")</f>
        <v>0.98856657999999997</v>
      </c>
      <c r="H2380">
        <f>_xll.BDP("FNDD2185 Mtge","MTG_WAL")</f>
        <v>3.2444000000000002</v>
      </c>
      <c r="I2380" t="str">
        <f>_xll.BDP("FNDD2185 Mtge","MTG_ORIG_WAL")</f>
        <v>#N/A N/A</v>
      </c>
    </row>
    <row r="2381" spans="1:9" x14ac:dyDescent="0.25">
      <c r="A2381" t="str">
        <f>_xll.BDP("FNDD2186 Mtge","ID_CUSIP")</f>
        <v>3140B2NC4</v>
      </c>
      <c r="B2381" t="str">
        <f>_xll.BDP("FNDD2186 Mtge","SECURITY_NAME")</f>
        <v>FN DD2186</v>
      </c>
      <c r="C2381" t="str">
        <f>_xll.BDP("FNDD2186 Mtge","GENERIC_TICKER_VINTAGE")</f>
        <v>FNCL 6 2025</v>
      </c>
      <c r="D2381" t="str">
        <f>_xll.BDP("FNDD2186 Mtge","CRNCY")</f>
        <v>USD</v>
      </c>
      <c r="E2381">
        <v>1080556</v>
      </c>
      <c r="F2381">
        <f>_xll.BDP("FNDD2186 Mtge","CPN")</f>
        <v>6</v>
      </c>
      <c r="G2381">
        <f>_xll.BDP("FNDD2186 Mtge","MTG_FACTOR")</f>
        <v>0.7376663</v>
      </c>
      <c r="H2381">
        <f>_xll.BDP("FNDD2186 Mtge","MTG_WAL")</f>
        <v>3.2441</v>
      </c>
      <c r="I2381" t="str">
        <f>_xll.BDP("FNDD2186 Mtge","MTG_ORIG_WAL")</f>
        <v>#N/A N/A</v>
      </c>
    </row>
    <row r="2382" spans="1:9" x14ac:dyDescent="0.25">
      <c r="A2382" t="str">
        <f>_xll.BDP("FNDD2188 Mtge","ID_CUSIP")</f>
        <v>3140B2NE0</v>
      </c>
      <c r="B2382" t="str">
        <f>_xll.BDP("FNDD2188 Mtge","SECURITY_NAME")</f>
        <v>FN DD2188</v>
      </c>
      <c r="C2382" t="str">
        <f>_xll.BDP("FNDD2188 Mtge","GENERIC_TICKER_VINTAGE")</f>
        <v>FNCL 6 2025</v>
      </c>
      <c r="D2382" t="str">
        <f>_xll.BDP("FNDD2188 Mtge","CRNCY")</f>
        <v>USD</v>
      </c>
      <c r="E2382">
        <v>1037208</v>
      </c>
      <c r="F2382">
        <f>_xll.BDP("FNDD2188 Mtge","CPN")</f>
        <v>6</v>
      </c>
      <c r="G2382">
        <f>_xll.BDP("FNDD2188 Mtge","MTG_FACTOR")</f>
        <v>0.61380698</v>
      </c>
      <c r="H2382">
        <f>_xll.BDP("FNDD2188 Mtge","MTG_WAL")</f>
        <v>3.2473000000000001</v>
      </c>
      <c r="I2382" t="str">
        <f>_xll.BDP("FNDD2188 Mtge","MTG_ORIG_WAL")</f>
        <v>#N/A N/A</v>
      </c>
    </row>
    <row r="2383" spans="1:9" x14ac:dyDescent="0.25">
      <c r="A2383" t="str">
        <f>_xll.BDP("FNDD2200 Mtge","ID_CUSIP")</f>
        <v>3140B2NS9</v>
      </c>
      <c r="B2383" t="str">
        <f>_xll.BDP("FNDD2200 Mtge","SECURITY_NAME")</f>
        <v>FN DD2200</v>
      </c>
      <c r="C2383" t="str">
        <f>_xll.BDP("FNDD2200 Mtge","GENERIC_TICKER_VINTAGE")</f>
        <v>FNCL 6 2025</v>
      </c>
      <c r="D2383" t="str">
        <f>_xll.BDP("FNDD2200 Mtge","CRNCY")</f>
        <v>USD</v>
      </c>
      <c r="E2383">
        <v>10336880</v>
      </c>
      <c r="F2383">
        <f>_xll.BDP("FNDD2200 Mtge","CPN")</f>
        <v>6</v>
      </c>
      <c r="G2383">
        <f>_xll.BDP("FNDD2200 Mtge","MTG_FACTOR")</f>
        <v>0.89850140000000001</v>
      </c>
      <c r="H2383">
        <f>_xll.BDP("FNDD2200 Mtge","MTG_WAL")</f>
        <v>3.1495000000000002</v>
      </c>
      <c r="I2383" t="str">
        <f>_xll.BDP("FNDD2200 Mtge","MTG_ORIG_WAL")</f>
        <v>#N/A N/A</v>
      </c>
    </row>
    <row r="2384" spans="1:9" x14ac:dyDescent="0.25">
      <c r="A2384" t="str">
        <f>_xll.BDP("FNDD2225 Mtge","ID_CUSIP")</f>
        <v>3140B2PK4</v>
      </c>
      <c r="B2384" t="str">
        <f>_xll.BDP("FNDD2225 Mtge","SECURITY_NAME")</f>
        <v>FN DD2225</v>
      </c>
      <c r="C2384" t="str">
        <f>_xll.BDP("FNDD2225 Mtge","GENERIC_TICKER_VINTAGE")</f>
        <v>FNCL 6 2025</v>
      </c>
      <c r="D2384" t="str">
        <f>_xll.BDP("FNDD2225 Mtge","CRNCY")</f>
        <v>USD</v>
      </c>
      <c r="E2384">
        <v>3086165</v>
      </c>
      <c r="F2384">
        <f>_xll.BDP("FNDD2225 Mtge","CPN")</f>
        <v>6</v>
      </c>
      <c r="G2384">
        <f>_xll.BDP("FNDD2225 Mtge","MTG_FACTOR")</f>
        <v>0.90857761999999997</v>
      </c>
      <c r="H2384">
        <f>_xll.BDP("FNDD2225 Mtge","MTG_WAL")</f>
        <v>3.1543999999999999</v>
      </c>
      <c r="I2384" t="str">
        <f>_xll.BDP("FNDD2225 Mtge","MTG_ORIG_WAL")</f>
        <v>#N/A N/A</v>
      </c>
    </row>
    <row r="2385" spans="1:9" x14ac:dyDescent="0.25">
      <c r="A2385" t="str">
        <f>_xll.BDP("FNDD2235 Mtge","ID_CUSIP")</f>
        <v>3140B2PV0</v>
      </c>
      <c r="B2385" t="str">
        <f>_xll.BDP("FNDD2235 Mtge","SECURITY_NAME")</f>
        <v>FN DD2235</v>
      </c>
      <c r="C2385" t="str">
        <f>_xll.BDP("FNDD2235 Mtge","GENERIC_TICKER_VINTAGE")</f>
        <v>FNCL 6 2025</v>
      </c>
      <c r="D2385" t="str">
        <f>_xll.BDP("FNDD2235 Mtge","CRNCY")</f>
        <v>USD</v>
      </c>
      <c r="E2385">
        <v>1882040</v>
      </c>
      <c r="F2385">
        <f>_xll.BDP("FNDD2235 Mtge","CPN")</f>
        <v>6</v>
      </c>
      <c r="G2385">
        <f>_xll.BDP("FNDD2235 Mtge","MTG_FACTOR")</f>
        <v>0.65160702000000004</v>
      </c>
      <c r="H2385">
        <f>_xll.BDP("FNDD2235 Mtge","MTG_WAL")</f>
        <v>3.1579000000000002</v>
      </c>
      <c r="I2385" t="str">
        <f>_xll.BDP("FNDD2235 Mtge","MTG_ORIG_WAL")</f>
        <v>#N/A N/A</v>
      </c>
    </row>
    <row r="2386" spans="1:9" x14ac:dyDescent="0.25">
      <c r="A2386" t="str">
        <f>_xll.BDP("FNDD2247 Mtge","ID_CUSIP")</f>
        <v>3140B2P99</v>
      </c>
      <c r="B2386" t="str">
        <f>_xll.BDP("FNDD2247 Mtge","SECURITY_NAME")</f>
        <v>FN DD2247</v>
      </c>
      <c r="C2386" t="str">
        <f>_xll.BDP("FNDD2247 Mtge","GENERIC_TICKER_VINTAGE")</f>
        <v>FNCL 6 2025</v>
      </c>
      <c r="D2386" t="str">
        <f>_xll.BDP("FNDD2247 Mtge","CRNCY")</f>
        <v>USD</v>
      </c>
      <c r="E2386">
        <v>5562846</v>
      </c>
      <c r="F2386">
        <f>_xll.BDP("FNDD2247 Mtge","CPN")</f>
        <v>6</v>
      </c>
      <c r="G2386">
        <f>_xll.BDP("FNDD2247 Mtge","MTG_FACTOR")</f>
        <v>0.87488732999999996</v>
      </c>
      <c r="H2386">
        <f>_xll.BDP("FNDD2247 Mtge","MTG_WAL")</f>
        <v>3.1593</v>
      </c>
      <c r="I2386" t="str">
        <f>_xll.BDP("FNDD2247 Mtge","MTG_ORIG_WAL")</f>
        <v>#N/A N/A</v>
      </c>
    </row>
    <row r="2387" spans="1:9" x14ac:dyDescent="0.25">
      <c r="A2387" t="str">
        <f>_xll.BDP("FNDD2268 Mtge","ID_CUSIP")</f>
        <v>3140B2QW7</v>
      </c>
      <c r="B2387" t="str">
        <f>_xll.BDP("FNDD2268 Mtge","SECURITY_NAME")</f>
        <v>FN DD2268</v>
      </c>
      <c r="C2387" t="str">
        <f>_xll.BDP("FNDD2268 Mtge","GENERIC_TICKER_VINTAGE")</f>
        <v>FNCL 6 2025</v>
      </c>
      <c r="D2387" t="str">
        <f>_xll.BDP("FNDD2268 Mtge","CRNCY")</f>
        <v>USD</v>
      </c>
      <c r="E2387">
        <v>6598575</v>
      </c>
      <c r="F2387">
        <f>_xll.BDP("FNDD2268 Mtge","CPN")</f>
        <v>6</v>
      </c>
      <c r="G2387">
        <f>_xll.BDP("FNDD2268 Mtge","MTG_FACTOR")</f>
        <v>0.78486206999999997</v>
      </c>
      <c r="H2387">
        <f>_xll.BDP("FNDD2268 Mtge","MTG_WAL")</f>
        <v>3.16</v>
      </c>
      <c r="I2387" t="str">
        <f>_xll.BDP("FNDD2268 Mtge","MTG_ORIG_WAL")</f>
        <v>#N/A N/A</v>
      </c>
    </row>
    <row r="2388" spans="1:9" x14ac:dyDescent="0.25">
      <c r="A2388" t="str">
        <f>_xll.BDP("FNDD2269 Mtge","ID_CUSIP")</f>
        <v>3140B2QX5</v>
      </c>
      <c r="B2388" t="str">
        <f>_xll.BDP("FNDD2269 Mtge","SECURITY_NAME")</f>
        <v>FN DD2269</v>
      </c>
      <c r="C2388" t="str">
        <f>_xll.BDP("FNDD2269 Mtge","GENERIC_TICKER_VINTAGE")</f>
        <v>FNCL 6 2025</v>
      </c>
      <c r="D2388" t="str">
        <f>_xll.BDP("FNDD2269 Mtge","CRNCY")</f>
        <v>USD</v>
      </c>
      <c r="E2388">
        <v>3790753</v>
      </c>
      <c r="F2388">
        <f>_xll.BDP("FNDD2269 Mtge","CPN")</f>
        <v>6</v>
      </c>
      <c r="G2388">
        <f>_xll.BDP("FNDD2269 Mtge","MTG_FACTOR")</f>
        <v>0.98767379</v>
      </c>
      <c r="H2388">
        <f>_xll.BDP("FNDD2269 Mtge","MTG_WAL")</f>
        <v>3.1629</v>
      </c>
      <c r="I2388" t="str">
        <f>_xll.BDP("FNDD2269 Mtge","MTG_ORIG_WAL")</f>
        <v>#N/A N/A</v>
      </c>
    </row>
    <row r="2389" spans="1:9" x14ac:dyDescent="0.25">
      <c r="A2389" t="str">
        <f>_xll.BDP("FNDD2275 Mtge","ID_CUSIP")</f>
        <v>3140B2Q56</v>
      </c>
      <c r="B2389" t="str">
        <f>_xll.BDP("FNDD2275 Mtge","SECURITY_NAME")</f>
        <v>FN DD2275</v>
      </c>
      <c r="C2389" t="str">
        <f>_xll.BDP("FNDD2275 Mtge","GENERIC_TICKER_VINTAGE")</f>
        <v>FNCL 6 2025</v>
      </c>
      <c r="D2389" t="str">
        <f>_xll.BDP("FNDD2275 Mtge","CRNCY")</f>
        <v>USD</v>
      </c>
      <c r="E2389">
        <v>1940404</v>
      </c>
      <c r="F2389">
        <f>_xll.BDP("FNDD2275 Mtge","CPN")</f>
        <v>6</v>
      </c>
      <c r="G2389">
        <f>_xll.BDP("FNDD2275 Mtge","MTG_FACTOR")</f>
        <v>0.97884380000000004</v>
      </c>
      <c r="H2389">
        <f>_xll.BDP("FNDD2275 Mtge","MTG_WAL")</f>
        <v>3.1494</v>
      </c>
      <c r="I2389" t="str">
        <f>_xll.BDP("FNDD2275 Mtge","MTG_ORIG_WAL")</f>
        <v>#N/A N/A</v>
      </c>
    </row>
    <row r="2390" spans="1:9" x14ac:dyDescent="0.25">
      <c r="A2390" t="str">
        <f>_xll.BDP("FNDD2276 Mtge","ID_CUSIP")</f>
        <v>3140B2Q64</v>
      </c>
      <c r="B2390" t="str">
        <f>_xll.BDP("FNDD2276 Mtge","SECURITY_NAME")</f>
        <v>FN DD2276</v>
      </c>
      <c r="C2390" t="str">
        <f>_xll.BDP("FNDD2276 Mtge","GENERIC_TICKER_VINTAGE")</f>
        <v>FNCL 6 2025</v>
      </c>
      <c r="D2390" t="str">
        <f>_xll.BDP("FNDD2276 Mtge","CRNCY")</f>
        <v>USD</v>
      </c>
      <c r="E2390">
        <v>4883120</v>
      </c>
      <c r="F2390">
        <f>_xll.BDP("FNDD2276 Mtge","CPN")</f>
        <v>6</v>
      </c>
      <c r="G2390">
        <f>_xll.BDP("FNDD2276 Mtge","MTG_FACTOR")</f>
        <v>0.98547209000000002</v>
      </c>
      <c r="H2390">
        <f>_xll.BDP("FNDD2276 Mtge","MTG_WAL")</f>
        <v>3.1587000000000001</v>
      </c>
      <c r="I2390" t="str">
        <f>_xll.BDP("FNDD2276 Mtge","MTG_ORIG_WAL")</f>
        <v>#N/A N/A</v>
      </c>
    </row>
    <row r="2391" spans="1:9" x14ac:dyDescent="0.25">
      <c r="A2391" t="str">
        <f>_xll.BDP("FNDD2277 Mtge","ID_CUSIP")</f>
        <v>3140B2Q72</v>
      </c>
      <c r="B2391" t="str">
        <f>_xll.BDP("FNDD2277 Mtge","SECURITY_NAME")</f>
        <v>FN DD2277</v>
      </c>
      <c r="C2391" t="str">
        <f>_xll.BDP("FNDD2277 Mtge","GENERIC_TICKER_VINTAGE")</f>
        <v>FNCL 6 2025</v>
      </c>
      <c r="D2391" t="str">
        <f>_xll.BDP("FNDD2277 Mtge","CRNCY")</f>
        <v>USD</v>
      </c>
      <c r="E2391">
        <v>1892172</v>
      </c>
      <c r="F2391">
        <f>_xll.BDP("FNDD2277 Mtge","CPN")</f>
        <v>6</v>
      </c>
      <c r="G2391">
        <f>_xll.BDP("FNDD2277 Mtge","MTG_FACTOR")</f>
        <v>0.82684161</v>
      </c>
      <c r="H2391">
        <f>_xll.BDP("FNDD2277 Mtge","MTG_WAL")</f>
        <v>3.1613000000000002</v>
      </c>
      <c r="I2391" t="str">
        <f>_xll.BDP("FNDD2277 Mtge","MTG_ORIG_WAL")</f>
        <v>#N/A N/A</v>
      </c>
    </row>
    <row r="2392" spans="1:9" x14ac:dyDescent="0.25">
      <c r="A2392" t="str">
        <f>_xll.BDP("FNDD2284 Mtge","ID_CUSIP")</f>
        <v>3140B2RE6</v>
      </c>
      <c r="B2392" t="str">
        <f>_xll.BDP("FNDD2284 Mtge","SECURITY_NAME")</f>
        <v>FN DD2284</v>
      </c>
      <c r="C2392" t="str">
        <f>_xll.BDP("FNDD2284 Mtge","GENERIC_TICKER_VINTAGE")</f>
        <v>FNCL 6 2025</v>
      </c>
      <c r="D2392" t="str">
        <f>_xll.BDP("FNDD2284 Mtge","CRNCY")</f>
        <v>USD</v>
      </c>
      <c r="E2392">
        <v>1678209</v>
      </c>
      <c r="F2392">
        <f>_xll.BDP("FNDD2284 Mtge","CPN")</f>
        <v>6</v>
      </c>
      <c r="G2392">
        <f>_xll.BDP("FNDD2284 Mtge","MTG_FACTOR")</f>
        <v>0.84036686000000005</v>
      </c>
      <c r="H2392">
        <f>_xll.BDP("FNDD2284 Mtge","MTG_WAL")</f>
        <v>3.1604000000000001</v>
      </c>
      <c r="I2392" t="str">
        <f>_xll.BDP("FNDD2284 Mtge","MTG_ORIG_WAL")</f>
        <v>#N/A N/A</v>
      </c>
    </row>
    <row r="2393" spans="1:9" x14ac:dyDescent="0.25">
      <c r="A2393" t="str">
        <f>_xll.BDP("FNDD2290 Mtge","ID_CUSIP")</f>
        <v>3140B2RL0</v>
      </c>
      <c r="B2393" t="str">
        <f>_xll.BDP("FNDD2290 Mtge","SECURITY_NAME")</f>
        <v>FN DD2290</v>
      </c>
      <c r="C2393" t="str">
        <f>_xll.BDP("FNDD2290 Mtge","GENERIC_TICKER_VINTAGE")</f>
        <v>FNCL 6 2025</v>
      </c>
      <c r="D2393" t="str">
        <f>_xll.BDP("FNDD2290 Mtge","CRNCY")</f>
        <v>USD</v>
      </c>
      <c r="E2393">
        <v>1560516</v>
      </c>
      <c r="F2393">
        <f>_xll.BDP("FNDD2290 Mtge","CPN")</f>
        <v>6</v>
      </c>
      <c r="G2393">
        <f>_xll.BDP("FNDD2290 Mtge","MTG_FACTOR")</f>
        <v>0.50608185999999999</v>
      </c>
      <c r="H2393">
        <f>_xll.BDP("FNDD2290 Mtge","MTG_WAL")</f>
        <v>3.1589</v>
      </c>
      <c r="I2393" t="str">
        <f>_xll.BDP("FNDD2290 Mtge","MTG_ORIG_WAL")</f>
        <v>#N/A N/A</v>
      </c>
    </row>
    <row r="2394" spans="1:9" x14ac:dyDescent="0.25">
      <c r="A2394" t="str">
        <f>_xll.BDP("FNDD2308 Mtge","ID_CUSIP")</f>
        <v>3140B2R63</v>
      </c>
      <c r="B2394" t="str">
        <f>_xll.BDP("FNDD2308 Mtge","SECURITY_NAME")</f>
        <v>FN DD2308</v>
      </c>
      <c r="C2394" t="str">
        <f>_xll.BDP("FNDD2308 Mtge","GENERIC_TICKER_VINTAGE")</f>
        <v>FNCL 6 2025</v>
      </c>
      <c r="D2394" t="str">
        <f>_xll.BDP("FNDD2308 Mtge","CRNCY")</f>
        <v>USD</v>
      </c>
      <c r="E2394">
        <v>2138243</v>
      </c>
      <c r="F2394">
        <f>_xll.BDP("FNDD2308 Mtge","CPN")</f>
        <v>6</v>
      </c>
      <c r="G2394">
        <f>_xll.BDP("FNDD2308 Mtge","MTG_FACTOR")</f>
        <v>0.92716790000000004</v>
      </c>
      <c r="H2394">
        <f>_xll.BDP("FNDD2308 Mtge","MTG_WAL")</f>
        <v>3.1309</v>
      </c>
      <c r="I2394" t="str">
        <f>_xll.BDP("FNDD2308 Mtge","MTG_ORIG_WAL")</f>
        <v>#N/A N/A</v>
      </c>
    </row>
    <row r="2395" spans="1:9" x14ac:dyDescent="0.25">
      <c r="A2395" t="str">
        <f>_xll.BDP("FNDD2347 Mtge","ID_CUSIP")</f>
        <v>3140B2TD6</v>
      </c>
      <c r="B2395" t="str">
        <f>_xll.BDP("FNDD2347 Mtge","SECURITY_NAME")</f>
        <v>FN DD2347</v>
      </c>
      <c r="C2395" t="str">
        <f>_xll.BDP("FNDD2347 Mtge","GENERIC_TICKER_VINTAGE")</f>
        <v>FNCL 6 2025</v>
      </c>
      <c r="D2395" t="str">
        <f>_xll.BDP("FNDD2347 Mtge","CRNCY")</f>
        <v>USD</v>
      </c>
      <c r="E2395">
        <v>7164906</v>
      </c>
      <c r="F2395">
        <f>_xll.BDP("FNDD2347 Mtge","CPN")</f>
        <v>6</v>
      </c>
      <c r="G2395">
        <f>_xll.BDP("FNDD2347 Mtge","MTG_FACTOR")</f>
        <v>0.88826446000000003</v>
      </c>
      <c r="H2395">
        <f>_xll.BDP("FNDD2347 Mtge","MTG_WAL")</f>
        <v>3.1518000000000002</v>
      </c>
      <c r="I2395" t="str">
        <f>_xll.BDP("FNDD2347 Mtge","MTG_ORIG_WAL")</f>
        <v>#N/A N/A</v>
      </c>
    </row>
    <row r="2396" spans="1:9" x14ac:dyDescent="0.25">
      <c r="A2396" t="str">
        <f>_xll.BDP("FNDD2348 Mtge","ID_CUSIP")</f>
        <v>3140B2TE4</v>
      </c>
      <c r="B2396" t="str">
        <f>_xll.BDP("FNDD2348 Mtge","SECURITY_NAME")</f>
        <v>FN DD2348</v>
      </c>
      <c r="C2396" t="str">
        <f>_xll.BDP("FNDD2348 Mtge","GENERIC_TICKER_VINTAGE")</f>
        <v>FNCL 6 2025</v>
      </c>
      <c r="D2396" t="str">
        <f>_xll.BDP("FNDD2348 Mtge","CRNCY")</f>
        <v>USD</v>
      </c>
      <c r="E2396">
        <v>30561372</v>
      </c>
      <c r="F2396">
        <f>_xll.BDP("FNDD2348 Mtge","CPN")</f>
        <v>6</v>
      </c>
      <c r="G2396">
        <f>_xll.BDP("FNDD2348 Mtge","MTG_FACTOR")</f>
        <v>0.72359574000000004</v>
      </c>
      <c r="H2396">
        <f>_xll.BDP("FNDD2348 Mtge","MTG_WAL")</f>
        <v>3.1576</v>
      </c>
      <c r="I2396" t="str">
        <f>_xll.BDP("FNDD2348 Mtge","MTG_ORIG_WAL")</f>
        <v>#N/A N/A</v>
      </c>
    </row>
    <row r="2397" spans="1:9" x14ac:dyDescent="0.25">
      <c r="A2397" t="str">
        <f>_xll.BDP("FNDD2349 Mtge","ID_CUSIP")</f>
        <v>3140B2TF1</v>
      </c>
      <c r="B2397" t="str">
        <f>_xll.BDP("FNDD2349 Mtge","SECURITY_NAME")</f>
        <v>FN DD2349</v>
      </c>
      <c r="C2397" t="str">
        <f>_xll.BDP("FNDD2349 Mtge","GENERIC_TICKER_VINTAGE")</f>
        <v>FNCL 6 2025</v>
      </c>
      <c r="D2397" t="str">
        <f>_xll.BDP("FNDD2349 Mtge","CRNCY")</f>
        <v>USD</v>
      </c>
      <c r="E2397">
        <v>12222391</v>
      </c>
      <c r="F2397">
        <f>_xll.BDP("FNDD2349 Mtge","CPN")</f>
        <v>6</v>
      </c>
      <c r="G2397">
        <f>_xll.BDP("FNDD2349 Mtge","MTG_FACTOR")</f>
        <v>0.92541651000000003</v>
      </c>
      <c r="H2397">
        <f>_xll.BDP("FNDD2349 Mtge","MTG_WAL")</f>
        <v>3.1636000000000002</v>
      </c>
      <c r="I2397" t="str">
        <f>_xll.BDP("FNDD2349 Mtge","MTG_ORIG_WAL")</f>
        <v>#N/A N/A</v>
      </c>
    </row>
    <row r="2398" spans="1:9" x14ac:dyDescent="0.25">
      <c r="A2398" t="str">
        <f>_xll.BDP("FNDD2350 Mtge","ID_CUSIP")</f>
        <v>3140B2TG9</v>
      </c>
      <c r="B2398" t="str">
        <f>_xll.BDP("FNDD2350 Mtge","SECURITY_NAME")</f>
        <v>FN DD2350</v>
      </c>
      <c r="C2398" t="str">
        <f>_xll.BDP("FNDD2350 Mtge","GENERIC_TICKER_VINTAGE")</f>
        <v>FNCL 6 2025</v>
      </c>
      <c r="D2398" t="str">
        <f>_xll.BDP("FNDD2350 Mtge","CRNCY")</f>
        <v>USD</v>
      </c>
      <c r="E2398">
        <v>13406369</v>
      </c>
      <c r="F2398">
        <f>_xll.BDP("FNDD2350 Mtge","CPN")</f>
        <v>6</v>
      </c>
      <c r="G2398">
        <f>_xll.BDP("FNDD2350 Mtge","MTG_FACTOR")</f>
        <v>0.74234146000000001</v>
      </c>
      <c r="H2398">
        <f>_xll.BDP("FNDD2350 Mtge","MTG_WAL")</f>
        <v>3.1576</v>
      </c>
      <c r="I2398" t="str">
        <f>_xll.BDP("FNDD2350 Mtge","MTG_ORIG_WAL")</f>
        <v>#N/A N/A</v>
      </c>
    </row>
    <row r="2399" spans="1:9" x14ac:dyDescent="0.25">
      <c r="A2399" t="str">
        <f>_xll.BDP("FNDD2351 Mtge","ID_CUSIP")</f>
        <v>3140B2TH7</v>
      </c>
      <c r="B2399" t="str">
        <f>_xll.BDP("FNDD2351 Mtge","SECURITY_NAME")</f>
        <v>FN DD2351</v>
      </c>
      <c r="C2399" t="str">
        <f>_xll.BDP("FNDD2351 Mtge","GENERIC_TICKER_VINTAGE")</f>
        <v>FNCL 6 2025</v>
      </c>
      <c r="D2399" t="str">
        <f>_xll.BDP("FNDD2351 Mtge","CRNCY")</f>
        <v>USD</v>
      </c>
      <c r="E2399">
        <v>10349063</v>
      </c>
      <c r="F2399">
        <f>_xll.BDP("FNDD2351 Mtge","CPN")</f>
        <v>6</v>
      </c>
      <c r="G2399">
        <f>_xll.BDP("FNDD2351 Mtge","MTG_FACTOR")</f>
        <v>0.83560884999999996</v>
      </c>
      <c r="H2399">
        <f>_xll.BDP("FNDD2351 Mtge","MTG_WAL")</f>
        <v>3.1619000000000002</v>
      </c>
      <c r="I2399" t="str">
        <f>_xll.BDP("FNDD2351 Mtge","MTG_ORIG_WAL")</f>
        <v>#N/A N/A</v>
      </c>
    </row>
    <row r="2400" spans="1:9" x14ac:dyDescent="0.25">
      <c r="A2400" t="str">
        <f>_xll.BDP("FNDD2352 Mtge","ID_CUSIP")</f>
        <v>3140B2TJ3</v>
      </c>
      <c r="B2400" t="str">
        <f>_xll.BDP("FNDD2352 Mtge","SECURITY_NAME")</f>
        <v>FN DD2352</v>
      </c>
      <c r="C2400" t="str">
        <f>_xll.BDP("FNDD2352 Mtge","GENERIC_TICKER_VINTAGE")</f>
        <v>FNCL 6 2025</v>
      </c>
      <c r="D2400" t="str">
        <f>_xll.BDP("FNDD2352 Mtge","CRNCY")</f>
        <v>USD</v>
      </c>
      <c r="E2400">
        <v>8734704</v>
      </c>
      <c r="F2400">
        <f>_xll.BDP("FNDD2352 Mtge","CPN")</f>
        <v>6</v>
      </c>
      <c r="G2400">
        <f>_xll.BDP("FNDD2352 Mtge","MTG_FACTOR")</f>
        <v>0.81538036999999997</v>
      </c>
      <c r="H2400">
        <f>_xll.BDP("FNDD2352 Mtge","MTG_WAL")</f>
        <v>3.1610999999999998</v>
      </c>
      <c r="I2400" t="str">
        <f>_xll.BDP("FNDD2352 Mtge","MTG_ORIG_WAL")</f>
        <v>#N/A N/A</v>
      </c>
    </row>
    <row r="2401" spans="1:9" x14ac:dyDescent="0.25">
      <c r="A2401" t="str">
        <f>_xll.BDP("FNDD2353 Mtge","ID_CUSIP")</f>
        <v>3140B2TK0</v>
      </c>
      <c r="B2401" t="str">
        <f>_xll.BDP("FNDD2353 Mtge","SECURITY_NAME")</f>
        <v>FN DD2353</v>
      </c>
      <c r="C2401" t="str">
        <f>_xll.BDP("FNDD2353 Mtge","GENERIC_TICKER_VINTAGE")</f>
        <v>FNCL 6 2025</v>
      </c>
      <c r="D2401" t="str">
        <f>_xll.BDP("FNDD2353 Mtge","CRNCY")</f>
        <v>USD</v>
      </c>
      <c r="E2401">
        <v>6272278</v>
      </c>
      <c r="F2401">
        <f>_xll.BDP("FNDD2353 Mtge","CPN")</f>
        <v>6</v>
      </c>
      <c r="G2401">
        <f>_xll.BDP("FNDD2353 Mtge","MTG_FACTOR")</f>
        <v>0.88622464999999995</v>
      </c>
      <c r="H2401">
        <f>_xll.BDP("FNDD2353 Mtge","MTG_WAL")</f>
        <v>3.1581000000000001</v>
      </c>
      <c r="I2401" t="str">
        <f>_xll.BDP("FNDD2353 Mtge","MTG_ORIG_WAL")</f>
        <v>#N/A N/A</v>
      </c>
    </row>
    <row r="2402" spans="1:9" x14ac:dyDescent="0.25">
      <c r="A2402" t="str">
        <f>_xll.BDP("FNDD2356 Mtge","ID_CUSIP")</f>
        <v>3140B2TN4</v>
      </c>
      <c r="B2402" t="str">
        <f>_xll.BDP("FNDD2356 Mtge","SECURITY_NAME")</f>
        <v>FN DD2356</v>
      </c>
      <c r="C2402" t="str">
        <f>_xll.BDP("FNDD2356 Mtge","GENERIC_TICKER_VINTAGE")</f>
        <v>FNCL 6 2025</v>
      </c>
      <c r="D2402" t="str">
        <f>_xll.BDP("FNDD2356 Mtge","CRNCY")</f>
        <v>USD</v>
      </c>
      <c r="E2402">
        <v>2901785</v>
      </c>
      <c r="F2402">
        <f>_xll.BDP("FNDD2356 Mtge","CPN")</f>
        <v>6</v>
      </c>
      <c r="G2402">
        <f>_xll.BDP("FNDD2356 Mtge","MTG_FACTOR")</f>
        <v>0.66001111000000001</v>
      </c>
      <c r="H2402">
        <f>_xll.BDP("FNDD2356 Mtge","MTG_WAL")</f>
        <v>3.1179000000000001</v>
      </c>
      <c r="I2402" t="str">
        <f>_xll.BDP("FNDD2356 Mtge","MTG_ORIG_WAL")</f>
        <v>#N/A N/A</v>
      </c>
    </row>
    <row r="2403" spans="1:9" x14ac:dyDescent="0.25">
      <c r="A2403" t="str">
        <f>_xll.BDP("FNDD2383 Mtge","ID_CUSIP")</f>
        <v>3140B2UH5</v>
      </c>
      <c r="B2403" t="str">
        <f>_xll.BDP("FNDD2383 Mtge","SECURITY_NAME")</f>
        <v>FN DD2383</v>
      </c>
      <c r="C2403" t="str">
        <f>_xll.BDP("FNDD2383 Mtge","GENERIC_TICKER_VINTAGE")</f>
        <v>FNCL 6 2025</v>
      </c>
      <c r="D2403" t="str">
        <f>_xll.BDP("FNDD2383 Mtge","CRNCY")</f>
        <v>USD</v>
      </c>
      <c r="E2403">
        <v>2170635</v>
      </c>
      <c r="F2403">
        <f>_xll.BDP("FNDD2383 Mtge","CPN")</f>
        <v>6</v>
      </c>
      <c r="G2403">
        <f>_xll.BDP("FNDD2383 Mtge","MTG_FACTOR")</f>
        <v>0.98998253999999997</v>
      </c>
      <c r="H2403">
        <f>_xll.BDP("FNDD2383 Mtge","MTG_WAL")</f>
        <v>3.2484000000000002</v>
      </c>
      <c r="I2403" t="str">
        <f>_xll.BDP("FNDD2383 Mtge","MTG_ORIG_WAL")</f>
        <v>#N/A N/A</v>
      </c>
    </row>
    <row r="2404" spans="1:9" x14ac:dyDescent="0.25">
      <c r="A2404" t="str">
        <f>_xll.BDP("FNDD2384 Mtge","ID_CUSIP")</f>
        <v>3140B2UJ1</v>
      </c>
      <c r="B2404" t="str">
        <f>_xll.BDP("FNDD2384 Mtge","SECURITY_NAME")</f>
        <v>FN DD2384</v>
      </c>
      <c r="C2404" t="str">
        <f>_xll.BDP("FNDD2384 Mtge","GENERIC_TICKER_VINTAGE")</f>
        <v>FNCL 6 2025</v>
      </c>
      <c r="D2404" t="str">
        <f>_xll.BDP("FNDD2384 Mtge","CRNCY")</f>
        <v>USD</v>
      </c>
      <c r="E2404">
        <v>4715387</v>
      </c>
      <c r="F2404">
        <f>_xll.BDP("FNDD2384 Mtge","CPN")</f>
        <v>6</v>
      </c>
      <c r="G2404">
        <f>_xll.BDP("FNDD2384 Mtge","MTG_FACTOR")</f>
        <v>0.63973652999999997</v>
      </c>
      <c r="H2404">
        <f>_xll.BDP("FNDD2384 Mtge","MTG_WAL")</f>
        <v>3.1928000000000001</v>
      </c>
      <c r="I2404" t="str">
        <f>_xll.BDP("FNDD2384 Mtge","MTG_ORIG_WAL")</f>
        <v>#N/A N/A</v>
      </c>
    </row>
    <row r="2405" spans="1:9" x14ac:dyDescent="0.25">
      <c r="A2405" t="str">
        <f>_xll.BDP("FNDD2392 Mtge","ID_CUSIP")</f>
        <v>3140B2US1</v>
      </c>
      <c r="B2405" t="str">
        <f>_xll.BDP("FNDD2392 Mtge","SECURITY_NAME")</f>
        <v>FN DD2392</v>
      </c>
      <c r="C2405" t="str">
        <f>_xll.BDP("FNDD2392 Mtge","GENERIC_TICKER_VINTAGE")</f>
        <v>FNCL 6 2025</v>
      </c>
      <c r="D2405" t="str">
        <f>_xll.BDP("FNDD2392 Mtge","CRNCY")</f>
        <v>USD</v>
      </c>
      <c r="E2405">
        <v>1044348</v>
      </c>
      <c r="F2405">
        <f>_xll.BDP("FNDD2392 Mtge","CPN")</f>
        <v>6</v>
      </c>
      <c r="G2405">
        <f>_xll.BDP("FNDD2392 Mtge","MTG_FACTOR")</f>
        <v>0.98829981</v>
      </c>
      <c r="H2405">
        <f>_xll.BDP("FNDD2392 Mtge","MTG_WAL")</f>
        <v>3.1577999999999999</v>
      </c>
      <c r="I2405" t="str">
        <f>_xll.BDP("FNDD2392 Mtge","MTG_ORIG_WAL")</f>
        <v>#N/A N/A</v>
      </c>
    </row>
    <row r="2406" spans="1:9" x14ac:dyDescent="0.25">
      <c r="A2406" t="str">
        <f>_xll.BDP("FNDD2393 Mtge","ID_CUSIP")</f>
        <v>3140B2UT9</v>
      </c>
      <c r="B2406" t="str">
        <f>_xll.BDP("FNDD2393 Mtge","SECURITY_NAME")</f>
        <v>FN DD2393</v>
      </c>
      <c r="C2406" t="str">
        <f>_xll.BDP("FNDD2393 Mtge","GENERIC_TICKER_VINTAGE")</f>
        <v>FNCL 6 2025</v>
      </c>
      <c r="D2406" t="str">
        <f>_xll.BDP("FNDD2393 Mtge","CRNCY")</f>
        <v>USD</v>
      </c>
      <c r="E2406">
        <v>1128670</v>
      </c>
      <c r="F2406">
        <f>_xll.BDP("FNDD2393 Mtge","CPN")</f>
        <v>6</v>
      </c>
      <c r="G2406">
        <f>_xll.BDP("FNDD2393 Mtge","MTG_FACTOR")</f>
        <v>0.98496110000000003</v>
      </c>
      <c r="H2406">
        <f>_xll.BDP("FNDD2393 Mtge","MTG_WAL")</f>
        <v>3.1581999999999999</v>
      </c>
      <c r="I2406" t="str">
        <f>_xll.BDP("FNDD2393 Mtge","MTG_ORIG_WAL")</f>
        <v>#N/A N/A</v>
      </c>
    </row>
    <row r="2407" spans="1:9" x14ac:dyDescent="0.25">
      <c r="A2407" t="str">
        <f>_xll.BDP("FNDD2398 Mtge","ID_CUSIP")</f>
        <v>3140B2UY8</v>
      </c>
      <c r="B2407" t="str">
        <f>_xll.BDP("FNDD2398 Mtge","SECURITY_NAME")</f>
        <v>FN DD2398</v>
      </c>
      <c r="C2407" t="str">
        <f>_xll.BDP("FNDD2398 Mtge","GENERIC_TICKER_VINTAGE")</f>
        <v>FNCL 6 2025</v>
      </c>
      <c r="D2407" t="str">
        <f>_xll.BDP("FNDD2398 Mtge","CRNCY")</f>
        <v>USD</v>
      </c>
      <c r="E2407">
        <v>2148270</v>
      </c>
      <c r="F2407">
        <f>_xll.BDP("FNDD2398 Mtge","CPN")</f>
        <v>6</v>
      </c>
      <c r="G2407">
        <f>_xll.BDP("FNDD2398 Mtge","MTG_FACTOR")</f>
        <v>0.43899411999999999</v>
      </c>
      <c r="H2407">
        <f>_xll.BDP("FNDD2398 Mtge","MTG_WAL")</f>
        <v>3.1636000000000002</v>
      </c>
      <c r="I2407" t="str">
        <f>_xll.BDP("FNDD2398 Mtge","MTG_ORIG_WAL")</f>
        <v>#N/A N/A</v>
      </c>
    </row>
    <row r="2408" spans="1:9" x14ac:dyDescent="0.25">
      <c r="A2408" t="str">
        <f>_xll.BDP("FNDD2433 Mtge","ID_CUSIP")</f>
        <v>3140B2V35</v>
      </c>
      <c r="B2408" t="str">
        <f>_xll.BDP("FNDD2433 Mtge","SECURITY_NAME")</f>
        <v>FN DD2433</v>
      </c>
      <c r="C2408" t="str">
        <f>_xll.BDP("FNDD2433 Mtge","GENERIC_TICKER_VINTAGE")</f>
        <v>FNCL 6 2025</v>
      </c>
      <c r="D2408" t="str">
        <f>_xll.BDP("FNDD2433 Mtge","CRNCY")</f>
        <v>USD</v>
      </c>
      <c r="E2408">
        <v>1668493</v>
      </c>
      <c r="F2408">
        <f>_xll.BDP("FNDD2433 Mtge","CPN")</f>
        <v>6</v>
      </c>
      <c r="G2408">
        <f>_xll.BDP("FNDD2433 Mtge","MTG_FACTOR")</f>
        <v>0.88355399000000001</v>
      </c>
      <c r="H2408">
        <f>_xll.BDP("FNDD2433 Mtge","MTG_WAL")</f>
        <v>3.1423000000000001</v>
      </c>
      <c r="I2408" t="str">
        <f>_xll.BDP("FNDD2433 Mtge","MTG_ORIG_WAL")</f>
        <v>#N/A N/A</v>
      </c>
    </row>
    <row r="2409" spans="1:9" x14ac:dyDescent="0.25">
      <c r="A2409" t="str">
        <f>_xll.BDP("FNDD2441 Mtge","ID_CUSIP")</f>
        <v>3140B2WB6</v>
      </c>
      <c r="B2409" t="str">
        <f>_xll.BDP("FNDD2441 Mtge","SECURITY_NAME")</f>
        <v>FN DD2441</v>
      </c>
      <c r="C2409" t="str">
        <f>_xll.BDP("FNDD2441 Mtge","GENERIC_TICKER_VINTAGE")</f>
        <v>FNCL 6 2025</v>
      </c>
      <c r="D2409" t="str">
        <f>_xll.BDP("FNDD2441 Mtge","CRNCY")</f>
        <v>USD</v>
      </c>
      <c r="E2409">
        <v>6623522</v>
      </c>
      <c r="F2409">
        <f>_xll.BDP("FNDD2441 Mtge","CPN")</f>
        <v>6</v>
      </c>
      <c r="G2409">
        <f>_xll.BDP("FNDD2441 Mtge","MTG_FACTOR")</f>
        <v>0.90040213000000002</v>
      </c>
      <c r="H2409">
        <f>_xll.BDP("FNDD2441 Mtge","MTG_WAL")</f>
        <v>3.1566999999999998</v>
      </c>
      <c r="I2409" t="str">
        <f>_xll.BDP("FNDD2441 Mtge","MTG_ORIG_WAL")</f>
        <v>#N/A N/A</v>
      </c>
    </row>
    <row r="2410" spans="1:9" x14ac:dyDescent="0.25">
      <c r="A2410" t="str">
        <f>_xll.BDP("FNDD2446 Mtge","ID_CUSIP")</f>
        <v>3140B2WG5</v>
      </c>
      <c r="B2410" t="str">
        <f>_xll.BDP("FNDD2446 Mtge","SECURITY_NAME")</f>
        <v>FN DD2446</v>
      </c>
      <c r="C2410" t="str">
        <f>_xll.BDP("FNDD2446 Mtge","GENERIC_TICKER_VINTAGE")</f>
        <v>FNCL 6 2025</v>
      </c>
      <c r="D2410" t="str">
        <f>_xll.BDP("FNDD2446 Mtge","CRNCY")</f>
        <v>USD</v>
      </c>
      <c r="E2410">
        <v>4041813</v>
      </c>
      <c r="F2410">
        <f>_xll.BDP("FNDD2446 Mtge","CPN")</f>
        <v>6</v>
      </c>
      <c r="G2410">
        <f>_xll.BDP("FNDD2446 Mtge","MTG_FACTOR")</f>
        <v>0.90347668999999997</v>
      </c>
      <c r="H2410">
        <f>_xll.BDP("FNDD2446 Mtge","MTG_WAL")</f>
        <v>3.1577999999999999</v>
      </c>
      <c r="I2410" t="str">
        <f>_xll.BDP("FNDD2446 Mtge","MTG_ORIG_WAL")</f>
        <v>#N/A N/A</v>
      </c>
    </row>
    <row r="2411" spans="1:9" x14ac:dyDescent="0.25">
      <c r="A2411" t="str">
        <f>_xll.BDP("FNDD2450 Mtge","ID_CUSIP")</f>
        <v>3140B2WL4</v>
      </c>
      <c r="B2411" t="str">
        <f>_xll.BDP("FNDD2450 Mtge","SECURITY_NAME")</f>
        <v>FN DD2450</v>
      </c>
      <c r="C2411" t="str">
        <f>_xll.BDP("FNDD2450 Mtge","GENERIC_TICKER_VINTAGE")</f>
        <v>FNCL 6 2025</v>
      </c>
      <c r="D2411" t="str">
        <f>_xll.BDP("FNDD2450 Mtge","CRNCY")</f>
        <v>USD</v>
      </c>
      <c r="E2411">
        <v>5037162</v>
      </c>
      <c r="F2411">
        <f>_xll.BDP("FNDD2450 Mtge","CPN")</f>
        <v>6</v>
      </c>
      <c r="G2411">
        <f>_xll.BDP("FNDD2450 Mtge","MTG_FACTOR")</f>
        <v>0.92965452000000004</v>
      </c>
      <c r="H2411">
        <f>_xll.BDP("FNDD2450 Mtge","MTG_WAL")</f>
        <v>3.1597</v>
      </c>
      <c r="I2411" t="str">
        <f>_xll.BDP("FNDD2450 Mtge","MTG_ORIG_WAL")</f>
        <v>#N/A N/A</v>
      </c>
    </row>
    <row r="2412" spans="1:9" x14ac:dyDescent="0.25">
      <c r="A2412" t="str">
        <f>_xll.BDP("FNDD2460 Mtge","ID_CUSIP")</f>
        <v>3140B2WW0</v>
      </c>
      <c r="B2412" t="str">
        <f>_xll.BDP("FNDD2460 Mtge","SECURITY_NAME")</f>
        <v>FN DD2460</v>
      </c>
      <c r="C2412" t="str">
        <f>_xll.BDP("FNDD2460 Mtge","GENERIC_TICKER_VINTAGE")</f>
        <v>FNCL 6 2025</v>
      </c>
      <c r="D2412" t="str">
        <f>_xll.BDP("FNDD2460 Mtge","CRNCY")</f>
        <v>USD</v>
      </c>
      <c r="E2412">
        <v>1372976</v>
      </c>
      <c r="F2412">
        <f>_xll.BDP("FNDD2460 Mtge","CPN")</f>
        <v>6</v>
      </c>
      <c r="G2412">
        <f>_xll.BDP("FNDD2460 Mtge","MTG_FACTOR")</f>
        <v>0.79315415</v>
      </c>
      <c r="H2412">
        <f>_xll.BDP("FNDD2460 Mtge","MTG_WAL")</f>
        <v>3.1623000000000001</v>
      </c>
      <c r="I2412" t="str">
        <f>_xll.BDP("FNDD2460 Mtge","MTG_ORIG_WAL")</f>
        <v>#N/A N/A</v>
      </c>
    </row>
    <row r="2413" spans="1:9" x14ac:dyDescent="0.25">
      <c r="A2413" t="str">
        <f>_xll.BDP("FNDD2461 Mtge","ID_CUSIP")</f>
        <v>3140B2WX8</v>
      </c>
      <c r="B2413" t="str">
        <f>_xll.BDP("FNDD2461 Mtge","SECURITY_NAME")</f>
        <v>FN DD2461</v>
      </c>
      <c r="C2413" t="str">
        <f>_xll.BDP("FNDD2461 Mtge","GENERIC_TICKER_VINTAGE")</f>
        <v>FNCL 6 2025</v>
      </c>
      <c r="D2413" t="str">
        <f>_xll.BDP("FNDD2461 Mtge","CRNCY")</f>
        <v>USD</v>
      </c>
      <c r="E2413">
        <v>1479055</v>
      </c>
      <c r="F2413">
        <f>_xll.BDP("FNDD2461 Mtge","CPN")</f>
        <v>6</v>
      </c>
      <c r="G2413">
        <f>_xll.BDP("FNDD2461 Mtge","MTG_FACTOR")</f>
        <v>0.98148153000000005</v>
      </c>
      <c r="H2413">
        <f>_xll.BDP("FNDD2461 Mtge","MTG_WAL")</f>
        <v>3.1576</v>
      </c>
      <c r="I2413" t="str">
        <f>_xll.BDP("FNDD2461 Mtge","MTG_ORIG_WAL")</f>
        <v>#N/A N/A</v>
      </c>
    </row>
    <row r="2414" spans="1:9" x14ac:dyDescent="0.25">
      <c r="A2414" t="str">
        <f>_xll.BDP("FNDD2463 Mtge","ID_CUSIP")</f>
        <v>3140B2WZ3</v>
      </c>
      <c r="B2414" t="str">
        <f>_xll.BDP("FNDD2463 Mtge","SECURITY_NAME")</f>
        <v>FN DD2463</v>
      </c>
      <c r="C2414" t="str">
        <f>_xll.BDP("FNDD2463 Mtge","GENERIC_TICKER_VINTAGE")</f>
        <v>FNCL 6 2025</v>
      </c>
      <c r="D2414" t="str">
        <f>_xll.BDP("FNDD2463 Mtge","CRNCY")</f>
        <v>USD</v>
      </c>
      <c r="E2414">
        <v>9961126</v>
      </c>
      <c r="F2414">
        <f>_xll.BDP("FNDD2463 Mtge","CPN")</f>
        <v>6</v>
      </c>
      <c r="G2414">
        <f>_xll.BDP("FNDD2463 Mtge","MTG_FACTOR")</f>
        <v>0.78178696999999997</v>
      </c>
      <c r="H2414">
        <f>_xll.BDP("FNDD2463 Mtge","MTG_WAL")</f>
        <v>3.1589999999999998</v>
      </c>
      <c r="I2414" t="str">
        <f>_xll.BDP("FNDD2463 Mtge","MTG_ORIG_WAL")</f>
        <v>#N/A N/A</v>
      </c>
    </row>
    <row r="2415" spans="1:9" x14ac:dyDescent="0.25">
      <c r="A2415" t="str">
        <f>_xll.BDP("FNDD2470 Mtge","ID_CUSIP")</f>
        <v>3140B2W83</v>
      </c>
      <c r="B2415" t="str">
        <f>_xll.BDP("FNDD2470 Mtge","SECURITY_NAME")</f>
        <v>FN DD2470</v>
      </c>
      <c r="C2415" t="str">
        <f>_xll.BDP("FNDD2470 Mtge","GENERIC_TICKER_VINTAGE")</f>
        <v>FNCL 6 2025</v>
      </c>
      <c r="D2415" t="str">
        <f>_xll.BDP("FNDD2470 Mtge","CRNCY")</f>
        <v>USD</v>
      </c>
      <c r="E2415">
        <v>3738072</v>
      </c>
      <c r="F2415">
        <f>_xll.BDP("FNDD2470 Mtge","CPN")</f>
        <v>6</v>
      </c>
      <c r="G2415">
        <f>_xll.BDP("FNDD2470 Mtge","MTG_FACTOR")</f>
        <v>0.69622618000000003</v>
      </c>
      <c r="H2415">
        <f>_xll.BDP("FNDD2470 Mtge","MTG_WAL")</f>
        <v>3.1608000000000001</v>
      </c>
      <c r="I2415" t="str">
        <f>_xll.BDP("FNDD2470 Mtge","MTG_ORIG_WAL")</f>
        <v>#N/A N/A</v>
      </c>
    </row>
    <row r="2416" spans="1:9" x14ac:dyDescent="0.25">
      <c r="A2416" t="str">
        <f>_xll.BDP("FNDD2471 Mtge","ID_CUSIP")</f>
        <v>3140B2W91</v>
      </c>
      <c r="B2416" t="str">
        <f>_xll.BDP("FNDD2471 Mtge","SECURITY_NAME")</f>
        <v>FN DD2471</v>
      </c>
      <c r="C2416" t="str">
        <f>_xll.BDP("FNDD2471 Mtge","GENERIC_TICKER_VINTAGE")</f>
        <v>FNCL 6 2025</v>
      </c>
      <c r="D2416" t="str">
        <f>_xll.BDP("FNDD2471 Mtge","CRNCY")</f>
        <v>USD</v>
      </c>
      <c r="E2416">
        <v>2295012</v>
      </c>
      <c r="F2416">
        <f>_xll.BDP("FNDD2471 Mtge","CPN")</f>
        <v>6</v>
      </c>
      <c r="G2416">
        <f>_xll.BDP("FNDD2471 Mtge","MTG_FACTOR")</f>
        <v>0.86841515999999996</v>
      </c>
      <c r="H2416">
        <f>_xll.BDP("FNDD2471 Mtge","MTG_WAL")</f>
        <v>3.1616</v>
      </c>
      <c r="I2416" t="str">
        <f>_xll.BDP("FNDD2471 Mtge","MTG_ORIG_WAL")</f>
        <v>#N/A N/A</v>
      </c>
    </row>
    <row r="2417" spans="1:9" x14ac:dyDescent="0.25">
      <c r="A2417" t="str">
        <f>_xll.BDP("FNDD2472 Mtge","ID_CUSIP")</f>
        <v>3140B2XA7</v>
      </c>
      <c r="B2417" t="str">
        <f>_xll.BDP("FNDD2472 Mtge","SECURITY_NAME")</f>
        <v>FN DD2472</v>
      </c>
      <c r="C2417" t="str">
        <f>_xll.BDP("FNDD2472 Mtge","GENERIC_TICKER_VINTAGE")</f>
        <v>FNCL 6 2025</v>
      </c>
      <c r="D2417" t="str">
        <f>_xll.BDP("FNDD2472 Mtge","CRNCY")</f>
        <v>USD</v>
      </c>
      <c r="E2417">
        <v>6438167</v>
      </c>
      <c r="F2417">
        <f>_xll.BDP("FNDD2472 Mtge","CPN")</f>
        <v>6</v>
      </c>
      <c r="G2417">
        <f>_xll.BDP("FNDD2472 Mtge","MTG_FACTOR")</f>
        <v>0.77375671000000001</v>
      </c>
      <c r="H2417">
        <f>_xll.BDP("FNDD2472 Mtge","MTG_WAL")</f>
        <v>3.1625000000000001</v>
      </c>
      <c r="I2417" t="str">
        <f>_xll.BDP("FNDD2472 Mtge","MTG_ORIG_WAL")</f>
        <v>#N/A N/A</v>
      </c>
    </row>
    <row r="2418" spans="1:9" x14ac:dyDescent="0.25">
      <c r="A2418" t="str">
        <f>_xll.BDP("FNDD2473 Mtge","ID_CUSIP")</f>
        <v>3140B2XB5</v>
      </c>
      <c r="B2418" t="str">
        <f>_xll.BDP("FNDD2473 Mtge","SECURITY_NAME")</f>
        <v>FN DD2473</v>
      </c>
      <c r="C2418" t="str">
        <f>_xll.BDP("FNDD2473 Mtge","GENERIC_TICKER_VINTAGE")</f>
        <v>FNCL 6 2025</v>
      </c>
      <c r="D2418" t="str">
        <f>_xll.BDP("FNDD2473 Mtge","CRNCY")</f>
        <v>USD</v>
      </c>
      <c r="E2418">
        <v>7754711</v>
      </c>
      <c r="F2418">
        <f>_xll.BDP("FNDD2473 Mtge","CPN")</f>
        <v>6</v>
      </c>
      <c r="G2418">
        <f>_xll.BDP("FNDD2473 Mtge","MTG_FACTOR")</f>
        <v>0.80472849999999996</v>
      </c>
      <c r="H2418">
        <f>_xll.BDP("FNDD2473 Mtge","MTG_WAL")</f>
        <v>3.1633</v>
      </c>
      <c r="I2418" t="str">
        <f>_xll.BDP("FNDD2473 Mtge","MTG_ORIG_WAL")</f>
        <v>#N/A N/A</v>
      </c>
    </row>
    <row r="2419" spans="1:9" x14ac:dyDescent="0.25">
      <c r="A2419" t="str">
        <f>_xll.BDP("FNDD2478 Mtge","ID_CUSIP")</f>
        <v>3140B2XG4</v>
      </c>
      <c r="B2419" t="str">
        <f>_xll.BDP("FNDD2478 Mtge","SECURITY_NAME")</f>
        <v>FN DD2478</v>
      </c>
      <c r="C2419" t="str">
        <f>_xll.BDP("FNDD2478 Mtge","GENERIC_TICKER_VINTAGE")</f>
        <v>FNCL 6 2025</v>
      </c>
      <c r="D2419" t="str">
        <f>_xll.BDP("FNDD2478 Mtge","CRNCY")</f>
        <v>USD</v>
      </c>
      <c r="E2419">
        <v>8741778</v>
      </c>
      <c r="F2419">
        <f>_xll.BDP("FNDD2478 Mtge","CPN")</f>
        <v>6</v>
      </c>
      <c r="G2419">
        <f>_xll.BDP("FNDD2478 Mtge","MTG_FACTOR")</f>
        <v>0.95061266</v>
      </c>
      <c r="H2419">
        <f>_xll.BDP("FNDD2478 Mtge","MTG_WAL")</f>
        <v>3.1606000000000001</v>
      </c>
      <c r="I2419" t="str">
        <f>_xll.BDP("FNDD2478 Mtge","MTG_ORIG_WAL")</f>
        <v>#N/A N/A</v>
      </c>
    </row>
    <row r="2420" spans="1:9" x14ac:dyDescent="0.25">
      <c r="A2420" t="str">
        <f>_xll.BDP("FNDD2479 Mtge","ID_CUSIP")</f>
        <v>3140B2XH2</v>
      </c>
      <c r="B2420" t="str">
        <f>_xll.BDP("FNDD2479 Mtge","SECURITY_NAME")</f>
        <v>FN DD2479</v>
      </c>
      <c r="C2420" t="str">
        <f>_xll.BDP("FNDD2479 Mtge","GENERIC_TICKER_VINTAGE")</f>
        <v>FNCL 6 2025</v>
      </c>
      <c r="D2420" t="str">
        <f>_xll.BDP("FNDD2479 Mtge","CRNCY")</f>
        <v>USD</v>
      </c>
      <c r="E2420">
        <v>8385032</v>
      </c>
      <c r="F2420">
        <f>_xll.BDP("FNDD2479 Mtge","CPN")</f>
        <v>6</v>
      </c>
      <c r="G2420">
        <f>_xll.BDP("FNDD2479 Mtge","MTG_FACTOR")</f>
        <v>0.90014430999999995</v>
      </c>
      <c r="H2420">
        <f>_xll.BDP("FNDD2479 Mtge","MTG_WAL")</f>
        <v>3.1629</v>
      </c>
      <c r="I2420" t="str">
        <f>_xll.BDP("FNDD2479 Mtge","MTG_ORIG_WAL")</f>
        <v>#N/A N/A</v>
      </c>
    </row>
    <row r="2421" spans="1:9" x14ac:dyDescent="0.25">
      <c r="A2421" t="str">
        <f>_xll.BDP("FNDD2484 Mtge","ID_CUSIP")</f>
        <v>3140B2XN9</v>
      </c>
      <c r="B2421" t="str">
        <f>_xll.BDP("FNDD2484 Mtge","SECURITY_NAME")</f>
        <v>FN DD2484</v>
      </c>
      <c r="C2421" t="str">
        <f>_xll.BDP("FNDD2484 Mtge","GENERIC_TICKER_VINTAGE")</f>
        <v>FNCL 6 2025</v>
      </c>
      <c r="D2421" t="str">
        <f>_xll.BDP("FNDD2484 Mtge","CRNCY")</f>
        <v>USD</v>
      </c>
      <c r="E2421">
        <v>4821984</v>
      </c>
      <c r="F2421">
        <f>_xll.BDP("FNDD2484 Mtge","CPN")</f>
        <v>6</v>
      </c>
      <c r="G2421">
        <f>_xll.BDP("FNDD2484 Mtge","MTG_FACTOR")</f>
        <v>0.89045375000000004</v>
      </c>
      <c r="H2421">
        <f>_xll.BDP("FNDD2484 Mtge","MTG_WAL")</f>
        <v>3.1623999999999999</v>
      </c>
      <c r="I2421" t="str">
        <f>_xll.BDP("FNDD2484 Mtge","MTG_ORIG_WAL")</f>
        <v>#N/A N/A</v>
      </c>
    </row>
    <row r="2422" spans="1:9" x14ac:dyDescent="0.25">
      <c r="A2422" t="str">
        <f>_xll.BDP("FNDD2485 Mtge","ID_CUSIP")</f>
        <v>3140B2XP4</v>
      </c>
      <c r="B2422" t="str">
        <f>_xll.BDP("FNDD2485 Mtge","SECURITY_NAME")</f>
        <v>FN DD2485</v>
      </c>
      <c r="C2422" t="str">
        <f>_xll.BDP("FNDD2485 Mtge","GENERIC_TICKER_VINTAGE")</f>
        <v>FNCL 6 2025</v>
      </c>
      <c r="D2422" t="str">
        <f>_xll.BDP("FNDD2485 Mtge","CRNCY")</f>
        <v>USD</v>
      </c>
      <c r="E2422">
        <v>5282962</v>
      </c>
      <c r="F2422">
        <f>_xll.BDP("FNDD2485 Mtge","CPN")</f>
        <v>6</v>
      </c>
      <c r="G2422">
        <f>_xll.BDP("FNDD2485 Mtge","MTG_FACTOR")</f>
        <v>0.88422069999999997</v>
      </c>
      <c r="H2422">
        <f>_xll.BDP("FNDD2485 Mtge","MTG_WAL")</f>
        <v>3.1589</v>
      </c>
      <c r="I2422" t="str">
        <f>_xll.BDP("FNDD2485 Mtge","MTG_ORIG_WAL")</f>
        <v>#N/A N/A</v>
      </c>
    </row>
    <row r="2423" spans="1:9" x14ac:dyDescent="0.25">
      <c r="A2423" t="str">
        <f>_xll.BDP("FNDD2486 Mtge","ID_CUSIP")</f>
        <v>3140B2XQ2</v>
      </c>
      <c r="B2423" t="str">
        <f>_xll.BDP("FNDD2486 Mtge","SECURITY_NAME")</f>
        <v>FN DD2486</v>
      </c>
      <c r="C2423" t="str">
        <f>_xll.BDP("FNDD2486 Mtge","GENERIC_TICKER_VINTAGE")</f>
        <v>FNCL 6 2025</v>
      </c>
      <c r="D2423" t="str">
        <f>_xll.BDP("FNDD2486 Mtge","CRNCY")</f>
        <v>USD</v>
      </c>
      <c r="E2423">
        <v>10107292</v>
      </c>
      <c r="F2423">
        <f>_xll.BDP("FNDD2486 Mtge","CPN")</f>
        <v>6</v>
      </c>
      <c r="G2423">
        <f>_xll.BDP("FNDD2486 Mtge","MTG_FACTOR")</f>
        <v>0.86586770999999996</v>
      </c>
      <c r="H2423">
        <f>_xll.BDP("FNDD2486 Mtge","MTG_WAL")</f>
        <v>3.1539000000000001</v>
      </c>
      <c r="I2423" t="str">
        <f>_xll.BDP("FNDD2486 Mtge","MTG_ORIG_WAL")</f>
        <v>#N/A N/A</v>
      </c>
    </row>
    <row r="2424" spans="1:9" x14ac:dyDescent="0.25">
      <c r="A2424" t="str">
        <f>_xll.BDP("FNDD2487 Mtge","ID_CUSIP")</f>
        <v>3140B2XR0</v>
      </c>
      <c r="B2424" t="str">
        <f>_xll.BDP("FNDD2487 Mtge","SECURITY_NAME")</f>
        <v>FN DD2487</v>
      </c>
      <c r="C2424" t="str">
        <f>_xll.BDP("FNDD2487 Mtge","GENERIC_TICKER_VINTAGE")</f>
        <v>FNCL 6 2025</v>
      </c>
      <c r="D2424" t="str">
        <f>_xll.BDP("FNDD2487 Mtge","CRNCY")</f>
        <v>USD</v>
      </c>
      <c r="E2424">
        <v>3446548</v>
      </c>
      <c r="F2424">
        <f>_xll.BDP("FNDD2487 Mtge","CPN")</f>
        <v>6</v>
      </c>
      <c r="G2424">
        <f>_xll.BDP("FNDD2487 Mtge","MTG_FACTOR")</f>
        <v>0.89909019000000001</v>
      </c>
      <c r="H2424">
        <f>_xll.BDP("FNDD2487 Mtge","MTG_WAL")</f>
        <v>3.1606000000000001</v>
      </c>
      <c r="I2424" t="str">
        <f>_xll.BDP("FNDD2487 Mtge","MTG_ORIG_WAL")</f>
        <v>#N/A N/A</v>
      </c>
    </row>
    <row r="2425" spans="1:9" x14ac:dyDescent="0.25">
      <c r="A2425" t="str">
        <f>_xll.BDP("FNDD2503 Mtge","ID_CUSIP")</f>
        <v>3140B2X90</v>
      </c>
      <c r="B2425" t="str">
        <f>_xll.BDP("FNDD2503 Mtge","SECURITY_NAME")</f>
        <v>FN DD2503</v>
      </c>
      <c r="C2425" t="str">
        <f>_xll.BDP("FNDD2503 Mtge","GENERIC_TICKER_VINTAGE")</f>
        <v>FNCL 6 2025</v>
      </c>
      <c r="D2425" t="str">
        <f>_xll.BDP("FNDD2503 Mtge","CRNCY")</f>
        <v>USD</v>
      </c>
      <c r="E2425">
        <v>1406685</v>
      </c>
      <c r="F2425">
        <f>_xll.BDP("FNDD2503 Mtge","CPN")</f>
        <v>6</v>
      </c>
      <c r="G2425">
        <f>_xll.BDP("FNDD2503 Mtge","MTG_FACTOR")</f>
        <v>0.91899463999999997</v>
      </c>
      <c r="H2425">
        <f>_xll.BDP("FNDD2503 Mtge","MTG_WAL")</f>
        <v>3.1629</v>
      </c>
      <c r="I2425" t="str">
        <f>_xll.BDP("FNDD2503 Mtge","MTG_ORIG_WAL")</f>
        <v>#N/A N/A</v>
      </c>
    </row>
    <row r="2426" spans="1:9" x14ac:dyDescent="0.25">
      <c r="A2426" t="str">
        <f>_xll.BDP("FNDD2506 Mtge","ID_CUSIP")</f>
        <v>3140B2YC2</v>
      </c>
      <c r="B2426" t="str">
        <f>_xll.BDP("FNDD2506 Mtge","SECURITY_NAME")</f>
        <v>FN DD2506</v>
      </c>
      <c r="C2426" t="str">
        <f>_xll.BDP("FNDD2506 Mtge","GENERIC_TICKER_VINTAGE")</f>
        <v>FNCL 6 2025</v>
      </c>
      <c r="D2426" t="str">
        <f>_xll.BDP("FNDD2506 Mtge","CRNCY")</f>
        <v>USD</v>
      </c>
      <c r="E2426">
        <v>2622365</v>
      </c>
      <c r="F2426">
        <f>_xll.BDP("FNDD2506 Mtge","CPN")</f>
        <v>6</v>
      </c>
      <c r="G2426">
        <f>_xll.BDP("FNDD2506 Mtge","MTG_FACTOR")</f>
        <v>0.91437793000000001</v>
      </c>
      <c r="H2426">
        <f>_xll.BDP("FNDD2506 Mtge","MTG_WAL")</f>
        <v>3.1604999999999999</v>
      </c>
      <c r="I2426" t="str">
        <f>_xll.BDP("FNDD2506 Mtge","MTG_ORIG_WAL")</f>
        <v>#N/A N/A</v>
      </c>
    </row>
    <row r="2427" spans="1:9" x14ac:dyDescent="0.25">
      <c r="A2427" t="str">
        <f>_xll.BDP("FNDD2516 Mtge","ID_CUSIP")</f>
        <v>3140B2YN8</v>
      </c>
      <c r="B2427" t="str">
        <f>_xll.BDP("FNDD2516 Mtge","SECURITY_NAME")</f>
        <v>FN DD2516</v>
      </c>
      <c r="C2427" t="str">
        <f>_xll.BDP("FNDD2516 Mtge","GENERIC_TICKER_VINTAGE")</f>
        <v>FNCL 6 2025</v>
      </c>
      <c r="D2427" t="str">
        <f>_xll.BDP("FNDD2516 Mtge","CRNCY")</f>
        <v>USD</v>
      </c>
      <c r="E2427">
        <v>7243733</v>
      </c>
      <c r="F2427">
        <f>_xll.BDP("FNDD2516 Mtge","CPN")</f>
        <v>6</v>
      </c>
      <c r="G2427">
        <f>_xll.BDP("FNDD2516 Mtge","MTG_FACTOR")</f>
        <v>0.70329299000000001</v>
      </c>
      <c r="H2427">
        <f>_xll.BDP("FNDD2516 Mtge","MTG_WAL")</f>
        <v>3.1478999999999999</v>
      </c>
      <c r="I2427" t="str">
        <f>_xll.BDP("FNDD2516 Mtge","MTG_ORIG_WAL")</f>
        <v>#N/A N/A</v>
      </c>
    </row>
    <row r="2428" spans="1:9" x14ac:dyDescent="0.25">
      <c r="A2428" t="str">
        <f>_xll.BDP("FNDD2518 Mtge","ID_CUSIP")</f>
        <v>3140B2YQ1</v>
      </c>
      <c r="B2428" t="str">
        <f>_xll.BDP("FNDD2518 Mtge","SECURITY_NAME")</f>
        <v>FN DD2518</v>
      </c>
      <c r="C2428" t="str">
        <f>_xll.BDP("FNDD2518 Mtge","GENERIC_TICKER_VINTAGE")</f>
        <v>FNCL 6 2025</v>
      </c>
      <c r="D2428" t="str">
        <f>_xll.BDP("FNDD2518 Mtge","CRNCY")</f>
        <v>USD</v>
      </c>
      <c r="E2428">
        <v>1550025</v>
      </c>
      <c r="F2428">
        <f>_xll.BDP("FNDD2518 Mtge","CPN")</f>
        <v>6</v>
      </c>
      <c r="G2428">
        <f>_xll.BDP("FNDD2518 Mtge","MTG_FACTOR")</f>
        <v>0.60024641999999995</v>
      </c>
      <c r="H2428">
        <f>_xll.BDP("FNDD2518 Mtge","MTG_WAL")</f>
        <v>3.1627999999999998</v>
      </c>
      <c r="I2428" t="str">
        <f>_xll.BDP("FNDD2518 Mtge","MTG_ORIG_WAL")</f>
        <v>#N/A N/A</v>
      </c>
    </row>
    <row r="2429" spans="1:9" x14ac:dyDescent="0.25">
      <c r="A2429" t="str">
        <f>_xll.BDP("FNDD2521 Mtge","ID_CUSIP")</f>
        <v>3140B2YT5</v>
      </c>
      <c r="B2429" t="str">
        <f>_xll.BDP("FNDD2521 Mtge","SECURITY_NAME")</f>
        <v>FN DD2521</v>
      </c>
      <c r="C2429" t="str">
        <f>_xll.BDP("FNDD2521 Mtge","GENERIC_TICKER_VINTAGE")</f>
        <v>FNCL 6 2025</v>
      </c>
      <c r="D2429" t="str">
        <f>_xll.BDP("FNDD2521 Mtge","CRNCY")</f>
        <v>USD</v>
      </c>
      <c r="E2429">
        <v>1560900</v>
      </c>
      <c r="F2429">
        <f>_xll.BDP("FNDD2521 Mtge","CPN")</f>
        <v>6</v>
      </c>
      <c r="G2429">
        <f>_xll.BDP("FNDD2521 Mtge","MTG_FACTOR")</f>
        <v>0.75603237000000001</v>
      </c>
      <c r="H2429">
        <f>_xll.BDP("FNDD2521 Mtge","MTG_WAL")</f>
        <v>3.1381999999999999</v>
      </c>
      <c r="I2429" t="str">
        <f>_xll.BDP("FNDD2521 Mtge","MTG_ORIG_WAL")</f>
        <v>#N/A N/A</v>
      </c>
    </row>
    <row r="2430" spans="1:9" x14ac:dyDescent="0.25">
      <c r="A2430" t="str">
        <f>_xll.BDP("FNDD2523 Mtge","ID_CUSIP")</f>
        <v>3140B2YV0</v>
      </c>
      <c r="B2430" t="str">
        <f>_xll.BDP("FNDD2523 Mtge","SECURITY_NAME")</f>
        <v>FN DD2523</v>
      </c>
      <c r="C2430" t="str">
        <f>_xll.BDP("FNDD2523 Mtge","GENERIC_TICKER_VINTAGE")</f>
        <v>FNCL 6 2025</v>
      </c>
      <c r="D2430" t="str">
        <f>_xll.BDP("FNDD2523 Mtge","CRNCY")</f>
        <v>USD</v>
      </c>
      <c r="E2430">
        <v>2170000</v>
      </c>
      <c r="F2430">
        <f>_xll.BDP("FNDD2523 Mtge","CPN")</f>
        <v>6</v>
      </c>
      <c r="G2430">
        <f>_xll.BDP("FNDD2523 Mtge","MTG_FACTOR")</f>
        <v>0.88480327000000003</v>
      </c>
      <c r="H2430">
        <f>_xll.BDP("FNDD2523 Mtge","MTG_WAL")</f>
        <v>3.1623999999999999</v>
      </c>
      <c r="I2430" t="str">
        <f>_xll.BDP("FNDD2523 Mtge","MTG_ORIG_WAL")</f>
        <v>#N/A N/A</v>
      </c>
    </row>
    <row r="2431" spans="1:9" x14ac:dyDescent="0.25">
      <c r="A2431" t="str">
        <f>_xll.BDP("FNDD2524 Mtge","ID_CUSIP")</f>
        <v>3140B2YW8</v>
      </c>
      <c r="B2431" t="str">
        <f>_xll.BDP("FNDD2524 Mtge","SECURITY_NAME")</f>
        <v>FN DD2524</v>
      </c>
      <c r="C2431" t="str">
        <f>_xll.BDP("FNDD2524 Mtge","GENERIC_TICKER_VINTAGE")</f>
        <v>FNCL 6 2025</v>
      </c>
      <c r="D2431" t="str">
        <f>_xll.BDP("FNDD2524 Mtge","CRNCY")</f>
        <v>USD</v>
      </c>
      <c r="E2431">
        <v>8649957</v>
      </c>
      <c r="F2431">
        <f>_xll.BDP("FNDD2524 Mtge","CPN")</f>
        <v>6</v>
      </c>
      <c r="G2431">
        <f>_xll.BDP("FNDD2524 Mtge","MTG_FACTOR")</f>
        <v>0.98863690000000004</v>
      </c>
      <c r="H2431">
        <f>_xll.BDP("FNDD2524 Mtge","MTG_WAL")</f>
        <v>3.1629</v>
      </c>
      <c r="I2431" t="str">
        <f>_xll.BDP("FNDD2524 Mtge","MTG_ORIG_WAL")</f>
        <v>#N/A N/A</v>
      </c>
    </row>
    <row r="2432" spans="1:9" x14ac:dyDescent="0.25">
      <c r="A2432" t="str">
        <f>_xll.BDP("FNDD2542 Mtge","ID_CUSIP")</f>
        <v>3140B2ZG2</v>
      </c>
      <c r="B2432" t="str">
        <f>_xll.BDP("FNDD2542 Mtge","SECURITY_NAME")</f>
        <v>FN DD2542</v>
      </c>
      <c r="C2432" t="str">
        <f>_xll.BDP("FNDD2542 Mtge","GENERIC_TICKER_VINTAGE")</f>
        <v>FNCL 6 2025</v>
      </c>
      <c r="D2432" t="str">
        <f>_xll.BDP("FNDD2542 Mtge","CRNCY")</f>
        <v>USD</v>
      </c>
      <c r="E2432">
        <v>1570966</v>
      </c>
      <c r="F2432">
        <f>_xll.BDP("FNDD2542 Mtge","CPN")</f>
        <v>6</v>
      </c>
      <c r="G2432">
        <f>_xll.BDP("FNDD2542 Mtge","MTG_FACTOR")</f>
        <v>0.79731797999999998</v>
      </c>
      <c r="H2432">
        <f>_xll.BDP("FNDD2542 Mtge","MTG_WAL")</f>
        <v>3.1616</v>
      </c>
      <c r="I2432" t="str">
        <f>_xll.BDP("FNDD2542 Mtge","MTG_ORIG_WAL")</f>
        <v>#N/A N/A</v>
      </c>
    </row>
    <row r="2433" spans="1:9" x14ac:dyDescent="0.25">
      <c r="A2433" t="str">
        <f>_xll.BDP("FNDD2545 Mtge","ID_CUSIP")</f>
        <v>3140B2ZK3</v>
      </c>
      <c r="B2433" t="str">
        <f>_xll.BDP("FNDD2545 Mtge","SECURITY_NAME")</f>
        <v>FN DD2545</v>
      </c>
      <c r="C2433" t="str">
        <f>_xll.BDP("FNDD2545 Mtge","GENERIC_TICKER_VINTAGE")</f>
        <v>FNCL 6 2025</v>
      </c>
      <c r="D2433" t="str">
        <f>_xll.BDP("FNDD2545 Mtge","CRNCY")</f>
        <v>USD</v>
      </c>
      <c r="E2433">
        <v>2066094</v>
      </c>
      <c r="F2433">
        <f>_xll.BDP("FNDD2545 Mtge","CPN")</f>
        <v>6</v>
      </c>
      <c r="G2433">
        <f>_xll.BDP("FNDD2545 Mtge","MTG_FACTOR")</f>
        <v>0.76151979999999997</v>
      </c>
      <c r="H2433">
        <f>_xll.BDP("FNDD2545 Mtge","MTG_WAL")</f>
        <v>3.1595</v>
      </c>
      <c r="I2433" t="str">
        <f>_xll.BDP("FNDD2545 Mtge","MTG_ORIG_WAL")</f>
        <v>#N/A N/A</v>
      </c>
    </row>
    <row r="2434" spans="1:9" x14ac:dyDescent="0.25">
      <c r="A2434" t="str">
        <f>_xll.BDP("FNDD2549 Mtge","ID_CUSIP")</f>
        <v>3140B2ZP2</v>
      </c>
      <c r="B2434" t="str">
        <f>_xll.BDP("FNDD2549 Mtge","SECURITY_NAME")</f>
        <v>FN DD2549</v>
      </c>
      <c r="C2434" t="str">
        <f>_xll.BDP("FNDD2549 Mtge","GENERIC_TICKER_VINTAGE")</f>
        <v>FNCL 6 2025</v>
      </c>
      <c r="D2434" t="str">
        <f>_xll.BDP("FNDD2549 Mtge","CRNCY")</f>
        <v>USD</v>
      </c>
      <c r="E2434">
        <v>2636953</v>
      </c>
      <c r="F2434">
        <f>_xll.BDP("FNDD2549 Mtge","CPN")</f>
        <v>6</v>
      </c>
      <c r="G2434">
        <f>_xll.BDP("FNDD2549 Mtge","MTG_FACTOR")</f>
        <v>0.88446124999999998</v>
      </c>
      <c r="H2434">
        <f>_xll.BDP("FNDD2549 Mtge","MTG_WAL")</f>
        <v>3.1614</v>
      </c>
      <c r="I2434" t="str">
        <f>_xll.BDP("FNDD2549 Mtge","MTG_ORIG_WAL")</f>
        <v>#N/A N/A</v>
      </c>
    </row>
    <row r="2435" spans="1:9" x14ac:dyDescent="0.25">
      <c r="A2435" t="str">
        <f>_xll.BDP("FNDD2550 Mtge","ID_CUSIP")</f>
        <v>3140B2ZQ0</v>
      </c>
      <c r="B2435" t="str">
        <f>_xll.BDP("FNDD2550 Mtge","SECURITY_NAME")</f>
        <v>FN DD2550</v>
      </c>
      <c r="C2435" t="str">
        <f>_xll.BDP("FNDD2550 Mtge","GENERIC_TICKER_VINTAGE")</f>
        <v>FNCL 6 2025</v>
      </c>
      <c r="D2435" t="str">
        <f>_xll.BDP("FNDD2550 Mtge","CRNCY")</f>
        <v>USD</v>
      </c>
      <c r="E2435">
        <v>3143096</v>
      </c>
      <c r="F2435">
        <f>_xll.BDP("FNDD2550 Mtge","CPN")</f>
        <v>6</v>
      </c>
      <c r="G2435">
        <f>_xll.BDP("FNDD2550 Mtge","MTG_FACTOR")</f>
        <v>0.79499551999999996</v>
      </c>
      <c r="H2435">
        <f>_xll.BDP("FNDD2550 Mtge","MTG_WAL")</f>
        <v>3.1635</v>
      </c>
      <c r="I2435" t="str">
        <f>_xll.BDP("FNDD2550 Mtge","MTG_ORIG_WAL")</f>
        <v>#N/A N/A</v>
      </c>
    </row>
    <row r="2436" spans="1:9" x14ac:dyDescent="0.25">
      <c r="A2436" t="str">
        <f>_xll.BDP("FNDD2580 Mtge","ID_CUSIP")</f>
        <v>3140B22N3</v>
      </c>
      <c r="B2436" t="str">
        <f>_xll.BDP("FNDD2580 Mtge","SECURITY_NAME")</f>
        <v>FN DD2580</v>
      </c>
      <c r="C2436" t="str">
        <f>_xll.BDP("FNDD2580 Mtge","GENERIC_TICKER_VINTAGE")</f>
        <v>FNCL 6 2025</v>
      </c>
      <c r="D2436" t="str">
        <f>_xll.BDP("FNDD2580 Mtge","CRNCY")</f>
        <v>USD</v>
      </c>
      <c r="E2436">
        <v>1877327</v>
      </c>
      <c r="F2436">
        <f>_xll.BDP("FNDD2580 Mtge","CPN")</f>
        <v>6</v>
      </c>
      <c r="G2436">
        <f>_xll.BDP("FNDD2580 Mtge","MTG_FACTOR")</f>
        <v>0.81800684000000001</v>
      </c>
      <c r="H2436">
        <f>_xll.BDP("FNDD2580 Mtge","MTG_WAL")</f>
        <v>3.1606000000000001</v>
      </c>
      <c r="I2436" t="str">
        <f>_xll.BDP("FNDD2580 Mtge","MTG_ORIG_WAL")</f>
        <v>#N/A N/A</v>
      </c>
    </row>
    <row r="2437" spans="1:9" x14ac:dyDescent="0.25">
      <c r="A2437" t="str">
        <f>_xll.BDP("FNDD2589 Mtge","ID_CUSIP")</f>
        <v>3140B22X1</v>
      </c>
      <c r="B2437" t="str">
        <f>_xll.BDP("FNDD2589 Mtge","SECURITY_NAME")</f>
        <v>FN DD2589</v>
      </c>
      <c r="C2437" t="str">
        <f>_xll.BDP("FNDD2589 Mtge","GENERIC_TICKER_VINTAGE")</f>
        <v>FNCL 6 2025</v>
      </c>
      <c r="D2437" t="str">
        <f>_xll.BDP("FNDD2589 Mtge","CRNCY")</f>
        <v>USD</v>
      </c>
      <c r="E2437">
        <v>1149850</v>
      </c>
      <c r="F2437">
        <f>_xll.BDP("FNDD2589 Mtge","CPN")</f>
        <v>6</v>
      </c>
      <c r="G2437">
        <f>_xll.BDP("FNDD2589 Mtge","MTG_FACTOR")</f>
        <v>0.98731248999999999</v>
      </c>
      <c r="H2437">
        <f>_xll.BDP("FNDD2589 Mtge","MTG_WAL")</f>
        <v>3.1621000000000001</v>
      </c>
      <c r="I2437" t="str">
        <f>_xll.BDP("FNDD2589 Mtge","MTG_ORIG_WAL")</f>
        <v>#N/A N/A</v>
      </c>
    </row>
    <row r="2438" spans="1:9" x14ac:dyDescent="0.25">
      <c r="A2438" t="str">
        <f>_xll.BDP("FNDD2596 Mtge","ID_CUSIP")</f>
        <v>3140B23E2</v>
      </c>
      <c r="B2438" t="str">
        <f>_xll.BDP("FNDD2596 Mtge","SECURITY_NAME")</f>
        <v>FN DD2596</v>
      </c>
      <c r="C2438" t="str">
        <f>_xll.BDP("FNDD2596 Mtge","GENERIC_TICKER_VINTAGE")</f>
        <v>FNCL 6 2025</v>
      </c>
      <c r="D2438" t="str">
        <f>_xll.BDP("FNDD2596 Mtge","CRNCY")</f>
        <v>USD</v>
      </c>
      <c r="E2438">
        <v>8869392</v>
      </c>
      <c r="F2438">
        <f>_xll.BDP("FNDD2596 Mtge","CPN")</f>
        <v>6</v>
      </c>
      <c r="G2438">
        <f>_xll.BDP("FNDD2596 Mtge","MTG_FACTOR")</f>
        <v>0.78503915999999996</v>
      </c>
      <c r="H2438">
        <f>_xll.BDP("FNDD2596 Mtge","MTG_WAL")</f>
        <v>3.1568000000000001</v>
      </c>
      <c r="I2438" t="str">
        <f>_xll.BDP("FNDD2596 Mtge","MTG_ORIG_WAL")</f>
        <v>#N/A N/A</v>
      </c>
    </row>
    <row r="2439" spans="1:9" x14ac:dyDescent="0.25">
      <c r="A2439" t="str">
        <f>_xll.BDP("FNDD2615 Mtge","ID_CUSIP")</f>
        <v>3140B23Z5</v>
      </c>
      <c r="B2439" t="str">
        <f>_xll.BDP("FNDD2615 Mtge","SECURITY_NAME")</f>
        <v>FN DD2615</v>
      </c>
      <c r="C2439" t="str">
        <f>_xll.BDP("FNDD2615 Mtge","GENERIC_TICKER_VINTAGE")</f>
        <v>FNCL 6 2025</v>
      </c>
      <c r="D2439" t="str">
        <f>_xll.BDP("FNDD2615 Mtge","CRNCY")</f>
        <v>USD</v>
      </c>
      <c r="E2439">
        <v>16360642</v>
      </c>
      <c r="F2439">
        <f>_xll.BDP("FNDD2615 Mtge","CPN")</f>
        <v>6</v>
      </c>
      <c r="G2439">
        <f>_xll.BDP("FNDD2615 Mtge","MTG_FACTOR")</f>
        <v>0.77996896999999998</v>
      </c>
      <c r="H2439">
        <f>_xll.BDP("FNDD2615 Mtge","MTG_WAL")</f>
        <v>3.1873</v>
      </c>
      <c r="I2439" t="str">
        <f>_xll.BDP("FNDD2615 Mtge","MTG_ORIG_WAL")</f>
        <v>#N/A N/A</v>
      </c>
    </row>
    <row r="2440" spans="1:9" x14ac:dyDescent="0.25">
      <c r="A2440" t="str">
        <f>_xll.BDP("FNDD2624 Mtge","ID_CUSIP")</f>
        <v>3140B24J0</v>
      </c>
      <c r="B2440" t="str">
        <f>_xll.BDP("FNDD2624 Mtge","SECURITY_NAME")</f>
        <v>FN DD2624</v>
      </c>
      <c r="C2440" t="str">
        <f>_xll.BDP("FNDD2624 Mtge","GENERIC_TICKER_VINTAGE")</f>
        <v>FNCL 6 2025</v>
      </c>
      <c r="D2440" t="str">
        <f>_xll.BDP("FNDD2624 Mtge","CRNCY")</f>
        <v>USD</v>
      </c>
      <c r="E2440">
        <v>1824510</v>
      </c>
      <c r="F2440">
        <f>_xll.BDP("FNDD2624 Mtge","CPN")</f>
        <v>6</v>
      </c>
      <c r="G2440">
        <f>_xll.BDP("FNDD2624 Mtge","MTG_FACTOR")</f>
        <v>0.89106185000000004</v>
      </c>
      <c r="H2440">
        <f>_xll.BDP("FNDD2624 Mtge","MTG_WAL")</f>
        <v>3.1581000000000001</v>
      </c>
      <c r="I2440" t="str">
        <f>_xll.BDP("FNDD2624 Mtge","MTG_ORIG_WAL")</f>
        <v>#N/A N/A</v>
      </c>
    </row>
    <row r="2441" spans="1:9" x14ac:dyDescent="0.25">
      <c r="A2441" t="str">
        <f>_xll.BDP("FNDD2626 Mtge","ID_CUSIP")</f>
        <v>3140B24L5</v>
      </c>
      <c r="B2441" t="str">
        <f>_xll.BDP("FNDD2626 Mtge","SECURITY_NAME")</f>
        <v>FN DD2626</v>
      </c>
      <c r="C2441" t="str">
        <f>_xll.BDP("FNDD2626 Mtge","GENERIC_TICKER_VINTAGE")</f>
        <v>FNCL 6 2025</v>
      </c>
      <c r="D2441" t="str">
        <f>_xll.BDP("FNDD2626 Mtge","CRNCY")</f>
        <v>USD</v>
      </c>
      <c r="E2441">
        <v>2784931</v>
      </c>
      <c r="F2441">
        <f>_xll.BDP("FNDD2626 Mtge","CPN")</f>
        <v>6</v>
      </c>
      <c r="G2441">
        <f>_xll.BDP("FNDD2626 Mtge","MTG_FACTOR")</f>
        <v>0.98554816000000001</v>
      </c>
      <c r="H2441">
        <f>_xll.BDP("FNDD2626 Mtge","MTG_WAL")</f>
        <v>3.1924000000000001</v>
      </c>
      <c r="I2441" t="str">
        <f>_xll.BDP("FNDD2626 Mtge","MTG_ORIG_WAL")</f>
        <v>#N/A N/A</v>
      </c>
    </row>
    <row r="2442" spans="1:9" x14ac:dyDescent="0.25">
      <c r="A2442" t="str">
        <f>_xll.BDP("FNDD2634 Mtge","ID_CUSIP")</f>
        <v>3140B24U5</v>
      </c>
      <c r="B2442" t="str">
        <f>_xll.BDP("FNDD2634 Mtge","SECURITY_NAME")</f>
        <v>FN DD2634</v>
      </c>
      <c r="C2442" t="str">
        <f>_xll.BDP("FNDD2634 Mtge","GENERIC_TICKER_VINTAGE")</f>
        <v>FNCL 6 2025</v>
      </c>
      <c r="D2442" t="str">
        <f>_xll.BDP("FNDD2634 Mtge","CRNCY")</f>
        <v>USD</v>
      </c>
      <c r="E2442">
        <v>1158350</v>
      </c>
      <c r="F2442">
        <f>_xll.BDP("FNDD2634 Mtge","CPN")</f>
        <v>6</v>
      </c>
      <c r="G2442">
        <f>_xll.BDP("FNDD2634 Mtge","MTG_FACTOR")</f>
        <v>0.81663129999999995</v>
      </c>
      <c r="H2442">
        <f>_xll.BDP("FNDD2634 Mtge","MTG_WAL")</f>
        <v>3.1595</v>
      </c>
      <c r="I2442" t="str">
        <f>_xll.BDP("FNDD2634 Mtge","MTG_ORIG_WAL")</f>
        <v>#N/A N/A</v>
      </c>
    </row>
    <row r="2443" spans="1:9" x14ac:dyDescent="0.25">
      <c r="A2443" t="str">
        <f>_xll.BDP("FNDD2653 Mtge","ID_CUSIP")</f>
        <v>3140B25P5</v>
      </c>
      <c r="B2443" t="str">
        <f>_xll.BDP("FNDD2653 Mtge","SECURITY_NAME")</f>
        <v>FN DD2653</v>
      </c>
      <c r="C2443" t="str">
        <f>_xll.BDP("FNDD2653 Mtge","GENERIC_TICKER_VINTAGE")</f>
        <v>FNCL 6 2025</v>
      </c>
      <c r="D2443" t="str">
        <f>_xll.BDP("FNDD2653 Mtge","CRNCY")</f>
        <v>USD</v>
      </c>
      <c r="E2443">
        <v>9152475</v>
      </c>
      <c r="F2443">
        <f>_xll.BDP("FNDD2653 Mtge","CPN")</f>
        <v>6</v>
      </c>
      <c r="G2443">
        <f>_xll.BDP("FNDD2653 Mtge","MTG_FACTOR")</f>
        <v>0.86306214999999997</v>
      </c>
      <c r="H2443">
        <f>_xll.BDP("FNDD2653 Mtge","MTG_WAL")</f>
        <v>3.2473000000000001</v>
      </c>
      <c r="I2443" t="str">
        <f>_xll.BDP("FNDD2653 Mtge","MTG_ORIG_WAL")</f>
        <v>#N/A N/A</v>
      </c>
    </row>
    <row r="2444" spans="1:9" x14ac:dyDescent="0.25">
      <c r="A2444" t="str">
        <f>_xll.BDP("FNDD2657 Mtge","ID_CUSIP")</f>
        <v>3140B25T7</v>
      </c>
      <c r="B2444" t="str">
        <f>_xll.BDP("FNDD2657 Mtge","SECURITY_NAME")</f>
        <v>FN DD2657</v>
      </c>
      <c r="C2444" t="str">
        <f>_xll.BDP("FNDD2657 Mtge","GENERIC_TICKER_VINTAGE")</f>
        <v>FNCL 6 2025</v>
      </c>
      <c r="D2444" t="str">
        <f>_xll.BDP("FNDD2657 Mtge","CRNCY")</f>
        <v>USD</v>
      </c>
      <c r="E2444">
        <v>2571145</v>
      </c>
      <c r="F2444">
        <f>_xll.BDP("FNDD2657 Mtge","CPN")</f>
        <v>6</v>
      </c>
      <c r="G2444">
        <f>_xll.BDP("FNDD2657 Mtge","MTG_FACTOR")</f>
        <v>0.98723132999999996</v>
      </c>
      <c r="H2444">
        <f>_xll.BDP("FNDD2657 Mtge","MTG_WAL")</f>
        <v>3.2021000000000002</v>
      </c>
      <c r="I2444" t="str">
        <f>_xll.BDP("FNDD2657 Mtge","MTG_ORIG_WAL")</f>
        <v>#N/A N/A</v>
      </c>
    </row>
    <row r="2445" spans="1:9" x14ac:dyDescent="0.25">
      <c r="A2445" t="str">
        <f>_xll.BDP("FNDD2659 Mtge","ID_CUSIP")</f>
        <v>3140B25V2</v>
      </c>
      <c r="B2445" t="str">
        <f>_xll.BDP("FNDD2659 Mtge","SECURITY_NAME")</f>
        <v>FN DD2659</v>
      </c>
      <c r="C2445" t="str">
        <f>_xll.BDP("FNDD2659 Mtge","GENERIC_TICKER_VINTAGE")</f>
        <v>FNCL 6 2025</v>
      </c>
      <c r="D2445" t="str">
        <f>_xll.BDP("FNDD2659 Mtge","CRNCY")</f>
        <v>USD</v>
      </c>
      <c r="E2445">
        <v>1859461</v>
      </c>
      <c r="F2445">
        <f>_xll.BDP("FNDD2659 Mtge","CPN")</f>
        <v>6</v>
      </c>
      <c r="G2445">
        <f>_xll.BDP("FNDD2659 Mtge","MTG_FACTOR")</f>
        <v>0.98926775</v>
      </c>
      <c r="H2445">
        <f>_xll.BDP("FNDD2659 Mtge","MTG_WAL")</f>
        <v>3.2035999999999998</v>
      </c>
      <c r="I2445" t="str">
        <f>_xll.BDP("FNDD2659 Mtge","MTG_ORIG_WAL")</f>
        <v>#N/A N/A</v>
      </c>
    </row>
    <row r="2446" spans="1:9" x14ac:dyDescent="0.25">
      <c r="A2446" t="str">
        <f>_xll.BDP("FNDD2660 Mtge","ID_CUSIP")</f>
        <v>3140B25W0</v>
      </c>
      <c r="B2446" t="str">
        <f>_xll.BDP("FNDD2660 Mtge","SECURITY_NAME")</f>
        <v>FN DD2660</v>
      </c>
      <c r="C2446" t="str">
        <f>_xll.BDP("FNDD2660 Mtge","GENERIC_TICKER_VINTAGE")</f>
        <v>FNCL 6 2025</v>
      </c>
      <c r="D2446" t="str">
        <f>_xll.BDP("FNDD2660 Mtge","CRNCY")</f>
        <v>USD</v>
      </c>
      <c r="E2446">
        <v>1314987</v>
      </c>
      <c r="F2446">
        <f>_xll.BDP("FNDD2660 Mtge","CPN")</f>
        <v>6</v>
      </c>
      <c r="G2446">
        <f>_xll.BDP("FNDD2660 Mtge","MTG_FACTOR")</f>
        <v>0.86553835999999995</v>
      </c>
      <c r="H2446">
        <f>_xll.BDP("FNDD2660 Mtge","MTG_WAL")</f>
        <v>3.2006999999999999</v>
      </c>
      <c r="I2446" t="str">
        <f>_xll.BDP("FNDD2660 Mtge","MTG_ORIG_WAL")</f>
        <v>#N/A N/A</v>
      </c>
    </row>
    <row r="2447" spans="1:9" x14ac:dyDescent="0.25">
      <c r="A2447" t="str">
        <f>_xll.BDP("FNDD2677 Mtge","ID_CUSIP")</f>
        <v>3140B26P4</v>
      </c>
      <c r="B2447" t="str">
        <f>_xll.BDP("FNDD2677 Mtge","SECURITY_NAME")</f>
        <v>FN DD2677</v>
      </c>
      <c r="C2447" t="str">
        <f>_xll.BDP("FNDD2677 Mtge","GENERIC_TICKER_VINTAGE")</f>
        <v>FNCL 6 2025</v>
      </c>
      <c r="D2447" t="str">
        <f>_xll.BDP("FNDD2677 Mtge","CRNCY")</f>
        <v>USD</v>
      </c>
      <c r="E2447">
        <v>2195995</v>
      </c>
      <c r="F2447">
        <f>_xll.BDP("FNDD2677 Mtge","CPN")</f>
        <v>6</v>
      </c>
      <c r="G2447">
        <f>_xll.BDP("FNDD2677 Mtge","MTG_FACTOR")</f>
        <v>0.99099464000000004</v>
      </c>
      <c r="H2447">
        <f>_xll.BDP("FNDD2677 Mtge","MTG_WAL")</f>
        <v>3.2498</v>
      </c>
      <c r="I2447" t="str">
        <f>_xll.BDP("FNDD2677 Mtge","MTG_ORIG_WAL")</f>
        <v>#N/A N/A</v>
      </c>
    </row>
    <row r="2448" spans="1:9" x14ac:dyDescent="0.25">
      <c r="A2448" t="str">
        <f>_xll.BDP("FNDD2681 Mtge","ID_CUSIP")</f>
        <v>3140B26T6</v>
      </c>
      <c r="B2448" t="str">
        <f>_xll.BDP("FNDD2681 Mtge","SECURITY_NAME")</f>
        <v>FN DD2681</v>
      </c>
      <c r="C2448" t="str">
        <f>_xll.BDP("FNDD2681 Mtge","GENERIC_TICKER_VINTAGE")</f>
        <v>FNCL 6 2025</v>
      </c>
      <c r="D2448" t="str">
        <f>_xll.BDP("FNDD2681 Mtge","CRNCY")</f>
        <v>USD</v>
      </c>
      <c r="E2448">
        <v>1279128</v>
      </c>
      <c r="F2448">
        <f>_xll.BDP("FNDD2681 Mtge","CPN")</f>
        <v>6</v>
      </c>
      <c r="G2448">
        <f>_xll.BDP("FNDD2681 Mtge","MTG_FACTOR")</f>
        <v>0.81566483999999995</v>
      </c>
      <c r="H2448">
        <f>_xll.BDP("FNDD2681 Mtge","MTG_WAL")</f>
        <v>3.2847</v>
      </c>
      <c r="I2448" t="str">
        <f>_xll.BDP("FNDD2681 Mtge","MTG_ORIG_WAL")</f>
        <v>#N/A N/A</v>
      </c>
    </row>
    <row r="2449" spans="1:9" x14ac:dyDescent="0.25">
      <c r="A2449" t="str">
        <f>_xll.BDP("FNDD2682 Mtge","ID_CUSIP")</f>
        <v>3140B26U3</v>
      </c>
      <c r="B2449" t="str">
        <f>_xll.BDP("FNDD2682 Mtge","SECURITY_NAME")</f>
        <v>FN DD2682</v>
      </c>
      <c r="C2449" t="str">
        <f>_xll.BDP("FNDD2682 Mtge","GENERIC_TICKER_VINTAGE")</f>
        <v>FNCL 6 2025</v>
      </c>
      <c r="D2449" t="str">
        <f>_xll.BDP("FNDD2682 Mtge","CRNCY")</f>
        <v>USD</v>
      </c>
      <c r="E2449">
        <v>1539808</v>
      </c>
      <c r="F2449">
        <f>_xll.BDP("FNDD2682 Mtge","CPN")</f>
        <v>6</v>
      </c>
      <c r="G2449">
        <f>_xll.BDP("FNDD2682 Mtge","MTG_FACTOR")</f>
        <v>0.87737818999999995</v>
      </c>
      <c r="H2449">
        <f>_xll.BDP("FNDD2682 Mtge","MTG_WAL")</f>
        <v>3.2443</v>
      </c>
      <c r="I2449" t="str">
        <f>_xll.BDP("FNDD2682 Mtge","MTG_ORIG_WAL")</f>
        <v>#N/A N/A</v>
      </c>
    </row>
    <row r="2450" spans="1:9" x14ac:dyDescent="0.25">
      <c r="A2450" t="str">
        <f>_xll.BDP("FNDD2683 Mtge","ID_CUSIP")</f>
        <v>3140B26V1</v>
      </c>
      <c r="B2450" t="str">
        <f>_xll.BDP("FNDD2683 Mtge","SECURITY_NAME")</f>
        <v>FN DD2683</v>
      </c>
      <c r="C2450" t="str">
        <f>_xll.BDP("FNDD2683 Mtge","GENERIC_TICKER_VINTAGE")</f>
        <v>FNCL 6 2025</v>
      </c>
      <c r="D2450" t="str">
        <f>_xll.BDP("FNDD2683 Mtge","CRNCY")</f>
        <v>USD</v>
      </c>
      <c r="E2450">
        <v>1295328</v>
      </c>
      <c r="F2450">
        <f>_xll.BDP("FNDD2683 Mtge","CPN")</f>
        <v>6</v>
      </c>
      <c r="G2450">
        <f>_xll.BDP("FNDD2683 Mtge","MTG_FACTOR")</f>
        <v>0.92538169000000003</v>
      </c>
      <c r="H2450">
        <f>_xll.BDP("FNDD2683 Mtge","MTG_WAL")</f>
        <v>3.2313000000000001</v>
      </c>
      <c r="I2450" t="str">
        <f>_xll.BDP("FNDD2683 Mtge","MTG_ORIG_WAL")</f>
        <v>#N/A N/A</v>
      </c>
    </row>
    <row r="2451" spans="1:9" x14ac:dyDescent="0.25">
      <c r="A2451" t="str">
        <f>_xll.BDP("FNDD2684 Mtge","ID_CUSIP")</f>
        <v>3140B26W9</v>
      </c>
      <c r="B2451" t="str">
        <f>_xll.BDP("FNDD2684 Mtge","SECURITY_NAME")</f>
        <v>FN DD2684</v>
      </c>
      <c r="C2451" t="str">
        <f>_xll.BDP("FNDD2684 Mtge","GENERIC_TICKER_VINTAGE")</f>
        <v>FNCL 6 2025</v>
      </c>
      <c r="D2451" t="str">
        <f>_xll.BDP("FNDD2684 Mtge","CRNCY")</f>
        <v>USD</v>
      </c>
      <c r="E2451">
        <v>1134246</v>
      </c>
      <c r="F2451">
        <f>_xll.BDP("FNDD2684 Mtge","CPN")</f>
        <v>6</v>
      </c>
      <c r="G2451">
        <f>_xll.BDP("FNDD2684 Mtge","MTG_FACTOR")</f>
        <v>0.98934622000000005</v>
      </c>
      <c r="H2451">
        <f>_xll.BDP("FNDD2684 Mtge","MTG_WAL")</f>
        <v>3.2919999999999998</v>
      </c>
      <c r="I2451" t="str">
        <f>_xll.BDP("FNDD2684 Mtge","MTG_ORIG_WAL")</f>
        <v>#N/A N/A</v>
      </c>
    </row>
    <row r="2452" spans="1:9" x14ac:dyDescent="0.25">
      <c r="A2452" t="str">
        <f>_xll.BDP("FNDD2688 Mtge","ID_CUSIP")</f>
        <v>3140B27A6</v>
      </c>
      <c r="B2452" t="str">
        <f>_xll.BDP("FNDD2688 Mtge","SECURITY_NAME")</f>
        <v>FN DD2688</v>
      </c>
      <c r="C2452" t="str">
        <f>_xll.BDP("FNDD2688 Mtge","GENERIC_TICKER_VINTAGE")</f>
        <v>FNCL 6 2025</v>
      </c>
      <c r="D2452" t="str">
        <f>_xll.BDP("FNDD2688 Mtge","CRNCY")</f>
        <v>USD</v>
      </c>
      <c r="E2452">
        <v>1299004</v>
      </c>
      <c r="F2452">
        <f>_xll.BDP("FNDD2688 Mtge","CPN")</f>
        <v>6</v>
      </c>
      <c r="G2452">
        <f>_xll.BDP("FNDD2688 Mtge","MTG_FACTOR")</f>
        <v>0.94459852</v>
      </c>
      <c r="H2452">
        <f>_xll.BDP("FNDD2688 Mtge","MTG_WAL")</f>
        <v>3.2483</v>
      </c>
      <c r="I2452" t="str">
        <f>_xll.BDP("FNDD2688 Mtge","MTG_ORIG_WAL")</f>
        <v>#N/A N/A</v>
      </c>
    </row>
    <row r="2453" spans="1:9" x14ac:dyDescent="0.25">
      <c r="A2453" t="str">
        <f>_xll.BDP("FNDD2748 Mtge","ID_CUSIP")</f>
        <v>3140B3BS0</v>
      </c>
      <c r="B2453" t="str">
        <f>_xll.BDP("FNDD2748 Mtge","SECURITY_NAME")</f>
        <v>FN DD2748</v>
      </c>
      <c r="C2453" t="str">
        <f>_xll.BDP("FNDD2748 Mtge","GENERIC_TICKER_VINTAGE")</f>
        <v>FNCL 6 2025</v>
      </c>
      <c r="D2453" t="str">
        <f>_xll.BDP("FNDD2748 Mtge","CRNCY")</f>
        <v>USD</v>
      </c>
      <c r="E2453">
        <v>1113089</v>
      </c>
      <c r="F2453">
        <f>_xll.BDP("FNDD2748 Mtge","CPN")</f>
        <v>6</v>
      </c>
      <c r="G2453">
        <f>_xll.BDP("FNDD2748 Mtge","MTG_FACTOR")</f>
        <v>0.98448409000000003</v>
      </c>
      <c r="H2453">
        <f>_xll.BDP("FNDD2748 Mtge","MTG_WAL")</f>
        <v>3.1534</v>
      </c>
      <c r="I2453" t="str">
        <f>_xll.BDP("FNDD2748 Mtge","MTG_ORIG_WAL")</f>
        <v>#N/A N/A</v>
      </c>
    </row>
    <row r="2454" spans="1:9" x14ac:dyDescent="0.25">
      <c r="A2454" t="str">
        <f>_xll.BDP("FNDD2749 Mtge","ID_CUSIP")</f>
        <v>3140B3BT8</v>
      </c>
      <c r="B2454" t="str">
        <f>_xll.BDP("FNDD2749 Mtge","SECURITY_NAME")</f>
        <v>FN DD2749</v>
      </c>
      <c r="C2454" t="str">
        <f>_xll.BDP("FNDD2749 Mtge","GENERIC_TICKER_VINTAGE")</f>
        <v>FNCL 6 2025</v>
      </c>
      <c r="D2454" t="str">
        <f>_xll.BDP("FNDD2749 Mtge","CRNCY")</f>
        <v>USD</v>
      </c>
      <c r="E2454">
        <v>1527626</v>
      </c>
      <c r="F2454">
        <f>_xll.BDP("FNDD2749 Mtge","CPN")</f>
        <v>6</v>
      </c>
      <c r="G2454">
        <f>_xll.BDP("FNDD2749 Mtge","MTG_FACTOR")</f>
        <v>0.99041782</v>
      </c>
      <c r="H2454">
        <f>_xll.BDP("FNDD2749 Mtge","MTG_WAL")</f>
        <v>3.2479</v>
      </c>
      <c r="I2454" t="str">
        <f>_xll.BDP("FNDD2749 Mtge","MTG_ORIG_WAL")</f>
        <v>#N/A N/A</v>
      </c>
    </row>
    <row r="2455" spans="1:9" x14ac:dyDescent="0.25">
      <c r="A2455" t="str">
        <f>_xll.BDP("FNDD2751 Mtge","ID_CUSIP")</f>
        <v>3140B3BV3</v>
      </c>
      <c r="B2455" t="str">
        <f>_xll.BDP("FNDD2751 Mtge","SECURITY_NAME")</f>
        <v>FN DD2751</v>
      </c>
      <c r="C2455" t="str">
        <f>_xll.BDP("FNDD2751 Mtge","GENERIC_TICKER_VINTAGE")</f>
        <v>FNCL 6 2025</v>
      </c>
      <c r="D2455" t="str">
        <f>_xll.BDP("FNDD2751 Mtge","CRNCY")</f>
        <v>USD</v>
      </c>
      <c r="E2455">
        <v>1076415</v>
      </c>
      <c r="F2455">
        <f>_xll.BDP("FNDD2751 Mtge","CPN")</f>
        <v>6</v>
      </c>
      <c r="G2455">
        <f>_xll.BDP("FNDD2751 Mtge","MTG_FACTOR")</f>
        <v>0.99147489</v>
      </c>
      <c r="H2455">
        <f>_xll.BDP("FNDD2751 Mtge","MTG_WAL")</f>
        <v>3.2966000000000002</v>
      </c>
      <c r="I2455" t="str">
        <f>_xll.BDP("FNDD2751 Mtge","MTG_ORIG_WAL")</f>
        <v>#N/A N/A</v>
      </c>
    </row>
    <row r="2456" spans="1:9" x14ac:dyDescent="0.25">
      <c r="A2456" t="str">
        <f>_xll.BDP("FNDD2760 Mtge","ID_CUSIP")</f>
        <v>3140B3B68</v>
      </c>
      <c r="B2456" t="str">
        <f>_xll.BDP("FNDD2760 Mtge","SECURITY_NAME")</f>
        <v>FN DD2760</v>
      </c>
      <c r="C2456" t="str">
        <f>_xll.BDP("FNDD2760 Mtge","GENERIC_TICKER_VINTAGE")</f>
        <v>FNCL 6 2025</v>
      </c>
      <c r="D2456" t="str">
        <f>_xll.BDP("FNDD2760 Mtge","CRNCY")</f>
        <v>USD</v>
      </c>
      <c r="E2456">
        <v>9215604</v>
      </c>
      <c r="F2456">
        <f>_xll.BDP("FNDD2760 Mtge","CPN")</f>
        <v>6</v>
      </c>
      <c r="G2456">
        <f>_xll.BDP("FNDD2760 Mtge","MTG_FACTOR")</f>
        <v>0.94442216000000001</v>
      </c>
      <c r="H2456">
        <f>_xll.BDP("FNDD2760 Mtge","MTG_WAL")</f>
        <v>3.2406000000000001</v>
      </c>
      <c r="I2456" t="str">
        <f>_xll.BDP("FNDD2760 Mtge","MTG_ORIG_WAL")</f>
        <v>#N/A N/A</v>
      </c>
    </row>
    <row r="2457" spans="1:9" x14ac:dyDescent="0.25">
      <c r="A2457" t="str">
        <f>_xll.BDP("FNDD2767 Mtge","ID_CUSIP")</f>
        <v>3140B3CD2</v>
      </c>
      <c r="B2457" t="str">
        <f>_xll.BDP("FNDD2767 Mtge","SECURITY_NAME")</f>
        <v>FN DD2767</v>
      </c>
      <c r="C2457" t="str">
        <f>_xll.BDP("FNDD2767 Mtge","GENERIC_TICKER_VINTAGE")</f>
        <v>FNCL 6 2025</v>
      </c>
      <c r="D2457" t="str">
        <f>_xll.BDP("FNDD2767 Mtge","CRNCY")</f>
        <v>USD</v>
      </c>
      <c r="E2457">
        <v>4633951</v>
      </c>
      <c r="F2457">
        <f>_xll.BDP("FNDD2767 Mtge","CPN")</f>
        <v>6</v>
      </c>
      <c r="G2457">
        <f>_xll.BDP("FNDD2767 Mtge","MTG_FACTOR")</f>
        <v>0.99041716000000002</v>
      </c>
      <c r="H2457">
        <f>_xll.BDP("FNDD2767 Mtge","MTG_WAL")</f>
        <v>3.2959000000000001</v>
      </c>
      <c r="I2457" t="str">
        <f>_xll.BDP("FNDD2767 Mtge","MTG_ORIG_WAL")</f>
        <v>#N/A N/A</v>
      </c>
    </row>
    <row r="2458" spans="1:9" x14ac:dyDescent="0.25">
      <c r="A2458" t="str">
        <f>_xll.BDP("FNDD2770 Mtge","ID_CUSIP")</f>
        <v>3140B3CG5</v>
      </c>
      <c r="B2458" t="str">
        <f>_xll.BDP("FNDD2770 Mtge","SECURITY_NAME")</f>
        <v>FN DD2770</v>
      </c>
      <c r="C2458" t="str">
        <f>_xll.BDP("FNDD2770 Mtge","GENERIC_TICKER_VINTAGE")</f>
        <v>FNCL 6 2025</v>
      </c>
      <c r="D2458" t="str">
        <f>_xll.BDP("FNDD2770 Mtge","CRNCY")</f>
        <v>USD</v>
      </c>
      <c r="E2458">
        <v>2030650</v>
      </c>
      <c r="F2458">
        <f>_xll.BDP("FNDD2770 Mtge","CPN")</f>
        <v>6</v>
      </c>
      <c r="G2458">
        <f>_xll.BDP("FNDD2770 Mtge","MTG_FACTOR")</f>
        <v>0.99130695000000002</v>
      </c>
      <c r="H2458">
        <f>_xll.BDP("FNDD2770 Mtge","MTG_WAL")</f>
        <v>3.2970000000000002</v>
      </c>
      <c r="I2458" t="str">
        <f>_xll.BDP("FNDD2770 Mtge","MTG_ORIG_WAL")</f>
        <v>#N/A N/A</v>
      </c>
    </row>
    <row r="2459" spans="1:9" x14ac:dyDescent="0.25">
      <c r="A2459" t="str">
        <f>_xll.BDP("FNDD2793 Mtge","ID_CUSIP")</f>
        <v>3140B3C75</v>
      </c>
      <c r="B2459" t="str">
        <f>_xll.BDP("FNDD2793 Mtge","SECURITY_NAME")</f>
        <v>FN DD2793</v>
      </c>
      <c r="C2459" t="str">
        <f>_xll.BDP("FNDD2793 Mtge","GENERIC_TICKER_VINTAGE")</f>
        <v>FNCL 6 2025</v>
      </c>
      <c r="D2459" t="str">
        <f>_xll.BDP("FNDD2793 Mtge","CRNCY")</f>
        <v>USD</v>
      </c>
      <c r="E2459">
        <v>1274619</v>
      </c>
      <c r="F2459">
        <f>_xll.BDP("FNDD2793 Mtge","CPN")</f>
        <v>6</v>
      </c>
      <c r="G2459">
        <f>_xll.BDP("FNDD2793 Mtge","MTG_FACTOR")</f>
        <v>0.99227615000000002</v>
      </c>
      <c r="H2459">
        <f>_xll.BDP("FNDD2793 Mtge","MTG_WAL")</f>
        <v>3.2966000000000002</v>
      </c>
      <c r="I2459" t="str">
        <f>_xll.BDP("FNDD2793 Mtge","MTG_ORIG_WAL")</f>
        <v>#N/A N/A</v>
      </c>
    </row>
    <row r="2460" spans="1:9" x14ac:dyDescent="0.25">
      <c r="A2460" t="str">
        <f>_xll.BDP("FNDD2796 Mtge","ID_CUSIP")</f>
        <v>3140B3DA7</v>
      </c>
      <c r="B2460" t="str">
        <f>_xll.BDP("FNDD2796 Mtge","SECURITY_NAME")</f>
        <v>FN DD2796</v>
      </c>
      <c r="C2460" t="str">
        <f>_xll.BDP("FNDD2796 Mtge","GENERIC_TICKER_VINTAGE")</f>
        <v>FNCL 6 2025</v>
      </c>
      <c r="D2460" t="str">
        <f>_xll.BDP("FNDD2796 Mtge","CRNCY")</f>
        <v>USD</v>
      </c>
      <c r="E2460">
        <v>9841795</v>
      </c>
      <c r="F2460">
        <f>_xll.BDP("FNDD2796 Mtge","CPN")</f>
        <v>6</v>
      </c>
      <c r="G2460">
        <f>_xll.BDP("FNDD2796 Mtge","MTG_FACTOR")</f>
        <v>0.87776361999999997</v>
      </c>
      <c r="H2460">
        <f>_xll.BDP("FNDD2796 Mtge","MTG_WAL")</f>
        <v>3.2923</v>
      </c>
      <c r="I2460" t="str">
        <f>_xll.BDP("FNDD2796 Mtge","MTG_ORIG_WAL")</f>
        <v>#N/A N/A</v>
      </c>
    </row>
    <row r="2461" spans="1:9" x14ac:dyDescent="0.25">
      <c r="A2461" t="str">
        <f>_xll.BDP("FNDD2799 Mtge","ID_CUSIP")</f>
        <v>3140B3DD1</v>
      </c>
      <c r="B2461" t="str">
        <f>_xll.BDP("FNDD2799 Mtge","SECURITY_NAME")</f>
        <v>FN DD2799</v>
      </c>
      <c r="C2461" t="str">
        <f>_xll.BDP("FNDD2799 Mtge","GENERIC_TICKER_VINTAGE")</f>
        <v>FNCL 6 2025</v>
      </c>
      <c r="D2461" t="str">
        <f>_xll.BDP("FNDD2799 Mtge","CRNCY")</f>
        <v>USD</v>
      </c>
      <c r="E2461">
        <v>1001500</v>
      </c>
      <c r="F2461">
        <f>_xll.BDP("FNDD2799 Mtge","CPN")</f>
        <v>6</v>
      </c>
      <c r="G2461">
        <f>_xll.BDP("FNDD2799 Mtge","MTG_FACTOR")</f>
        <v>0.99214148000000002</v>
      </c>
      <c r="H2461">
        <f>_xll.BDP("FNDD2799 Mtge","MTG_WAL")</f>
        <v>3.2945000000000002</v>
      </c>
      <c r="I2461" t="str">
        <f>_xll.BDP("FNDD2799 Mtge","MTG_ORIG_WAL")</f>
        <v>#N/A N/A</v>
      </c>
    </row>
    <row r="2462" spans="1:9" x14ac:dyDescent="0.25">
      <c r="A2462" t="str">
        <f>_xll.BDP("FNDD2845 Mtge","ID_CUSIP")</f>
        <v>3140B3ET5</v>
      </c>
      <c r="B2462" t="str">
        <f>_xll.BDP("FNDD2845 Mtge","SECURITY_NAME")</f>
        <v>FN DD2845</v>
      </c>
      <c r="C2462" t="str">
        <f>_xll.BDP("FNDD2845 Mtge","GENERIC_TICKER_VINTAGE")</f>
        <v>FNCL 6 2025</v>
      </c>
      <c r="D2462" t="str">
        <f>_xll.BDP("FNDD2845 Mtge","CRNCY")</f>
        <v>USD</v>
      </c>
      <c r="E2462">
        <v>1289900</v>
      </c>
      <c r="F2462">
        <f>_xll.BDP("FNDD2845 Mtge","CPN")</f>
        <v>6</v>
      </c>
      <c r="G2462">
        <f>_xll.BDP("FNDD2845 Mtge","MTG_FACTOR")</f>
        <v>0.72366863000000003</v>
      </c>
      <c r="H2462">
        <f>_xll.BDP("FNDD2845 Mtge","MTG_WAL")</f>
        <v>3.3449</v>
      </c>
      <c r="I2462" t="str">
        <f>_xll.BDP("FNDD2845 Mtge","MTG_ORIG_WAL")</f>
        <v>#N/A N/A</v>
      </c>
    </row>
    <row r="2463" spans="1:9" x14ac:dyDescent="0.25">
      <c r="A2463" t="str">
        <f>_xll.BDP("FNDD2852 Mtge","ID_CUSIP")</f>
        <v>3140B3E24</v>
      </c>
      <c r="B2463" t="str">
        <f>_xll.BDP("FNDD2852 Mtge","SECURITY_NAME")</f>
        <v>FN DD2852</v>
      </c>
      <c r="C2463" t="str">
        <f>_xll.BDP("FNDD2852 Mtge","GENERIC_TICKER_VINTAGE")</f>
        <v>FNCL 6 2025</v>
      </c>
      <c r="D2463" t="str">
        <f>_xll.BDP("FNDD2852 Mtge","CRNCY")</f>
        <v>USD</v>
      </c>
      <c r="E2463">
        <v>1553227</v>
      </c>
      <c r="F2463">
        <f>_xll.BDP("FNDD2852 Mtge","CPN")</f>
        <v>6</v>
      </c>
      <c r="G2463">
        <f>_xll.BDP("FNDD2852 Mtge","MTG_FACTOR")</f>
        <v>0.98586501999999998</v>
      </c>
      <c r="H2463">
        <f>_xll.BDP("FNDD2852 Mtge","MTG_WAL")</f>
        <v>3.1597</v>
      </c>
      <c r="I2463" t="str">
        <f>_xll.BDP("FNDD2852 Mtge","MTG_ORIG_WAL")</f>
        <v>#N/A N/A</v>
      </c>
    </row>
    <row r="2464" spans="1:9" x14ac:dyDescent="0.25">
      <c r="A2464" t="str">
        <f>_xll.BDP("FNDD2853 Mtge","ID_CUSIP")</f>
        <v>3140B3E32</v>
      </c>
      <c r="B2464" t="str">
        <f>_xll.BDP("FNDD2853 Mtge","SECURITY_NAME")</f>
        <v>FN DD2853</v>
      </c>
      <c r="C2464" t="str">
        <f>_xll.BDP("FNDD2853 Mtge","GENERIC_TICKER_VINTAGE")</f>
        <v>FNCL 6 2025</v>
      </c>
      <c r="D2464" t="str">
        <f>_xll.BDP("FNDD2853 Mtge","CRNCY")</f>
        <v>USD</v>
      </c>
      <c r="E2464">
        <v>3025202</v>
      </c>
      <c r="F2464">
        <f>_xll.BDP("FNDD2853 Mtge","CPN")</f>
        <v>6</v>
      </c>
      <c r="G2464">
        <f>_xll.BDP("FNDD2853 Mtge","MTG_FACTOR")</f>
        <v>0.98739246999999997</v>
      </c>
      <c r="H2464">
        <f>_xll.BDP("FNDD2853 Mtge","MTG_WAL")</f>
        <v>3.1606999999999998</v>
      </c>
      <c r="I2464" t="str">
        <f>_xll.BDP("FNDD2853 Mtge","MTG_ORIG_WAL")</f>
        <v>#N/A N/A</v>
      </c>
    </row>
    <row r="2465" spans="1:9" x14ac:dyDescent="0.25">
      <c r="A2465" t="str">
        <f>_xll.BDP("FNDD2857 Mtge","ID_CUSIP")</f>
        <v>3140B3E73</v>
      </c>
      <c r="B2465" t="str">
        <f>_xll.BDP("FNDD2857 Mtge","SECURITY_NAME")</f>
        <v>FN DD2857</v>
      </c>
      <c r="C2465" t="str">
        <f>_xll.BDP("FNDD2857 Mtge","GENERIC_TICKER_VINTAGE")</f>
        <v>FNCL 6 2025</v>
      </c>
      <c r="D2465" t="str">
        <f>_xll.BDP("FNDD2857 Mtge","CRNCY")</f>
        <v>USD</v>
      </c>
      <c r="E2465">
        <v>1134435</v>
      </c>
      <c r="F2465">
        <f>_xll.BDP("FNDD2857 Mtge","CPN")</f>
        <v>6</v>
      </c>
      <c r="G2465">
        <f>_xll.BDP("FNDD2857 Mtge","MTG_FACTOR")</f>
        <v>0.98887263000000003</v>
      </c>
      <c r="H2465">
        <f>_xll.BDP("FNDD2857 Mtge","MTG_WAL")</f>
        <v>3.1634000000000002</v>
      </c>
      <c r="I2465" t="str">
        <f>_xll.BDP("FNDD2857 Mtge","MTG_ORIG_WAL")</f>
        <v>#N/A N/A</v>
      </c>
    </row>
    <row r="2466" spans="1:9" x14ac:dyDescent="0.25">
      <c r="A2466" t="str">
        <f>_xll.BDP("FNDD2863 Mtge","ID_CUSIP")</f>
        <v>3140B3FD9</v>
      </c>
      <c r="B2466" t="str">
        <f>_xll.BDP("FNDD2863 Mtge","SECURITY_NAME")</f>
        <v>FN DD2863</v>
      </c>
      <c r="C2466" t="str">
        <f>_xll.BDP("FNDD2863 Mtge","GENERIC_TICKER_VINTAGE")</f>
        <v>FNCL 6 2025</v>
      </c>
      <c r="D2466" t="str">
        <f>_xll.BDP("FNDD2863 Mtge","CRNCY")</f>
        <v>USD</v>
      </c>
      <c r="E2466">
        <v>2544000</v>
      </c>
      <c r="F2466">
        <f>_xll.BDP("FNDD2863 Mtge","CPN")</f>
        <v>6</v>
      </c>
      <c r="G2466">
        <f>_xll.BDP("FNDD2863 Mtge","MTG_FACTOR")</f>
        <v>0.49682088000000002</v>
      </c>
      <c r="H2466">
        <f>_xll.BDP("FNDD2863 Mtge","MTG_WAL")</f>
        <v>3.1587000000000001</v>
      </c>
      <c r="I2466" t="str">
        <f>_xll.BDP("FNDD2863 Mtge","MTG_ORIG_WAL")</f>
        <v>#N/A N/A</v>
      </c>
    </row>
    <row r="2467" spans="1:9" x14ac:dyDescent="0.25">
      <c r="A2467" t="str">
        <f>_xll.BDP("FNDD2878 Mtge","ID_CUSIP")</f>
        <v>3140B3FU1</v>
      </c>
      <c r="B2467" t="str">
        <f>_xll.BDP("FNDD2878 Mtge","SECURITY_NAME")</f>
        <v>FN DD2878</v>
      </c>
      <c r="C2467" t="str">
        <f>_xll.BDP("FNDD2878 Mtge","GENERIC_TICKER_VINTAGE")</f>
        <v>FNCL 6 2025</v>
      </c>
      <c r="D2467" t="str">
        <f>_xll.BDP("FNDD2878 Mtge","CRNCY")</f>
        <v>USD</v>
      </c>
      <c r="E2467">
        <v>1718016</v>
      </c>
      <c r="F2467">
        <f>_xll.BDP("FNDD2878 Mtge","CPN")</f>
        <v>6</v>
      </c>
      <c r="G2467">
        <f>_xll.BDP("FNDD2878 Mtge","MTG_FACTOR")</f>
        <v>0.50377671999999996</v>
      </c>
      <c r="H2467">
        <f>_xll.BDP("FNDD2878 Mtge","MTG_WAL")</f>
        <v>3.1627999999999998</v>
      </c>
      <c r="I2467" t="str">
        <f>_xll.BDP("FNDD2878 Mtge","MTG_ORIG_WAL")</f>
        <v>#N/A N/A</v>
      </c>
    </row>
    <row r="2468" spans="1:9" x14ac:dyDescent="0.25">
      <c r="A2468" t="str">
        <f>_xll.BDP("FNDD2908 Mtge","ID_CUSIP")</f>
        <v>3140B3GS5</v>
      </c>
      <c r="B2468" t="str">
        <f>_xll.BDP("FNDD2908 Mtge","SECURITY_NAME")</f>
        <v>FN DD2908</v>
      </c>
      <c r="C2468" t="str">
        <f>_xll.BDP("FNDD2908 Mtge","GENERIC_TICKER_VINTAGE")</f>
        <v>FNCL 6 2025</v>
      </c>
      <c r="D2468" t="str">
        <f>_xll.BDP("FNDD2908 Mtge","CRNCY")</f>
        <v>USD</v>
      </c>
      <c r="E2468">
        <v>2004491</v>
      </c>
      <c r="F2468">
        <f>_xll.BDP("FNDD2908 Mtge","CPN")</f>
        <v>6</v>
      </c>
      <c r="G2468">
        <f>_xll.BDP("FNDD2908 Mtge","MTG_FACTOR")</f>
        <v>0.97163843000000005</v>
      </c>
      <c r="H2468">
        <f>_xll.BDP("FNDD2908 Mtge","MTG_WAL")</f>
        <v>3.2014999999999998</v>
      </c>
      <c r="I2468" t="str">
        <f>_xll.BDP("FNDD2908 Mtge","MTG_ORIG_WAL")</f>
        <v>#N/A N/A</v>
      </c>
    </row>
    <row r="2469" spans="1:9" x14ac:dyDescent="0.25">
      <c r="A2469" t="str">
        <f>_xll.BDP("FNDD2909 Mtge","ID_CUSIP")</f>
        <v>3140B3GT3</v>
      </c>
      <c r="B2469" t="str">
        <f>_xll.BDP("FNDD2909 Mtge","SECURITY_NAME")</f>
        <v>FN DD2909</v>
      </c>
      <c r="C2469" t="str">
        <f>_xll.BDP("FNDD2909 Mtge","GENERIC_TICKER_VINTAGE")</f>
        <v>FNCL 6 2025</v>
      </c>
      <c r="D2469" t="str">
        <f>_xll.BDP("FNDD2909 Mtge","CRNCY")</f>
        <v>USD</v>
      </c>
      <c r="E2469">
        <v>4012006</v>
      </c>
      <c r="F2469">
        <f>_xll.BDP("FNDD2909 Mtge","CPN")</f>
        <v>6</v>
      </c>
      <c r="G2469">
        <f>_xll.BDP("FNDD2909 Mtge","MTG_FACTOR")</f>
        <v>0.93702231999999996</v>
      </c>
      <c r="H2469">
        <f>_xll.BDP("FNDD2909 Mtge","MTG_WAL")</f>
        <v>3.2033</v>
      </c>
      <c r="I2469" t="str">
        <f>_xll.BDP("FNDD2909 Mtge","MTG_ORIG_WAL")</f>
        <v>#N/A N/A</v>
      </c>
    </row>
    <row r="2470" spans="1:9" x14ac:dyDescent="0.25">
      <c r="A2470" t="str">
        <f>_xll.BDP("FNDD2910 Mtge","ID_CUSIP")</f>
        <v>3140B3GU0</v>
      </c>
      <c r="B2470" t="str">
        <f>_xll.BDP("FNDD2910 Mtge","SECURITY_NAME")</f>
        <v>FN DD2910</v>
      </c>
      <c r="C2470" t="str">
        <f>_xll.BDP("FNDD2910 Mtge","GENERIC_TICKER_VINTAGE")</f>
        <v>FNCL 6 2025</v>
      </c>
      <c r="D2470" t="str">
        <f>_xll.BDP("FNDD2910 Mtge","CRNCY")</f>
        <v>USD</v>
      </c>
      <c r="E2470">
        <v>1475301</v>
      </c>
      <c r="F2470">
        <f>_xll.BDP("FNDD2910 Mtge","CPN")</f>
        <v>6</v>
      </c>
      <c r="G2470">
        <f>_xll.BDP("FNDD2910 Mtge","MTG_FACTOR")</f>
        <v>0.97474424999999998</v>
      </c>
      <c r="H2470">
        <f>_xll.BDP("FNDD2910 Mtge","MTG_WAL")</f>
        <v>3.1943000000000001</v>
      </c>
      <c r="I2470" t="str">
        <f>_xll.BDP("FNDD2910 Mtge","MTG_ORIG_WAL")</f>
        <v>#N/A N/A</v>
      </c>
    </row>
    <row r="2471" spans="1:9" x14ac:dyDescent="0.25">
      <c r="A2471" t="str">
        <f>_xll.BDP("FNDD2911 Mtge","ID_CUSIP")</f>
        <v>3140B3GV8</v>
      </c>
      <c r="B2471" t="str">
        <f>_xll.BDP("FNDD2911 Mtge","SECURITY_NAME")</f>
        <v>FN DD2911</v>
      </c>
      <c r="C2471" t="str">
        <f>_xll.BDP("FNDD2911 Mtge","GENERIC_TICKER_VINTAGE")</f>
        <v>FNCL 6 2025</v>
      </c>
      <c r="D2471" t="str">
        <f>_xll.BDP("FNDD2911 Mtge","CRNCY")</f>
        <v>USD</v>
      </c>
      <c r="E2471">
        <v>2896468</v>
      </c>
      <c r="F2471">
        <f>_xll.BDP("FNDD2911 Mtge","CPN")</f>
        <v>6</v>
      </c>
      <c r="G2471">
        <f>_xll.BDP("FNDD2911 Mtge","MTG_FACTOR")</f>
        <v>0.98883909000000003</v>
      </c>
      <c r="H2471">
        <f>_xll.BDP("FNDD2911 Mtge","MTG_WAL")</f>
        <v>3.2019000000000002</v>
      </c>
      <c r="I2471" t="str">
        <f>_xll.BDP("FNDD2911 Mtge","MTG_ORIG_WAL")</f>
        <v>#N/A N/A</v>
      </c>
    </row>
    <row r="2472" spans="1:9" x14ac:dyDescent="0.25">
      <c r="A2472" t="str">
        <f>_xll.BDP("FNDD2912 Mtge","ID_CUSIP")</f>
        <v>3140B3GW6</v>
      </c>
      <c r="B2472" t="str">
        <f>_xll.BDP("FNDD2912 Mtge","SECURITY_NAME")</f>
        <v>FN DD2912</v>
      </c>
      <c r="C2472" t="str">
        <f>_xll.BDP("FNDD2912 Mtge","GENERIC_TICKER_VINTAGE")</f>
        <v>FNCL 6 2025</v>
      </c>
      <c r="D2472" t="str">
        <f>_xll.BDP("FNDD2912 Mtge","CRNCY")</f>
        <v>USD</v>
      </c>
      <c r="E2472">
        <v>2827646</v>
      </c>
      <c r="F2472">
        <f>_xll.BDP("FNDD2912 Mtge","CPN")</f>
        <v>6</v>
      </c>
      <c r="G2472">
        <f>_xll.BDP("FNDD2912 Mtge","MTG_FACTOR")</f>
        <v>0.63124857000000001</v>
      </c>
      <c r="H2472">
        <f>_xll.BDP("FNDD2912 Mtge","MTG_WAL")</f>
        <v>3.2052999999999998</v>
      </c>
      <c r="I2472" t="str">
        <f>_xll.BDP("FNDD2912 Mtge","MTG_ORIG_WAL")</f>
        <v>#N/A N/A</v>
      </c>
    </row>
    <row r="2473" spans="1:9" x14ac:dyDescent="0.25">
      <c r="A2473" t="str">
        <f>_xll.BDP("FNDD2949 Mtge","ID_CUSIP")</f>
        <v>3140B3H39</v>
      </c>
      <c r="B2473" t="str">
        <f>_xll.BDP("FNDD2949 Mtge","SECURITY_NAME")</f>
        <v>FN DD2949</v>
      </c>
      <c r="C2473" t="str">
        <f>_xll.BDP("FNDD2949 Mtge","GENERIC_TICKER_VINTAGE")</f>
        <v>FNCL 6 2025</v>
      </c>
      <c r="D2473" t="str">
        <f>_xll.BDP("FNDD2949 Mtge","CRNCY")</f>
        <v>USD</v>
      </c>
      <c r="E2473">
        <v>3268818</v>
      </c>
      <c r="F2473">
        <f>_xll.BDP("FNDD2949 Mtge","CPN")</f>
        <v>6</v>
      </c>
      <c r="G2473">
        <f>_xll.BDP("FNDD2949 Mtge","MTG_FACTOR")</f>
        <v>0.81214673999999998</v>
      </c>
      <c r="H2473">
        <f>_xll.BDP("FNDD2949 Mtge","MTG_WAL")</f>
        <v>3.1608999999999998</v>
      </c>
      <c r="I2473" t="str">
        <f>_xll.BDP("FNDD2949 Mtge","MTG_ORIG_WAL")</f>
        <v>#N/A N/A</v>
      </c>
    </row>
    <row r="2474" spans="1:9" x14ac:dyDescent="0.25">
      <c r="A2474" t="str">
        <f>_xll.BDP("FNDD2951 Mtge","ID_CUSIP")</f>
        <v>3140B3H54</v>
      </c>
      <c r="B2474" t="str">
        <f>_xll.BDP("FNDD2951 Mtge","SECURITY_NAME")</f>
        <v>FN DD2951</v>
      </c>
      <c r="C2474" t="str">
        <f>_xll.BDP("FNDD2951 Mtge","GENERIC_TICKER_VINTAGE")</f>
        <v>FNCL 6 2025</v>
      </c>
      <c r="D2474" t="str">
        <f>_xll.BDP("FNDD2951 Mtge","CRNCY")</f>
        <v>USD</v>
      </c>
      <c r="E2474">
        <v>3777360</v>
      </c>
      <c r="F2474">
        <f>_xll.BDP("FNDD2951 Mtge","CPN")</f>
        <v>6</v>
      </c>
      <c r="G2474">
        <f>_xll.BDP("FNDD2951 Mtge","MTG_FACTOR")</f>
        <v>0.98854408000000005</v>
      </c>
      <c r="H2474">
        <f>_xll.BDP("FNDD2951 Mtge","MTG_WAL")</f>
        <v>3.1627000000000001</v>
      </c>
      <c r="I2474" t="str">
        <f>_xll.BDP("FNDD2951 Mtge","MTG_ORIG_WAL")</f>
        <v>#N/A N/A</v>
      </c>
    </row>
    <row r="2475" spans="1:9" x14ac:dyDescent="0.25">
      <c r="A2475" t="str">
        <f>_xll.BDP("FNDD2952 Mtge","ID_CUSIP")</f>
        <v>3140B3H62</v>
      </c>
      <c r="B2475" t="str">
        <f>_xll.BDP("FNDD2952 Mtge","SECURITY_NAME")</f>
        <v>FN DD2952</v>
      </c>
      <c r="C2475" t="str">
        <f>_xll.BDP("FNDD2952 Mtge","GENERIC_TICKER_VINTAGE")</f>
        <v>FNCL 6 2025</v>
      </c>
      <c r="D2475" t="str">
        <f>_xll.BDP("FNDD2952 Mtge","CRNCY")</f>
        <v>USD</v>
      </c>
      <c r="E2475">
        <v>31781094</v>
      </c>
      <c r="F2475">
        <f>_xll.BDP("FNDD2952 Mtge","CPN")</f>
        <v>6</v>
      </c>
      <c r="G2475">
        <f>_xll.BDP("FNDD2952 Mtge","MTG_FACTOR")</f>
        <v>0.90473400000000004</v>
      </c>
      <c r="H2475">
        <f>_xll.BDP("FNDD2952 Mtge","MTG_WAL")</f>
        <v>3.1541999999999999</v>
      </c>
      <c r="I2475" t="str">
        <f>_xll.BDP("FNDD2952 Mtge","MTG_ORIG_WAL")</f>
        <v>#N/A N/A</v>
      </c>
    </row>
    <row r="2476" spans="1:9" x14ac:dyDescent="0.25">
      <c r="A2476" t="str">
        <f>_xll.BDP("FNDD2986 Mtge","ID_CUSIP")</f>
        <v>3140B3J86</v>
      </c>
      <c r="B2476" t="str">
        <f>_xll.BDP("FNDD2986 Mtge","SECURITY_NAME")</f>
        <v>FN DD2986</v>
      </c>
      <c r="C2476" t="str">
        <f>_xll.BDP("FNDD2986 Mtge","GENERIC_TICKER_VINTAGE")</f>
        <v>FNCL 6 2025</v>
      </c>
      <c r="D2476" t="str">
        <f>_xll.BDP("FNDD2986 Mtge","CRNCY")</f>
        <v>USD</v>
      </c>
      <c r="E2476">
        <v>1811150</v>
      </c>
      <c r="F2476">
        <f>_xll.BDP("FNDD2986 Mtge","CPN")</f>
        <v>6</v>
      </c>
      <c r="G2476">
        <f>_xll.BDP("FNDD2986 Mtge","MTG_FACTOR")</f>
        <v>0.70210773000000004</v>
      </c>
      <c r="H2476">
        <f>_xll.BDP("FNDD2986 Mtge","MTG_WAL")</f>
        <v>3.1615000000000002</v>
      </c>
      <c r="I2476" t="str">
        <f>_xll.BDP("FNDD2986 Mtge","MTG_ORIG_WAL")</f>
        <v>#N/A N/A</v>
      </c>
    </row>
    <row r="2477" spans="1:9" x14ac:dyDescent="0.25">
      <c r="A2477" t="str">
        <f>_xll.BDP("FNDD2987 Mtge","ID_CUSIP")</f>
        <v>3140B3J94</v>
      </c>
      <c r="B2477" t="str">
        <f>_xll.BDP("FNDD2987 Mtge","SECURITY_NAME")</f>
        <v>FN DD2987</v>
      </c>
      <c r="C2477" t="str">
        <f>_xll.BDP("FNDD2987 Mtge","GENERIC_TICKER_VINTAGE")</f>
        <v>FNCL 6 2025</v>
      </c>
      <c r="D2477" t="str">
        <f>_xll.BDP("FNDD2987 Mtge","CRNCY")</f>
        <v>USD</v>
      </c>
      <c r="E2477">
        <v>1012500</v>
      </c>
      <c r="F2477">
        <f>_xll.BDP("FNDD2987 Mtge","CPN")</f>
        <v>6</v>
      </c>
      <c r="G2477">
        <f>_xll.BDP("FNDD2987 Mtge","MTG_FACTOR")</f>
        <v>0.78741404000000004</v>
      </c>
      <c r="H2477">
        <f>_xll.BDP("FNDD2987 Mtge","MTG_WAL")</f>
        <v>3.1486999999999998</v>
      </c>
      <c r="I2477" t="str">
        <f>_xll.BDP("FNDD2987 Mtge","MTG_ORIG_WAL")</f>
        <v>#N/A N/A</v>
      </c>
    </row>
    <row r="2478" spans="1:9" x14ac:dyDescent="0.25">
      <c r="A2478" t="str">
        <f>_xll.BDP("FNDD2988 Mtge","ID_CUSIP")</f>
        <v>3140B3KA9</v>
      </c>
      <c r="B2478" t="str">
        <f>_xll.BDP("FNDD2988 Mtge","SECURITY_NAME")</f>
        <v>FN DD2988</v>
      </c>
      <c r="C2478" t="str">
        <f>_xll.BDP("FNDD2988 Mtge","GENERIC_TICKER_VINTAGE")</f>
        <v>FNCL 6 2025</v>
      </c>
      <c r="D2478" t="str">
        <f>_xll.BDP("FNDD2988 Mtge","CRNCY")</f>
        <v>USD</v>
      </c>
      <c r="E2478">
        <v>1616150</v>
      </c>
      <c r="F2478">
        <f>_xll.BDP("FNDD2988 Mtge","CPN")</f>
        <v>6</v>
      </c>
      <c r="G2478">
        <f>_xll.BDP("FNDD2988 Mtge","MTG_FACTOR")</f>
        <v>0.86488849999999995</v>
      </c>
      <c r="H2478">
        <f>_xll.BDP("FNDD2988 Mtge","MTG_WAL")</f>
        <v>3.1608999999999998</v>
      </c>
      <c r="I2478" t="str">
        <f>_xll.BDP("FNDD2988 Mtge","MTG_ORIG_WAL")</f>
        <v>#N/A N/A</v>
      </c>
    </row>
    <row r="2479" spans="1:9" x14ac:dyDescent="0.25">
      <c r="A2479" t="str">
        <f>_xll.BDP("FNDD2990 Mtge","ID_CUSIP")</f>
        <v>3140B3KC5</v>
      </c>
      <c r="B2479" t="str">
        <f>_xll.BDP("FNDD2990 Mtge","SECURITY_NAME")</f>
        <v>FN DD2990</v>
      </c>
      <c r="C2479" t="str">
        <f>_xll.BDP("FNDD2990 Mtge","GENERIC_TICKER_VINTAGE")</f>
        <v>FNCL 6 2025</v>
      </c>
      <c r="D2479" t="str">
        <f>_xll.BDP("FNDD2990 Mtge","CRNCY")</f>
        <v>USD</v>
      </c>
      <c r="E2479">
        <v>1067600</v>
      </c>
      <c r="F2479">
        <f>_xll.BDP("FNDD2990 Mtge","CPN")</f>
        <v>6</v>
      </c>
      <c r="G2479">
        <f>_xll.BDP("FNDD2990 Mtge","MTG_FACTOR")</f>
        <v>0.98805902999999995</v>
      </c>
      <c r="H2479">
        <f>_xll.BDP("FNDD2990 Mtge","MTG_WAL")</f>
        <v>3.1629999999999998</v>
      </c>
      <c r="I2479" t="str">
        <f>_xll.BDP("FNDD2990 Mtge","MTG_ORIG_WAL")</f>
        <v>#N/A N/A</v>
      </c>
    </row>
    <row r="2480" spans="1:9" x14ac:dyDescent="0.25">
      <c r="A2480" t="str">
        <f>_xll.BDP("FNDD2995 Mtge","ID_CUSIP")</f>
        <v>3140B3KH4</v>
      </c>
      <c r="B2480" t="str">
        <f>_xll.BDP("FNDD2995 Mtge","SECURITY_NAME")</f>
        <v>FN DD2995</v>
      </c>
      <c r="C2480" t="str">
        <f>_xll.BDP("FNDD2995 Mtge","GENERIC_TICKER_VINTAGE")</f>
        <v>FNCL 6 2025</v>
      </c>
      <c r="D2480" t="str">
        <f>_xll.BDP("FNDD2995 Mtge","CRNCY")</f>
        <v>USD</v>
      </c>
      <c r="E2480">
        <v>1363600</v>
      </c>
      <c r="F2480">
        <f>_xll.BDP("FNDD2995 Mtge","CPN")</f>
        <v>6</v>
      </c>
      <c r="G2480">
        <f>_xll.BDP("FNDD2995 Mtge","MTG_FACTOR")</f>
        <v>0.53459162000000005</v>
      </c>
      <c r="H2480">
        <f>_xll.BDP("FNDD2995 Mtge","MTG_WAL")</f>
        <v>3.1456</v>
      </c>
      <c r="I2480" t="str">
        <f>_xll.BDP("FNDD2995 Mtge","MTG_ORIG_WAL")</f>
        <v>#N/A N/A</v>
      </c>
    </row>
    <row r="2481" spans="1:9" x14ac:dyDescent="0.25">
      <c r="A2481" t="str">
        <f>_xll.BDP("FNDD3000 Mtge","ID_CUSIP")</f>
        <v>3140B3KN1</v>
      </c>
      <c r="B2481" t="str">
        <f>_xll.BDP("FNDD3000 Mtge","SECURITY_NAME")</f>
        <v>FN DD3000</v>
      </c>
      <c r="C2481" t="str">
        <f>_xll.BDP("FNDD3000 Mtge","GENERIC_TICKER_VINTAGE")</f>
        <v>FNCL 6 2025</v>
      </c>
      <c r="D2481" t="str">
        <f>_xll.BDP("FNDD3000 Mtge","CRNCY")</f>
        <v>USD</v>
      </c>
      <c r="E2481">
        <v>1036050</v>
      </c>
      <c r="F2481">
        <f>_xll.BDP("FNDD3000 Mtge","CPN")</f>
        <v>6</v>
      </c>
      <c r="G2481">
        <f>_xll.BDP("FNDD3000 Mtge","MTG_FACTOR")</f>
        <v>0.98915799999999998</v>
      </c>
      <c r="H2481">
        <f>_xll.BDP("FNDD3000 Mtge","MTG_WAL")</f>
        <v>3.1656</v>
      </c>
      <c r="I2481" t="str">
        <f>_xll.BDP("FNDD3000 Mtge","MTG_ORIG_WAL")</f>
        <v>#N/A N/A</v>
      </c>
    </row>
    <row r="2482" spans="1:9" x14ac:dyDescent="0.25">
      <c r="A2482" t="str">
        <f>_xll.BDP("FNDD3005 Mtge","ID_CUSIP")</f>
        <v>3140B3KT8</v>
      </c>
      <c r="B2482" t="str">
        <f>_xll.BDP("FNDD3005 Mtge","SECURITY_NAME")</f>
        <v>FN DD3005</v>
      </c>
      <c r="C2482" t="str">
        <f>_xll.BDP("FNDD3005 Mtge","GENERIC_TICKER_VINTAGE")</f>
        <v>FNCL 6 2025</v>
      </c>
      <c r="D2482" t="str">
        <f>_xll.BDP("FNDD3005 Mtge","CRNCY")</f>
        <v>USD</v>
      </c>
      <c r="E2482">
        <v>2399011</v>
      </c>
      <c r="F2482">
        <f>_xll.BDP("FNDD3005 Mtge","CPN")</f>
        <v>6</v>
      </c>
      <c r="G2482">
        <f>_xll.BDP("FNDD3005 Mtge","MTG_FACTOR")</f>
        <v>0.98372433000000004</v>
      </c>
      <c r="H2482">
        <f>_xll.BDP("FNDD3005 Mtge","MTG_WAL")</f>
        <v>3.157</v>
      </c>
      <c r="I2482" t="str">
        <f>_xll.BDP("FNDD3005 Mtge","MTG_ORIG_WAL")</f>
        <v>#N/A N/A</v>
      </c>
    </row>
    <row r="2483" spans="1:9" x14ac:dyDescent="0.25">
      <c r="A2483" t="str">
        <f>_xll.BDP("FNDD3008 Mtge","ID_CUSIP")</f>
        <v>3140B3KW1</v>
      </c>
      <c r="B2483" t="str">
        <f>_xll.BDP("FNDD3008 Mtge","SECURITY_NAME")</f>
        <v>FN DD3008</v>
      </c>
      <c r="C2483" t="str">
        <f>_xll.BDP("FNDD3008 Mtge","GENERIC_TICKER_VINTAGE")</f>
        <v>FNCL 6 2025</v>
      </c>
      <c r="D2483" t="str">
        <f>_xll.BDP("FNDD3008 Mtge","CRNCY")</f>
        <v>USD</v>
      </c>
      <c r="E2483">
        <v>1446447</v>
      </c>
      <c r="F2483">
        <f>_xll.BDP("FNDD3008 Mtge","CPN")</f>
        <v>6</v>
      </c>
      <c r="G2483">
        <f>_xll.BDP("FNDD3008 Mtge","MTG_FACTOR")</f>
        <v>0.20858961000000001</v>
      </c>
      <c r="H2483">
        <f>_xll.BDP("FNDD3008 Mtge","MTG_WAL")</f>
        <v>3.1661999999999999</v>
      </c>
      <c r="I2483" t="str">
        <f>_xll.BDP("FNDD3008 Mtge","MTG_ORIG_WAL")</f>
        <v>#N/A N/A</v>
      </c>
    </row>
    <row r="2484" spans="1:9" x14ac:dyDescent="0.25">
      <c r="A2484" t="str">
        <f>_xll.BDP("FNDD3009 Mtge","ID_CUSIP")</f>
        <v>3140B3KX9</v>
      </c>
      <c r="B2484" t="str">
        <f>_xll.BDP("FNDD3009 Mtge","SECURITY_NAME")</f>
        <v>FN DD3009</v>
      </c>
      <c r="C2484" t="str">
        <f>_xll.BDP("FNDD3009 Mtge","GENERIC_TICKER_VINTAGE")</f>
        <v>FNCL 6 2025</v>
      </c>
      <c r="D2484" t="str">
        <f>_xll.BDP("FNDD3009 Mtge","CRNCY")</f>
        <v>USD</v>
      </c>
      <c r="E2484">
        <v>3868202</v>
      </c>
      <c r="F2484">
        <f>_xll.BDP("FNDD3009 Mtge","CPN")</f>
        <v>6</v>
      </c>
      <c r="G2484">
        <f>_xll.BDP("FNDD3009 Mtge","MTG_FACTOR")</f>
        <v>0.75012917999999995</v>
      </c>
      <c r="H2484">
        <f>_xll.BDP("FNDD3009 Mtge","MTG_WAL")</f>
        <v>3.1364999999999998</v>
      </c>
      <c r="I2484" t="str">
        <f>_xll.BDP("FNDD3009 Mtge","MTG_ORIG_WAL")</f>
        <v>#N/A N/A</v>
      </c>
    </row>
    <row r="2485" spans="1:9" x14ac:dyDescent="0.25">
      <c r="A2485" t="str">
        <f>_xll.BDP("FNDD3010 Mtge","ID_CUSIP")</f>
        <v>3140B3KY7</v>
      </c>
      <c r="B2485" t="str">
        <f>_xll.BDP("FNDD3010 Mtge","SECURITY_NAME")</f>
        <v>FN DD3010</v>
      </c>
      <c r="C2485" t="str">
        <f>_xll.BDP("FNDD3010 Mtge","GENERIC_TICKER_VINTAGE")</f>
        <v>FNCL 6 2025</v>
      </c>
      <c r="D2485" t="str">
        <f>_xll.BDP("FNDD3010 Mtge","CRNCY")</f>
        <v>USD</v>
      </c>
      <c r="E2485">
        <v>1673250</v>
      </c>
      <c r="F2485">
        <f>_xll.BDP("FNDD3010 Mtge","CPN")</f>
        <v>6</v>
      </c>
      <c r="G2485">
        <f>_xll.BDP("FNDD3010 Mtge","MTG_FACTOR")</f>
        <v>0.92041238000000003</v>
      </c>
      <c r="H2485">
        <f>_xll.BDP("FNDD3010 Mtge","MTG_WAL")</f>
        <v>3.1171000000000002</v>
      </c>
      <c r="I2485" t="str">
        <f>_xll.BDP("FNDD3010 Mtge","MTG_ORIG_WAL")</f>
        <v>#N/A N/A</v>
      </c>
    </row>
    <row r="2486" spans="1:9" x14ac:dyDescent="0.25">
      <c r="A2486" t="str">
        <f>_xll.BDP("FNDD3011 Mtge","ID_CUSIP")</f>
        <v>3140B3KZ4</v>
      </c>
      <c r="B2486" t="str">
        <f>_xll.BDP("FNDD3011 Mtge","SECURITY_NAME")</f>
        <v>FN DD3011</v>
      </c>
      <c r="C2486" t="str">
        <f>_xll.BDP("FNDD3011 Mtge","GENERIC_TICKER_VINTAGE")</f>
        <v>FNCL 6 2025</v>
      </c>
      <c r="D2486" t="str">
        <f>_xll.BDP("FNDD3011 Mtge","CRNCY")</f>
        <v>USD</v>
      </c>
      <c r="E2486">
        <v>1046242</v>
      </c>
      <c r="F2486">
        <f>_xll.BDP("FNDD3011 Mtge","CPN")</f>
        <v>6</v>
      </c>
      <c r="G2486">
        <f>_xll.BDP("FNDD3011 Mtge","MTG_FACTOR")</f>
        <v>0.74636382000000001</v>
      </c>
      <c r="H2486">
        <f>_xll.BDP("FNDD3011 Mtge","MTG_WAL")</f>
        <v>3.1575000000000002</v>
      </c>
      <c r="I2486" t="str">
        <f>_xll.BDP("FNDD3011 Mtge","MTG_ORIG_WAL")</f>
        <v>#N/A N/A</v>
      </c>
    </row>
    <row r="2487" spans="1:9" x14ac:dyDescent="0.25">
      <c r="A2487" t="str">
        <f>_xll.BDP("FNDD3012 Mtge","ID_CUSIP")</f>
        <v>3140B3K27</v>
      </c>
      <c r="B2487" t="str">
        <f>_xll.BDP("FNDD3012 Mtge","SECURITY_NAME")</f>
        <v>FN DD3012</v>
      </c>
      <c r="C2487" t="str">
        <f>_xll.BDP("FNDD3012 Mtge","GENERIC_TICKER_VINTAGE")</f>
        <v>FNCL 6 2025</v>
      </c>
      <c r="D2487" t="str">
        <f>_xll.BDP("FNDD3012 Mtge","CRNCY")</f>
        <v>USD</v>
      </c>
      <c r="E2487">
        <v>1730650</v>
      </c>
      <c r="F2487">
        <f>_xll.BDP("FNDD3012 Mtge","CPN")</f>
        <v>6</v>
      </c>
      <c r="G2487">
        <f>_xll.BDP("FNDD3012 Mtge","MTG_FACTOR")</f>
        <v>0.98921703000000005</v>
      </c>
      <c r="H2487">
        <f>_xll.BDP("FNDD3012 Mtge","MTG_WAL")</f>
        <v>3.1634000000000002</v>
      </c>
      <c r="I2487" t="str">
        <f>_xll.BDP("FNDD3012 Mtge","MTG_ORIG_WAL")</f>
        <v>#N/A N/A</v>
      </c>
    </row>
    <row r="2488" spans="1:9" x14ac:dyDescent="0.25">
      <c r="A2488" t="str">
        <f>_xll.BDP("FNDD3014 Mtge","ID_CUSIP")</f>
        <v>3140B3K43</v>
      </c>
      <c r="B2488" t="str">
        <f>_xll.BDP("FNDD3014 Mtge","SECURITY_NAME")</f>
        <v>FN DD3014</v>
      </c>
      <c r="C2488" t="str">
        <f>_xll.BDP("FNDD3014 Mtge","GENERIC_TICKER_VINTAGE")</f>
        <v>FNCL 6 2025</v>
      </c>
      <c r="D2488" t="str">
        <f>_xll.BDP("FNDD3014 Mtge","CRNCY")</f>
        <v>USD</v>
      </c>
      <c r="E2488">
        <v>1551550</v>
      </c>
      <c r="F2488">
        <f>_xll.BDP("FNDD3014 Mtge","CPN")</f>
        <v>6</v>
      </c>
      <c r="G2488">
        <f>_xll.BDP("FNDD3014 Mtge","MTG_FACTOR")</f>
        <v>0.28344013000000001</v>
      </c>
      <c r="H2488">
        <f>_xll.BDP("FNDD3014 Mtge","MTG_WAL")</f>
        <v>3.1613000000000002</v>
      </c>
      <c r="I2488" t="str">
        <f>_xll.BDP("FNDD3014 Mtge","MTG_ORIG_WAL")</f>
        <v>#N/A N/A</v>
      </c>
    </row>
    <row r="2489" spans="1:9" x14ac:dyDescent="0.25">
      <c r="A2489" t="str">
        <f>_xll.BDP("FNDD3015 Mtge","ID_CUSIP")</f>
        <v>3140B3K50</v>
      </c>
      <c r="B2489" t="str">
        <f>_xll.BDP("FNDD3015 Mtge","SECURITY_NAME")</f>
        <v>FN DD3015</v>
      </c>
      <c r="C2489" t="str">
        <f>_xll.BDP("FNDD3015 Mtge","GENERIC_TICKER_VINTAGE")</f>
        <v>FNCL 6 2025</v>
      </c>
      <c r="D2489" t="str">
        <f>_xll.BDP("FNDD3015 Mtge","CRNCY")</f>
        <v>USD</v>
      </c>
      <c r="E2489">
        <v>1131825</v>
      </c>
      <c r="F2489">
        <f>_xll.BDP("FNDD3015 Mtge","CPN")</f>
        <v>6</v>
      </c>
      <c r="G2489">
        <f>_xll.BDP("FNDD3015 Mtge","MTG_FACTOR")</f>
        <v>0.98861323000000001</v>
      </c>
      <c r="H2489">
        <f>_xll.BDP("FNDD3015 Mtge","MTG_WAL")</f>
        <v>3.1636000000000002</v>
      </c>
      <c r="I2489" t="str">
        <f>_xll.BDP("FNDD3015 Mtge","MTG_ORIG_WAL")</f>
        <v>#N/A N/A</v>
      </c>
    </row>
    <row r="2490" spans="1:9" x14ac:dyDescent="0.25">
      <c r="A2490" t="str">
        <f>_xll.BDP("FNDD3016 Mtge","ID_CUSIP")</f>
        <v>3140B3K68</v>
      </c>
      <c r="B2490" t="str">
        <f>_xll.BDP("FNDD3016 Mtge","SECURITY_NAME")</f>
        <v>FN DD3016</v>
      </c>
      <c r="C2490" t="str">
        <f>_xll.BDP("FNDD3016 Mtge","GENERIC_TICKER_VINTAGE")</f>
        <v>FNCL 6 2025</v>
      </c>
      <c r="D2490" t="str">
        <f>_xll.BDP("FNDD3016 Mtge","CRNCY")</f>
        <v>USD</v>
      </c>
      <c r="E2490">
        <v>1456750</v>
      </c>
      <c r="F2490">
        <f>_xll.BDP("FNDD3016 Mtge","CPN")</f>
        <v>6</v>
      </c>
      <c r="G2490">
        <f>_xll.BDP("FNDD3016 Mtge","MTG_FACTOR")</f>
        <v>0.57868755999999999</v>
      </c>
      <c r="H2490">
        <f>_xll.BDP("FNDD3016 Mtge","MTG_WAL")</f>
        <v>3.1945000000000001</v>
      </c>
      <c r="I2490" t="str">
        <f>_xll.BDP("FNDD3016 Mtge","MTG_ORIG_WAL")</f>
        <v>#N/A N/A</v>
      </c>
    </row>
    <row r="2491" spans="1:9" x14ac:dyDescent="0.25">
      <c r="A2491" t="str">
        <f>_xll.BDP("FNDD3018 Mtge","ID_CUSIP")</f>
        <v>3140B3K84</v>
      </c>
      <c r="B2491" t="str">
        <f>_xll.BDP("FNDD3018 Mtge","SECURITY_NAME")</f>
        <v>FN DD3018</v>
      </c>
      <c r="C2491" t="str">
        <f>_xll.BDP("FNDD3018 Mtge","GENERIC_TICKER_VINTAGE")</f>
        <v>FNCL 6 2025</v>
      </c>
      <c r="D2491" t="str">
        <f>_xll.BDP("FNDD3018 Mtge","CRNCY")</f>
        <v>USD</v>
      </c>
      <c r="E2491">
        <v>1822105</v>
      </c>
      <c r="F2491">
        <f>_xll.BDP("FNDD3018 Mtge","CPN")</f>
        <v>6</v>
      </c>
      <c r="G2491">
        <f>_xll.BDP("FNDD3018 Mtge","MTG_FACTOR")</f>
        <v>0.64028563000000005</v>
      </c>
      <c r="H2491">
        <f>_xll.BDP("FNDD3018 Mtge","MTG_WAL")</f>
        <v>3.2025000000000001</v>
      </c>
      <c r="I2491" t="str">
        <f>_xll.BDP("FNDD3018 Mtge","MTG_ORIG_WAL")</f>
        <v>#N/A N/A</v>
      </c>
    </row>
    <row r="2492" spans="1:9" x14ac:dyDescent="0.25">
      <c r="A2492" t="str">
        <f>_xll.BDP("FNDD3019 Mtge","ID_CUSIP")</f>
        <v>3140B3K92</v>
      </c>
      <c r="B2492" t="str">
        <f>_xll.BDP("FNDD3019 Mtge","SECURITY_NAME")</f>
        <v>FN DD3019</v>
      </c>
      <c r="C2492" t="str">
        <f>_xll.BDP("FNDD3019 Mtge","GENERIC_TICKER_VINTAGE")</f>
        <v>FNCL 6 2025</v>
      </c>
      <c r="D2492" t="str">
        <f>_xll.BDP("FNDD3019 Mtge","CRNCY")</f>
        <v>USD</v>
      </c>
      <c r="E2492">
        <v>1313167</v>
      </c>
      <c r="F2492">
        <f>_xll.BDP("FNDD3019 Mtge","CPN")</f>
        <v>6</v>
      </c>
      <c r="G2492">
        <f>_xll.BDP("FNDD3019 Mtge","MTG_FACTOR")</f>
        <v>0.98941559999999995</v>
      </c>
      <c r="H2492">
        <f>_xll.BDP("FNDD3019 Mtge","MTG_WAL")</f>
        <v>3.2040000000000002</v>
      </c>
      <c r="I2492" t="str">
        <f>_xll.BDP("FNDD3019 Mtge","MTG_ORIG_WAL")</f>
        <v>#N/A N/A</v>
      </c>
    </row>
    <row r="2493" spans="1:9" x14ac:dyDescent="0.25">
      <c r="A2493" t="str">
        <f>_xll.BDP("FNDD3023 Mtge","ID_CUSIP")</f>
        <v>3140B3LD2</v>
      </c>
      <c r="B2493" t="str">
        <f>_xll.BDP("FNDD3023 Mtge","SECURITY_NAME")</f>
        <v>FN DD3023</v>
      </c>
      <c r="C2493" t="str">
        <f>_xll.BDP("FNDD3023 Mtge","GENERIC_TICKER_VINTAGE")</f>
        <v>FNCL 6 2025</v>
      </c>
      <c r="D2493" t="str">
        <f>_xll.BDP("FNDD3023 Mtge","CRNCY")</f>
        <v>USD</v>
      </c>
      <c r="E2493">
        <v>1739721</v>
      </c>
      <c r="F2493">
        <f>_xll.BDP("FNDD3023 Mtge","CPN")</f>
        <v>6</v>
      </c>
      <c r="G2493">
        <f>_xll.BDP("FNDD3023 Mtge","MTG_FACTOR")</f>
        <v>0.98741716999999996</v>
      </c>
      <c r="H2493">
        <f>_xll.BDP("FNDD3023 Mtge","MTG_WAL")</f>
        <v>3.2039</v>
      </c>
      <c r="I2493" t="str">
        <f>_xll.BDP("FNDD3023 Mtge","MTG_ORIG_WAL")</f>
        <v>#N/A N/A</v>
      </c>
    </row>
    <row r="2494" spans="1:9" x14ac:dyDescent="0.25">
      <c r="A2494" t="str">
        <f>_xll.BDP("FNDD3027 Mtge","ID_CUSIP")</f>
        <v>3140B3LH3</v>
      </c>
      <c r="B2494" t="str">
        <f>_xll.BDP("FNDD3027 Mtge","SECURITY_NAME")</f>
        <v>FN DD3027</v>
      </c>
      <c r="C2494" t="str">
        <f>_xll.BDP("FNDD3027 Mtge","GENERIC_TICKER_VINTAGE")</f>
        <v>FNCL 6 2025</v>
      </c>
      <c r="D2494" t="str">
        <f>_xll.BDP("FNDD3027 Mtge","CRNCY")</f>
        <v>USD</v>
      </c>
      <c r="E2494">
        <v>1245000</v>
      </c>
      <c r="F2494">
        <f>_xll.BDP("FNDD3027 Mtge","CPN")</f>
        <v>6</v>
      </c>
      <c r="G2494">
        <f>_xll.BDP("FNDD3027 Mtge","MTG_FACTOR")</f>
        <v>0.98974565999999997</v>
      </c>
      <c r="H2494">
        <f>_xll.BDP("FNDD3027 Mtge","MTG_WAL")</f>
        <v>3.206</v>
      </c>
      <c r="I2494" t="str">
        <f>_xll.BDP("FNDD3027 Mtge","MTG_ORIG_WAL")</f>
        <v>#N/A N/A</v>
      </c>
    </row>
    <row r="2495" spans="1:9" x14ac:dyDescent="0.25">
      <c r="A2495" t="str">
        <f>_xll.BDP("FNDD3030 Mtge","ID_CUSIP")</f>
        <v>3140B3LL4</v>
      </c>
      <c r="B2495" t="str">
        <f>_xll.BDP("FNDD3030 Mtge","SECURITY_NAME")</f>
        <v>FN DD3030</v>
      </c>
      <c r="C2495" t="str">
        <f>_xll.BDP("FNDD3030 Mtge","GENERIC_TICKER_VINTAGE")</f>
        <v>FNCL 6 2025</v>
      </c>
      <c r="D2495" t="str">
        <f>_xll.BDP("FNDD3030 Mtge","CRNCY")</f>
        <v>USD</v>
      </c>
      <c r="E2495">
        <v>1746500</v>
      </c>
      <c r="F2495">
        <f>_xll.BDP("FNDD3030 Mtge","CPN")</f>
        <v>6</v>
      </c>
      <c r="G2495">
        <f>_xll.BDP("FNDD3030 Mtge","MTG_FACTOR")</f>
        <v>0.74009508000000002</v>
      </c>
      <c r="H2495">
        <f>_xll.BDP("FNDD3030 Mtge","MTG_WAL")</f>
        <v>3.2010999999999998</v>
      </c>
      <c r="I2495" t="str">
        <f>_xll.BDP("FNDD3030 Mtge","MTG_ORIG_WAL")</f>
        <v>#N/A N/A</v>
      </c>
    </row>
    <row r="2496" spans="1:9" x14ac:dyDescent="0.25">
      <c r="A2496" t="str">
        <f>_xll.BDP("FNDD3031 Mtge","ID_CUSIP")</f>
        <v>3140B3LM2</v>
      </c>
      <c r="B2496" t="str">
        <f>_xll.BDP("FNDD3031 Mtge","SECURITY_NAME")</f>
        <v>FN DD3031</v>
      </c>
      <c r="C2496" t="str">
        <f>_xll.BDP("FNDD3031 Mtge","GENERIC_TICKER_VINTAGE")</f>
        <v>FNCL 6 2025</v>
      </c>
      <c r="D2496" t="str">
        <f>_xll.BDP("FNDD3031 Mtge","CRNCY")</f>
        <v>USD</v>
      </c>
      <c r="E2496">
        <v>1060990</v>
      </c>
      <c r="F2496">
        <f>_xll.BDP("FNDD3031 Mtge","CPN")</f>
        <v>6</v>
      </c>
      <c r="G2496">
        <f>_xll.BDP("FNDD3031 Mtge","MTG_FACTOR")</f>
        <v>0.75350572999999998</v>
      </c>
      <c r="H2496">
        <f>_xll.BDP("FNDD3031 Mtge","MTG_WAL")</f>
        <v>3.1989000000000001</v>
      </c>
      <c r="I2496" t="str">
        <f>_xll.BDP("FNDD3031 Mtge","MTG_ORIG_WAL")</f>
        <v>#N/A N/A</v>
      </c>
    </row>
    <row r="2497" spans="1:9" x14ac:dyDescent="0.25">
      <c r="A2497" t="str">
        <f>_xll.BDP("FNDD3032 Mtge","ID_CUSIP")</f>
        <v>3140B3LN0</v>
      </c>
      <c r="B2497" t="str">
        <f>_xll.BDP("FNDD3032 Mtge","SECURITY_NAME")</f>
        <v>FN DD3032</v>
      </c>
      <c r="C2497" t="str">
        <f>_xll.BDP("FNDD3032 Mtge","GENERIC_TICKER_VINTAGE")</f>
        <v>FNCL 6 2025</v>
      </c>
      <c r="D2497" t="str">
        <f>_xll.BDP("FNDD3032 Mtge","CRNCY")</f>
        <v>USD</v>
      </c>
      <c r="E2497">
        <v>1156534</v>
      </c>
      <c r="F2497">
        <f>_xll.BDP("FNDD3032 Mtge","CPN")</f>
        <v>6</v>
      </c>
      <c r="G2497">
        <f>_xll.BDP("FNDD3032 Mtge","MTG_FACTOR")</f>
        <v>0.98855961999999997</v>
      </c>
      <c r="H2497">
        <f>_xll.BDP("FNDD3032 Mtge","MTG_WAL")</f>
        <v>3.2040000000000002</v>
      </c>
      <c r="I2497" t="str">
        <f>_xll.BDP("FNDD3032 Mtge","MTG_ORIG_WAL")</f>
        <v>#N/A N/A</v>
      </c>
    </row>
    <row r="2498" spans="1:9" x14ac:dyDescent="0.25">
      <c r="A2498" t="str">
        <f>_xll.BDP("FNDD3033 Mtge","ID_CUSIP")</f>
        <v>3140B3LP5</v>
      </c>
      <c r="B2498" t="str">
        <f>_xll.BDP("FNDD3033 Mtge","SECURITY_NAME")</f>
        <v>FN DD3033</v>
      </c>
      <c r="C2498" t="str">
        <f>_xll.BDP("FNDD3033 Mtge","GENERIC_TICKER_VINTAGE")</f>
        <v>FNCL 6 2025</v>
      </c>
      <c r="D2498" t="str">
        <f>_xll.BDP("FNDD3033 Mtge","CRNCY")</f>
        <v>USD</v>
      </c>
      <c r="E2498">
        <v>1310614</v>
      </c>
      <c r="F2498">
        <f>_xll.BDP("FNDD3033 Mtge","CPN")</f>
        <v>6</v>
      </c>
      <c r="G2498">
        <f>_xll.BDP("FNDD3033 Mtge","MTG_FACTOR")</f>
        <v>0.85287621999999996</v>
      </c>
      <c r="H2498">
        <f>_xll.BDP("FNDD3033 Mtge","MTG_WAL")</f>
        <v>3.2031000000000001</v>
      </c>
      <c r="I2498" t="str">
        <f>_xll.BDP("FNDD3033 Mtge","MTG_ORIG_WAL")</f>
        <v>#N/A N/A</v>
      </c>
    </row>
    <row r="2499" spans="1:9" x14ac:dyDescent="0.25">
      <c r="A2499" t="str">
        <f>_xll.BDP("FNDD3034 Mtge","ID_CUSIP")</f>
        <v>3140B3LQ3</v>
      </c>
      <c r="B2499" t="str">
        <f>_xll.BDP("FNDD3034 Mtge","SECURITY_NAME")</f>
        <v>FN DD3034</v>
      </c>
      <c r="C2499" t="str">
        <f>_xll.BDP("FNDD3034 Mtge","GENERIC_TICKER_VINTAGE")</f>
        <v>FNCL 6 2025</v>
      </c>
      <c r="D2499" t="str">
        <f>_xll.BDP("FNDD3034 Mtge","CRNCY")</f>
        <v>USD</v>
      </c>
      <c r="E2499">
        <v>4411811</v>
      </c>
      <c r="F2499">
        <f>_xll.BDP("FNDD3034 Mtge","CPN")</f>
        <v>6</v>
      </c>
      <c r="G2499">
        <f>_xll.BDP("FNDD3034 Mtge","MTG_FACTOR")</f>
        <v>0.83669108000000003</v>
      </c>
      <c r="H2499">
        <f>_xll.BDP("FNDD3034 Mtge","MTG_WAL")</f>
        <v>3.2031000000000001</v>
      </c>
      <c r="I2499" t="str">
        <f>_xll.BDP("FNDD3034 Mtge","MTG_ORIG_WAL")</f>
        <v>#N/A N/A</v>
      </c>
    </row>
    <row r="2500" spans="1:9" x14ac:dyDescent="0.25">
      <c r="A2500" t="str">
        <f>_xll.BDP("FNDD3035 Mtge","ID_CUSIP")</f>
        <v>3140B3LR1</v>
      </c>
      <c r="B2500" t="str">
        <f>_xll.BDP("FNDD3035 Mtge","SECURITY_NAME")</f>
        <v>FN DD3035</v>
      </c>
      <c r="C2500" t="str">
        <f>_xll.BDP("FNDD3035 Mtge","GENERIC_TICKER_VINTAGE")</f>
        <v>FNCL 6 2025</v>
      </c>
      <c r="D2500" t="str">
        <f>_xll.BDP("FNDD3035 Mtge","CRNCY")</f>
        <v>USD</v>
      </c>
      <c r="E2500">
        <v>1058515</v>
      </c>
      <c r="F2500">
        <f>_xll.BDP("FNDD3035 Mtge","CPN")</f>
        <v>6</v>
      </c>
      <c r="G2500">
        <f>_xll.BDP("FNDD3035 Mtge","MTG_FACTOR")</f>
        <v>0.98957974000000004</v>
      </c>
      <c r="H2500">
        <f>_xll.BDP("FNDD3035 Mtge","MTG_WAL")</f>
        <v>3.2035999999999998</v>
      </c>
      <c r="I2500" t="str">
        <f>_xll.BDP("FNDD3035 Mtge","MTG_ORIG_WAL")</f>
        <v>#N/A N/A</v>
      </c>
    </row>
    <row r="2501" spans="1:9" x14ac:dyDescent="0.25">
      <c r="A2501" t="str">
        <f>_xll.BDP("FNDD3040 Mtge","ID_CUSIP")</f>
        <v>3140B3LW0</v>
      </c>
      <c r="B2501" t="str">
        <f>_xll.BDP("FNDD3040 Mtge","SECURITY_NAME")</f>
        <v>FN DD3040</v>
      </c>
      <c r="C2501" t="str">
        <f>_xll.BDP("FNDD3040 Mtge","GENERIC_TICKER_VINTAGE")</f>
        <v>FNCL 6 2025</v>
      </c>
      <c r="D2501" t="str">
        <f>_xll.BDP("FNDD3040 Mtge","CRNCY")</f>
        <v>USD</v>
      </c>
      <c r="E2501">
        <v>1754335</v>
      </c>
      <c r="F2501">
        <f>_xll.BDP("FNDD3040 Mtge","CPN")</f>
        <v>6</v>
      </c>
      <c r="G2501">
        <f>_xll.BDP("FNDD3040 Mtge","MTG_FACTOR")</f>
        <v>0.98786916000000002</v>
      </c>
      <c r="H2501">
        <f>_xll.BDP("FNDD3040 Mtge","MTG_WAL")</f>
        <v>3.2016</v>
      </c>
      <c r="I2501" t="str">
        <f>_xll.BDP("FNDD3040 Mtge","MTG_ORIG_WAL")</f>
        <v>#N/A N/A</v>
      </c>
    </row>
    <row r="2502" spans="1:9" x14ac:dyDescent="0.25">
      <c r="A2502" t="str">
        <f>_xll.BDP("FNDD3041 Mtge","ID_CUSIP")</f>
        <v>3140B3LX8</v>
      </c>
      <c r="B2502" t="str">
        <f>_xll.BDP("FNDD3041 Mtge","SECURITY_NAME")</f>
        <v>FN DD3041</v>
      </c>
      <c r="C2502" t="str">
        <f>_xll.BDP("FNDD3041 Mtge","GENERIC_TICKER_VINTAGE")</f>
        <v>FNCL 6 2025</v>
      </c>
      <c r="D2502" t="str">
        <f>_xll.BDP("FNDD3041 Mtge","CRNCY")</f>
        <v>USD</v>
      </c>
      <c r="E2502">
        <v>1681095</v>
      </c>
      <c r="F2502">
        <f>_xll.BDP("FNDD3041 Mtge","CPN")</f>
        <v>6</v>
      </c>
      <c r="G2502">
        <f>_xll.BDP("FNDD3041 Mtge","MTG_FACTOR")</f>
        <v>0.98965060000000005</v>
      </c>
      <c r="H2502">
        <f>_xll.BDP("FNDD3041 Mtge","MTG_WAL")</f>
        <v>3.2042999999999999</v>
      </c>
      <c r="I2502" t="str">
        <f>_xll.BDP("FNDD3041 Mtge","MTG_ORIG_WAL")</f>
        <v>#N/A N/A</v>
      </c>
    </row>
    <row r="2503" spans="1:9" x14ac:dyDescent="0.25">
      <c r="A2503" t="str">
        <f>_xll.BDP("FNDD3042 Mtge","ID_CUSIP")</f>
        <v>3140B3LY6</v>
      </c>
      <c r="B2503" t="str">
        <f>_xll.BDP("FNDD3042 Mtge","SECURITY_NAME")</f>
        <v>FN DD3042</v>
      </c>
      <c r="C2503" t="str">
        <f>_xll.BDP("FNDD3042 Mtge","GENERIC_TICKER_VINTAGE")</f>
        <v>FNCL 6 2025</v>
      </c>
      <c r="D2503" t="str">
        <f>_xll.BDP("FNDD3042 Mtge","CRNCY")</f>
        <v>USD</v>
      </c>
      <c r="E2503">
        <v>1163450</v>
      </c>
      <c r="F2503">
        <f>_xll.BDP("FNDD3042 Mtge","CPN")</f>
        <v>6</v>
      </c>
      <c r="G2503">
        <f>_xll.BDP("FNDD3042 Mtge","MTG_FACTOR")</f>
        <v>0.74088841999999999</v>
      </c>
      <c r="H2503">
        <f>_xll.BDP("FNDD3042 Mtge","MTG_WAL")</f>
        <v>3.2000999999999999</v>
      </c>
      <c r="I2503" t="str">
        <f>_xll.BDP("FNDD3042 Mtge","MTG_ORIG_WAL")</f>
        <v>#N/A N/A</v>
      </c>
    </row>
    <row r="2504" spans="1:9" x14ac:dyDescent="0.25">
      <c r="A2504" t="str">
        <f>_xll.BDP("FNDD3046 Mtge","ID_CUSIP")</f>
        <v>3140B3L42</v>
      </c>
      <c r="B2504" t="str">
        <f>_xll.BDP("FNDD3046 Mtge","SECURITY_NAME")</f>
        <v>FN DD3046</v>
      </c>
      <c r="C2504" t="str">
        <f>_xll.BDP("FNDD3046 Mtge","GENERIC_TICKER_VINTAGE")</f>
        <v>FNCL 6 2025</v>
      </c>
      <c r="D2504" t="str">
        <f>_xll.BDP("FNDD3046 Mtge","CRNCY")</f>
        <v>USD</v>
      </c>
      <c r="E2504">
        <v>1119700</v>
      </c>
      <c r="F2504">
        <f>_xll.BDP("FNDD3046 Mtge","CPN")</f>
        <v>6</v>
      </c>
      <c r="G2504">
        <f>_xll.BDP("FNDD3046 Mtge","MTG_FACTOR")</f>
        <v>0.98734071000000001</v>
      </c>
      <c r="H2504">
        <f>_xll.BDP("FNDD3046 Mtge","MTG_WAL")</f>
        <v>3.2027000000000001</v>
      </c>
      <c r="I2504" t="str">
        <f>_xll.BDP("FNDD3046 Mtge","MTG_ORIG_WAL")</f>
        <v>#N/A N/A</v>
      </c>
    </row>
    <row r="2505" spans="1:9" x14ac:dyDescent="0.25">
      <c r="A2505" t="str">
        <f>_xll.BDP("FNDD3047 Mtge","ID_CUSIP")</f>
        <v>3140B3L59</v>
      </c>
      <c r="B2505" t="str">
        <f>_xll.BDP("FNDD3047 Mtge","SECURITY_NAME")</f>
        <v>FN DD3047</v>
      </c>
      <c r="C2505" t="str">
        <f>_xll.BDP("FNDD3047 Mtge","GENERIC_TICKER_VINTAGE")</f>
        <v>FNCL 6 2025</v>
      </c>
      <c r="D2505" t="str">
        <f>_xll.BDP("FNDD3047 Mtge","CRNCY")</f>
        <v>USD</v>
      </c>
      <c r="E2505">
        <v>1104100</v>
      </c>
      <c r="F2505">
        <f>_xll.BDP("FNDD3047 Mtge","CPN")</f>
        <v>6</v>
      </c>
      <c r="G2505">
        <f>_xll.BDP("FNDD3047 Mtge","MTG_FACTOR")</f>
        <v>0.98609543</v>
      </c>
      <c r="H2505">
        <f>_xll.BDP("FNDD3047 Mtge","MTG_WAL")</f>
        <v>3.2016</v>
      </c>
      <c r="I2505" t="str">
        <f>_xll.BDP("FNDD3047 Mtge","MTG_ORIG_WAL")</f>
        <v>#N/A N/A</v>
      </c>
    </row>
    <row r="2506" spans="1:9" x14ac:dyDescent="0.25">
      <c r="A2506" t="str">
        <f>_xll.BDP("FNDD3048 Mtge","ID_CUSIP")</f>
        <v>3140B3L67</v>
      </c>
      <c r="B2506" t="str">
        <f>_xll.BDP("FNDD3048 Mtge","SECURITY_NAME")</f>
        <v>FN DD3048</v>
      </c>
      <c r="C2506" t="str">
        <f>_xll.BDP("FNDD3048 Mtge","GENERIC_TICKER_VINTAGE")</f>
        <v>FNCL 6 2025</v>
      </c>
      <c r="D2506" t="str">
        <f>_xll.BDP("FNDD3048 Mtge","CRNCY")</f>
        <v>USD</v>
      </c>
      <c r="E2506">
        <v>1215675</v>
      </c>
      <c r="F2506">
        <f>_xll.BDP("FNDD3048 Mtge","CPN")</f>
        <v>6</v>
      </c>
      <c r="G2506">
        <f>_xll.BDP("FNDD3048 Mtge","MTG_FACTOR")</f>
        <v>0.94369818000000005</v>
      </c>
      <c r="H2506">
        <f>_xll.BDP("FNDD3048 Mtge","MTG_WAL")</f>
        <v>3.1793999999999998</v>
      </c>
      <c r="I2506" t="str">
        <f>_xll.BDP("FNDD3048 Mtge","MTG_ORIG_WAL")</f>
        <v>#N/A N/A</v>
      </c>
    </row>
    <row r="2507" spans="1:9" x14ac:dyDescent="0.25">
      <c r="A2507" t="str">
        <f>_xll.BDP("FNDD3050 Mtge","ID_CUSIP")</f>
        <v>3140B3L83</v>
      </c>
      <c r="B2507" t="str">
        <f>_xll.BDP("FNDD3050 Mtge","SECURITY_NAME")</f>
        <v>FN DD3050</v>
      </c>
      <c r="C2507" t="str">
        <f>_xll.BDP("FNDD3050 Mtge","GENERIC_TICKER_VINTAGE")</f>
        <v>FNCL 6 2025</v>
      </c>
      <c r="D2507" t="str">
        <f>_xll.BDP("FNDD3050 Mtge","CRNCY")</f>
        <v>USD</v>
      </c>
      <c r="E2507">
        <v>2636880</v>
      </c>
      <c r="F2507">
        <f>_xll.BDP("FNDD3050 Mtge","CPN")</f>
        <v>6</v>
      </c>
      <c r="G2507">
        <f>_xll.BDP("FNDD3050 Mtge","MTG_FACTOR")</f>
        <v>0.87495699000000005</v>
      </c>
      <c r="H2507">
        <f>_xll.BDP("FNDD3050 Mtge","MTG_WAL")</f>
        <v>3.2019000000000002</v>
      </c>
      <c r="I2507" t="str">
        <f>_xll.BDP("FNDD3050 Mtge","MTG_ORIG_WAL")</f>
        <v>#N/A N/A</v>
      </c>
    </row>
    <row r="2508" spans="1:9" x14ac:dyDescent="0.25">
      <c r="A2508" t="str">
        <f>_xll.BDP("FNDD3054 Mtge","ID_CUSIP")</f>
        <v>3140B3MC3</v>
      </c>
      <c r="B2508" t="str">
        <f>_xll.BDP("FNDD3054 Mtge","SECURITY_NAME")</f>
        <v>FN DD3054</v>
      </c>
      <c r="C2508" t="str">
        <f>_xll.BDP("FNDD3054 Mtge","GENERIC_TICKER_VINTAGE")</f>
        <v>FNCL 6 2025</v>
      </c>
      <c r="D2508" t="str">
        <f>_xll.BDP("FNDD3054 Mtge","CRNCY")</f>
        <v>USD</v>
      </c>
      <c r="E2508">
        <v>3294600</v>
      </c>
      <c r="F2508">
        <f>_xll.BDP("FNDD3054 Mtge","CPN")</f>
        <v>6</v>
      </c>
      <c r="G2508">
        <f>_xll.BDP("FNDD3054 Mtge","MTG_FACTOR")</f>
        <v>0.86909808</v>
      </c>
      <c r="H2508">
        <f>_xll.BDP("FNDD3054 Mtge","MTG_WAL")</f>
        <v>3.2067999999999999</v>
      </c>
      <c r="I2508" t="str">
        <f>_xll.BDP("FNDD3054 Mtge","MTG_ORIG_WAL")</f>
        <v>#N/A N/A</v>
      </c>
    </row>
    <row r="2509" spans="1:9" x14ac:dyDescent="0.25">
      <c r="A2509" t="str">
        <f>_xll.BDP("FNDD3055 Mtge","ID_CUSIP")</f>
        <v>3140B3MD1</v>
      </c>
      <c r="B2509" t="str">
        <f>_xll.BDP("FNDD3055 Mtge","SECURITY_NAME")</f>
        <v>FN DD3055</v>
      </c>
      <c r="C2509" t="str">
        <f>_xll.BDP("FNDD3055 Mtge","GENERIC_TICKER_VINTAGE")</f>
        <v>FNCL 6 2025</v>
      </c>
      <c r="D2509" t="str">
        <f>_xll.BDP("FNDD3055 Mtge","CRNCY")</f>
        <v>USD</v>
      </c>
      <c r="E2509">
        <v>1438650</v>
      </c>
      <c r="F2509">
        <f>_xll.BDP("FNDD3055 Mtge","CPN")</f>
        <v>6</v>
      </c>
      <c r="G2509">
        <f>_xll.BDP("FNDD3055 Mtge","MTG_FACTOR")</f>
        <v>0.98162645999999998</v>
      </c>
      <c r="H2509">
        <f>_xll.BDP("FNDD3055 Mtge","MTG_WAL")</f>
        <v>3.198</v>
      </c>
      <c r="I2509" t="str">
        <f>_xll.BDP("FNDD3055 Mtge","MTG_ORIG_WAL")</f>
        <v>#N/A N/A</v>
      </c>
    </row>
    <row r="2510" spans="1:9" x14ac:dyDescent="0.25">
      <c r="A2510" t="str">
        <f>_xll.BDP("FNDD3056 Mtge","ID_CUSIP")</f>
        <v>3140B3ME9</v>
      </c>
      <c r="B2510" t="str">
        <f>_xll.BDP("FNDD3056 Mtge","SECURITY_NAME")</f>
        <v>FN DD3056</v>
      </c>
      <c r="C2510" t="str">
        <f>_xll.BDP("FNDD3056 Mtge","GENERIC_TICKER_VINTAGE")</f>
        <v>FNCL 6 2025</v>
      </c>
      <c r="D2510" t="str">
        <f>_xll.BDP("FNDD3056 Mtge","CRNCY")</f>
        <v>USD</v>
      </c>
      <c r="E2510">
        <v>1197375</v>
      </c>
      <c r="F2510">
        <f>_xll.BDP("FNDD3056 Mtge","CPN")</f>
        <v>6</v>
      </c>
      <c r="G2510">
        <f>_xll.BDP("FNDD3056 Mtge","MTG_FACTOR")</f>
        <v>0.98922608999999995</v>
      </c>
      <c r="H2510">
        <f>_xll.BDP("FNDD3056 Mtge","MTG_WAL")</f>
        <v>3.2031000000000001</v>
      </c>
      <c r="I2510" t="str">
        <f>_xll.BDP("FNDD3056 Mtge","MTG_ORIG_WAL")</f>
        <v>#N/A N/A</v>
      </c>
    </row>
    <row r="2511" spans="1:9" x14ac:dyDescent="0.25">
      <c r="A2511" t="str">
        <f>_xll.BDP("FNDD3057 Mtge","ID_CUSIP")</f>
        <v>3140B3MF6</v>
      </c>
      <c r="B2511" t="str">
        <f>_xll.BDP("FNDD3057 Mtge","SECURITY_NAME")</f>
        <v>FN DD3057</v>
      </c>
      <c r="C2511" t="str">
        <f>_xll.BDP("FNDD3057 Mtge","GENERIC_TICKER_VINTAGE")</f>
        <v>FNCL 6 2025</v>
      </c>
      <c r="D2511" t="str">
        <f>_xll.BDP("FNDD3057 Mtge","CRNCY")</f>
        <v>USD</v>
      </c>
      <c r="E2511">
        <v>1729000</v>
      </c>
      <c r="F2511">
        <f>_xll.BDP("FNDD3057 Mtge","CPN")</f>
        <v>6</v>
      </c>
      <c r="G2511">
        <f>_xll.BDP("FNDD3057 Mtge","MTG_FACTOR")</f>
        <v>0.98470656000000001</v>
      </c>
      <c r="H2511">
        <f>_xll.BDP("FNDD3057 Mtge","MTG_WAL")</f>
        <v>3.2008000000000001</v>
      </c>
      <c r="I2511" t="str">
        <f>_xll.BDP("FNDD3057 Mtge","MTG_ORIG_WAL")</f>
        <v>#N/A N/A</v>
      </c>
    </row>
    <row r="2512" spans="1:9" x14ac:dyDescent="0.25">
      <c r="A2512" t="str">
        <f>_xll.BDP("FNDD3060 Mtge","ID_CUSIP")</f>
        <v>3140B3MJ8</v>
      </c>
      <c r="B2512" t="str">
        <f>_xll.BDP("FNDD3060 Mtge","SECURITY_NAME")</f>
        <v>FN DD3060</v>
      </c>
      <c r="C2512" t="str">
        <f>_xll.BDP("FNDD3060 Mtge","GENERIC_TICKER_VINTAGE")</f>
        <v>FNCL 6 2025</v>
      </c>
      <c r="D2512" t="str">
        <f>_xll.BDP("FNDD3060 Mtge","CRNCY")</f>
        <v>USD</v>
      </c>
      <c r="E2512">
        <v>1679269</v>
      </c>
      <c r="F2512">
        <f>_xll.BDP("FNDD3060 Mtge","CPN")</f>
        <v>6</v>
      </c>
      <c r="G2512">
        <f>_xll.BDP("FNDD3060 Mtge","MTG_FACTOR")</f>
        <v>0.98868856999999999</v>
      </c>
      <c r="H2512">
        <f>_xll.BDP("FNDD3060 Mtge","MTG_WAL")</f>
        <v>3.2016</v>
      </c>
      <c r="I2512" t="str">
        <f>_xll.BDP("FNDD3060 Mtge","MTG_ORIG_WAL")</f>
        <v>#N/A N/A</v>
      </c>
    </row>
    <row r="2513" spans="1:9" x14ac:dyDescent="0.25">
      <c r="A2513" t="str">
        <f>_xll.BDP("FNDD3061 Mtge","ID_CUSIP")</f>
        <v>3140B3MK5</v>
      </c>
      <c r="B2513" t="str">
        <f>_xll.BDP("FNDD3061 Mtge","SECURITY_NAME")</f>
        <v>FN DD3061</v>
      </c>
      <c r="C2513" t="str">
        <f>_xll.BDP("FNDD3061 Mtge","GENERIC_TICKER_VINTAGE")</f>
        <v>FNCL 6 2025</v>
      </c>
      <c r="D2513" t="str">
        <f>_xll.BDP("FNDD3061 Mtge","CRNCY")</f>
        <v>USD</v>
      </c>
      <c r="E2513">
        <v>1154605</v>
      </c>
      <c r="F2513">
        <f>_xll.BDP("FNDD3061 Mtge","CPN")</f>
        <v>6</v>
      </c>
      <c r="G2513">
        <f>_xll.BDP("FNDD3061 Mtge","MTG_FACTOR")</f>
        <v>0.8843626</v>
      </c>
      <c r="H2513">
        <f>_xll.BDP("FNDD3061 Mtge","MTG_WAL")</f>
        <v>3.1886000000000001</v>
      </c>
      <c r="I2513" t="str">
        <f>_xll.BDP("FNDD3061 Mtge","MTG_ORIG_WAL")</f>
        <v>#N/A N/A</v>
      </c>
    </row>
    <row r="2514" spans="1:9" x14ac:dyDescent="0.25">
      <c r="A2514" t="str">
        <f>_xll.BDP("FNDD3062 Mtge","ID_CUSIP")</f>
        <v>3140B3ML3</v>
      </c>
      <c r="B2514" t="str">
        <f>_xll.BDP("FNDD3062 Mtge","SECURITY_NAME")</f>
        <v>FN DD3062</v>
      </c>
      <c r="C2514" t="str">
        <f>_xll.BDP("FNDD3062 Mtge","GENERIC_TICKER_VINTAGE")</f>
        <v>FNCL 6 2025</v>
      </c>
      <c r="D2514" t="str">
        <f>_xll.BDP("FNDD3062 Mtge","CRNCY")</f>
        <v>USD</v>
      </c>
      <c r="E2514">
        <v>1157990</v>
      </c>
      <c r="F2514">
        <f>_xll.BDP("FNDD3062 Mtge","CPN")</f>
        <v>6</v>
      </c>
      <c r="G2514">
        <f>_xll.BDP("FNDD3062 Mtge","MTG_FACTOR")</f>
        <v>0.73914228000000004</v>
      </c>
      <c r="H2514">
        <f>_xll.BDP("FNDD3062 Mtge","MTG_WAL")</f>
        <v>3.2008999999999999</v>
      </c>
      <c r="I2514" t="str">
        <f>_xll.BDP("FNDD3062 Mtge","MTG_ORIG_WAL")</f>
        <v>#N/A N/A</v>
      </c>
    </row>
    <row r="2515" spans="1:9" x14ac:dyDescent="0.25">
      <c r="A2515" t="str">
        <f>_xll.BDP("FNDD3063 Mtge","ID_CUSIP")</f>
        <v>3140B3MM1</v>
      </c>
      <c r="B2515" t="str">
        <f>_xll.BDP("FNDD3063 Mtge","SECURITY_NAME")</f>
        <v>FN DD3063</v>
      </c>
      <c r="C2515" t="str">
        <f>_xll.BDP("FNDD3063 Mtge","GENERIC_TICKER_VINTAGE")</f>
        <v>FNCL 6 2025</v>
      </c>
      <c r="D2515" t="str">
        <f>_xll.BDP("FNDD3063 Mtge","CRNCY")</f>
        <v>USD</v>
      </c>
      <c r="E2515">
        <v>1001500</v>
      </c>
      <c r="F2515">
        <f>_xll.BDP("FNDD3063 Mtge","CPN")</f>
        <v>6</v>
      </c>
      <c r="G2515">
        <f>_xll.BDP("FNDD3063 Mtge","MTG_FACTOR")</f>
        <v>0.98895624000000004</v>
      </c>
      <c r="H2515">
        <f>_xll.BDP("FNDD3063 Mtge","MTG_WAL")</f>
        <v>3.2035999999999998</v>
      </c>
      <c r="I2515" t="str">
        <f>_xll.BDP("FNDD3063 Mtge","MTG_ORIG_WAL")</f>
        <v>#N/A N/A</v>
      </c>
    </row>
    <row r="2516" spans="1:9" x14ac:dyDescent="0.25">
      <c r="A2516" t="str">
        <f>_xll.BDP("FNDD3068 Mtge","ID_CUSIP")</f>
        <v>3140B3MS8</v>
      </c>
      <c r="B2516" t="str">
        <f>_xll.BDP("FNDD3068 Mtge","SECURITY_NAME")</f>
        <v>FN DD3068</v>
      </c>
      <c r="C2516" t="str">
        <f>_xll.BDP("FNDD3068 Mtge","GENERIC_TICKER_VINTAGE")</f>
        <v>FNCL 6 2025</v>
      </c>
      <c r="D2516" t="str">
        <f>_xll.BDP("FNDD3068 Mtge","CRNCY")</f>
        <v>USD</v>
      </c>
      <c r="E2516">
        <v>1493200</v>
      </c>
      <c r="F2516">
        <f>_xll.BDP("FNDD3068 Mtge","CPN")</f>
        <v>6</v>
      </c>
      <c r="G2516">
        <f>_xll.BDP("FNDD3068 Mtge","MTG_FACTOR")</f>
        <v>0.98954814999999996</v>
      </c>
      <c r="H2516">
        <f>_xll.BDP("FNDD3068 Mtge","MTG_WAL")</f>
        <v>3.2031999999999998</v>
      </c>
      <c r="I2516" t="str">
        <f>_xll.BDP("FNDD3068 Mtge","MTG_ORIG_WAL")</f>
        <v>#N/A N/A</v>
      </c>
    </row>
    <row r="2517" spans="1:9" x14ac:dyDescent="0.25">
      <c r="A2517" t="str">
        <f>_xll.BDP("FNDD3079 Mtge","ID_CUSIP")</f>
        <v>3140B3M58</v>
      </c>
      <c r="B2517" t="str">
        <f>_xll.BDP("FNDD3079 Mtge","SECURITY_NAME")</f>
        <v>FN DD3079</v>
      </c>
      <c r="C2517" t="str">
        <f>_xll.BDP("FNDD3079 Mtge","GENERIC_TICKER_VINTAGE")</f>
        <v>FNCL 6 2025</v>
      </c>
      <c r="D2517" t="str">
        <f>_xll.BDP("FNDD3079 Mtge","CRNCY")</f>
        <v>USD</v>
      </c>
      <c r="E2517">
        <v>2254500</v>
      </c>
      <c r="F2517">
        <f>_xll.BDP("FNDD3079 Mtge","CPN")</f>
        <v>6</v>
      </c>
      <c r="G2517">
        <f>_xll.BDP("FNDD3079 Mtge","MTG_FACTOR")</f>
        <v>0.83570520999999998</v>
      </c>
      <c r="H2517">
        <f>_xll.BDP("FNDD3079 Mtge","MTG_WAL")</f>
        <v>3.2033999999999998</v>
      </c>
      <c r="I2517" t="str">
        <f>_xll.BDP("FNDD3079 Mtge","MTG_ORIG_WAL")</f>
        <v>#N/A N/A</v>
      </c>
    </row>
    <row r="2518" spans="1:9" x14ac:dyDescent="0.25">
      <c r="A2518" t="str">
        <f>_xll.BDP("FNDD3080 Mtge","ID_CUSIP")</f>
        <v>3140B3M66</v>
      </c>
      <c r="B2518" t="str">
        <f>_xll.BDP("FNDD3080 Mtge","SECURITY_NAME")</f>
        <v>FN DD3080</v>
      </c>
      <c r="C2518" t="str">
        <f>_xll.BDP("FNDD3080 Mtge","GENERIC_TICKER_VINTAGE")</f>
        <v>FNCL 6 2025</v>
      </c>
      <c r="D2518" t="str">
        <f>_xll.BDP("FNDD3080 Mtge","CRNCY")</f>
        <v>USD</v>
      </c>
      <c r="E2518">
        <v>1277884</v>
      </c>
      <c r="F2518">
        <f>_xll.BDP("FNDD3080 Mtge","CPN")</f>
        <v>6</v>
      </c>
      <c r="G2518">
        <f>_xll.BDP("FNDD3080 Mtge","MTG_FACTOR")</f>
        <v>0.72790111000000002</v>
      </c>
      <c r="H2518">
        <f>_xll.BDP("FNDD3080 Mtge","MTG_WAL")</f>
        <v>3.1913999999999998</v>
      </c>
      <c r="I2518" t="str">
        <f>_xll.BDP("FNDD3080 Mtge","MTG_ORIG_WAL")</f>
        <v>#N/A N/A</v>
      </c>
    </row>
    <row r="2519" spans="1:9" x14ac:dyDescent="0.25">
      <c r="A2519" t="str">
        <f>_xll.BDP("FNDD3081 Mtge","ID_CUSIP")</f>
        <v>3140B3M74</v>
      </c>
      <c r="B2519" t="str">
        <f>_xll.BDP("FNDD3081 Mtge","SECURITY_NAME")</f>
        <v>FN DD3081</v>
      </c>
      <c r="C2519" t="str">
        <f>_xll.BDP("FNDD3081 Mtge","GENERIC_TICKER_VINTAGE")</f>
        <v>FNCL 6 2025</v>
      </c>
      <c r="D2519" t="str">
        <f>_xll.BDP("FNDD3081 Mtge","CRNCY")</f>
        <v>USD</v>
      </c>
      <c r="E2519">
        <v>1208978</v>
      </c>
      <c r="F2519">
        <f>_xll.BDP("FNDD3081 Mtge","CPN")</f>
        <v>6</v>
      </c>
      <c r="G2519">
        <f>_xll.BDP("FNDD3081 Mtge","MTG_FACTOR")</f>
        <v>0.81156271999999996</v>
      </c>
      <c r="H2519">
        <f>_xll.BDP("FNDD3081 Mtge","MTG_WAL")</f>
        <v>3.2035999999999998</v>
      </c>
      <c r="I2519" t="str">
        <f>_xll.BDP("FNDD3081 Mtge","MTG_ORIG_WAL")</f>
        <v>#N/A N/A</v>
      </c>
    </row>
    <row r="2520" spans="1:9" x14ac:dyDescent="0.25">
      <c r="A2520" t="str">
        <f>_xll.BDP("FNDD3083 Mtge","ID_CUSIP")</f>
        <v>3140B3M90</v>
      </c>
      <c r="B2520" t="str">
        <f>_xll.BDP("FNDD3083 Mtge","SECURITY_NAME")</f>
        <v>FN DD3083</v>
      </c>
      <c r="C2520" t="str">
        <f>_xll.BDP("FNDD3083 Mtge","GENERIC_TICKER_VINTAGE")</f>
        <v>FNCL 6 2025</v>
      </c>
      <c r="D2520" t="str">
        <f>_xll.BDP("FNDD3083 Mtge","CRNCY")</f>
        <v>USD</v>
      </c>
      <c r="E2520">
        <v>3880647</v>
      </c>
      <c r="F2520">
        <f>_xll.BDP("FNDD3083 Mtge","CPN")</f>
        <v>6</v>
      </c>
      <c r="G2520">
        <f>_xll.BDP("FNDD3083 Mtge","MTG_FACTOR")</f>
        <v>0.86105366999999999</v>
      </c>
      <c r="H2520">
        <f>_xll.BDP("FNDD3083 Mtge","MTG_WAL")</f>
        <v>3.1612</v>
      </c>
      <c r="I2520" t="str">
        <f>_xll.BDP("FNDD3083 Mtge","MTG_ORIG_WAL")</f>
        <v>#N/A N/A</v>
      </c>
    </row>
    <row r="2521" spans="1:9" x14ac:dyDescent="0.25">
      <c r="A2521" t="str">
        <f>_xll.BDP("FNDD3091 Mtge","ID_CUSIP")</f>
        <v>3140B3NH1</v>
      </c>
      <c r="B2521" t="str">
        <f>_xll.BDP("FNDD3091 Mtge","SECURITY_NAME")</f>
        <v>FN DD3091</v>
      </c>
      <c r="C2521" t="str">
        <f>_xll.BDP("FNDD3091 Mtge","GENERIC_TICKER_VINTAGE")</f>
        <v>FNCL 6 2025</v>
      </c>
      <c r="D2521" t="str">
        <f>_xll.BDP("FNDD3091 Mtge","CRNCY")</f>
        <v>USD</v>
      </c>
      <c r="E2521">
        <v>8235888</v>
      </c>
      <c r="F2521">
        <f>_xll.BDP("FNDD3091 Mtge","CPN")</f>
        <v>6</v>
      </c>
      <c r="G2521">
        <f>_xll.BDP("FNDD3091 Mtge","MTG_FACTOR")</f>
        <v>0.75806989999999996</v>
      </c>
      <c r="H2521">
        <f>_xll.BDP("FNDD3091 Mtge","MTG_WAL")</f>
        <v>3.1591</v>
      </c>
      <c r="I2521" t="str">
        <f>_xll.BDP("FNDD3091 Mtge","MTG_ORIG_WAL")</f>
        <v>#N/A N/A</v>
      </c>
    </row>
    <row r="2522" spans="1:9" x14ac:dyDescent="0.25">
      <c r="A2522" t="str">
        <f>_xll.BDP("FNDD3105 Mtge","ID_CUSIP")</f>
        <v>3140B3NX6</v>
      </c>
      <c r="B2522" t="str">
        <f>_xll.BDP("FNDD3105 Mtge","SECURITY_NAME")</f>
        <v>FN DD3105</v>
      </c>
      <c r="C2522" t="str">
        <f>_xll.BDP("FNDD3105 Mtge","GENERIC_TICKER_VINTAGE")</f>
        <v>FNCL 6 2025</v>
      </c>
      <c r="D2522" t="str">
        <f>_xll.BDP("FNDD3105 Mtge","CRNCY")</f>
        <v>USD</v>
      </c>
      <c r="E2522">
        <v>1339815</v>
      </c>
      <c r="F2522">
        <f>_xll.BDP("FNDD3105 Mtge","CPN")</f>
        <v>6</v>
      </c>
      <c r="G2522">
        <f>_xll.BDP("FNDD3105 Mtge","MTG_FACTOR")</f>
        <v>0.98803591000000002</v>
      </c>
      <c r="H2522">
        <f>_xll.BDP("FNDD3105 Mtge","MTG_WAL")</f>
        <v>3.1621000000000001</v>
      </c>
      <c r="I2522" t="str">
        <f>_xll.BDP("FNDD3105 Mtge","MTG_ORIG_WAL")</f>
        <v>#N/A N/A</v>
      </c>
    </row>
    <row r="2523" spans="1:9" x14ac:dyDescent="0.25">
      <c r="A2523" t="str">
        <f>_xll.BDP("FNDD3106 Mtge","ID_CUSIP")</f>
        <v>3140B3NY4</v>
      </c>
      <c r="B2523" t="str">
        <f>_xll.BDP("FNDD3106 Mtge","SECURITY_NAME")</f>
        <v>FN DD3106</v>
      </c>
      <c r="C2523" t="str">
        <f>_xll.BDP("FNDD3106 Mtge","GENERIC_TICKER_VINTAGE")</f>
        <v>FNCL 6 2025</v>
      </c>
      <c r="D2523" t="str">
        <f>_xll.BDP("FNDD3106 Mtge","CRNCY")</f>
        <v>USD</v>
      </c>
      <c r="E2523">
        <v>1127747</v>
      </c>
      <c r="F2523">
        <f>_xll.BDP("FNDD3106 Mtge","CPN")</f>
        <v>6</v>
      </c>
      <c r="G2523">
        <f>_xll.BDP("FNDD3106 Mtge","MTG_FACTOR")</f>
        <v>0.98291348999999995</v>
      </c>
      <c r="H2523">
        <f>_xll.BDP("FNDD3106 Mtge","MTG_WAL")</f>
        <v>3.1541000000000001</v>
      </c>
      <c r="I2523" t="str">
        <f>_xll.BDP("FNDD3106 Mtge","MTG_ORIG_WAL")</f>
        <v>#N/A N/A</v>
      </c>
    </row>
    <row r="2524" spans="1:9" x14ac:dyDescent="0.25">
      <c r="A2524" t="str">
        <f>_xll.BDP("FNDD3120 Mtge","ID_CUSIP")</f>
        <v>3140B3PE6</v>
      </c>
      <c r="B2524" t="str">
        <f>_xll.BDP("FNDD3120 Mtge","SECURITY_NAME")</f>
        <v>FN DD3120</v>
      </c>
      <c r="C2524" t="str">
        <f>_xll.BDP("FNDD3120 Mtge","GENERIC_TICKER_VINTAGE")</f>
        <v>FNCL 6 2025</v>
      </c>
      <c r="D2524" t="str">
        <f>_xll.BDP("FNDD3120 Mtge","CRNCY")</f>
        <v>USD</v>
      </c>
      <c r="E2524">
        <v>1057724</v>
      </c>
      <c r="F2524">
        <f>_xll.BDP("FNDD3120 Mtge","CPN")</f>
        <v>6</v>
      </c>
      <c r="G2524">
        <f>_xll.BDP("FNDD3120 Mtge","MTG_FACTOR")</f>
        <v>0.98682440000000005</v>
      </c>
      <c r="H2524">
        <f>_xll.BDP("FNDD3120 Mtge","MTG_WAL")</f>
        <v>3.1610999999999998</v>
      </c>
      <c r="I2524" t="str">
        <f>_xll.BDP("FNDD3120 Mtge","MTG_ORIG_WAL")</f>
        <v>#N/A N/A</v>
      </c>
    </row>
    <row r="2525" spans="1:9" x14ac:dyDescent="0.25">
      <c r="A2525" t="str">
        <f>_xll.BDP("FNDD3123 Mtge","ID_CUSIP")</f>
        <v>3140B3PH9</v>
      </c>
      <c r="B2525" t="str">
        <f>_xll.BDP("FNDD3123 Mtge","SECURITY_NAME")</f>
        <v>FN DD3123</v>
      </c>
      <c r="C2525" t="str">
        <f>_xll.BDP("FNDD3123 Mtge","GENERIC_TICKER_VINTAGE")</f>
        <v>FNCL 6 2025</v>
      </c>
      <c r="D2525" t="str">
        <f>_xll.BDP("FNDD3123 Mtge","CRNCY")</f>
        <v>USD</v>
      </c>
      <c r="E2525">
        <v>1181708</v>
      </c>
      <c r="F2525">
        <f>_xll.BDP("FNDD3123 Mtge","CPN")</f>
        <v>6</v>
      </c>
      <c r="G2525">
        <f>_xll.BDP("FNDD3123 Mtge","MTG_FACTOR")</f>
        <v>0.89887534000000002</v>
      </c>
      <c r="H2525">
        <f>_xll.BDP("FNDD3123 Mtge","MTG_WAL")</f>
        <v>3.1406000000000001</v>
      </c>
      <c r="I2525" t="str">
        <f>_xll.BDP("FNDD3123 Mtge","MTG_ORIG_WAL")</f>
        <v>#N/A N/A</v>
      </c>
    </row>
    <row r="2526" spans="1:9" x14ac:dyDescent="0.25">
      <c r="A2526" t="str">
        <f>_xll.BDP("FNDD3128 Mtge","ID_CUSIP")</f>
        <v>3140B3PN6</v>
      </c>
      <c r="B2526" t="str">
        <f>_xll.BDP("FNDD3128 Mtge","SECURITY_NAME")</f>
        <v>FN DD3128</v>
      </c>
      <c r="C2526" t="str">
        <f>_xll.BDP("FNDD3128 Mtge","GENERIC_TICKER_VINTAGE")</f>
        <v>FNCL 6 2025</v>
      </c>
      <c r="D2526" t="str">
        <f>_xll.BDP("FNDD3128 Mtge","CRNCY")</f>
        <v>USD</v>
      </c>
      <c r="E2526">
        <v>1230155</v>
      </c>
      <c r="F2526">
        <f>_xll.BDP("FNDD3128 Mtge","CPN")</f>
        <v>6</v>
      </c>
      <c r="G2526">
        <f>_xll.BDP("FNDD3128 Mtge","MTG_FACTOR")</f>
        <v>0.68100430000000001</v>
      </c>
      <c r="H2526">
        <f>_xll.BDP("FNDD3128 Mtge","MTG_WAL")</f>
        <v>3.1600999999999999</v>
      </c>
      <c r="I2526" t="str">
        <f>_xll.BDP("FNDD3128 Mtge","MTG_ORIG_WAL")</f>
        <v>#N/A N/A</v>
      </c>
    </row>
    <row r="2527" spans="1:9" x14ac:dyDescent="0.25">
      <c r="A2527" t="str">
        <f>_xll.BDP("FNDD3129 Mtge","ID_CUSIP")</f>
        <v>3140B3PP1</v>
      </c>
      <c r="B2527" t="str">
        <f>_xll.BDP("FNDD3129 Mtge","SECURITY_NAME")</f>
        <v>FN DD3129</v>
      </c>
      <c r="C2527" t="str">
        <f>_xll.BDP("FNDD3129 Mtge","GENERIC_TICKER_VINTAGE")</f>
        <v>FNCL 6 2025</v>
      </c>
      <c r="D2527" t="str">
        <f>_xll.BDP("FNDD3129 Mtge","CRNCY")</f>
        <v>USD</v>
      </c>
      <c r="E2527">
        <v>1035600</v>
      </c>
      <c r="F2527">
        <f>_xll.BDP("FNDD3129 Mtge","CPN")</f>
        <v>6</v>
      </c>
      <c r="G2527">
        <f>_xll.BDP("FNDD3129 Mtge","MTG_FACTOR")</f>
        <v>0.89361734000000004</v>
      </c>
      <c r="H2527">
        <f>_xll.BDP("FNDD3129 Mtge","MTG_WAL")</f>
        <v>3.1425000000000001</v>
      </c>
      <c r="I2527" t="str">
        <f>_xll.BDP("FNDD3129 Mtge","MTG_ORIG_WAL")</f>
        <v>#N/A N/A</v>
      </c>
    </row>
    <row r="2528" spans="1:9" x14ac:dyDescent="0.25">
      <c r="A2528" t="str">
        <f>_xll.BDP("FNDD3130 Mtge","ID_CUSIP")</f>
        <v>3140B3PQ9</v>
      </c>
      <c r="B2528" t="str">
        <f>_xll.BDP("FNDD3130 Mtge","SECURITY_NAME")</f>
        <v>FN DD3130</v>
      </c>
      <c r="C2528" t="str">
        <f>_xll.BDP("FNDD3130 Mtge","GENERIC_TICKER_VINTAGE")</f>
        <v>FNCL 6 2025</v>
      </c>
      <c r="D2528" t="str">
        <f>_xll.BDP("FNDD3130 Mtge","CRNCY")</f>
        <v>USD</v>
      </c>
      <c r="E2528">
        <v>1990121</v>
      </c>
      <c r="F2528">
        <f>_xll.BDP("FNDD3130 Mtge","CPN")</f>
        <v>6</v>
      </c>
      <c r="G2528">
        <f>_xll.BDP("FNDD3130 Mtge","MTG_FACTOR")</f>
        <v>0.98746984000000004</v>
      </c>
      <c r="H2528">
        <f>_xll.BDP("FNDD3130 Mtge","MTG_WAL")</f>
        <v>3.1613000000000002</v>
      </c>
      <c r="I2528" t="str">
        <f>_xll.BDP("FNDD3130 Mtge","MTG_ORIG_WAL")</f>
        <v>#N/A N/A</v>
      </c>
    </row>
    <row r="2529" spans="1:9" x14ac:dyDescent="0.25">
      <c r="A2529" t="str">
        <f>_xll.BDP("FNDD3152 Mtge","ID_CUSIP")</f>
        <v>3140B3QE5</v>
      </c>
      <c r="B2529" t="str">
        <f>_xll.BDP("FNDD3152 Mtge","SECURITY_NAME")</f>
        <v>FN DD3152</v>
      </c>
      <c r="C2529" t="str">
        <f>_xll.BDP("FNDD3152 Mtge","GENERIC_TICKER_VINTAGE")</f>
        <v>FNCL 6 2025</v>
      </c>
      <c r="D2529" t="str">
        <f>_xll.BDP("FNDD3152 Mtge","CRNCY")</f>
        <v>USD</v>
      </c>
      <c r="E2529">
        <v>4529444</v>
      </c>
      <c r="F2529">
        <f>_xll.BDP("FNDD3152 Mtge","CPN")</f>
        <v>6</v>
      </c>
      <c r="G2529">
        <f>_xll.BDP("FNDD3152 Mtge","MTG_FACTOR")</f>
        <v>0.94221493999999995</v>
      </c>
      <c r="H2529">
        <f>_xll.BDP("FNDD3152 Mtge","MTG_WAL")</f>
        <v>3.1613000000000002</v>
      </c>
      <c r="I2529" t="str">
        <f>_xll.BDP("FNDD3152 Mtge","MTG_ORIG_WAL")</f>
        <v>#N/A N/A</v>
      </c>
    </row>
    <row r="2530" spans="1:9" x14ac:dyDescent="0.25">
      <c r="A2530" t="str">
        <f>_xll.BDP("FNDD3154 Mtge","ID_CUSIP")</f>
        <v>3140B3QG0</v>
      </c>
      <c r="B2530" t="str">
        <f>_xll.BDP("FNDD3154 Mtge","SECURITY_NAME")</f>
        <v>FN DD3154</v>
      </c>
      <c r="C2530" t="str">
        <f>_xll.BDP("FNDD3154 Mtge","GENERIC_TICKER_VINTAGE")</f>
        <v>FNCL 6 2025</v>
      </c>
      <c r="D2530" t="str">
        <f>_xll.BDP("FNDD3154 Mtge","CRNCY")</f>
        <v>USD</v>
      </c>
      <c r="E2530">
        <v>2733278</v>
      </c>
      <c r="F2530">
        <f>_xll.BDP("FNDD3154 Mtge","CPN")</f>
        <v>6</v>
      </c>
      <c r="G2530">
        <f>_xll.BDP("FNDD3154 Mtge","MTG_FACTOR")</f>
        <v>0.98594614999999997</v>
      </c>
      <c r="H2530">
        <f>_xll.BDP("FNDD3154 Mtge","MTG_WAL")</f>
        <v>3.1587999999999998</v>
      </c>
      <c r="I2530" t="str">
        <f>_xll.BDP("FNDD3154 Mtge","MTG_ORIG_WAL")</f>
        <v>#N/A N/A</v>
      </c>
    </row>
    <row r="2531" spans="1:9" x14ac:dyDescent="0.25">
      <c r="A2531" t="str">
        <f>_xll.BDP("FNDD3158 Mtge","ID_CUSIP")</f>
        <v>3140B3QL9</v>
      </c>
      <c r="B2531" t="str">
        <f>_xll.BDP("FNDD3158 Mtge","SECURITY_NAME")</f>
        <v>FN DD3158</v>
      </c>
      <c r="C2531" t="str">
        <f>_xll.BDP("FNDD3158 Mtge","GENERIC_TICKER_VINTAGE")</f>
        <v>FNCL 6 2025</v>
      </c>
      <c r="D2531" t="str">
        <f>_xll.BDP("FNDD3158 Mtge","CRNCY")</f>
        <v>USD</v>
      </c>
      <c r="E2531">
        <v>1544450</v>
      </c>
      <c r="F2531">
        <f>_xll.BDP("FNDD3158 Mtge","CPN")</f>
        <v>6</v>
      </c>
      <c r="G2531">
        <f>_xll.BDP("FNDD3158 Mtge","MTG_FACTOR")</f>
        <v>0.89114888000000003</v>
      </c>
      <c r="H2531">
        <f>_xll.BDP("FNDD3158 Mtge","MTG_WAL")</f>
        <v>3.165</v>
      </c>
      <c r="I2531" t="str">
        <f>_xll.BDP("FNDD3158 Mtge","MTG_ORIG_WAL")</f>
        <v>#N/A N/A</v>
      </c>
    </row>
    <row r="2532" spans="1:9" x14ac:dyDescent="0.25">
      <c r="A2532" t="str">
        <f>_xll.BDP("FNDD3168 Mtge","ID_CUSIP")</f>
        <v>3140B3QW5</v>
      </c>
      <c r="B2532" t="str">
        <f>_xll.BDP("FNDD3168 Mtge","SECURITY_NAME")</f>
        <v>FN DD3168</v>
      </c>
      <c r="C2532" t="str">
        <f>_xll.BDP("FNDD3168 Mtge","GENERIC_TICKER_VINTAGE")</f>
        <v>FNCL 6 2025</v>
      </c>
      <c r="D2532" t="str">
        <f>_xll.BDP("FNDD3168 Mtge","CRNCY")</f>
        <v>USD</v>
      </c>
      <c r="E2532">
        <v>121000</v>
      </c>
      <c r="F2532">
        <f>_xll.BDP("FNDD3168 Mtge","CPN")</f>
        <v>5.875</v>
      </c>
      <c r="G2532">
        <f>_xll.BDP("FNDD3168 Mtge","MTG_FACTOR")</f>
        <v>0.98814230999999997</v>
      </c>
      <c r="H2532">
        <f>_xll.BDP("FNDD3168 Mtge","MTG_WAL")</f>
        <v>3.1564000000000001</v>
      </c>
      <c r="I2532" t="str">
        <f>_xll.BDP("FNDD3168 Mtge","MTG_ORIG_WAL")</f>
        <v>#N/A N/A</v>
      </c>
    </row>
    <row r="2533" spans="1:9" x14ac:dyDescent="0.25">
      <c r="A2533" t="str">
        <f>_xll.BDP("FNDD3169 Mtge","ID_CUSIP")</f>
        <v>3140B3QX3</v>
      </c>
      <c r="B2533" t="str">
        <f>_xll.BDP("FNDD3169 Mtge","SECURITY_NAME")</f>
        <v>FN DD3169</v>
      </c>
      <c r="C2533" t="str">
        <f>_xll.BDP("FNDD3169 Mtge","GENERIC_TICKER_VINTAGE")</f>
        <v>FNCL 6 2025</v>
      </c>
      <c r="D2533" t="str">
        <f>_xll.BDP("FNDD3169 Mtge","CRNCY")</f>
        <v>USD</v>
      </c>
      <c r="E2533">
        <v>246292</v>
      </c>
      <c r="F2533">
        <f>_xll.BDP("FNDD3169 Mtge","CPN")</f>
        <v>6</v>
      </c>
      <c r="G2533">
        <f>_xll.BDP("FNDD3169 Mtge","MTG_FACTOR")</f>
        <v>0.98810635000000002</v>
      </c>
      <c r="H2533">
        <f>_xll.BDP("FNDD3169 Mtge","MTG_WAL")</f>
        <v>3.1589</v>
      </c>
      <c r="I2533" t="str">
        <f>_xll.BDP("FNDD3169 Mtge","MTG_ORIG_WAL")</f>
        <v>#N/A N/A</v>
      </c>
    </row>
    <row r="2534" spans="1:9" x14ac:dyDescent="0.25">
      <c r="A2534" t="str">
        <f>_xll.BDP("FNDD3222 Mtge","ID_CUSIP")</f>
        <v>3140B3SL7</v>
      </c>
      <c r="B2534" t="str">
        <f>_xll.BDP("FNDD3222 Mtge","SECURITY_NAME")</f>
        <v>FN DD3222</v>
      </c>
      <c r="C2534" t="str">
        <f>_xll.BDP("FNDD3222 Mtge","GENERIC_TICKER_VINTAGE")</f>
        <v>FNCL 6 2025</v>
      </c>
      <c r="D2534" t="str">
        <f>_xll.BDP("FNDD3222 Mtge","CRNCY")</f>
        <v>USD</v>
      </c>
      <c r="E2534">
        <v>657047</v>
      </c>
      <c r="F2534">
        <f>_xll.BDP("FNDD3222 Mtge","CPN")</f>
        <v>6</v>
      </c>
      <c r="G2534">
        <f>_xll.BDP("FNDD3222 Mtge","MTG_FACTOR")</f>
        <v>0.98930267000000005</v>
      </c>
      <c r="H2534">
        <f>_xll.BDP("FNDD3222 Mtge","MTG_WAL")</f>
        <v>3.1613000000000002</v>
      </c>
      <c r="I2534" t="str">
        <f>_xll.BDP("FNDD3222 Mtge","MTG_ORIG_WAL")</f>
        <v>#N/A N/A</v>
      </c>
    </row>
    <row r="2535" spans="1:9" x14ac:dyDescent="0.25">
      <c r="A2535" t="str">
        <f>_xll.BDP("FNDD3227 Mtge","ID_CUSIP")</f>
        <v>3140B3SR4</v>
      </c>
      <c r="B2535" t="str">
        <f>_xll.BDP("FNDD3227 Mtge","SECURITY_NAME")</f>
        <v>FN DD3227</v>
      </c>
      <c r="C2535" t="str">
        <f>_xll.BDP("FNDD3227 Mtge","GENERIC_TICKER_VINTAGE")</f>
        <v>FNCL 6 2025</v>
      </c>
      <c r="D2535" t="str">
        <f>_xll.BDP("FNDD3227 Mtge","CRNCY")</f>
        <v>USD</v>
      </c>
      <c r="E2535">
        <v>154716</v>
      </c>
      <c r="F2535">
        <f>_xll.BDP("FNDD3227 Mtge","CPN")</f>
        <v>6</v>
      </c>
      <c r="G2535">
        <f>_xll.BDP("FNDD3227 Mtge","MTG_FACTOR")</f>
        <v>0.97795476999999997</v>
      </c>
      <c r="H2535">
        <f>_xll.BDP("FNDD3227 Mtge","MTG_WAL")</f>
        <v>3.149</v>
      </c>
      <c r="I2535" t="str">
        <f>_xll.BDP("FNDD3227 Mtge","MTG_ORIG_WAL")</f>
        <v>#N/A N/A</v>
      </c>
    </row>
    <row r="2536" spans="1:9" x14ac:dyDescent="0.25">
      <c r="A2536" t="str">
        <f>_xll.BDP("FNDD3254 Mtge","ID_CUSIP")</f>
        <v>3140B3TL6</v>
      </c>
      <c r="B2536" t="str">
        <f>_xll.BDP("FNDD3254 Mtge","SECURITY_NAME")</f>
        <v>FN DD3254</v>
      </c>
      <c r="C2536" t="str">
        <f>_xll.BDP("FNDD3254 Mtge","GENERIC_TICKER_VINTAGE")</f>
        <v>FNCL 6 2025</v>
      </c>
      <c r="D2536" t="str">
        <f>_xll.BDP("FNDD3254 Mtge","CRNCY")</f>
        <v>USD</v>
      </c>
      <c r="E2536">
        <v>361432</v>
      </c>
      <c r="F2536">
        <f>_xll.BDP("FNDD3254 Mtge","CPN")</f>
        <v>5.875</v>
      </c>
      <c r="G2536">
        <f>_xll.BDP("FNDD3254 Mtge","MTG_FACTOR")</f>
        <v>0.96284979999999998</v>
      </c>
      <c r="H2536">
        <f>_xll.BDP("FNDD3254 Mtge","MTG_WAL")</f>
        <v>3.1347</v>
      </c>
      <c r="I2536" t="str">
        <f>_xll.BDP("FNDD3254 Mtge","MTG_ORIG_WAL")</f>
        <v>#N/A N/A</v>
      </c>
    </row>
    <row r="2537" spans="1:9" x14ac:dyDescent="0.25">
      <c r="A2537" t="str">
        <f>_xll.BDP("FNDD3291 Mtge","ID_CUSIP")</f>
        <v>3140B3UR1</v>
      </c>
      <c r="B2537" t="str">
        <f>_xll.BDP("FNDD3291 Mtge","SECURITY_NAME")</f>
        <v>FN DD3291</v>
      </c>
      <c r="C2537" t="str">
        <f>_xll.BDP("FNDD3291 Mtge","GENERIC_TICKER_VINTAGE")</f>
        <v>FNCL 6 2025</v>
      </c>
      <c r="D2537" t="str">
        <f>_xll.BDP("FNDD3291 Mtge","CRNCY")</f>
        <v>USD</v>
      </c>
      <c r="E2537">
        <v>2988180</v>
      </c>
      <c r="F2537">
        <f>_xll.BDP("FNDD3291 Mtge","CPN")</f>
        <v>6</v>
      </c>
      <c r="G2537">
        <f>_xll.BDP("FNDD3291 Mtge","MTG_FACTOR")</f>
        <v>0.63487890000000002</v>
      </c>
      <c r="H2537">
        <f>_xll.BDP("FNDD3291 Mtge","MTG_WAL")</f>
        <v>3.1535000000000002</v>
      </c>
      <c r="I2537" t="str">
        <f>_xll.BDP("FNDD3291 Mtge","MTG_ORIG_WAL")</f>
        <v>#N/A N/A</v>
      </c>
    </row>
    <row r="2538" spans="1:9" x14ac:dyDescent="0.25">
      <c r="A2538" t="str">
        <f>_xll.BDP("FNDD3292 Mtge","ID_CUSIP")</f>
        <v>3140B3US9</v>
      </c>
      <c r="B2538" t="str">
        <f>_xll.BDP("FNDD3292 Mtge","SECURITY_NAME")</f>
        <v>FN DD3292</v>
      </c>
      <c r="C2538" t="str">
        <f>_xll.BDP("FNDD3292 Mtge","GENERIC_TICKER_VINTAGE")</f>
        <v>FNCL 6 2025</v>
      </c>
      <c r="D2538" t="str">
        <f>_xll.BDP("FNDD3292 Mtge","CRNCY")</f>
        <v>USD</v>
      </c>
      <c r="E2538">
        <v>7225378</v>
      </c>
      <c r="F2538">
        <f>_xll.BDP("FNDD3292 Mtge","CPN")</f>
        <v>6</v>
      </c>
      <c r="G2538">
        <f>_xll.BDP("FNDD3292 Mtge","MTG_FACTOR")</f>
        <v>0.76121143000000002</v>
      </c>
      <c r="H2538">
        <f>_xll.BDP("FNDD3292 Mtge","MTG_WAL")</f>
        <v>3.1520000000000001</v>
      </c>
      <c r="I2538" t="str">
        <f>_xll.BDP("FNDD3292 Mtge","MTG_ORIG_WAL")</f>
        <v>#N/A N/A</v>
      </c>
    </row>
    <row r="2539" spans="1:9" x14ac:dyDescent="0.25">
      <c r="A2539" t="str">
        <f>_xll.BDP("FNDD3293 Mtge","ID_CUSIP")</f>
        <v>3140B3UT7</v>
      </c>
      <c r="B2539" t="str">
        <f>_xll.BDP("FNDD3293 Mtge","SECURITY_NAME")</f>
        <v>FN DD3293</v>
      </c>
      <c r="C2539" t="str">
        <f>_xll.BDP("FNDD3293 Mtge","GENERIC_TICKER_VINTAGE")</f>
        <v>FNCL 6 2025</v>
      </c>
      <c r="D2539" t="str">
        <f>_xll.BDP("FNDD3293 Mtge","CRNCY")</f>
        <v>USD</v>
      </c>
      <c r="E2539">
        <v>7037691</v>
      </c>
      <c r="F2539">
        <f>_xll.BDP("FNDD3293 Mtge","CPN")</f>
        <v>6</v>
      </c>
      <c r="G2539">
        <f>_xll.BDP("FNDD3293 Mtge","MTG_FACTOR")</f>
        <v>0.77333498000000001</v>
      </c>
      <c r="H2539">
        <f>_xll.BDP("FNDD3293 Mtge","MTG_WAL")</f>
        <v>3.1579999999999999</v>
      </c>
      <c r="I2539" t="str">
        <f>_xll.BDP("FNDD3293 Mtge","MTG_ORIG_WAL")</f>
        <v>#N/A N/A</v>
      </c>
    </row>
    <row r="2540" spans="1:9" x14ac:dyDescent="0.25">
      <c r="A2540" t="str">
        <f>_xll.BDP("FNDD3294 Mtge","ID_CUSIP")</f>
        <v>3140B3UU4</v>
      </c>
      <c r="B2540" t="str">
        <f>_xll.BDP("FNDD3294 Mtge","SECURITY_NAME")</f>
        <v>FN DD3294</v>
      </c>
      <c r="C2540" t="str">
        <f>_xll.BDP("FNDD3294 Mtge","GENERIC_TICKER_VINTAGE")</f>
        <v>FNCL 6 2025</v>
      </c>
      <c r="D2540" t="str">
        <f>_xll.BDP("FNDD3294 Mtge","CRNCY")</f>
        <v>USD</v>
      </c>
      <c r="E2540">
        <v>4678821</v>
      </c>
      <c r="F2540">
        <f>_xll.BDP("FNDD3294 Mtge","CPN")</f>
        <v>6</v>
      </c>
      <c r="G2540">
        <f>_xll.BDP("FNDD3294 Mtge","MTG_FACTOR")</f>
        <v>0.67107992999999999</v>
      </c>
      <c r="H2540">
        <f>_xll.BDP("FNDD3294 Mtge","MTG_WAL")</f>
        <v>3.1549</v>
      </c>
      <c r="I2540" t="str">
        <f>_xll.BDP("FNDD3294 Mtge","MTG_ORIG_WAL")</f>
        <v>#N/A N/A</v>
      </c>
    </row>
    <row r="2541" spans="1:9" x14ac:dyDescent="0.25">
      <c r="A2541" t="str">
        <f>_xll.BDP("FNDD3295 Mtge","ID_CUSIP")</f>
        <v>3140B3UV2</v>
      </c>
      <c r="B2541" t="str">
        <f>_xll.BDP("FNDD3295 Mtge","SECURITY_NAME")</f>
        <v>FN DD3295</v>
      </c>
      <c r="C2541" t="str">
        <f>_xll.BDP("FNDD3295 Mtge","GENERIC_TICKER_VINTAGE")</f>
        <v>FNCL 6 2025</v>
      </c>
      <c r="D2541" t="str">
        <f>_xll.BDP("FNDD3295 Mtge","CRNCY")</f>
        <v>USD</v>
      </c>
      <c r="E2541">
        <v>4592887</v>
      </c>
      <c r="F2541">
        <f>_xll.BDP("FNDD3295 Mtge","CPN")</f>
        <v>6</v>
      </c>
      <c r="G2541">
        <f>_xll.BDP("FNDD3295 Mtge","MTG_FACTOR")</f>
        <v>0.77592629000000002</v>
      </c>
      <c r="H2541">
        <f>_xll.BDP("FNDD3295 Mtge","MTG_WAL")</f>
        <v>3.1539999999999999</v>
      </c>
      <c r="I2541" t="str">
        <f>_xll.BDP("FNDD3295 Mtge","MTG_ORIG_WAL")</f>
        <v>#N/A N/A</v>
      </c>
    </row>
    <row r="2542" spans="1:9" x14ac:dyDescent="0.25">
      <c r="A2542" t="str">
        <f>_xll.BDP("FNDD3296 Mtge","ID_CUSIP")</f>
        <v>3140B3UW0</v>
      </c>
      <c r="B2542" t="str">
        <f>_xll.BDP("FNDD3296 Mtge","SECURITY_NAME")</f>
        <v>FN DD3296</v>
      </c>
      <c r="C2542" t="str">
        <f>_xll.BDP("FNDD3296 Mtge","GENERIC_TICKER_VINTAGE")</f>
        <v>FNCL 6 2025</v>
      </c>
      <c r="D2542" t="str">
        <f>_xll.BDP("FNDD3296 Mtge","CRNCY")</f>
        <v>USD</v>
      </c>
      <c r="E2542">
        <v>5967519</v>
      </c>
      <c r="F2542">
        <f>_xll.BDP("FNDD3296 Mtge","CPN")</f>
        <v>6</v>
      </c>
      <c r="G2542">
        <f>_xll.BDP("FNDD3296 Mtge","MTG_FACTOR")</f>
        <v>0.81556267999999998</v>
      </c>
      <c r="H2542">
        <f>_xll.BDP("FNDD3296 Mtge","MTG_WAL")</f>
        <v>3.1558999999999999</v>
      </c>
      <c r="I2542" t="str">
        <f>_xll.BDP("FNDD3296 Mtge","MTG_ORIG_WAL")</f>
        <v>#N/A N/A</v>
      </c>
    </row>
    <row r="2543" spans="1:9" x14ac:dyDescent="0.25">
      <c r="A2543" t="str">
        <f>_xll.BDP("FNDD3297 Mtge","ID_CUSIP")</f>
        <v>3140B3UX8</v>
      </c>
      <c r="B2543" t="str">
        <f>_xll.BDP("FNDD3297 Mtge","SECURITY_NAME")</f>
        <v>FN DD3297</v>
      </c>
      <c r="C2543" t="str">
        <f>_xll.BDP("FNDD3297 Mtge","GENERIC_TICKER_VINTAGE")</f>
        <v>FNCL 6 2025</v>
      </c>
      <c r="D2543" t="str">
        <f>_xll.BDP("FNDD3297 Mtge","CRNCY")</f>
        <v>USD</v>
      </c>
      <c r="E2543">
        <v>17776025</v>
      </c>
      <c r="F2543">
        <f>_xll.BDP("FNDD3297 Mtge","CPN")</f>
        <v>6</v>
      </c>
      <c r="G2543">
        <f>_xll.BDP("FNDD3297 Mtge","MTG_FACTOR")</f>
        <v>0.82251268</v>
      </c>
      <c r="H2543">
        <f>_xll.BDP("FNDD3297 Mtge","MTG_WAL")</f>
        <v>3.1551</v>
      </c>
      <c r="I2543" t="str">
        <f>_xll.BDP("FNDD3297 Mtge","MTG_ORIG_WAL")</f>
        <v>#N/A N/A</v>
      </c>
    </row>
    <row r="2544" spans="1:9" x14ac:dyDescent="0.25">
      <c r="A2544" t="str">
        <f>_xll.BDP("FNDD3299 Mtge","ID_CUSIP")</f>
        <v>3140B3UZ3</v>
      </c>
      <c r="B2544" t="str">
        <f>_xll.BDP("FNDD3299 Mtge","SECURITY_NAME")</f>
        <v>FN DD3299</v>
      </c>
      <c r="C2544" t="str">
        <f>_xll.BDP("FNDD3299 Mtge","GENERIC_TICKER_VINTAGE")</f>
        <v>FNCL 6 2025</v>
      </c>
      <c r="D2544" t="str">
        <f>_xll.BDP("FNDD3299 Mtge","CRNCY")</f>
        <v>USD</v>
      </c>
      <c r="E2544">
        <v>2134750</v>
      </c>
      <c r="F2544">
        <f>_xll.BDP("FNDD3299 Mtge","CPN")</f>
        <v>6</v>
      </c>
      <c r="G2544">
        <f>_xll.BDP("FNDD3299 Mtge","MTG_FACTOR")</f>
        <v>0.81007596000000004</v>
      </c>
      <c r="H2544">
        <f>_xll.BDP("FNDD3299 Mtge","MTG_WAL")</f>
        <v>3.1631999999999998</v>
      </c>
      <c r="I2544" t="str">
        <f>_xll.BDP("FNDD3299 Mtge","MTG_ORIG_WAL")</f>
        <v>#N/A N/A</v>
      </c>
    </row>
    <row r="2545" spans="1:9" x14ac:dyDescent="0.25">
      <c r="A2545" t="str">
        <f>_xll.BDP("FNDD3300 Mtge","ID_CUSIP")</f>
        <v>3140B3U26</v>
      </c>
      <c r="B2545" t="str">
        <f>_xll.BDP("FNDD3300 Mtge","SECURITY_NAME")</f>
        <v>FN DD3300</v>
      </c>
      <c r="C2545" t="str">
        <f>_xll.BDP("FNDD3300 Mtge","GENERIC_TICKER_VINTAGE")</f>
        <v>FNCL 6 2025</v>
      </c>
      <c r="D2545" t="str">
        <f>_xll.BDP("FNDD3300 Mtge","CRNCY")</f>
        <v>USD</v>
      </c>
      <c r="E2545">
        <v>10667157</v>
      </c>
      <c r="F2545">
        <f>_xll.BDP("FNDD3300 Mtge","CPN")</f>
        <v>6</v>
      </c>
      <c r="G2545">
        <f>_xll.BDP("FNDD3300 Mtge","MTG_FACTOR")</f>
        <v>0.80424836</v>
      </c>
      <c r="H2545">
        <f>_xll.BDP("FNDD3300 Mtge","MTG_WAL")</f>
        <v>3.1461999999999999</v>
      </c>
      <c r="I2545" t="str">
        <f>_xll.BDP("FNDD3300 Mtge","MTG_ORIG_WAL")</f>
        <v>#N/A N/A</v>
      </c>
    </row>
    <row r="2546" spans="1:9" x14ac:dyDescent="0.25">
      <c r="A2546" t="str">
        <f>_xll.BDP("FNDD3302 Mtge","ID_CUSIP")</f>
        <v>3140B3U42</v>
      </c>
      <c r="B2546" t="str">
        <f>_xll.BDP("FNDD3302 Mtge","SECURITY_NAME")</f>
        <v>FN DD3302</v>
      </c>
      <c r="C2546" t="str">
        <f>_xll.BDP("FNDD3302 Mtge","GENERIC_TICKER_VINTAGE")</f>
        <v>FNCL 6 2025</v>
      </c>
      <c r="D2546" t="str">
        <f>_xll.BDP("FNDD3302 Mtge","CRNCY")</f>
        <v>USD</v>
      </c>
      <c r="E2546">
        <v>38307799</v>
      </c>
      <c r="F2546">
        <f>_xll.BDP("FNDD3302 Mtge","CPN")</f>
        <v>6</v>
      </c>
      <c r="G2546">
        <f>_xll.BDP("FNDD3302 Mtge","MTG_FACTOR")</f>
        <v>0.79022667000000002</v>
      </c>
      <c r="H2546">
        <f>_xll.BDP("FNDD3302 Mtge","MTG_WAL")</f>
        <v>3.1583000000000001</v>
      </c>
      <c r="I2546" t="str">
        <f>_xll.BDP("FNDD3302 Mtge","MTG_ORIG_WAL")</f>
        <v>#N/A N/A</v>
      </c>
    </row>
    <row r="2547" spans="1:9" x14ac:dyDescent="0.25">
      <c r="A2547" t="str">
        <f>_xll.BDP("FNDD3306 Mtge","ID_CUSIP")</f>
        <v>3140B3U83</v>
      </c>
      <c r="B2547" t="str">
        <f>_xll.BDP("FNDD3306 Mtge","SECURITY_NAME")</f>
        <v>FN DD3306</v>
      </c>
      <c r="C2547" t="str">
        <f>_xll.BDP("FNDD3306 Mtge","GENERIC_TICKER_VINTAGE")</f>
        <v>FNCL 6 2025</v>
      </c>
      <c r="D2547" t="str">
        <f>_xll.BDP("FNDD3306 Mtge","CRNCY")</f>
        <v>USD</v>
      </c>
      <c r="E2547">
        <v>4194318</v>
      </c>
      <c r="F2547">
        <f>_xll.BDP("FNDD3306 Mtge","CPN")</f>
        <v>6</v>
      </c>
      <c r="G2547">
        <f>_xll.BDP("FNDD3306 Mtge","MTG_FACTOR")</f>
        <v>0.78376411999999995</v>
      </c>
      <c r="H2547">
        <f>_xll.BDP("FNDD3306 Mtge","MTG_WAL")</f>
        <v>3.1200999999999999</v>
      </c>
      <c r="I2547" t="str">
        <f>_xll.BDP("FNDD3306 Mtge","MTG_ORIG_WAL")</f>
        <v>#N/A N/A</v>
      </c>
    </row>
    <row r="2548" spans="1:9" x14ac:dyDescent="0.25">
      <c r="A2548" t="str">
        <f>_xll.BDP("FNDD3307 Mtge","ID_CUSIP")</f>
        <v>3140B3U91</v>
      </c>
      <c r="B2548" t="str">
        <f>_xll.BDP("FNDD3307 Mtge","SECURITY_NAME")</f>
        <v>FN DD3307</v>
      </c>
      <c r="C2548" t="str">
        <f>_xll.BDP("FNDD3307 Mtge","GENERIC_TICKER_VINTAGE")</f>
        <v>FNCL 6 2025</v>
      </c>
      <c r="D2548" t="str">
        <f>_xll.BDP("FNDD3307 Mtge","CRNCY")</f>
        <v>USD</v>
      </c>
      <c r="E2548">
        <v>4821475</v>
      </c>
      <c r="F2548">
        <f>_xll.BDP("FNDD3307 Mtge","CPN")</f>
        <v>6</v>
      </c>
      <c r="G2548">
        <f>_xll.BDP("FNDD3307 Mtge","MTG_FACTOR")</f>
        <v>0.83834512000000005</v>
      </c>
      <c r="H2548">
        <f>_xll.BDP("FNDD3307 Mtge","MTG_WAL")</f>
        <v>3.1566000000000001</v>
      </c>
      <c r="I2548" t="str">
        <f>_xll.BDP("FNDD3307 Mtge","MTG_ORIG_WAL")</f>
        <v>#N/A N/A</v>
      </c>
    </row>
    <row r="2549" spans="1:9" x14ac:dyDescent="0.25">
      <c r="A2549" t="str">
        <f>_xll.BDP("FNDD3309 Mtge","ID_CUSIP")</f>
        <v>3140B3VB5</v>
      </c>
      <c r="B2549" t="str">
        <f>_xll.BDP("FNDD3309 Mtge","SECURITY_NAME")</f>
        <v>FN DD3309</v>
      </c>
      <c r="C2549" t="str">
        <f>_xll.BDP("FNDD3309 Mtge","GENERIC_TICKER_VINTAGE")</f>
        <v>FNCL 6 2025</v>
      </c>
      <c r="D2549" t="str">
        <f>_xll.BDP("FNDD3309 Mtge","CRNCY")</f>
        <v>USD</v>
      </c>
      <c r="E2549">
        <v>1094486</v>
      </c>
      <c r="F2549">
        <f>_xll.BDP("FNDD3309 Mtge","CPN")</f>
        <v>6</v>
      </c>
      <c r="G2549">
        <f>_xll.BDP("FNDD3309 Mtge","MTG_FACTOR")</f>
        <v>0.90491898999999998</v>
      </c>
      <c r="H2549">
        <f>_xll.BDP("FNDD3309 Mtge","MTG_WAL")</f>
        <v>3.1602999999999999</v>
      </c>
      <c r="I2549" t="str">
        <f>_xll.BDP("FNDD3309 Mtge","MTG_ORIG_WAL")</f>
        <v>#N/A N/A</v>
      </c>
    </row>
    <row r="2550" spans="1:9" x14ac:dyDescent="0.25">
      <c r="A2550" t="str">
        <f>_xll.BDP("FNDD3310 Mtge","ID_CUSIP")</f>
        <v>3140B3VC3</v>
      </c>
      <c r="B2550" t="str">
        <f>_xll.BDP("FNDD3310 Mtge","SECURITY_NAME")</f>
        <v>FN DD3310</v>
      </c>
      <c r="C2550" t="str">
        <f>_xll.BDP("FNDD3310 Mtge","GENERIC_TICKER_VINTAGE")</f>
        <v>FNCL 6 2025</v>
      </c>
      <c r="D2550" t="str">
        <f>_xll.BDP("FNDD3310 Mtge","CRNCY")</f>
        <v>USD</v>
      </c>
      <c r="E2550">
        <v>7524332</v>
      </c>
      <c r="F2550">
        <f>_xll.BDP("FNDD3310 Mtge","CPN")</f>
        <v>6</v>
      </c>
      <c r="G2550">
        <f>_xll.BDP("FNDD3310 Mtge","MTG_FACTOR")</f>
        <v>0.81230241999999997</v>
      </c>
      <c r="H2550">
        <f>_xll.BDP("FNDD3310 Mtge","MTG_WAL")</f>
        <v>3.1478999999999999</v>
      </c>
      <c r="I2550" t="str">
        <f>_xll.BDP("FNDD3310 Mtge","MTG_ORIG_WAL")</f>
        <v>#N/A N/A</v>
      </c>
    </row>
    <row r="2551" spans="1:9" x14ac:dyDescent="0.25">
      <c r="A2551" t="str">
        <f>_xll.BDP("FNDD3337 Mtge","ID_CUSIP")</f>
        <v>3140B3V74</v>
      </c>
      <c r="B2551" t="str">
        <f>_xll.BDP("FNDD3337 Mtge","SECURITY_NAME")</f>
        <v>FN DD3337</v>
      </c>
      <c r="C2551" t="str">
        <f>_xll.BDP("FNDD3337 Mtge","GENERIC_TICKER_VINTAGE")</f>
        <v>FNCL 6 2025</v>
      </c>
      <c r="D2551" t="str">
        <f>_xll.BDP("FNDD3337 Mtge","CRNCY")</f>
        <v>USD</v>
      </c>
      <c r="E2551">
        <v>1327020</v>
      </c>
      <c r="F2551">
        <f>_xll.BDP("FNDD3337 Mtge","CPN")</f>
        <v>6</v>
      </c>
      <c r="G2551">
        <f>_xll.BDP("FNDD3337 Mtge","MTG_FACTOR")</f>
        <v>0.98803202000000001</v>
      </c>
      <c r="H2551">
        <f>_xll.BDP("FNDD3337 Mtge","MTG_WAL")</f>
        <v>3.1610999999999998</v>
      </c>
      <c r="I2551" t="str">
        <f>_xll.BDP("FNDD3337 Mtge","MTG_ORIG_WAL")</f>
        <v>#N/A N/A</v>
      </c>
    </row>
    <row r="2552" spans="1:9" x14ac:dyDescent="0.25">
      <c r="A2552" t="str">
        <f>_xll.BDP("FNDD3387 Mtge","ID_CUSIP")</f>
        <v>3140B3XR8</v>
      </c>
      <c r="B2552" t="str">
        <f>_xll.BDP("FNDD3387 Mtge","SECURITY_NAME")</f>
        <v>FN DD3387</v>
      </c>
      <c r="C2552" t="str">
        <f>_xll.BDP("FNDD3387 Mtge","GENERIC_TICKER_VINTAGE")</f>
        <v>FNCL 6 2025</v>
      </c>
      <c r="D2552" t="str">
        <f>_xll.BDP("FNDD3387 Mtge","CRNCY")</f>
        <v>USD</v>
      </c>
      <c r="E2552">
        <v>6298405</v>
      </c>
      <c r="F2552">
        <f>_xll.BDP("FNDD3387 Mtge","CPN")</f>
        <v>6</v>
      </c>
      <c r="G2552">
        <f>_xll.BDP("FNDD3387 Mtge","MTG_FACTOR")</f>
        <v>0.66179204999999997</v>
      </c>
      <c r="H2552">
        <f>_xll.BDP("FNDD3387 Mtge","MTG_WAL")</f>
        <v>3.1604999999999999</v>
      </c>
      <c r="I2552" t="str">
        <f>_xll.BDP("FNDD3387 Mtge","MTG_ORIG_WAL")</f>
        <v>#N/A N/A</v>
      </c>
    </row>
    <row r="2553" spans="1:9" x14ac:dyDescent="0.25">
      <c r="A2553" t="str">
        <f>_xll.BDP("FNDD3407 Mtge","ID_CUSIP")</f>
        <v>3140B3YD8</v>
      </c>
      <c r="B2553" t="str">
        <f>_xll.BDP("FNDD3407 Mtge","SECURITY_NAME")</f>
        <v>FN DD3407</v>
      </c>
      <c r="C2553" t="str">
        <f>_xll.BDP("FNDD3407 Mtge","GENERIC_TICKER_VINTAGE")</f>
        <v>FNCL 6 2025</v>
      </c>
      <c r="D2553" t="str">
        <f>_xll.BDP("FNDD3407 Mtge","CRNCY")</f>
        <v>USD</v>
      </c>
      <c r="E2553">
        <v>1339500</v>
      </c>
      <c r="F2553">
        <f>_xll.BDP("FNDD3407 Mtge","CPN")</f>
        <v>6</v>
      </c>
      <c r="G2553">
        <f>_xll.BDP("FNDD3407 Mtge","MTG_FACTOR")</f>
        <v>0.72710627000000005</v>
      </c>
      <c r="H2553">
        <f>_xll.BDP("FNDD3407 Mtge","MTG_WAL")</f>
        <v>3.1554000000000002</v>
      </c>
      <c r="I2553" t="str">
        <f>_xll.BDP("FNDD3407 Mtge","MTG_ORIG_WAL")</f>
        <v>#N/A N/A</v>
      </c>
    </row>
    <row r="2554" spans="1:9" x14ac:dyDescent="0.25">
      <c r="A2554" t="str">
        <f>_xll.BDP("FNDD3408 Mtge","ID_CUSIP")</f>
        <v>3140B3YE6</v>
      </c>
      <c r="B2554" t="str">
        <f>_xll.BDP("FNDD3408 Mtge","SECURITY_NAME")</f>
        <v>FN DD3408</v>
      </c>
      <c r="C2554" t="str">
        <f>_xll.BDP("FNDD3408 Mtge","GENERIC_TICKER_VINTAGE")</f>
        <v>FNCL 6 2025</v>
      </c>
      <c r="D2554" t="str">
        <f>_xll.BDP("FNDD3408 Mtge","CRNCY")</f>
        <v>USD</v>
      </c>
      <c r="E2554">
        <v>1889427</v>
      </c>
      <c r="F2554">
        <f>_xll.BDP("FNDD3408 Mtge","CPN")</f>
        <v>6</v>
      </c>
      <c r="G2554">
        <f>_xll.BDP("FNDD3408 Mtge","MTG_FACTOR")</f>
        <v>0.98503172000000006</v>
      </c>
      <c r="H2554">
        <f>_xll.BDP("FNDD3408 Mtge","MTG_WAL")</f>
        <v>3.1562999999999999</v>
      </c>
      <c r="I2554" t="str">
        <f>_xll.BDP("FNDD3408 Mtge","MTG_ORIG_WAL")</f>
        <v>#N/A N/A</v>
      </c>
    </row>
    <row r="2555" spans="1:9" x14ac:dyDescent="0.25">
      <c r="A2555" t="str">
        <f>_xll.BDP("FNDD3409 Mtge","ID_CUSIP")</f>
        <v>3140B3YF3</v>
      </c>
      <c r="B2555" t="str">
        <f>_xll.BDP("FNDD3409 Mtge","SECURITY_NAME")</f>
        <v>FN DD3409</v>
      </c>
      <c r="C2555" t="str">
        <f>_xll.BDP("FNDD3409 Mtge","GENERIC_TICKER_VINTAGE")</f>
        <v>FNCL 6 2025</v>
      </c>
      <c r="D2555" t="str">
        <f>_xll.BDP("FNDD3409 Mtge","CRNCY")</f>
        <v>USD</v>
      </c>
      <c r="E2555">
        <v>1388050</v>
      </c>
      <c r="F2555">
        <f>_xll.BDP("FNDD3409 Mtge","CPN")</f>
        <v>6</v>
      </c>
      <c r="G2555">
        <f>_xll.BDP("FNDD3409 Mtge","MTG_FACTOR")</f>
        <v>0.98693575</v>
      </c>
      <c r="H2555">
        <f>_xll.BDP("FNDD3409 Mtge","MTG_WAL")</f>
        <v>3.1589999999999998</v>
      </c>
      <c r="I2555" t="str">
        <f>_xll.BDP("FNDD3409 Mtge","MTG_ORIG_WAL")</f>
        <v>#N/A N/A</v>
      </c>
    </row>
    <row r="2556" spans="1:9" x14ac:dyDescent="0.25">
      <c r="A2556" t="str">
        <f>_xll.BDP("FNDD3410 Mtge","ID_CUSIP")</f>
        <v>3140B3YG1</v>
      </c>
      <c r="B2556" t="str">
        <f>_xll.BDP("FNDD3410 Mtge","SECURITY_NAME")</f>
        <v>FN DD3410</v>
      </c>
      <c r="C2556" t="str">
        <f>_xll.BDP("FNDD3410 Mtge","GENERIC_TICKER_VINTAGE")</f>
        <v>FNCL 6 2025</v>
      </c>
      <c r="D2556" t="str">
        <f>_xll.BDP("FNDD3410 Mtge","CRNCY")</f>
        <v>USD</v>
      </c>
      <c r="E2556">
        <v>1193308</v>
      </c>
      <c r="F2556">
        <f>_xll.BDP("FNDD3410 Mtge","CPN")</f>
        <v>6</v>
      </c>
      <c r="G2556">
        <f>_xll.BDP("FNDD3410 Mtge","MTG_FACTOR")</f>
        <v>0.98699521000000001</v>
      </c>
      <c r="H2556">
        <f>_xll.BDP("FNDD3410 Mtge","MTG_WAL")</f>
        <v>3.1579999999999999</v>
      </c>
      <c r="I2556" t="str">
        <f>_xll.BDP("FNDD3410 Mtge","MTG_ORIG_WAL")</f>
        <v>#N/A N/A</v>
      </c>
    </row>
    <row r="2557" spans="1:9" x14ac:dyDescent="0.25">
      <c r="A2557" t="str">
        <f>_xll.BDP("FNDD3413 Mtge","ID_CUSIP")</f>
        <v>3140B3YK2</v>
      </c>
      <c r="B2557" t="str">
        <f>_xll.BDP("FNDD3413 Mtge","SECURITY_NAME")</f>
        <v>FN DD3413</v>
      </c>
      <c r="C2557" t="str">
        <f>_xll.BDP("FNDD3413 Mtge","GENERIC_TICKER_VINTAGE")</f>
        <v>FNCL 6 2025</v>
      </c>
      <c r="D2557" t="str">
        <f>_xll.BDP("FNDD3413 Mtge","CRNCY")</f>
        <v>USD</v>
      </c>
      <c r="E2557">
        <v>7448799</v>
      </c>
      <c r="F2557">
        <f>_xll.BDP("FNDD3413 Mtge","CPN")</f>
        <v>6</v>
      </c>
      <c r="G2557">
        <f>_xll.BDP("FNDD3413 Mtge","MTG_FACTOR")</f>
        <v>0.72145685000000004</v>
      </c>
      <c r="H2557">
        <f>_xll.BDP("FNDD3413 Mtge","MTG_WAL")</f>
        <v>3.1621999999999999</v>
      </c>
      <c r="I2557" t="str">
        <f>_xll.BDP("FNDD3413 Mtge","MTG_ORIG_WAL")</f>
        <v>#N/A N/A</v>
      </c>
    </row>
    <row r="2558" spans="1:9" x14ac:dyDescent="0.25">
      <c r="A2558" t="str">
        <f>_xll.BDP("FNDD3414 Mtge","ID_CUSIP")</f>
        <v>3140B3YL0</v>
      </c>
      <c r="B2558" t="str">
        <f>_xll.BDP("FNDD3414 Mtge","SECURITY_NAME")</f>
        <v>FN DD3414</v>
      </c>
      <c r="C2558" t="str">
        <f>_xll.BDP("FNDD3414 Mtge","GENERIC_TICKER_VINTAGE")</f>
        <v>FNCL 6 2025</v>
      </c>
      <c r="D2558" t="str">
        <f>_xll.BDP("FNDD3414 Mtge","CRNCY")</f>
        <v>USD</v>
      </c>
      <c r="E2558">
        <v>10026714</v>
      </c>
      <c r="F2558">
        <f>_xll.BDP("FNDD3414 Mtge","CPN")</f>
        <v>6</v>
      </c>
      <c r="G2558">
        <f>_xll.BDP("FNDD3414 Mtge","MTG_FACTOR")</f>
        <v>0.89333962</v>
      </c>
      <c r="H2558">
        <f>_xll.BDP("FNDD3414 Mtge","MTG_WAL")</f>
        <v>3.1597</v>
      </c>
      <c r="I2558" t="str">
        <f>_xll.BDP("FNDD3414 Mtge","MTG_ORIG_WAL")</f>
        <v>#N/A N/A</v>
      </c>
    </row>
    <row r="2559" spans="1:9" x14ac:dyDescent="0.25">
      <c r="A2559" t="str">
        <f>_xll.BDP("FNDD3415 Mtge","ID_CUSIP")</f>
        <v>3140B3YM8</v>
      </c>
      <c r="B2559" t="str">
        <f>_xll.BDP("FNDD3415 Mtge","SECURITY_NAME")</f>
        <v>FN DD3415</v>
      </c>
      <c r="C2559" t="str">
        <f>_xll.BDP("FNDD3415 Mtge","GENERIC_TICKER_VINTAGE")</f>
        <v>FNCL 6 2025</v>
      </c>
      <c r="D2559" t="str">
        <f>_xll.BDP("FNDD3415 Mtge","CRNCY")</f>
        <v>USD</v>
      </c>
      <c r="E2559">
        <v>10117823</v>
      </c>
      <c r="F2559">
        <f>_xll.BDP("FNDD3415 Mtge","CPN")</f>
        <v>6</v>
      </c>
      <c r="G2559">
        <f>_xll.BDP("FNDD3415 Mtge","MTG_FACTOR")</f>
        <v>0.84334456999999996</v>
      </c>
      <c r="H2559">
        <f>_xll.BDP("FNDD3415 Mtge","MTG_WAL")</f>
        <v>3.2019000000000002</v>
      </c>
      <c r="I2559" t="str">
        <f>_xll.BDP("FNDD3415 Mtge","MTG_ORIG_WAL")</f>
        <v>#N/A N/A</v>
      </c>
    </row>
    <row r="2560" spans="1:9" x14ac:dyDescent="0.25">
      <c r="A2560" t="str">
        <f>_xll.BDP("FNDD3416 Mtge","ID_CUSIP")</f>
        <v>3140B3YN6</v>
      </c>
      <c r="B2560" t="str">
        <f>_xll.BDP("FNDD3416 Mtge","SECURITY_NAME")</f>
        <v>FN DD3416</v>
      </c>
      <c r="C2560" t="str">
        <f>_xll.BDP("FNDD3416 Mtge","GENERIC_TICKER_VINTAGE")</f>
        <v>FNCL 6 2025</v>
      </c>
      <c r="D2560" t="str">
        <f>_xll.BDP("FNDD3416 Mtge","CRNCY")</f>
        <v>USD</v>
      </c>
      <c r="E2560">
        <v>19752533</v>
      </c>
      <c r="F2560">
        <f>_xll.BDP("FNDD3416 Mtge","CPN")</f>
        <v>6</v>
      </c>
      <c r="G2560">
        <f>_xll.BDP("FNDD3416 Mtge","MTG_FACTOR")</f>
        <v>0.87921271999999995</v>
      </c>
      <c r="H2560">
        <f>_xll.BDP("FNDD3416 Mtge","MTG_WAL")</f>
        <v>3.1606000000000001</v>
      </c>
      <c r="I2560" t="str">
        <f>_xll.BDP("FNDD3416 Mtge","MTG_ORIG_WAL")</f>
        <v>#N/A N/A</v>
      </c>
    </row>
    <row r="2561" spans="1:9" x14ac:dyDescent="0.25">
      <c r="A2561" t="str">
        <f>_xll.BDP("FNDD3418 Mtge","ID_CUSIP")</f>
        <v>3140B3YQ9</v>
      </c>
      <c r="B2561" t="str">
        <f>_xll.BDP("FNDD3418 Mtge","SECURITY_NAME")</f>
        <v>FN DD3418</v>
      </c>
      <c r="C2561" t="str">
        <f>_xll.BDP("FNDD3418 Mtge","GENERIC_TICKER_VINTAGE")</f>
        <v>FNCL 6 2025</v>
      </c>
      <c r="D2561" t="str">
        <f>_xll.BDP("FNDD3418 Mtge","CRNCY")</f>
        <v>USD</v>
      </c>
      <c r="E2561">
        <v>20120221</v>
      </c>
      <c r="F2561">
        <f>_xll.BDP("FNDD3418 Mtge","CPN")</f>
        <v>6</v>
      </c>
      <c r="G2561">
        <f>_xll.BDP("FNDD3418 Mtge","MTG_FACTOR")</f>
        <v>0.87450801</v>
      </c>
      <c r="H2561">
        <f>_xll.BDP("FNDD3418 Mtge","MTG_WAL")</f>
        <v>3.1934</v>
      </c>
      <c r="I2561" t="str">
        <f>_xll.BDP("FNDD3418 Mtge","MTG_ORIG_WAL")</f>
        <v>#N/A N/A</v>
      </c>
    </row>
    <row r="2562" spans="1:9" x14ac:dyDescent="0.25">
      <c r="A2562" t="str">
        <f>_xll.BDP("FNDD3419 Mtge","ID_CUSIP")</f>
        <v>3140B3YR7</v>
      </c>
      <c r="B2562" t="str">
        <f>_xll.BDP("FNDD3419 Mtge","SECURITY_NAME")</f>
        <v>FN DD3419</v>
      </c>
      <c r="C2562" t="str">
        <f>_xll.BDP("FNDD3419 Mtge","GENERIC_TICKER_VINTAGE")</f>
        <v>FNCL 6 2025</v>
      </c>
      <c r="D2562" t="str">
        <f>_xll.BDP("FNDD3419 Mtge","CRNCY")</f>
        <v>USD</v>
      </c>
      <c r="E2562">
        <v>19520091</v>
      </c>
      <c r="F2562">
        <f>_xll.BDP("FNDD3419 Mtge","CPN")</f>
        <v>6</v>
      </c>
      <c r="G2562">
        <f>_xll.BDP("FNDD3419 Mtge","MTG_FACTOR")</f>
        <v>0.84028804999999995</v>
      </c>
      <c r="H2562">
        <f>_xll.BDP("FNDD3419 Mtge","MTG_WAL")</f>
        <v>3.2016</v>
      </c>
      <c r="I2562" t="str">
        <f>_xll.BDP("FNDD3419 Mtge","MTG_ORIG_WAL")</f>
        <v>#N/A N/A</v>
      </c>
    </row>
    <row r="2563" spans="1:9" x14ac:dyDescent="0.25">
      <c r="A2563" t="str">
        <f>_xll.BDP("FNDD3420 Mtge","ID_CUSIP")</f>
        <v>3140B3YS5</v>
      </c>
      <c r="B2563" t="str">
        <f>_xll.BDP("FNDD3420 Mtge","SECURITY_NAME")</f>
        <v>FN DD3420</v>
      </c>
      <c r="C2563" t="str">
        <f>_xll.BDP("FNDD3420 Mtge","GENERIC_TICKER_VINTAGE")</f>
        <v>FNCL 6 2025</v>
      </c>
      <c r="D2563" t="str">
        <f>_xll.BDP("FNDD3420 Mtge","CRNCY")</f>
        <v>USD</v>
      </c>
      <c r="E2563">
        <v>29493287</v>
      </c>
      <c r="F2563">
        <f>_xll.BDP("FNDD3420 Mtge","CPN")</f>
        <v>6</v>
      </c>
      <c r="G2563">
        <f>_xll.BDP("FNDD3420 Mtge","MTG_FACTOR")</f>
        <v>0.86789536</v>
      </c>
      <c r="H2563">
        <f>_xll.BDP("FNDD3420 Mtge","MTG_WAL")</f>
        <v>3.1928000000000001</v>
      </c>
      <c r="I2563" t="str">
        <f>_xll.BDP("FNDD3420 Mtge","MTG_ORIG_WAL")</f>
        <v>#N/A N/A</v>
      </c>
    </row>
    <row r="2564" spans="1:9" x14ac:dyDescent="0.25">
      <c r="A2564" t="str">
        <f>_xll.BDP("FNDD3433 Mtge","ID_CUSIP")</f>
        <v>3140B3Y71</v>
      </c>
      <c r="B2564" t="str">
        <f>_xll.BDP("FNDD3433 Mtge","SECURITY_NAME")</f>
        <v>FN DD3433</v>
      </c>
      <c r="C2564" t="str">
        <f>_xll.BDP("FNDD3433 Mtge","GENERIC_TICKER_VINTAGE")</f>
        <v>FNCL 6 2025</v>
      </c>
      <c r="D2564" t="str">
        <f>_xll.BDP("FNDD3433 Mtge","CRNCY")</f>
        <v>USD</v>
      </c>
      <c r="E2564">
        <v>10158480</v>
      </c>
      <c r="F2564">
        <f>_xll.BDP("FNDD3433 Mtge","CPN")</f>
        <v>6</v>
      </c>
      <c r="G2564">
        <f>_xll.BDP("FNDD3433 Mtge","MTG_FACTOR")</f>
        <v>0.90289518999999996</v>
      </c>
      <c r="H2564">
        <f>_xll.BDP("FNDD3433 Mtge","MTG_WAL")</f>
        <v>3.2004000000000001</v>
      </c>
      <c r="I2564" t="str">
        <f>_xll.BDP("FNDD3433 Mtge","MTG_ORIG_WAL")</f>
        <v>#N/A N/A</v>
      </c>
    </row>
    <row r="2565" spans="1:9" x14ac:dyDescent="0.25">
      <c r="A2565" t="str">
        <f>_xll.BDP("FNDD3440 Mtge","ID_CUSIP")</f>
        <v>3140B3ZE5</v>
      </c>
      <c r="B2565" t="str">
        <f>_xll.BDP("FNDD3440 Mtge","SECURITY_NAME")</f>
        <v>FN DD3440</v>
      </c>
      <c r="C2565" t="str">
        <f>_xll.BDP("FNDD3440 Mtge","GENERIC_TICKER_VINTAGE")</f>
        <v>FNCL 6 2025</v>
      </c>
      <c r="D2565" t="str">
        <f>_xll.BDP("FNDD3440 Mtge","CRNCY")</f>
        <v>USD</v>
      </c>
      <c r="E2565">
        <v>1612150</v>
      </c>
      <c r="F2565">
        <f>_xll.BDP("FNDD3440 Mtge","CPN")</f>
        <v>6</v>
      </c>
      <c r="G2565">
        <f>_xll.BDP("FNDD3440 Mtge","MTG_FACTOR")</f>
        <v>0.98901426000000003</v>
      </c>
      <c r="H2565">
        <f>_xll.BDP("FNDD3440 Mtge","MTG_WAL")</f>
        <v>3.1642000000000001</v>
      </c>
      <c r="I2565" t="str">
        <f>_xll.BDP("FNDD3440 Mtge","MTG_ORIG_WAL")</f>
        <v>#N/A N/A</v>
      </c>
    </row>
    <row r="2566" spans="1:9" x14ac:dyDescent="0.25">
      <c r="A2566" t="str">
        <f>_xll.BDP("FNDD3441 Mtge","ID_CUSIP")</f>
        <v>3140B3ZF2</v>
      </c>
      <c r="B2566" t="str">
        <f>_xll.BDP("FNDD3441 Mtge","SECURITY_NAME")</f>
        <v>FN DD3441</v>
      </c>
      <c r="C2566" t="str">
        <f>_xll.BDP("FNDD3441 Mtge","GENERIC_TICKER_VINTAGE")</f>
        <v>FNCL 6 2025</v>
      </c>
      <c r="D2566" t="str">
        <f>_xll.BDP("FNDD3441 Mtge","CRNCY")</f>
        <v>USD</v>
      </c>
      <c r="E2566">
        <v>4053212</v>
      </c>
      <c r="F2566">
        <f>_xll.BDP("FNDD3441 Mtge","CPN")</f>
        <v>6</v>
      </c>
      <c r="G2566">
        <f>_xll.BDP("FNDD3441 Mtge","MTG_FACTOR")</f>
        <v>0.98776973000000001</v>
      </c>
      <c r="H2566">
        <f>_xll.BDP("FNDD3441 Mtge","MTG_WAL")</f>
        <v>3.1619999999999999</v>
      </c>
      <c r="I2566" t="str">
        <f>_xll.BDP("FNDD3441 Mtge","MTG_ORIG_WAL")</f>
        <v>#N/A N/A</v>
      </c>
    </row>
    <row r="2567" spans="1:9" x14ac:dyDescent="0.25">
      <c r="A2567" t="str">
        <f>_xll.BDP("FNDD3443 Mtge","ID_CUSIP")</f>
        <v>3140B3ZH8</v>
      </c>
      <c r="B2567" t="str">
        <f>_xll.BDP("FNDD3443 Mtge","SECURITY_NAME")</f>
        <v>FN DD3443</v>
      </c>
      <c r="C2567" t="str">
        <f>_xll.BDP("FNDD3443 Mtge","GENERIC_TICKER_VINTAGE")</f>
        <v>FNCL 6 2025</v>
      </c>
      <c r="D2567" t="str">
        <f>_xll.BDP("FNDD3443 Mtge","CRNCY")</f>
        <v>USD</v>
      </c>
      <c r="E2567">
        <v>2645497</v>
      </c>
      <c r="F2567">
        <f>_xll.BDP("FNDD3443 Mtge","CPN")</f>
        <v>6</v>
      </c>
      <c r="G2567">
        <f>_xll.BDP("FNDD3443 Mtge","MTG_FACTOR")</f>
        <v>0.98878717999999999</v>
      </c>
      <c r="H2567">
        <f>_xll.BDP("FNDD3443 Mtge","MTG_WAL")</f>
        <v>3.1634000000000002</v>
      </c>
      <c r="I2567" t="str">
        <f>_xll.BDP("FNDD3443 Mtge","MTG_ORIG_WAL")</f>
        <v>#N/A N/A</v>
      </c>
    </row>
    <row r="2568" spans="1:9" x14ac:dyDescent="0.25">
      <c r="A2568" t="str">
        <f>_xll.BDP("FNDD3456 Mtge","ID_CUSIP")</f>
        <v>3140B3ZW5</v>
      </c>
      <c r="B2568" t="str">
        <f>_xll.BDP("FNDD3456 Mtge","SECURITY_NAME")</f>
        <v>FN DD3456</v>
      </c>
      <c r="C2568" t="str">
        <f>_xll.BDP("FNDD3456 Mtge","GENERIC_TICKER_VINTAGE")</f>
        <v>FNCL 6 2025</v>
      </c>
      <c r="D2568" t="str">
        <f>_xll.BDP("FNDD3456 Mtge","CRNCY")</f>
        <v>USD</v>
      </c>
      <c r="E2568">
        <v>3428910</v>
      </c>
      <c r="F2568">
        <f>_xll.BDP("FNDD3456 Mtge","CPN")</f>
        <v>6</v>
      </c>
      <c r="G2568">
        <f>_xll.BDP("FNDD3456 Mtge","MTG_FACTOR")</f>
        <v>0.98906121000000002</v>
      </c>
      <c r="H2568">
        <f>_xll.BDP("FNDD3456 Mtge","MTG_WAL")</f>
        <v>3.1637</v>
      </c>
      <c r="I2568" t="str">
        <f>_xll.BDP("FNDD3456 Mtge","MTG_ORIG_WAL")</f>
        <v>#N/A N/A</v>
      </c>
    </row>
    <row r="2569" spans="1:9" x14ac:dyDescent="0.25">
      <c r="A2569" t="str">
        <f>_xll.BDP("FNDD3457 Mtge","ID_CUSIP")</f>
        <v>3140B3ZX3</v>
      </c>
      <c r="B2569" t="str">
        <f>_xll.BDP("FNDD3457 Mtge","SECURITY_NAME")</f>
        <v>FN DD3457</v>
      </c>
      <c r="C2569" t="str">
        <f>_xll.BDP("FNDD3457 Mtge","GENERIC_TICKER_VINTAGE")</f>
        <v>FNCL 6 2025</v>
      </c>
      <c r="D2569" t="str">
        <f>_xll.BDP("FNDD3457 Mtge","CRNCY")</f>
        <v>USD</v>
      </c>
      <c r="E2569">
        <v>2139423</v>
      </c>
      <c r="F2569">
        <f>_xll.BDP("FNDD3457 Mtge","CPN")</f>
        <v>6</v>
      </c>
      <c r="G2569">
        <f>_xll.BDP("FNDD3457 Mtge","MTG_FACTOR")</f>
        <v>0.98675986999999998</v>
      </c>
      <c r="H2569">
        <f>_xll.BDP("FNDD3457 Mtge","MTG_WAL")</f>
        <v>3.1594000000000002</v>
      </c>
      <c r="I2569" t="str">
        <f>_xll.BDP("FNDD3457 Mtge","MTG_ORIG_WAL")</f>
        <v>#N/A N/A</v>
      </c>
    </row>
    <row r="2570" spans="1:9" x14ac:dyDescent="0.25">
      <c r="A2570" t="str">
        <f>_xll.BDP("FNDD3460 Mtge","ID_CUSIP")</f>
        <v>3140B3Z21</v>
      </c>
      <c r="B2570" t="str">
        <f>_xll.BDP("FNDD3460 Mtge","SECURITY_NAME")</f>
        <v>FN DD3460</v>
      </c>
      <c r="C2570" t="str">
        <f>_xll.BDP("FNDD3460 Mtge","GENERIC_TICKER_VINTAGE")</f>
        <v>FNCL 6 2025</v>
      </c>
      <c r="D2570" t="str">
        <f>_xll.BDP("FNDD3460 Mtge","CRNCY")</f>
        <v>USD</v>
      </c>
      <c r="E2570">
        <v>5330678</v>
      </c>
      <c r="F2570">
        <f>_xll.BDP("FNDD3460 Mtge","CPN")</f>
        <v>6</v>
      </c>
      <c r="G2570">
        <f>_xll.BDP("FNDD3460 Mtge","MTG_FACTOR")</f>
        <v>0.93209361999999996</v>
      </c>
      <c r="H2570">
        <f>_xll.BDP("FNDD3460 Mtge","MTG_WAL")</f>
        <v>3.1627000000000001</v>
      </c>
      <c r="I2570" t="str">
        <f>_xll.BDP("FNDD3460 Mtge","MTG_ORIG_WAL")</f>
        <v>#N/A N/A</v>
      </c>
    </row>
    <row r="2571" spans="1:9" x14ac:dyDescent="0.25">
      <c r="A2571" t="str">
        <f>_xll.BDP("FNDD3468 Mtge","ID_CUSIP")</f>
        <v>3140B32A9</v>
      </c>
      <c r="B2571" t="str">
        <f>_xll.BDP("FNDD3468 Mtge","SECURITY_NAME")</f>
        <v>FN DD3468</v>
      </c>
      <c r="C2571" t="str">
        <f>_xll.BDP("FNDD3468 Mtge","GENERIC_TICKER_VINTAGE")</f>
        <v>FNCL 6 2025</v>
      </c>
      <c r="D2571" t="str">
        <f>_xll.BDP("FNDD3468 Mtge","CRNCY")</f>
        <v>USD</v>
      </c>
      <c r="E2571">
        <v>1144900</v>
      </c>
      <c r="F2571">
        <f>_xll.BDP("FNDD3468 Mtge","CPN")</f>
        <v>6</v>
      </c>
      <c r="G2571">
        <f>_xll.BDP("FNDD3468 Mtge","MTG_FACTOR")</f>
        <v>0.98794172000000002</v>
      </c>
      <c r="H2571">
        <f>_xll.BDP("FNDD3468 Mtge","MTG_WAL")</f>
        <v>3.1631999999999998</v>
      </c>
      <c r="I2571" t="str">
        <f>_xll.BDP("FNDD3468 Mtge","MTG_ORIG_WAL")</f>
        <v>#N/A N/A</v>
      </c>
    </row>
    <row r="2572" spans="1:9" x14ac:dyDescent="0.25">
      <c r="A2572" t="str">
        <f>_xll.BDP("FNDD3469 Mtge","ID_CUSIP")</f>
        <v>3140B32B7</v>
      </c>
      <c r="B2572" t="str">
        <f>_xll.BDP("FNDD3469 Mtge","SECURITY_NAME")</f>
        <v>FN DD3469</v>
      </c>
      <c r="C2572" t="str">
        <f>_xll.BDP("FNDD3469 Mtge","GENERIC_TICKER_VINTAGE")</f>
        <v>FNCL 6 2025</v>
      </c>
      <c r="D2572" t="str">
        <f>_xll.BDP("FNDD3469 Mtge","CRNCY")</f>
        <v>USD</v>
      </c>
      <c r="E2572">
        <v>2101627</v>
      </c>
      <c r="F2572">
        <f>_xll.BDP("FNDD3469 Mtge","CPN")</f>
        <v>6</v>
      </c>
      <c r="G2572">
        <f>_xll.BDP("FNDD3469 Mtge","MTG_FACTOR")</f>
        <v>0.89406540999999995</v>
      </c>
      <c r="H2572">
        <f>_xll.BDP("FNDD3469 Mtge","MTG_WAL")</f>
        <v>3.1610999999999998</v>
      </c>
      <c r="I2572" t="str">
        <f>_xll.BDP("FNDD3469 Mtge","MTG_ORIG_WAL")</f>
        <v>#N/A N/A</v>
      </c>
    </row>
    <row r="2573" spans="1:9" x14ac:dyDescent="0.25">
      <c r="A2573" t="str">
        <f>_xll.BDP("FNDD3475 Mtge","ID_CUSIP")</f>
        <v>3140B32H4</v>
      </c>
      <c r="B2573" t="str">
        <f>_xll.BDP("FNDD3475 Mtge","SECURITY_NAME")</f>
        <v>FN DD3475</v>
      </c>
      <c r="C2573" t="str">
        <f>_xll.BDP("FNDD3475 Mtge","GENERIC_TICKER_VINTAGE")</f>
        <v>FNCL 6 2025</v>
      </c>
      <c r="D2573" t="str">
        <f>_xll.BDP("FNDD3475 Mtge","CRNCY")</f>
        <v>USD</v>
      </c>
      <c r="E2573">
        <v>5850084</v>
      </c>
      <c r="F2573">
        <f>_xll.BDP("FNDD3475 Mtge","CPN")</f>
        <v>6</v>
      </c>
      <c r="G2573">
        <f>_xll.BDP("FNDD3475 Mtge","MTG_FACTOR")</f>
        <v>0.92489434999999998</v>
      </c>
      <c r="H2573">
        <f>_xll.BDP("FNDD3475 Mtge","MTG_WAL")</f>
        <v>3.1629</v>
      </c>
      <c r="I2573" t="str">
        <f>_xll.BDP("FNDD3475 Mtge","MTG_ORIG_WAL")</f>
        <v>#N/A N/A</v>
      </c>
    </row>
    <row r="2574" spans="1:9" x14ac:dyDescent="0.25">
      <c r="A2574" t="str">
        <f>_xll.BDP("FNDD3476 Mtge","ID_CUSIP")</f>
        <v>3140B32J0</v>
      </c>
      <c r="B2574" t="str">
        <f>_xll.BDP("FNDD3476 Mtge","SECURITY_NAME")</f>
        <v>FN DD3476</v>
      </c>
      <c r="C2574" t="str">
        <f>_xll.BDP("FNDD3476 Mtge","GENERIC_TICKER_VINTAGE")</f>
        <v>FNCL 6 2025</v>
      </c>
      <c r="D2574" t="str">
        <f>_xll.BDP("FNDD3476 Mtge","CRNCY")</f>
        <v>USD</v>
      </c>
      <c r="E2574">
        <v>1287553</v>
      </c>
      <c r="F2574">
        <f>_xll.BDP("FNDD3476 Mtge","CPN")</f>
        <v>6</v>
      </c>
      <c r="G2574">
        <f>_xll.BDP("FNDD3476 Mtge","MTG_FACTOR")</f>
        <v>0.79848717999999996</v>
      </c>
      <c r="H2574">
        <f>_xll.BDP("FNDD3476 Mtge","MTG_WAL")</f>
        <v>3.1522999999999999</v>
      </c>
      <c r="I2574" t="str">
        <f>_xll.BDP("FNDD3476 Mtge","MTG_ORIG_WAL")</f>
        <v>#N/A N/A</v>
      </c>
    </row>
    <row r="2575" spans="1:9" x14ac:dyDescent="0.25">
      <c r="A2575" t="str">
        <f>_xll.BDP("FNDD3483 Mtge","ID_CUSIP")</f>
        <v>3140B32R2</v>
      </c>
      <c r="B2575" t="str">
        <f>_xll.BDP("FNDD3483 Mtge","SECURITY_NAME")</f>
        <v>FN DD3483</v>
      </c>
      <c r="C2575" t="str">
        <f>_xll.BDP("FNDD3483 Mtge","GENERIC_TICKER_VINTAGE")</f>
        <v>FNCL 6 2025</v>
      </c>
      <c r="D2575" t="str">
        <f>_xll.BDP("FNDD3483 Mtge","CRNCY")</f>
        <v>USD</v>
      </c>
      <c r="E2575">
        <v>1160697</v>
      </c>
      <c r="F2575">
        <f>_xll.BDP("FNDD3483 Mtge","CPN")</f>
        <v>6</v>
      </c>
      <c r="G2575">
        <f>_xll.BDP("FNDD3483 Mtge","MTG_FACTOR")</f>
        <v>0.98828656000000004</v>
      </c>
      <c r="H2575">
        <f>_xll.BDP("FNDD3483 Mtge","MTG_WAL")</f>
        <v>3.2029999999999998</v>
      </c>
      <c r="I2575" t="str">
        <f>_xll.BDP("FNDD3483 Mtge","MTG_ORIG_WAL")</f>
        <v>#N/A N/A</v>
      </c>
    </row>
    <row r="2576" spans="1:9" x14ac:dyDescent="0.25">
      <c r="A2576" t="str">
        <f>_xll.BDP("FNDD3493 Mtge","ID_CUSIP")</f>
        <v>3140B33B6</v>
      </c>
      <c r="B2576" t="str">
        <f>_xll.BDP("FNDD3493 Mtge","SECURITY_NAME")</f>
        <v>FN DD3493</v>
      </c>
      <c r="C2576" t="str">
        <f>_xll.BDP("FNDD3493 Mtge","GENERIC_TICKER_VINTAGE")</f>
        <v>FNCL 6 2025</v>
      </c>
      <c r="D2576" t="str">
        <f>_xll.BDP("FNDD3493 Mtge","CRNCY")</f>
        <v>USD</v>
      </c>
      <c r="E2576">
        <v>5272470</v>
      </c>
      <c r="F2576">
        <f>_xll.BDP("FNDD3493 Mtge","CPN")</f>
        <v>6</v>
      </c>
      <c r="G2576">
        <f>_xll.BDP("FNDD3493 Mtge","MTG_FACTOR")</f>
        <v>0.98982009000000004</v>
      </c>
      <c r="H2576">
        <f>_xll.BDP("FNDD3493 Mtge","MTG_WAL")</f>
        <v>3.206</v>
      </c>
      <c r="I2576" t="str">
        <f>_xll.BDP("FNDD3493 Mtge","MTG_ORIG_WAL")</f>
        <v>#N/A N/A</v>
      </c>
    </row>
    <row r="2577" spans="1:9" x14ac:dyDescent="0.25">
      <c r="A2577" t="str">
        <f>_xll.BDP("FNDD3496 Mtge","ID_CUSIP")</f>
        <v>3140B33E0</v>
      </c>
      <c r="B2577" t="str">
        <f>_xll.BDP("FNDD3496 Mtge","SECURITY_NAME")</f>
        <v>FN DD3496</v>
      </c>
      <c r="C2577" t="str">
        <f>_xll.BDP("FNDD3496 Mtge","GENERIC_TICKER_VINTAGE")</f>
        <v>FNCL 6 2025</v>
      </c>
      <c r="D2577" t="str">
        <f>_xll.BDP("FNDD3496 Mtge","CRNCY")</f>
        <v>USD</v>
      </c>
      <c r="E2577">
        <v>4716932</v>
      </c>
      <c r="F2577">
        <f>_xll.BDP("FNDD3496 Mtge","CPN")</f>
        <v>6</v>
      </c>
      <c r="G2577">
        <f>_xll.BDP("FNDD3496 Mtge","MTG_FACTOR")</f>
        <v>0.86272488000000003</v>
      </c>
      <c r="H2577">
        <f>_xll.BDP("FNDD3496 Mtge","MTG_WAL")</f>
        <v>3.2033</v>
      </c>
      <c r="I2577" t="str">
        <f>_xll.BDP("FNDD3496 Mtge","MTG_ORIG_WAL")</f>
        <v>#N/A N/A</v>
      </c>
    </row>
    <row r="2578" spans="1:9" x14ac:dyDescent="0.25">
      <c r="A2578" t="str">
        <f>_xll.BDP("FNDD3511 Mtge","ID_CUSIP")</f>
        <v>3140B33V2</v>
      </c>
      <c r="B2578" t="str">
        <f>_xll.BDP("FNDD3511 Mtge","SECURITY_NAME")</f>
        <v>FN DD3511</v>
      </c>
      <c r="C2578" t="str">
        <f>_xll.BDP("FNDD3511 Mtge","GENERIC_TICKER_VINTAGE")</f>
        <v>FNCL 6 2025</v>
      </c>
      <c r="D2578" t="str">
        <f>_xll.BDP("FNDD3511 Mtge","CRNCY")</f>
        <v>USD</v>
      </c>
      <c r="E2578">
        <v>2199764</v>
      </c>
      <c r="F2578">
        <f>_xll.BDP("FNDD3511 Mtge","CPN")</f>
        <v>6</v>
      </c>
      <c r="G2578">
        <f>_xll.BDP("FNDD3511 Mtge","MTG_FACTOR")</f>
        <v>0.98293810000000004</v>
      </c>
      <c r="H2578">
        <f>_xll.BDP("FNDD3511 Mtge","MTG_WAL")</f>
        <v>3.1703999999999999</v>
      </c>
      <c r="I2578" t="str">
        <f>_xll.BDP("FNDD3511 Mtge","MTG_ORIG_WAL")</f>
        <v>#N/A N/A</v>
      </c>
    </row>
    <row r="2579" spans="1:9" x14ac:dyDescent="0.25">
      <c r="A2579" t="str">
        <f>_xll.BDP("FNDD3512 Mtge","ID_CUSIP")</f>
        <v>3140B33W0</v>
      </c>
      <c r="B2579" t="str">
        <f>_xll.BDP("FNDD3512 Mtge","SECURITY_NAME")</f>
        <v>FN DD3512</v>
      </c>
      <c r="C2579" t="str">
        <f>_xll.BDP("FNDD3512 Mtge","GENERIC_TICKER_VINTAGE")</f>
        <v>FNCL 6 2025</v>
      </c>
      <c r="D2579" t="str">
        <f>_xll.BDP("FNDD3512 Mtge","CRNCY")</f>
        <v>USD</v>
      </c>
      <c r="E2579">
        <v>4839257</v>
      </c>
      <c r="F2579">
        <f>_xll.BDP("FNDD3512 Mtge","CPN")</f>
        <v>6</v>
      </c>
      <c r="G2579">
        <f>_xll.BDP("FNDD3512 Mtge","MTG_FACTOR")</f>
        <v>0.98965771999999996</v>
      </c>
      <c r="H2579">
        <f>_xll.BDP("FNDD3512 Mtge","MTG_WAL")</f>
        <v>3.2054</v>
      </c>
      <c r="I2579" t="str">
        <f>_xll.BDP("FNDD3512 Mtge","MTG_ORIG_WAL")</f>
        <v>#N/A N/A</v>
      </c>
    </row>
    <row r="2580" spans="1:9" x14ac:dyDescent="0.25">
      <c r="A2580" t="str">
        <f>_xll.BDP("FNDD3529 Mtge","ID_CUSIP")</f>
        <v>3140B34P4</v>
      </c>
      <c r="B2580" t="str">
        <f>_xll.BDP("FNDD3529 Mtge","SECURITY_NAME")</f>
        <v>FN DD3529</v>
      </c>
      <c r="C2580" t="str">
        <f>_xll.BDP("FNDD3529 Mtge","GENERIC_TICKER_VINTAGE")</f>
        <v>FNCL 6 2025</v>
      </c>
      <c r="D2580" t="str">
        <f>_xll.BDP("FNDD3529 Mtge","CRNCY")</f>
        <v>USD</v>
      </c>
      <c r="E2580">
        <v>2118978</v>
      </c>
      <c r="F2580">
        <f>_xll.BDP("FNDD3529 Mtge","CPN")</f>
        <v>6</v>
      </c>
      <c r="G2580">
        <f>_xll.BDP("FNDD3529 Mtge","MTG_FACTOR")</f>
        <v>0.86859363999999994</v>
      </c>
      <c r="H2580">
        <f>_xll.BDP("FNDD3529 Mtge","MTG_WAL")</f>
        <v>3.2035999999999998</v>
      </c>
      <c r="I2580" t="str">
        <f>_xll.BDP("FNDD3529 Mtge","MTG_ORIG_WAL")</f>
        <v>#N/A N/A</v>
      </c>
    </row>
    <row r="2581" spans="1:9" x14ac:dyDescent="0.25">
      <c r="A2581" t="str">
        <f>_xll.BDP("FNDD3530 Mtge","ID_CUSIP")</f>
        <v>3140B34Q2</v>
      </c>
      <c r="B2581" t="str">
        <f>_xll.BDP("FNDD3530 Mtge","SECURITY_NAME")</f>
        <v>FN DD3530</v>
      </c>
      <c r="C2581" t="str">
        <f>_xll.BDP("FNDD3530 Mtge","GENERIC_TICKER_VINTAGE")</f>
        <v>FNCL 6 2025</v>
      </c>
      <c r="D2581" t="str">
        <f>_xll.BDP("FNDD3530 Mtge","CRNCY")</f>
        <v>USD</v>
      </c>
      <c r="E2581">
        <v>2352673</v>
      </c>
      <c r="F2581">
        <f>_xll.BDP("FNDD3530 Mtge","CPN")</f>
        <v>6</v>
      </c>
      <c r="G2581">
        <f>_xll.BDP("FNDD3530 Mtge","MTG_FACTOR")</f>
        <v>0.70141825000000002</v>
      </c>
      <c r="H2581">
        <f>_xll.BDP("FNDD3530 Mtge","MTG_WAL")</f>
        <v>3.2048999999999999</v>
      </c>
      <c r="I2581" t="str">
        <f>_xll.BDP("FNDD3530 Mtge","MTG_ORIG_WAL")</f>
        <v>#N/A N/A</v>
      </c>
    </row>
    <row r="2582" spans="1:9" x14ac:dyDescent="0.25">
      <c r="A2582" t="str">
        <f>_xll.BDP("FNDD3531 Mtge","ID_CUSIP")</f>
        <v>3140B34R0</v>
      </c>
      <c r="B2582" t="str">
        <f>_xll.BDP("FNDD3531 Mtge","SECURITY_NAME")</f>
        <v>FN DD3531</v>
      </c>
      <c r="C2582" t="str">
        <f>_xll.BDP("FNDD3531 Mtge","GENERIC_TICKER_VINTAGE")</f>
        <v>FNCL 6 2025</v>
      </c>
      <c r="D2582" t="str">
        <f>_xll.BDP("FNDD3531 Mtge","CRNCY")</f>
        <v>USD</v>
      </c>
      <c r="E2582">
        <v>3985539</v>
      </c>
      <c r="F2582">
        <f>_xll.BDP("FNDD3531 Mtge","CPN")</f>
        <v>6</v>
      </c>
      <c r="G2582">
        <f>_xll.BDP("FNDD3531 Mtge","MTG_FACTOR")</f>
        <v>0.89155121000000004</v>
      </c>
      <c r="H2582">
        <f>_xll.BDP("FNDD3531 Mtge","MTG_WAL")</f>
        <v>3.1999</v>
      </c>
      <c r="I2582" t="str">
        <f>_xll.BDP("FNDD3531 Mtge","MTG_ORIG_WAL")</f>
        <v>#N/A N/A</v>
      </c>
    </row>
    <row r="2583" spans="1:9" x14ac:dyDescent="0.25">
      <c r="A2583" t="str">
        <f>_xll.BDP("FNDD3532 Mtge","ID_CUSIP")</f>
        <v>3140B34S8</v>
      </c>
      <c r="B2583" t="str">
        <f>_xll.BDP("FNDD3532 Mtge","SECURITY_NAME")</f>
        <v>FN DD3532</v>
      </c>
      <c r="C2583" t="str">
        <f>_xll.BDP("FNDD3532 Mtge","GENERIC_TICKER_VINTAGE")</f>
        <v>FNCL 6 2025</v>
      </c>
      <c r="D2583" t="str">
        <f>_xll.BDP("FNDD3532 Mtge","CRNCY")</f>
        <v>USD</v>
      </c>
      <c r="E2583">
        <v>2322569</v>
      </c>
      <c r="F2583">
        <f>_xll.BDP("FNDD3532 Mtge","CPN")</f>
        <v>6</v>
      </c>
      <c r="G2583">
        <f>_xll.BDP("FNDD3532 Mtge","MTG_FACTOR")</f>
        <v>0.81342115999999998</v>
      </c>
      <c r="H2583">
        <f>_xll.BDP("FNDD3532 Mtge","MTG_WAL")</f>
        <v>3.2004000000000001</v>
      </c>
      <c r="I2583" t="str">
        <f>_xll.BDP("FNDD3532 Mtge","MTG_ORIG_WAL")</f>
        <v>#N/A N/A</v>
      </c>
    </row>
    <row r="2584" spans="1:9" x14ac:dyDescent="0.25">
      <c r="A2584" t="str">
        <f>_xll.BDP("FNDD3538 Mtge","ID_CUSIP")</f>
        <v>3140B34Y5</v>
      </c>
      <c r="B2584" t="str">
        <f>_xll.BDP("FNDD3538 Mtge","SECURITY_NAME")</f>
        <v>FN DD3538</v>
      </c>
      <c r="C2584" t="str">
        <f>_xll.BDP("FNDD3538 Mtge","GENERIC_TICKER_VINTAGE")</f>
        <v>FNCL 6 2025</v>
      </c>
      <c r="D2584" t="str">
        <f>_xll.BDP("FNDD3538 Mtge","CRNCY")</f>
        <v>USD</v>
      </c>
      <c r="E2584">
        <v>1039815</v>
      </c>
      <c r="F2584">
        <f>_xll.BDP("FNDD3538 Mtge","CPN")</f>
        <v>6</v>
      </c>
      <c r="G2584">
        <f>_xll.BDP("FNDD3538 Mtge","MTG_FACTOR")</f>
        <v>0.79776471000000004</v>
      </c>
      <c r="H2584">
        <f>_xll.BDP("FNDD3538 Mtge","MTG_WAL")</f>
        <v>3.1631999999999998</v>
      </c>
      <c r="I2584" t="str">
        <f>_xll.BDP("FNDD3538 Mtge","MTG_ORIG_WAL")</f>
        <v>#N/A N/A</v>
      </c>
    </row>
    <row r="2585" spans="1:9" x14ac:dyDescent="0.25">
      <c r="A2585" t="str">
        <f>_xll.BDP("FNDD3546 Mtge","ID_CUSIP")</f>
        <v>3140B35G3</v>
      </c>
      <c r="B2585" t="str">
        <f>_xll.BDP("FNDD3546 Mtge","SECURITY_NAME")</f>
        <v>FN DD3546</v>
      </c>
      <c r="C2585" t="str">
        <f>_xll.BDP("FNDD3546 Mtge","GENERIC_TICKER_VINTAGE")</f>
        <v>FNCL 6 2025</v>
      </c>
      <c r="D2585" t="str">
        <f>_xll.BDP("FNDD3546 Mtge","CRNCY")</f>
        <v>USD</v>
      </c>
      <c r="E2585">
        <v>2012762</v>
      </c>
      <c r="F2585">
        <f>_xll.BDP("FNDD3546 Mtge","CPN")</f>
        <v>6</v>
      </c>
      <c r="G2585">
        <f>_xll.BDP("FNDD3546 Mtge","MTG_FACTOR")</f>
        <v>0.98288456999999996</v>
      </c>
      <c r="H2585">
        <f>_xll.BDP("FNDD3546 Mtge","MTG_WAL")</f>
        <v>3.1568999999999998</v>
      </c>
      <c r="I2585" t="str">
        <f>_xll.BDP("FNDD3546 Mtge","MTG_ORIG_WAL")</f>
        <v>#N/A N/A</v>
      </c>
    </row>
    <row r="2586" spans="1:9" x14ac:dyDescent="0.25">
      <c r="A2586" t="str">
        <f>_xll.BDP("FNDD3664 Mtge","ID_CUSIP")</f>
        <v>3140B4CA6</v>
      </c>
      <c r="B2586" t="str">
        <f>_xll.BDP("FNDD3664 Mtge","SECURITY_NAME")</f>
        <v>FN DD3664</v>
      </c>
      <c r="C2586" t="str">
        <f>_xll.BDP("FNDD3664 Mtge","GENERIC_TICKER_VINTAGE")</f>
        <v>FNCL 6 2025</v>
      </c>
      <c r="D2586" t="str">
        <f>_xll.BDP("FNDD3664 Mtge","CRNCY")</f>
        <v>USD</v>
      </c>
      <c r="E2586">
        <v>2388152</v>
      </c>
      <c r="F2586">
        <f>_xll.BDP("FNDD3664 Mtge","CPN")</f>
        <v>6</v>
      </c>
      <c r="G2586">
        <f>_xll.BDP("FNDD3664 Mtge","MTG_FACTOR")</f>
        <v>0.98061593999999996</v>
      </c>
      <c r="H2586">
        <f>_xll.BDP("FNDD3664 Mtge","MTG_WAL")</f>
        <v>3.1545000000000001</v>
      </c>
      <c r="I2586" t="str">
        <f>_xll.BDP("FNDD3664 Mtge","MTG_ORIG_WAL")</f>
        <v>#N/A N/A</v>
      </c>
    </row>
    <row r="2587" spans="1:9" x14ac:dyDescent="0.25">
      <c r="A2587" t="str">
        <f>_xll.BDP("FNDD3665 Mtge","ID_CUSIP")</f>
        <v>3140B4CB4</v>
      </c>
      <c r="B2587" t="str">
        <f>_xll.BDP("FNDD3665 Mtge","SECURITY_NAME")</f>
        <v>FN DD3665</v>
      </c>
      <c r="C2587" t="str">
        <f>_xll.BDP("FNDD3665 Mtge","GENERIC_TICKER_VINTAGE")</f>
        <v>FNCL 6 2025</v>
      </c>
      <c r="D2587" t="str">
        <f>_xll.BDP("FNDD3665 Mtge","CRNCY")</f>
        <v>USD</v>
      </c>
      <c r="E2587">
        <v>1652783</v>
      </c>
      <c r="F2587">
        <f>_xll.BDP("FNDD3665 Mtge","CPN")</f>
        <v>6</v>
      </c>
      <c r="G2587">
        <f>_xll.BDP("FNDD3665 Mtge","MTG_FACTOR")</f>
        <v>0.98764130999999999</v>
      </c>
      <c r="H2587">
        <f>_xll.BDP("FNDD3665 Mtge","MTG_WAL")</f>
        <v>3.1604000000000001</v>
      </c>
      <c r="I2587" t="str">
        <f>_xll.BDP("FNDD3665 Mtge","MTG_ORIG_WAL")</f>
        <v>#N/A N/A</v>
      </c>
    </row>
    <row r="2588" spans="1:9" x14ac:dyDescent="0.25">
      <c r="A2588" t="str">
        <f>_xll.BDP("FNDD3668 Mtge","ID_CUSIP")</f>
        <v>3140B4CE8</v>
      </c>
      <c r="B2588" t="str">
        <f>_xll.BDP("FNDD3668 Mtge","SECURITY_NAME")</f>
        <v>FN DD3668</v>
      </c>
      <c r="C2588" t="str">
        <f>_xll.BDP("FNDD3668 Mtge","GENERIC_TICKER_VINTAGE")</f>
        <v>FNCL 6 2025</v>
      </c>
      <c r="D2588" t="str">
        <f>_xll.BDP("FNDD3668 Mtge","CRNCY")</f>
        <v>USD</v>
      </c>
      <c r="E2588">
        <v>2693862</v>
      </c>
      <c r="F2588">
        <f>_xll.BDP("FNDD3668 Mtge","CPN")</f>
        <v>6</v>
      </c>
      <c r="G2588">
        <f>_xll.BDP("FNDD3668 Mtge","MTG_FACTOR")</f>
        <v>0.77475640999999995</v>
      </c>
      <c r="H2588">
        <f>_xll.BDP("FNDD3668 Mtge","MTG_WAL")</f>
        <v>3.1585999999999999</v>
      </c>
      <c r="I2588" t="str">
        <f>_xll.BDP("FNDD3668 Mtge","MTG_ORIG_WAL")</f>
        <v>#N/A N/A</v>
      </c>
    </row>
    <row r="2589" spans="1:9" x14ac:dyDescent="0.25">
      <c r="A2589" t="str">
        <f>_xll.BDP("FNDD3670 Mtge","ID_CUSIP")</f>
        <v>3140B4CG3</v>
      </c>
      <c r="B2589" t="str">
        <f>_xll.BDP("FNDD3670 Mtge","SECURITY_NAME")</f>
        <v>FN DD3670</v>
      </c>
      <c r="C2589" t="str">
        <f>_xll.BDP("FNDD3670 Mtge","GENERIC_TICKER_VINTAGE")</f>
        <v>FNCL 6 2025</v>
      </c>
      <c r="D2589" t="str">
        <f>_xll.BDP("FNDD3670 Mtge","CRNCY")</f>
        <v>USD</v>
      </c>
      <c r="E2589">
        <v>1252860</v>
      </c>
      <c r="F2589">
        <f>_xll.BDP("FNDD3670 Mtge","CPN")</f>
        <v>6</v>
      </c>
      <c r="G2589">
        <f>_xll.BDP("FNDD3670 Mtge","MTG_FACTOR")</f>
        <v>0.74432284999999998</v>
      </c>
      <c r="H2589">
        <f>_xll.BDP("FNDD3670 Mtge","MTG_WAL")</f>
        <v>3.1629</v>
      </c>
      <c r="I2589" t="str">
        <f>_xll.BDP("FNDD3670 Mtge","MTG_ORIG_WAL")</f>
        <v>#N/A N/A</v>
      </c>
    </row>
    <row r="2590" spans="1:9" x14ac:dyDescent="0.25">
      <c r="A2590" t="str">
        <f>_xll.BDP("FNDD3673 Mtge","ID_CUSIP")</f>
        <v>3140B4CK4</v>
      </c>
      <c r="B2590" t="str">
        <f>_xll.BDP("FNDD3673 Mtge","SECURITY_NAME")</f>
        <v>FN DD3673</v>
      </c>
      <c r="C2590" t="str">
        <f>_xll.BDP("FNDD3673 Mtge","GENERIC_TICKER_VINTAGE")</f>
        <v>FNCL 6 2025</v>
      </c>
      <c r="D2590" t="str">
        <f>_xll.BDP("FNDD3673 Mtge","CRNCY")</f>
        <v>USD</v>
      </c>
      <c r="E2590">
        <v>1124000</v>
      </c>
      <c r="F2590">
        <f>_xll.BDP("FNDD3673 Mtge","CPN")</f>
        <v>6</v>
      </c>
      <c r="G2590">
        <f>_xll.BDP("FNDD3673 Mtge","MTG_FACTOR")</f>
        <v>0.98853146000000003</v>
      </c>
      <c r="H2590">
        <f>_xll.BDP("FNDD3673 Mtge","MTG_WAL")</f>
        <v>3.2042999999999999</v>
      </c>
      <c r="I2590" t="str">
        <f>_xll.BDP("FNDD3673 Mtge","MTG_ORIG_WAL")</f>
        <v>#N/A N/A</v>
      </c>
    </row>
    <row r="2591" spans="1:9" x14ac:dyDescent="0.25">
      <c r="A2591" t="str">
        <f>_xll.BDP("FNDD3683 Mtge","ID_CUSIP")</f>
        <v>3140B4CV0</v>
      </c>
      <c r="B2591" t="str">
        <f>_xll.BDP("FNDD3683 Mtge","SECURITY_NAME")</f>
        <v>FN DD3683</v>
      </c>
      <c r="C2591" t="str">
        <f>_xll.BDP("FNDD3683 Mtge","GENERIC_TICKER_VINTAGE")</f>
        <v>FNCL 6 2025</v>
      </c>
      <c r="D2591" t="str">
        <f>_xll.BDP("FNDD3683 Mtge","CRNCY")</f>
        <v>USD</v>
      </c>
      <c r="E2591">
        <v>6141053</v>
      </c>
      <c r="F2591">
        <f>_xll.BDP("FNDD3683 Mtge","CPN")</f>
        <v>6</v>
      </c>
      <c r="G2591">
        <f>_xll.BDP("FNDD3683 Mtge","MTG_FACTOR")</f>
        <v>0.69612691999999998</v>
      </c>
      <c r="H2591">
        <f>_xll.BDP("FNDD3683 Mtge","MTG_WAL")</f>
        <v>3.1924000000000001</v>
      </c>
      <c r="I2591" t="str">
        <f>_xll.BDP("FNDD3683 Mtge","MTG_ORIG_WAL")</f>
        <v>#N/A N/A</v>
      </c>
    </row>
    <row r="2592" spans="1:9" x14ac:dyDescent="0.25">
      <c r="A2592" t="str">
        <f>_xll.BDP("FNDD3687 Mtge","ID_CUSIP")</f>
        <v>3140B4CZ1</v>
      </c>
      <c r="B2592" t="str">
        <f>_xll.BDP("FNDD3687 Mtge","SECURITY_NAME")</f>
        <v>FN DD3687</v>
      </c>
      <c r="C2592" t="str">
        <f>_xll.BDP("FNDD3687 Mtge","GENERIC_TICKER_VINTAGE")</f>
        <v>FNCL 6 2025</v>
      </c>
      <c r="D2592" t="str">
        <f>_xll.BDP("FNDD3687 Mtge","CRNCY")</f>
        <v>USD</v>
      </c>
      <c r="E2592">
        <v>4123075</v>
      </c>
      <c r="F2592">
        <f>_xll.BDP("FNDD3687 Mtge","CPN")</f>
        <v>6</v>
      </c>
      <c r="G2592">
        <f>_xll.BDP("FNDD3687 Mtge","MTG_FACTOR")</f>
        <v>0.66694165000000005</v>
      </c>
      <c r="H2592">
        <f>_xll.BDP("FNDD3687 Mtge","MTG_WAL")</f>
        <v>3.1614</v>
      </c>
      <c r="I2592" t="str">
        <f>_xll.BDP("FNDD3687 Mtge","MTG_ORIG_WAL")</f>
        <v>#N/A N/A</v>
      </c>
    </row>
    <row r="2593" spans="1:9" x14ac:dyDescent="0.25">
      <c r="A2593" t="str">
        <f>_xll.BDP("FNDD3689 Mtge","ID_CUSIP")</f>
        <v>3140B4C32</v>
      </c>
      <c r="B2593" t="str">
        <f>_xll.BDP("FNDD3689 Mtge","SECURITY_NAME")</f>
        <v>FN DD3689</v>
      </c>
      <c r="C2593" t="str">
        <f>_xll.BDP("FNDD3689 Mtge","GENERIC_TICKER_VINTAGE")</f>
        <v>FNCL 6 2025</v>
      </c>
      <c r="D2593" t="str">
        <f>_xll.BDP("FNDD3689 Mtge","CRNCY")</f>
        <v>USD</v>
      </c>
      <c r="E2593">
        <v>1239150</v>
      </c>
      <c r="F2593">
        <f>_xll.BDP("FNDD3689 Mtge","CPN")</f>
        <v>6</v>
      </c>
      <c r="G2593">
        <f>_xll.BDP("FNDD3689 Mtge","MTG_FACTOR")</f>
        <v>0.50460307000000004</v>
      </c>
      <c r="H2593">
        <f>_xll.BDP("FNDD3689 Mtge","MTG_WAL")</f>
        <v>3.2052</v>
      </c>
      <c r="I2593" t="str">
        <f>_xll.BDP("FNDD3689 Mtge","MTG_ORIG_WAL")</f>
        <v>#N/A N/A</v>
      </c>
    </row>
    <row r="2594" spans="1:9" x14ac:dyDescent="0.25">
      <c r="A2594" t="str">
        <f>_xll.BDP("FNDD3691 Mtge","ID_CUSIP")</f>
        <v>3140B4C57</v>
      </c>
      <c r="B2594" t="str">
        <f>_xll.BDP("FNDD3691 Mtge","SECURITY_NAME")</f>
        <v>FN DD3691</v>
      </c>
      <c r="C2594" t="str">
        <f>_xll.BDP("FNDD3691 Mtge","GENERIC_TICKER_VINTAGE")</f>
        <v>FNCL 6 2025</v>
      </c>
      <c r="D2594" t="str">
        <f>_xll.BDP("FNDD3691 Mtge","CRNCY")</f>
        <v>USD</v>
      </c>
      <c r="E2594">
        <v>1341100</v>
      </c>
      <c r="F2594">
        <f>_xll.BDP("FNDD3691 Mtge","CPN")</f>
        <v>6</v>
      </c>
      <c r="G2594">
        <f>_xll.BDP("FNDD3691 Mtge","MTG_FACTOR")</f>
        <v>0.73823914000000002</v>
      </c>
      <c r="H2594">
        <f>_xll.BDP("FNDD3691 Mtge","MTG_WAL")</f>
        <v>3.1589</v>
      </c>
      <c r="I2594" t="str">
        <f>_xll.BDP("FNDD3691 Mtge","MTG_ORIG_WAL")</f>
        <v>#N/A N/A</v>
      </c>
    </row>
    <row r="2595" spans="1:9" x14ac:dyDescent="0.25">
      <c r="A2595" t="str">
        <f>_xll.BDP("FNDD3696 Mtge","ID_CUSIP")</f>
        <v>3140B4DA5</v>
      </c>
      <c r="B2595" t="str">
        <f>_xll.BDP("FNDD3696 Mtge","SECURITY_NAME")</f>
        <v>FN DD3696</v>
      </c>
      <c r="C2595" t="str">
        <f>_xll.BDP("FNDD3696 Mtge","GENERIC_TICKER_VINTAGE")</f>
        <v>FNCL 6 2025</v>
      </c>
      <c r="D2595" t="str">
        <f>_xll.BDP("FNDD3696 Mtge","CRNCY")</f>
        <v>USD</v>
      </c>
      <c r="E2595">
        <v>1539500</v>
      </c>
      <c r="F2595">
        <f>_xll.BDP("FNDD3696 Mtge","CPN")</f>
        <v>6</v>
      </c>
      <c r="G2595">
        <f>_xll.BDP("FNDD3696 Mtge","MTG_FACTOR")</f>
        <v>0.78686060000000002</v>
      </c>
      <c r="H2595">
        <f>_xll.BDP("FNDD3696 Mtge","MTG_WAL")</f>
        <v>3.1606000000000001</v>
      </c>
      <c r="I2595" t="str">
        <f>_xll.BDP("FNDD3696 Mtge","MTG_ORIG_WAL")</f>
        <v>#N/A N/A</v>
      </c>
    </row>
    <row r="2596" spans="1:9" x14ac:dyDescent="0.25">
      <c r="A2596" t="str">
        <f>_xll.BDP("FNDD3706 Mtge","ID_CUSIP")</f>
        <v>3140B4DL1</v>
      </c>
      <c r="B2596" t="str">
        <f>_xll.BDP("FNDD3706 Mtge","SECURITY_NAME")</f>
        <v>FN DD3706</v>
      </c>
      <c r="C2596" t="str">
        <f>_xll.BDP("FNDD3706 Mtge","GENERIC_TICKER_VINTAGE")</f>
        <v>FNCL 6 2025</v>
      </c>
      <c r="D2596" t="str">
        <f>_xll.BDP("FNDD3706 Mtge","CRNCY")</f>
        <v>USD</v>
      </c>
      <c r="E2596">
        <v>1316048</v>
      </c>
      <c r="F2596">
        <f>_xll.BDP("FNDD3706 Mtge","CPN")</f>
        <v>6</v>
      </c>
      <c r="G2596">
        <f>_xll.BDP("FNDD3706 Mtge","MTG_FACTOR")</f>
        <v>0.86576553000000001</v>
      </c>
      <c r="H2596">
        <f>_xll.BDP("FNDD3706 Mtge","MTG_WAL")</f>
        <v>3.1374</v>
      </c>
      <c r="I2596" t="str">
        <f>_xll.BDP("FNDD3706 Mtge","MTG_ORIG_WAL")</f>
        <v>#N/A N/A</v>
      </c>
    </row>
    <row r="2597" spans="1:9" x14ac:dyDescent="0.25">
      <c r="A2597" t="str">
        <f>_xll.BDP("FNDD3720 Mtge","ID_CUSIP")</f>
        <v>3140B4D23</v>
      </c>
      <c r="B2597" t="str">
        <f>_xll.BDP("FNDD3720 Mtge","SECURITY_NAME")</f>
        <v>FN DD3720</v>
      </c>
      <c r="C2597" t="str">
        <f>_xll.BDP("FNDD3720 Mtge","GENERIC_TICKER_VINTAGE")</f>
        <v>FNCL 6 2025</v>
      </c>
      <c r="D2597" t="str">
        <f>_xll.BDP("FNDD3720 Mtge","CRNCY")</f>
        <v>USD</v>
      </c>
      <c r="E2597">
        <v>1472212</v>
      </c>
      <c r="F2597">
        <f>_xll.BDP("FNDD3720 Mtge","CPN")</f>
        <v>6</v>
      </c>
      <c r="G2597">
        <f>_xll.BDP("FNDD3720 Mtge","MTG_FACTOR")</f>
        <v>0.98890749</v>
      </c>
      <c r="H2597">
        <f>_xll.BDP("FNDD3720 Mtge","MTG_WAL")</f>
        <v>3.2048999999999999</v>
      </c>
      <c r="I2597" t="str">
        <f>_xll.BDP("FNDD3720 Mtge","MTG_ORIG_WAL")</f>
        <v>#N/A N/A</v>
      </c>
    </row>
    <row r="2598" spans="1:9" x14ac:dyDescent="0.25">
      <c r="A2598" t="str">
        <f>_xll.BDP("FNDD3721 Mtge","ID_CUSIP")</f>
        <v>3140B4D31</v>
      </c>
      <c r="B2598" t="str">
        <f>_xll.BDP("FNDD3721 Mtge","SECURITY_NAME")</f>
        <v>FN DD3721</v>
      </c>
      <c r="C2598" t="str">
        <f>_xll.BDP("FNDD3721 Mtge","GENERIC_TICKER_VINTAGE")</f>
        <v>FNCL 6 2025</v>
      </c>
      <c r="D2598" t="str">
        <f>_xll.BDP("FNDD3721 Mtge","CRNCY")</f>
        <v>USD</v>
      </c>
      <c r="E2598">
        <v>20103565</v>
      </c>
      <c r="F2598">
        <f>_xll.BDP("FNDD3721 Mtge","CPN")</f>
        <v>6</v>
      </c>
      <c r="G2598">
        <f>_xll.BDP("FNDD3721 Mtge","MTG_FACTOR")</f>
        <v>0.93637672000000005</v>
      </c>
      <c r="H2598">
        <f>_xll.BDP("FNDD3721 Mtge","MTG_WAL")</f>
        <v>3.2010999999999998</v>
      </c>
      <c r="I2598" t="str">
        <f>_xll.BDP("FNDD3721 Mtge","MTG_ORIG_WAL")</f>
        <v>#N/A N/A</v>
      </c>
    </row>
    <row r="2599" spans="1:9" x14ac:dyDescent="0.25">
      <c r="A2599" t="str">
        <f>_xll.BDP("FNDD3725 Mtge","ID_CUSIP")</f>
        <v>3140B4D72</v>
      </c>
      <c r="B2599" t="str">
        <f>_xll.BDP("FNDD3725 Mtge","SECURITY_NAME")</f>
        <v>FN DD3725</v>
      </c>
      <c r="C2599" t="str">
        <f>_xll.BDP("FNDD3725 Mtge","GENERIC_TICKER_VINTAGE")</f>
        <v>FNCL 6 2025</v>
      </c>
      <c r="D2599" t="str">
        <f>_xll.BDP("FNDD3725 Mtge","CRNCY")</f>
        <v>USD</v>
      </c>
      <c r="E2599">
        <v>6810649</v>
      </c>
      <c r="F2599">
        <f>_xll.BDP("FNDD3725 Mtge","CPN")</f>
        <v>6</v>
      </c>
      <c r="G2599">
        <f>_xll.BDP("FNDD3725 Mtge","MTG_FACTOR")</f>
        <v>0.65952783999999998</v>
      </c>
      <c r="H2599">
        <f>_xll.BDP("FNDD3725 Mtge","MTG_WAL")</f>
        <v>3.1591999999999998</v>
      </c>
      <c r="I2599" t="str">
        <f>_xll.BDP("FNDD3725 Mtge","MTG_ORIG_WAL")</f>
        <v>#N/A N/A</v>
      </c>
    </row>
    <row r="2600" spans="1:9" x14ac:dyDescent="0.25">
      <c r="A2600" t="str">
        <f>_xll.BDP("FNDD3728 Mtge","ID_CUSIP")</f>
        <v>3140B4EA4</v>
      </c>
      <c r="B2600" t="str">
        <f>_xll.BDP("FNDD3728 Mtge","SECURITY_NAME")</f>
        <v>FN DD3728</v>
      </c>
      <c r="C2600" t="str">
        <f>_xll.BDP("FNDD3728 Mtge","GENERIC_TICKER_VINTAGE")</f>
        <v>FNCL 6 2025</v>
      </c>
      <c r="D2600" t="str">
        <f>_xll.BDP("FNDD3728 Mtge","CRNCY")</f>
        <v>USD</v>
      </c>
      <c r="E2600">
        <v>2843257</v>
      </c>
      <c r="F2600">
        <f>_xll.BDP("FNDD3728 Mtge","CPN")</f>
        <v>6</v>
      </c>
      <c r="G2600">
        <f>_xll.BDP("FNDD3728 Mtge","MTG_FACTOR")</f>
        <v>0.98600836000000003</v>
      </c>
      <c r="H2600">
        <f>_xll.BDP("FNDD3728 Mtge","MTG_WAL")</f>
        <v>3.1608999999999998</v>
      </c>
      <c r="I2600" t="str">
        <f>_xll.BDP("FNDD3728 Mtge","MTG_ORIG_WAL")</f>
        <v>#N/A N/A</v>
      </c>
    </row>
    <row r="2601" spans="1:9" x14ac:dyDescent="0.25">
      <c r="A2601" t="str">
        <f>_xll.BDP("FNDD3735 Mtge","ID_CUSIP")</f>
        <v>3140B4EH9</v>
      </c>
      <c r="B2601" t="str">
        <f>_xll.BDP("FNDD3735 Mtge","SECURITY_NAME")</f>
        <v>FN DD3735</v>
      </c>
      <c r="C2601" t="str">
        <f>_xll.BDP("FNDD3735 Mtge","GENERIC_TICKER_VINTAGE")</f>
        <v>FNCL 6 2025</v>
      </c>
      <c r="D2601" t="str">
        <f>_xll.BDP("FNDD3735 Mtge","CRNCY")</f>
        <v>USD</v>
      </c>
      <c r="E2601">
        <v>1129071</v>
      </c>
      <c r="F2601">
        <f>_xll.BDP("FNDD3735 Mtge","CPN")</f>
        <v>6</v>
      </c>
      <c r="G2601">
        <f>_xll.BDP("FNDD3735 Mtge","MTG_FACTOR")</f>
        <v>0.82516657000000004</v>
      </c>
      <c r="H2601">
        <f>_xll.BDP("FNDD3735 Mtge","MTG_WAL")</f>
        <v>3.1606000000000001</v>
      </c>
      <c r="I2601" t="str">
        <f>_xll.BDP("FNDD3735 Mtge","MTG_ORIG_WAL")</f>
        <v>#N/A N/A</v>
      </c>
    </row>
    <row r="2602" spans="1:9" x14ac:dyDescent="0.25">
      <c r="A2602" t="str">
        <f>_xll.BDP("FNDD3737 Mtge","ID_CUSIP")</f>
        <v>3140B4EK2</v>
      </c>
      <c r="B2602" t="str">
        <f>_xll.BDP("FNDD3737 Mtge","SECURITY_NAME")</f>
        <v>FN DD3737</v>
      </c>
      <c r="C2602" t="str">
        <f>_xll.BDP("FNDD3737 Mtge","GENERIC_TICKER_VINTAGE")</f>
        <v>FNCL 6 2025</v>
      </c>
      <c r="D2602" t="str">
        <f>_xll.BDP("FNDD3737 Mtge","CRNCY")</f>
        <v>USD</v>
      </c>
      <c r="E2602">
        <v>4747436</v>
      </c>
      <c r="F2602">
        <f>_xll.BDP("FNDD3737 Mtge","CPN")</f>
        <v>6</v>
      </c>
      <c r="G2602">
        <f>_xll.BDP("FNDD3737 Mtge","MTG_FACTOR")</f>
        <v>0.91257884</v>
      </c>
      <c r="H2602">
        <f>_xll.BDP("FNDD3737 Mtge","MTG_WAL")</f>
        <v>3.1617999999999999</v>
      </c>
      <c r="I2602" t="str">
        <f>_xll.BDP("FNDD3737 Mtge","MTG_ORIG_WAL")</f>
        <v>#N/A N/A</v>
      </c>
    </row>
    <row r="2603" spans="1:9" x14ac:dyDescent="0.25">
      <c r="A2603" t="str">
        <f>_xll.BDP("FNDD3742 Mtge","ID_CUSIP")</f>
        <v>3140B4EQ9</v>
      </c>
      <c r="B2603" t="str">
        <f>_xll.BDP("FNDD3742 Mtge","SECURITY_NAME")</f>
        <v>FN DD3742</v>
      </c>
      <c r="C2603" t="str">
        <f>_xll.BDP("FNDD3742 Mtge","GENERIC_TICKER_VINTAGE")</f>
        <v>FNCL 6 2025</v>
      </c>
      <c r="D2603" t="str">
        <f>_xll.BDP("FNDD3742 Mtge","CRNCY")</f>
        <v>USD</v>
      </c>
      <c r="E2603">
        <v>2376946</v>
      </c>
      <c r="F2603">
        <f>_xll.BDP("FNDD3742 Mtge","CPN")</f>
        <v>6</v>
      </c>
      <c r="G2603">
        <f>_xll.BDP("FNDD3742 Mtge","MTG_FACTOR")</f>
        <v>0.98924009999999996</v>
      </c>
      <c r="H2603">
        <f>_xll.BDP("FNDD3742 Mtge","MTG_WAL")</f>
        <v>3.2039</v>
      </c>
      <c r="I2603" t="str">
        <f>_xll.BDP("FNDD3742 Mtge","MTG_ORIG_WAL")</f>
        <v>#N/A N/A</v>
      </c>
    </row>
    <row r="2604" spans="1:9" x14ac:dyDescent="0.25">
      <c r="A2604" t="str">
        <f>_xll.BDP("FNDD3743 Mtge","ID_CUSIP")</f>
        <v>3140B4ER7</v>
      </c>
      <c r="B2604" t="str">
        <f>_xll.BDP("FNDD3743 Mtge","SECURITY_NAME")</f>
        <v>FN DD3743</v>
      </c>
      <c r="C2604" t="str">
        <f>_xll.BDP("FNDD3743 Mtge","GENERIC_TICKER_VINTAGE")</f>
        <v>FNCL 6 2025</v>
      </c>
      <c r="D2604" t="str">
        <f>_xll.BDP("FNDD3743 Mtge","CRNCY")</f>
        <v>USD</v>
      </c>
      <c r="E2604">
        <v>1259687</v>
      </c>
      <c r="F2604">
        <f>_xll.BDP("FNDD3743 Mtge","CPN")</f>
        <v>6</v>
      </c>
      <c r="G2604">
        <f>_xll.BDP("FNDD3743 Mtge","MTG_FACTOR")</f>
        <v>0.88974286999999996</v>
      </c>
      <c r="H2604">
        <f>_xll.BDP("FNDD3743 Mtge","MTG_WAL")</f>
        <v>3.1583999999999999</v>
      </c>
      <c r="I2604" t="str">
        <f>_xll.BDP("FNDD3743 Mtge","MTG_ORIG_WAL")</f>
        <v>#N/A N/A</v>
      </c>
    </row>
    <row r="2605" spans="1:9" x14ac:dyDescent="0.25">
      <c r="A2605" t="str">
        <f>_xll.BDP("FNDD3745 Mtge","ID_CUSIP")</f>
        <v>3140B4ET3</v>
      </c>
      <c r="B2605" t="str">
        <f>_xll.BDP("FNDD3745 Mtge","SECURITY_NAME")</f>
        <v>FN DD3745</v>
      </c>
      <c r="C2605" t="str">
        <f>_xll.BDP("FNDD3745 Mtge","GENERIC_TICKER_VINTAGE")</f>
        <v>FNCL 6 2025</v>
      </c>
      <c r="D2605" t="str">
        <f>_xll.BDP("FNDD3745 Mtge","CRNCY")</f>
        <v>USD</v>
      </c>
      <c r="E2605">
        <v>1187475</v>
      </c>
      <c r="F2605">
        <f>_xll.BDP("FNDD3745 Mtge","CPN")</f>
        <v>6</v>
      </c>
      <c r="G2605">
        <f>_xll.BDP("FNDD3745 Mtge","MTG_FACTOR")</f>
        <v>0.98099749000000003</v>
      </c>
      <c r="H2605">
        <f>_xll.BDP("FNDD3745 Mtge","MTG_WAL")</f>
        <v>3.1583999999999999</v>
      </c>
      <c r="I2605" t="str">
        <f>_xll.BDP("FNDD3745 Mtge","MTG_ORIG_WAL")</f>
        <v>#N/A N/A</v>
      </c>
    </row>
    <row r="2606" spans="1:9" x14ac:dyDescent="0.25">
      <c r="A2606" t="str">
        <f>_xll.BDP("FNDD3748 Mtge","ID_CUSIP")</f>
        <v>3140B4EW6</v>
      </c>
      <c r="B2606" t="str">
        <f>_xll.BDP("FNDD3748 Mtge","SECURITY_NAME")</f>
        <v>FN DD3748</v>
      </c>
      <c r="C2606" t="str">
        <f>_xll.BDP("FNDD3748 Mtge","GENERIC_TICKER_VINTAGE")</f>
        <v>FNCL 6 2025</v>
      </c>
      <c r="D2606" t="str">
        <f>_xll.BDP("FNDD3748 Mtge","CRNCY")</f>
        <v>USD</v>
      </c>
      <c r="E2606">
        <v>1822632</v>
      </c>
      <c r="F2606">
        <f>_xll.BDP("FNDD3748 Mtge","CPN")</f>
        <v>6</v>
      </c>
      <c r="G2606">
        <f>_xll.BDP("FNDD3748 Mtge","MTG_FACTOR")</f>
        <v>0.82124514000000004</v>
      </c>
      <c r="H2606">
        <f>_xll.BDP("FNDD3748 Mtge","MTG_WAL")</f>
        <v>3.1606000000000001</v>
      </c>
      <c r="I2606" t="str">
        <f>_xll.BDP("FNDD3748 Mtge","MTG_ORIG_WAL")</f>
        <v>#N/A N/A</v>
      </c>
    </row>
    <row r="2607" spans="1:9" x14ac:dyDescent="0.25">
      <c r="A2607" t="str">
        <f>_xll.BDP("FNDD3767 Mtge","ID_CUSIP")</f>
        <v>3140B4FH8</v>
      </c>
      <c r="B2607" t="str">
        <f>_xll.BDP("FNDD3767 Mtge","SECURITY_NAME")</f>
        <v>FN DD3767</v>
      </c>
      <c r="C2607" t="str">
        <f>_xll.BDP("FNDD3767 Mtge","GENERIC_TICKER_VINTAGE")</f>
        <v>FNCL 6 2025</v>
      </c>
      <c r="D2607" t="str">
        <f>_xll.BDP("FNDD3767 Mtge","CRNCY")</f>
        <v>USD</v>
      </c>
      <c r="E2607">
        <v>2754260</v>
      </c>
      <c r="F2607">
        <f>_xll.BDP("FNDD3767 Mtge","CPN")</f>
        <v>6</v>
      </c>
      <c r="G2607">
        <f>_xll.BDP("FNDD3767 Mtge","MTG_FACTOR")</f>
        <v>0.91463976000000002</v>
      </c>
      <c r="H2607">
        <f>_xll.BDP("FNDD3767 Mtge","MTG_WAL")</f>
        <v>3.2033999999999998</v>
      </c>
      <c r="I2607" t="str">
        <f>_xll.BDP("FNDD3767 Mtge","MTG_ORIG_WAL")</f>
        <v>#N/A N/A</v>
      </c>
    </row>
    <row r="2608" spans="1:9" x14ac:dyDescent="0.25">
      <c r="A2608" t="str">
        <f>_xll.BDP("FNDD3768 Mtge","ID_CUSIP")</f>
        <v>3140B4FJ4</v>
      </c>
      <c r="B2608" t="str">
        <f>_xll.BDP("FNDD3768 Mtge","SECURITY_NAME")</f>
        <v>FN DD3768</v>
      </c>
      <c r="C2608" t="str">
        <f>_xll.BDP("FNDD3768 Mtge","GENERIC_TICKER_VINTAGE")</f>
        <v>FNCL 6 2025</v>
      </c>
      <c r="D2608" t="str">
        <f>_xll.BDP("FNDD3768 Mtge","CRNCY")</f>
        <v>USD</v>
      </c>
      <c r="E2608">
        <v>11530730</v>
      </c>
      <c r="F2608">
        <f>_xll.BDP("FNDD3768 Mtge","CPN")</f>
        <v>6</v>
      </c>
      <c r="G2608">
        <f>_xll.BDP("FNDD3768 Mtge","MTG_FACTOR")</f>
        <v>0.81434125000000002</v>
      </c>
      <c r="H2608">
        <f>_xll.BDP("FNDD3768 Mtge","MTG_WAL")</f>
        <v>3.1583000000000001</v>
      </c>
      <c r="I2608" t="str">
        <f>_xll.BDP("FNDD3768 Mtge","MTG_ORIG_WAL")</f>
        <v>#N/A N/A</v>
      </c>
    </row>
    <row r="2609" spans="1:9" x14ac:dyDescent="0.25">
      <c r="A2609" t="str">
        <f>_xll.BDP("FNDD3781 Mtge","ID_CUSIP")</f>
        <v>3140B4FX3</v>
      </c>
      <c r="B2609" t="str">
        <f>_xll.BDP("FNDD3781 Mtge","SECURITY_NAME")</f>
        <v>FN DD3781</v>
      </c>
      <c r="C2609" t="str">
        <f>_xll.BDP("FNDD3781 Mtge","GENERIC_TICKER_VINTAGE")</f>
        <v>FNCL 6 2025</v>
      </c>
      <c r="D2609" t="str">
        <f>_xll.BDP("FNDD3781 Mtge","CRNCY")</f>
        <v>USD</v>
      </c>
      <c r="E2609">
        <v>1266880</v>
      </c>
      <c r="F2609">
        <f>_xll.BDP("FNDD3781 Mtge","CPN")</f>
        <v>6</v>
      </c>
      <c r="G2609">
        <f>_xll.BDP("FNDD3781 Mtge","MTG_FACTOR")</f>
        <v>0.98764236000000005</v>
      </c>
      <c r="H2609">
        <f>_xll.BDP("FNDD3781 Mtge","MTG_WAL")</f>
        <v>3.2031999999999998</v>
      </c>
      <c r="I2609" t="str">
        <f>_xll.BDP("FNDD3781 Mtge","MTG_ORIG_WAL")</f>
        <v>#N/A N/A</v>
      </c>
    </row>
    <row r="2610" spans="1:9" x14ac:dyDescent="0.25">
      <c r="A2610" t="str">
        <f>_xll.BDP("FNDD3782 Mtge","ID_CUSIP")</f>
        <v>3140B4FY1</v>
      </c>
      <c r="B2610" t="str">
        <f>_xll.BDP("FNDD3782 Mtge","SECURITY_NAME")</f>
        <v>FN DD3782</v>
      </c>
      <c r="C2610" t="str">
        <f>_xll.BDP("FNDD3782 Mtge","GENERIC_TICKER_VINTAGE")</f>
        <v>FNCL 6 2025</v>
      </c>
      <c r="D2610" t="str">
        <f>_xll.BDP("FNDD3782 Mtge","CRNCY")</f>
        <v>USD</v>
      </c>
      <c r="E2610">
        <v>5980910</v>
      </c>
      <c r="F2610">
        <f>_xll.BDP("FNDD3782 Mtge","CPN")</f>
        <v>6</v>
      </c>
      <c r="G2610">
        <f>_xll.BDP("FNDD3782 Mtge","MTG_FACTOR")</f>
        <v>0.98858572</v>
      </c>
      <c r="H2610">
        <f>_xll.BDP("FNDD3782 Mtge","MTG_WAL")</f>
        <v>3.2039</v>
      </c>
      <c r="I2610" t="str">
        <f>_xll.BDP("FNDD3782 Mtge","MTG_ORIG_WAL")</f>
        <v>#N/A N/A</v>
      </c>
    </row>
    <row r="2611" spans="1:9" x14ac:dyDescent="0.25">
      <c r="A2611" t="str">
        <f>_xll.BDP("FNDD3785 Mtge","ID_CUSIP")</f>
        <v>3140B4F39</v>
      </c>
      <c r="B2611" t="str">
        <f>_xll.BDP("FNDD3785 Mtge","SECURITY_NAME")</f>
        <v>FN DD3785</v>
      </c>
      <c r="C2611" t="str">
        <f>_xll.BDP("FNDD3785 Mtge","GENERIC_TICKER_VINTAGE")</f>
        <v>FNCL 6 2025</v>
      </c>
      <c r="D2611" t="str">
        <f>_xll.BDP("FNDD3785 Mtge","CRNCY")</f>
        <v>USD</v>
      </c>
      <c r="E2611">
        <v>7905218</v>
      </c>
      <c r="F2611">
        <f>_xll.BDP("FNDD3785 Mtge","CPN")</f>
        <v>6</v>
      </c>
      <c r="G2611">
        <f>_xll.BDP("FNDD3785 Mtge","MTG_FACTOR")</f>
        <v>0.93794107000000004</v>
      </c>
      <c r="H2611">
        <f>_xll.BDP("FNDD3785 Mtge","MTG_WAL")</f>
        <v>3.2040999999999999</v>
      </c>
      <c r="I2611" t="str">
        <f>_xll.BDP("FNDD3785 Mtge","MTG_ORIG_WAL")</f>
        <v>#N/A N/A</v>
      </c>
    </row>
    <row r="2612" spans="1:9" x14ac:dyDescent="0.25">
      <c r="A2612" t="str">
        <f>_xll.BDP("FNDD3793 Mtge","ID_CUSIP")</f>
        <v>3140B4GB0</v>
      </c>
      <c r="B2612" t="str">
        <f>_xll.BDP("FNDD3793 Mtge","SECURITY_NAME")</f>
        <v>FN DD3793</v>
      </c>
      <c r="C2612" t="str">
        <f>_xll.BDP("FNDD3793 Mtge","GENERIC_TICKER_VINTAGE")</f>
        <v>FNCL 6 2025</v>
      </c>
      <c r="D2612" t="str">
        <f>_xll.BDP("FNDD3793 Mtge","CRNCY")</f>
        <v>USD</v>
      </c>
      <c r="E2612">
        <v>2142600</v>
      </c>
      <c r="F2612">
        <f>_xll.BDP("FNDD3793 Mtge","CPN")</f>
        <v>6</v>
      </c>
      <c r="G2612">
        <f>_xll.BDP("FNDD3793 Mtge","MTG_FACTOR")</f>
        <v>0.69066170999999998</v>
      </c>
      <c r="H2612">
        <f>_xll.BDP("FNDD3793 Mtge","MTG_WAL")</f>
        <v>3.2042000000000002</v>
      </c>
      <c r="I2612" t="str">
        <f>_xll.BDP("FNDD3793 Mtge","MTG_ORIG_WAL")</f>
        <v>#N/A N/A</v>
      </c>
    </row>
    <row r="2613" spans="1:9" x14ac:dyDescent="0.25">
      <c r="A2613" t="str">
        <f>_xll.BDP("FNDD3794 Mtge","ID_CUSIP")</f>
        <v>3140B4GC8</v>
      </c>
      <c r="B2613" t="str">
        <f>_xll.BDP("FNDD3794 Mtge","SECURITY_NAME")</f>
        <v>FN DD3794</v>
      </c>
      <c r="C2613" t="str">
        <f>_xll.BDP("FNDD3794 Mtge","GENERIC_TICKER_VINTAGE")</f>
        <v>FNCL 6 2025</v>
      </c>
      <c r="D2613" t="str">
        <f>_xll.BDP("FNDD3794 Mtge","CRNCY")</f>
        <v>USD</v>
      </c>
      <c r="E2613">
        <v>3800030</v>
      </c>
      <c r="F2613">
        <f>_xll.BDP("FNDD3794 Mtge","CPN")</f>
        <v>6</v>
      </c>
      <c r="G2613">
        <f>_xll.BDP("FNDD3794 Mtge","MTG_FACTOR")</f>
        <v>0.92553819000000004</v>
      </c>
      <c r="H2613">
        <f>_xll.BDP("FNDD3794 Mtge","MTG_WAL")</f>
        <v>3.2021999999999999</v>
      </c>
      <c r="I2613" t="str">
        <f>_xll.BDP("FNDD3794 Mtge","MTG_ORIG_WAL")</f>
        <v>#N/A N/A</v>
      </c>
    </row>
    <row r="2614" spans="1:9" x14ac:dyDescent="0.25">
      <c r="A2614" t="str">
        <f>_xll.BDP("FNDD3795 Mtge","ID_CUSIP")</f>
        <v>3140B4GD6</v>
      </c>
      <c r="B2614" t="str">
        <f>_xll.BDP("FNDD3795 Mtge","SECURITY_NAME")</f>
        <v>FN DD3795</v>
      </c>
      <c r="C2614" t="str">
        <f>_xll.BDP("FNDD3795 Mtge","GENERIC_TICKER_VINTAGE")</f>
        <v>FNCL 6 2025</v>
      </c>
      <c r="D2614" t="str">
        <f>_xll.BDP("FNDD3795 Mtge","CRNCY")</f>
        <v>USD</v>
      </c>
      <c r="E2614">
        <v>6613060</v>
      </c>
      <c r="F2614">
        <f>_xll.BDP("FNDD3795 Mtge","CPN")</f>
        <v>6</v>
      </c>
      <c r="G2614">
        <f>_xll.BDP("FNDD3795 Mtge","MTG_FACTOR")</f>
        <v>0.83116679000000004</v>
      </c>
      <c r="H2614">
        <f>_xll.BDP("FNDD3795 Mtge","MTG_WAL")</f>
        <v>3.1636000000000002</v>
      </c>
      <c r="I2614" t="str">
        <f>_xll.BDP("FNDD3795 Mtge","MTG_ORIG_WAL")</f>
        <v>#N/A N/A</v>
      </c>
    </row>
    <row r="2615" spans="1:9" x14ac:dyDescent="0.25">
      <c r="A2615" t="str">
        <f>_xll.BDP("FNDD3804 Mtge","ID_CUSIP")</f>
        <v>3140B4GN4</v>
      </c>
      <c r="B2615" t="str">
        <f>_xll.BDP("FNDD3804 Mtge","SECURITY_NAME")</f>
        <v>FN DD3804</v>
      </c>
      <c r="C2615" t="str">
        <f>_xll.BDP("FNDD3804 Mtge","GENERIC_TICKER_VINTAGE")</f>
        <v>FNCL 6 2025</v>
      </c>
      <c r="D2615" t="str">
        <f>_xll.BDP("FNDD3804 Mtge","CRNCY")</f>
        <v>USD</v>
      </c>
      <c r="E2615">
        <v>5750130</v>
      </c>
      <c r="F2615">
        <f>_xll.BDP("FNDD3804 Mtge","CPN")</f>
        <v>6</v>
      </c>
      <c r="G2615">
        <f>_xll.BDP("FNDD3804 Mtge","MTG_FACTOR")</f>
        <v>0.98791032000000001</v>
      </c>
      <c r="H2615">
        <f>_xll.BDP("FNDD3804 Mtge","MTG_WAL")</f>
        <v>3.2023999999999999</v>
      </c>
      <c r="I2615" t="str">
        <f>_xll.BDP("FNDD3804 Mtge","MTG_ORIG_WAL")</f>
        <v>#N/A N/A</v>
      </c>
    </row>
    <row r="2616" spans="1:9" x14ac:dyDescent="0.25">
      <c r="A2616" t="str">
        <f>_xll.BDP("FNDD3806 Mtge","ID_CUSIP")</f>
        <v>3140B4GQ7</v>
      </c>
      <c r="B2616" t="str">
        <f>_xll.BDP("FNDD3806 Mtge","SECURITY_NAME")</f>
        <v>FN DD3806</v>
      </c>
      <c r="C2616" t="str">
        <f>_xll.BDP("FNDD3806 Mtge","GENERIC_TICKER_VINTAGE")</f>
        <v>FNCL 6 2025</v>
      </c>
      <c r="D2616" t="str">
        <f>_xll.BDP("FNDD3806 Mtge","CRNCY")</f>
        <v>USD</v>
      </c>
      <c r="E2616">
        <v>16023414</v>
      </c>
      <c r="F2616">
        <f>_xll.BDP("FNDD3806 Mtge","CPN")</f>
        <v>6</v>
      </c>
      <c r="G2616">
        <f>_xll.BDP("FNDD3806 Mtge","MTG_FACTOR")</f>
        <v>0.76427233000000006</v>
      </c>
      <c r="H2616">
        <f>_xll.BDP("FNDD3806 Mtge","MTG_WAL")</f>
        <v>3.1621999999999999</v>
      </c>
      <c r="I2616" t="str">
        <f>_xll.BDP("FNDD3806 Mtge","MTG_ORIG_WAL")</f>
        <v>#N/A N/A</v>
      </c>
    </row>
    <row r="2617" spans="1:9" x14ac:dyDescent="0.25">
      <c r="A2617" t="str">
        <f>_xll.BDP("FNDD3807 Mtge","ID_CUSIP")</f>
        <v>3140B4GR5</v>
      </c>
      <c r="B2617" t="str">
        <f>_xll.BDP("FNDD3807 Mtge","SECURITY_NAME")</f>
        <v>FN DD3807</v>
      </c>
      <c r="C2617" t="str">
        <f>_xll.BDP("FNDD3807 Mtge","GENERIC_TICKER_VINTAGE")</f>
        <v>FNCL 6 2025</v>
      </c>
      <c r="D2617" t="str">
        <f>_xll.BDP("FNDD3807 Mtge","CRNCY")</f>
        <v>USD</v>
      </c>
      <c r="E2617">
        <v>6827937</v>
      </c>
      <c r="F2617">
        <f>_xll.BDP("FNDD3807 Mtge","CPN")</f>
        <v>6</v>
      </c>
      <c r="G2617">
        <f>_xll.BDP("FNDD3807 Mtge","MTG_FACTOR")</f>
        <v>0.64094359999999995</v>
      </c>
      <c r="H2617">
        <f>_xll.BDP("FNDD3807 Mtge","MTG_WAL")</f>
        <v>3.202</v>
      </c>
      <c r="I2617" t="str">
        <f>_xll.BDP("FNDD3807 Mtge","MTG_ORIG_WAL")</f>
        <v>#N/A N/A</v>
      </c>
    </row>
    <row r="2618" spans="1:9" x14ac:dyDescent="0.25">
      <c r="A2618" t="str">
        <f>_xll.BDP("FNDD3812 Mtge","ID_CUSIP")</f>
        <v>3140B4GW4</v>
      </c>
      <c r="B2618" t="str">
        <f>_xll.BDP("FNDD3812 Mtge","SECURITY_NAME")</f>
        <v>FN DD3812</v>
      </c>
      <c r="C2618" t="str">
        <f>_xll.BDP("FNDD3812 Mtge","GENERIC_TICKER_VINTAGE")</f>
        <v>FNCL 6 2025</v>
      </c>
      <c r="D2618" t="str">
        <f>_xll.BDP("FNDD3812 Mtge","CRNCY")</f>
        <v>USD</v>
      </c>
      <c r="E2618">
        <v>4563960</v>
      </c>
      <c r="F2618">
        <f>_xll.BDP("FNDD3812 Mtge","CPN")</f>
        <v>6</v>
      </c>
      <c r="G2618">
        <f>_xll.BDP("FNDD3812 Mtge","MTG_FACTOR")</f>
        <v>0.88078597000000003</v>
      </c>
      <c r="H2618">
        <f>_xll.BDP("FNDD3812 Mtge","MTG_WAL")</f>
        <v>3.1970999999999998</v>
      </c>
      <c r="I2618" t="str">
        <f>_xll.BDP("FNDD3812 Mtge","MTG_ORIG_WAL")</f>
        <v>#N/A N/A</v>
      </c>
    </row>
    <row r="2619" spans="1:9" x14ac:dyDescent="0.25">
      <c r="A2619" t="str">
        <f>_xll.BDP("FNDD3822 Mtge","ID_CUSIP")</f>
        <v>3140B4G87</v>
      </c>
      <c r="B2619" t="str">
        <f>_xll.BDP("FNDD3822 Mtge","SECURITY_NAME")</f>
        <v>FN DD3822</v>
      </c>
      <c r="C2619" t="str">
        <f>_xll.BDP("FNDD3822 Mtge","GENERIC_TICKER_VINTAGE")</f>
        <v>FNCL 6 2025</v>
      </c>
      <c r="D2619" t="str">
        <f>_xll.BDP("FNDD3822 Mtge","CRNCY")</f>
        <v>USD</v>
      </c>
      <c r="E2619">
        <v>1959135</v>
      </c>
      <c r="F2619">
        <f>_xll.BDP("FNDD3822 Mtge","CPN")</f>
        <v>6</v>
      </c>
      <c r="G2619">
        <f>_xll.BDP("FNDD3822 Mtge","MTG_FACTOR")</f>
        <v>0.84842242999999995</v>
      </c>
      <c r="H2619">
        <f>_xll.BDP("FNDD3822 Mtge","MTG_WAL")</f>
        <v>3.2037</v>
      </c>
      <c r="I2619" t="str">
        <f>_xll.BDP("FNDD3822 Mtge","MTG_ORIG_WAL")</f>
        <v>#N/A N/A</v>
      </c>
    </row>
    <row r="2620" spans="1:9" x14ac:dyDescent="0.25">
      <c r="A2620" t="str">
        <f>_xll.BDP("FNDD3825 Mtge","ID_CUSIP")</f>
        <v>3140B4HB9</v>
      </c>
      <c r="B2620" t="str">
        <f>_xll.BDP("FNDD3825 Mtge","SECURITY_NAME")</f>
        <v>FN DD3825</v>
      </c>
      <c r="C2620" t="str">
        <f>_xll.BDP("FNDD3825 Mtge","GENERIC_TICKER_VINTAGE")</f>
        <v>FNCL 6 2025</v>
      </c>
      <c r="D2620" t="str">
        <f>_xll.BDP("FNDD3825 Mtge","CRNCY")</f>
        <v>USD</v>
      </c>
      <c r="E2620">
        <v>8100646</v>
      </c>
      <c r="F2620">
        <f>_xll.BDP("FNDD3825 Mtge","CPN")</f>
        <v>6</v>
      </c>
      <c r="G2620">
        <f>_xll.BDP("FNDD3825 Mtge","MTG_FACTOR")</f>
        <v>0.76220761000000004</v>
      </c>
      <c r="H2620">
        <f>_xll.BDP("FNDD3825 Mtge","MTG_WAL")</f>
        <v>3.2046999999999999</v>
      </c>
      <c r="I2620" t="str">
        <f>_xll.BDP("FNDD3825 Mtge","MTG_ORIG_WAL")</f>
        <v>#N/A N/A</v>
      </c>
    </row>
    <row r="2621" spans="1:9" x14ac:dyDescent="0.25">
      <c r="A2621" t="str">
        <f>_xll.BDP("FNDD3826 Mtge","ID_CUSIP")</f>
        <v>3140B4HC7</v>
      </c>
      <c r="B2621" t="str">
        <f>_xll.BDP("FNDD3826 Mtge","SECURITY_NAME")</f>
        <v>FN DD3826</v>
      </c>
      <c r="C2621" t="str">
        <f>_xll.BDP("FNDD3826 Mtge","GENERIC_TICKER_VINTAGE")</f>
        <v>FNCL 6 2025</v>
      </c>
      <c r="D2621" t="str">
        <f>_xll.BDP("FNDD3826 Mtge","CRNCY")</f>
        <v>USD</v>
      </c>
      <c r="E2621">
        <v>6225317</v>
      </c>
      <c r="F2621">
        <f>_xll.BDP("FNDD3826 Mtge","CPN")</f>
        <v>6</v>
      </c>
      <c r="G2621">
        <f>_xll.BDP("FNDD3826 Mtge","MTG_FACTOR")</f>
        <v>0.92664588999999997</v>
      </c>
      <c r="H2621">
        <f>_xll.BDP("FNDD3826 Mtge","MTG_WAL")</f>
        <v>3.1621000000000001</v>
      </c>
      <c r="I2621" t="str">
        <f>_xll.BDP("FNDD3826 Mtge","MTG_ORIG_WAL")</f>
        <v>#N/A N/A</v>
      </c>
    </row>
    <row r="2622" spans="1:9" x14ac:dyDescent="0.25">
      <c r="A2622" t="str">
        <f>_xll.BDP("FNDD3828 Mtge","ID_CUSIP")</f>
        <v>3140B4HE3</v>
      </c>
      <c r="B2622" t="str">
        <f>_xll.BDP("FNDD3828 Mtge","SECURITY_NAME")</f>
        <v>FN DD3828</v>
      </c>
      <c r="C2622" t="str">
        <f>_xll.BDP("FNDD3828 Mtge","GENERIC_TICKER_VINTAGE")</f>
        <v>FNCL 6 2025</v>
      </c>
      <c r="D2622" t="str">
        <f>_xll.BDP("FNDD3828 Mtge","CRNCY")</f>
        <v>USD</v>
      </c>
      <c r="E2622">
        <v>5739340</v>
      </c>
      <c r="F2622">
        <f>_xll.BDP("FNDD3828 Mtge","CPN")</f>
        <v>6</v>
      </c>
      <c r="G2622">
        <f>_xll.BDP("FNDD3828 Mtge","MTG_FACTOR")</f>
        <v>0.85683056999999996</v>
      </c>
      <c r="H2622">
        <f>_xll.BDP("FNDD3828 Mtge","MTG_WAL")</f>
        <v>3.2035</v>
      </c>
      <c r="I2622" t="str">
        <f>_xll.BDP("FNDD3828 Mtge","MTG_ORIG_WAL")</f>
        <v>#N/A N/A</v>
      </c>
    </row>
    <row r="2623" spans="1:9" x14ac:dyDescent="0.25">
      <c r="A2623" t="str">
        <f>_xll.BDP("FNDD3836 Mtge","ID_CUSIP")</f>
        <v>3140B4HN3</v>
      </c>
      <c r="B2623" t="str">
        <f>_xll.BDP("FNDD3836 Mtge","SECURITY_NAME")</f>
        <v>FN DD3836</v>
      </c>
      <c r="C2623" t="str">
        <f>_xll.BDP("FNDD3836 Mtge","GENERIC_TICKER_VINTAGE")</f>
        <v>FNCL 6 2025</v>
      </c>
      <c r="D2623" t="str">
        <f>_xll.BDP("FNDD3836 Mtge","CRNCY")</f>
        <v>USD</v>
      </c>
      <c r="E2623">
        <v>3560535</v>
      </c>
      <c r="F2623">
        <f>_xll.BDP("FNDD3836 Mtge","CPN")</f>
        <v>6</v>
      </c>
      <c r="G2623">
        <f>_xll.BDP("FNDD3836 Mtge","MTG_FACTOR")</f>
        <v>0.84828713</v>
      </c>
      <c r="H2623">
        <f>_xll.BDP("FNDD3836 Mtge","MTG_WAL")</f>
        <v>3.2008999999999999</v>
      </c>
      <c r="I2623" t="str">
        <f>_xll.BDP("FNDD3836 Mtge","MTG_ORIG_WAL")</f>
        <v>#N/A N/A</v>
      </c>
    </row>
    <row r="2624" spans="1:9" x14ac:dyDescent="0.25">
      <c r="A2624" t="str">
        <f>_xll.BDP("FNDD3837 Mtge","ID_CUSIP")</f>
        <v>3140B4HP8</v>
      </c>
      <c r="B2624" t="str">
        <f>_xll.BDP("FNDD3837 Mtge","SECURITY_NAME")</f>
        <v>FN DD3837</v>
      </c>
      <c r="C2624" t="str">
        <f>_xll.BDP("FNDD3837 Mtge","GENERIC_TICKER_VINTAGE")</f>
        <v>FNCL 6 2025</v>
      </c>
      <c r="D2624" t="str">
        <f>_xll.BDP("FNDD3837 Mtge","CRNCY")</f>
        <v>USD</v>
      </c>
      <c r="E2624">
        <v>6095078</v>
      </c>
      <c r="F2624">
        <f>_xll.BDP("FNDD3837 Mtge","CPN")</f>
        <v>6</v>
      </c>
      <c r="G2624">
        <f>_xll.BDP("FNDD3837 Mtge","MTG_FACTOR")</f>
        <v>0.92137201999999996</v>
      </c>
      <c r="H2624">
        <f>_xll.BDP("FNDD3837 Mtge","MTG_WAL")</f>
        <v>3.2018</v>
      </c>
      <c r="I2624" t="str">
        <f>_xll.BDP("FNDD3837 Mtge","MTG_ORIG_WAL")</f>
        <v>#N/A N/A</v>
      </c>
    </row>
    <row r="2625" spans="1:9" x14ac:dyDescent="0.25">
      <c r="A2625" t="str">
        <f>_xll.BDP("FNDD3842 Mtge","ID_CUSIP")</f>
        <v>3140B4HU7</v>
      </c>
      <c r="B2625" t="str">
        <f>_xll.BDP("FNDD3842 Mtge","SECURITY_NAME")</f>
        <v>FN DD3842</v>
      </c>
      <c r="C2625" t="str">
        <f>_xll.BDP("FNDD3842 Mtge","GENERIC_TICKER_VINTAGE")</f>
        <v>FNCL 6 2025</v>
      </c>
      <c r="D2625" t="str">
        <f>_xll.BDP("FNDD3842 Mtge","CRNCY")</f>
        <v>USD</v>
      </c>
      <c r="E2625">
        <v>4717799</v>
      </c>
      <c r="F2625">
        <f>_xll.BDP("FNDD3842 Mtge","CPN")</f>
        <v>6</v>
      </c>
      <c r="G2625">
        <f>_xll.BDP("FNDD3842 Mtge","MTG_FACTOR")</f>
        <v>0.71824193000000003</v>
      </c>
      <c r="H2625">
        <f>_xll.BDP("FNDD3842 Mtge","MTG_WAL")</f>
        <v>3.2046000000000001</v>
      </c>
      <c r="I2625" t="str">
        <f>_xll.BDP("FNDD3842 Mtge","MTG_ORIG_WAL")</f>
        <v>#N/A N/A</v>
      </c>
    </row>
    <row r="2626" spans="1:9" x14ac:dyDescent="0.25">
      <c r="A2626" t="str">
        <f>_xll.BDP("FNDD3850 Mtge","ID_CUSIP")</f>
        <v>3140B4H45</v>
      </c>
      <c r="B2626" t="str">
        <f>_xll.BDP("FNDD3850 Mtge","SECURITY_NAME")</f>
        <v>FN DD3850</v>
      </c>
      <c r="C2626" t="str">
        <f>_xll.BDP("FNDD3850 Mtge","GENERIC_TICKER_VINTAGE")</f>
        <v>FNCL 6 2025</v>
      </c>
      <c r="D2626" t="str">
        <f>_xll.BDP("FNDD3850 Mtge","CRNCY")</f>
        <v>USD</v>
      </c>
      <c r="E2626">
        <v>5018899</v>
      </c>
      <c r="F2626">
        <f>_xll.BDP("FNDD3850 Mtge","CPN")</f>
        <v>6</v>
      </c>
      <c r="G2626">
        <f>_xll.BDP("FNDD3850 Mtge","MTG_FACTOR")</f>
        <v>0.98823989999999995</v>
      </c>
      <c r="H2626">
        <f>_xll.BDP("FNDD3850 Mtge","MTG_WAL")</f>
        <v>3.2042000000000002</v>
      </c>
      <c r="I2626" t="str">
        <f>_xll.BDP("FNDD3850 Mtge","MTG_ORIG_WAL")</f>
        <v>#N/A N/A</v>
      </c>
    </row>
    <row r="2627" spans="1:9" x14ac:dyDescent="0.25">
      <c r="A2627" t="str">
        <f>_xll.BDP("FNDD3857 Mtge","ID_CUSIP")</f>
        <v>3140B4JB7</v>
      </c>
      <c r="B2627" t="str">
        <f>_xll.BDP("FNDD3857 Mtge","SECURITY_NAME")</f>
        <v>FN DD3857</v>
      </c>
      <c r="C2627" t="str">
        <f>_xll.BDP("FNDD3857 Mtge","GENERIC_TICKER_VINTAGE")</f>
        <v>FNCL 6 2025</v>
      </c>
      <c r="D2627" t="str">
        <f>_xll.BDP("FNDD3857 Mtge","CRNCY")</f>
        <v>USD</v>
      </c>
      <c r="E2627">
        <v>8130381</v>
      </c>
      <c r="F2627">
        <f>_xll.BDP("FNDD3857 Mtge","CPN")</f>
        <v>6</v>
      </c>
      <c r="G2627">
        <f>_xll.BDP("FNDD3857 Mtge","MTG_FACTOR")</f>
        <v>0.92282293000000004</v>
      </c>
      <c r="H2627">
        <f>_xll.BDP("FNDD3857 Mtge","MTG_WAL")</f>
        <v>3.1993999999999998</v>
      </c>
      <c r="I2627" t="str">
        <f>_xll.BDP("FNDD3857 Mtge","MTG_ORIG_WAL")</f>
        <v>#N/A N/A</v>
      </c>
    </row>
    <row r="2628" spans="1:9" x14ac:dyDescent="0.25">
      <c r="A2628" t="str">
        <f>_xll.BDP("FNDD3885 Mtge","ID_CUSIP")</f>
        <v>3140B4J76</v>
      </c>
      <c r="B2628" t="str">
        <f>_xll.BDP("FNDD3885 Mtge","SECURITY_NAME")</f>
        <v>FN DD3885</v>
      </c>
      <c r="C2628" t="str">
        <f>_xll.BDP("FNDD3885 Mtge","GENERIC_TICKER_VINTAGE")</f>
        <v>FNCL 6 2025</v>
      </c>
      <c r="D2628" t="str">
        <f>_xll.BDP("FNDD3885 Mtge","CRNCY")</f>
        <v>USD</v>
      </c>
      <c r="E2628">
        <v>987134</v>
      </c>
      <c r="F2628">
        <f>_xll.BDP("FNDD3885 Mtge","CPN")</f>
        <v>5.99</v>
      </c>
      <c r="G2628">
        <f>_xll.BDP("FNDD3885 Mtge","MTG_FACTOR")</f>
        <v>0.98585321999999997</v>
      </c>
      <c r="H2628">
        <f>_xll.BDP("FNDD3885 Mtge","MTG_WAL")</f>
        <v>3.1560999999999999</v>
      </c>
      <c r="I2628" t="str">
        <f>_xll.BDP("FNDD3885 Mtge","MTG_ORIG_WAL")</f>
        <v>#N/A N/A</v>
      </c>
    </row>
    <row r="2629" spans="1:9" x14ac:dyDescent="0.25">
      <c r="A2629" t="str">
        <f>_xll.BDP("FNDD3912 Mtge","ID_CUSIP")</f>
        <v>3140B4K25</v>
      </c>
      <c r="B2629" t="str">
        <f>_xll.BDP("FNDD3912 Mtge","SECURITY_NAME")</f>
        <v>FN DD3912</v>
      </c>
      <c r="C2629" t="str">
        <f>_xll.BDP("FNDD3912 Mtge","GENERIC_TICKER_VINTAGE")</f>
        <v>FNCL 6 2025</v>
      </c>
      <c r="D2629" t="str">
        <f>_xll.BDP("FNDD3912 Mtge","CRNCY")</f>
        <v>USD</v>
      </c>
      <c r="E2629">
        <v>2261426</v>
      </c>
      <c r="F2629">
        <f>_xll.BDP("FNDD3912 Mtge","CPN")</f>
        <v>6</v>
      </c>
      <c r="G2629">
        <f>_xll.BDP("FNDD3912 Mtge","MTG_FACTOR")</f>
        <v>0.98697349999999995</v>
      </c>
      <c r="H2629">
        <f>_xll.BDP("FNDD3912 Mtge","MTG_WAL")</f>
        <v>3.1562000000000001</v>
      </c>
      <c r="I2629" t="str">
        <f>_xll.BDP("FNDD3912 Mtge","MTG_ORIG_WAL")</f>
        <v>#N/A N/A</v>
      </c>
    </row>
    <row r="2630" spans="1:9" x14ac:dyDescent="0.25">
      <c r="A2630" t="str">
        <f>_xll.BDP("FNDD3928 Mtge","ID_CUSIP")</f>
        <v>3140B4LJ7</v>
      </c>
      <c r="B2630" t="str">
        <f>_xll.BDP("FNDD3928 Mtge","SECURITY_NAME")</f>
        <v>FN DD3928</v>
      </c>
      <c r="C2630" t="str">
        <f>_xll.BDP("FNDD3928 Mtge","GENERIC_TICKER_VINTAGE")</f>
        <v>FNCL 6 2025</v>
      </c>
      <c r="D2630" t="str">
        <f>_xll.BDP("FNDD3928 Mtge","CRNCY")</f>
        <v>USD</v>
      </c>
      <c r="E2630">
        <v>2650854</v>
      </c>
      <c r="F2630">
        <f>_xll.BDP("FNDD3928 Mtge","CPN")</f>
        <v>6</v>
      </c>
      <c r="G2630">
        <f>_xll.BDP("FNDD3928 Mtge","MTG_FACTOR")</f>
        <v>0.98765227</v>
      </c>
      <c r="H2630">
        <f>_xll.BDP("FNDD3928 Mtge","MTG_WAL")</f>
        <v>3.1570999999999998</v>
      </c>
      <c r="I2630" t="str">
        <f>_xll.BDP("FNDD3928 Mtge","MTG_ORIG_WAL")</f>
        <v>#N/A N/A</v>
      </c>
    </row>
    <row r="2631" spans="1:9" x14ac:dyDescent="0.25">
      <c r="A2631" t="str">
        <f>_xll.BDP("FNDD3967 Mtge","ID_CUSIP")</f>
        <v>3140B4MR8</v>
      </c>
      <c r="B2631" t="str">
        <f>_xll.BDP("FNDD3967 Mtge","SECURITY_NAME")</f>
        <v>FN DD3967</v>
      </c>
      <c r="C2631" t="str">
        <f>_xll.BDP("FNDD3967 Mtge","GENERIC_TICKER_VINTAGE")</f>
        <v>FNCL 6 2025</v>
      </c>
      <c r="D2631" t="str">
        <f>_xll.BDP("FNDD3967 Mtge","CRNCY")</f>
        <v>USD</v>
      </c>
      <c r="E2631">
        <v>4277469</v>
      </c>
      <c r="F2631">
        <f>_xll.BDP("FNDD3967 Mtge","CPN")</f>
        <v>6</v>
      </c>
      <c r="G2631">
        <f>_xll.BDP("FNDD3967 Mtge","MTG_FACTOR")</f>
        <v>0.98868500999999998</v>
      </c>
      <c r="H2631">
        <f>_xll.BDP("FNDD3967 Mtge","MTG_WAL")</f>
        <v>3.2010000000000001</v>
      </c>
      <c r="I2631" t="str">
        <f>_xll.BDP("FNDD3967 Mtge","MTG_ORIG_WAL")</f>
        <v>#N/A N/A</v>
      </c>
    </row>
    <row r="2632" spans="1:9" x14ac:dyDescent="0.25">
      <c r="A2632" t="str">
        <f>_xll.BDP("FNDD3968 Mtge","ID_CUSIP")</f>
        <v>3140B4MS6</v>
      </c>
      <c r="B2632" t="str">
        <f>_xll.BDP("FNDD3968 Mtge","SECURITY_NAME")</f>
        <v>FN DD3968</v>
      </c>
      <c r="C2632" t="str">
        <f>_xll.BDP("FNDD3968 Mtge","GENERIC_TICKER_VINTAGE")</f>
        <v>FNCL 6 2025</v>
      </c>
      <c r="D2632" t="str">
        <f>_xll.BDP("FNDD3968 Mtge","CRNCY")</f>
        <v>USD</v>
      </c>
      <c r="E2632">
        <v>2423461</v>
      </c>
      <c r="F2632">
        <f>_xll.BDP("FNDD3968 Mtge","CPN")</f>
        <v>6</v>
      </c>
      <c r="G2632">
        <f>_xll.BDP("FNDD3968 Mtge","MTG_FACTOR")</f>
        <v>0.98236946000000003</v>
      </c>
      <c r="H2632">
        <f>_xll.BDP("FNDD3968 Mtge","MTG_WAL")</f>
        <v>3.1964999999999999</v>
      </c>
      <c r="I2632" t="str">
        <f>_xll.BDP("FNDD3968 Mtge","MTG_ORIG_WAL")</f>
        <v>#N/A N/A</v>
      </c>
    </row>
    <row r="2633" spans="1:9" x14ac:dyDescent="0.25">
      <c r="A2633" t="str">
        <f>_xll.BDP("FNDD3979 Mtge","ID_CUSIP")</f>
        <v>3140B4M56</v>
      </c>
      <c r="B2633" t="str">
        <f>_xll.BDP("FNDD3979 Mtge","SECURITY_NAME")</f>
        <v>FN DD3979</v>
      </c>
      <c r="C2633" t="str">
        <f>_xll.BDP("FNDD3979 Mtge","GENERIC_TICKER_VINTAGE")</f>
        <v>FNCL 6 2025</v>
      </c>
      <c r="D2633" t="str">
        <f>_xll.BDP("FNDD3979 Mtge","CRNCY")</f>
        <v>USD</v>
      </c>
      <c r="E2633">
        <v>1660645</v>
      </c>
      <c r="F2633">
        <f>_xll.BDP("FNDD3979 Mtge","CPN")</f>
        <v>6</v>
      </c>
      <c r="G2633">
        <f>_xll.BDP("FNDD3979 Mtge","MTG_FACTOR")</f>
        <v>0.98718658999999997</v>
      </c>
      <c r="H2633">
        <f>_xll.BDP("FNDD3979 Mtge","MTG_WAL")</f>
        <v>3.1976</v>
      </c>
      <c r="I2633" t="str">
        <f>_xll.BDP("FNDD3979 Mtge","MTG_ORIG_WAL")</f>
        <v>#N/A N/A</v>
      </c>
    </row>
    <row r="2634" spans="1:9" x14ac:dyDescent="0.25">
      <c r="A2634" t="str">
        <f>_xll.BDP("FNDD3986 Mtge","ID_CUSIP")</f>
        <v>3140B4NC0</v>
      </c>
      <c r="B2634" t="str">
        <f>_xll.BDP("FNDD3986 Mtge","SECURITY_NAME")</f>
        <v>FN DD3986</v>
      </c>
      <c r="C2634" t="str">
        <f>_xll.BDP("FNDD3986 Mtge","GENERIC_TICKER_VINTAGE")</f>
        <v>FNCL 6 2025</v>
      </c>
      <c r="D2634" t="str">
        <f>_xll.BDP("FNDD3986 Mtge","CRNCY")</f>
        <v>USD</v>
      </c>
      <c r="E2634">
        <v>6749904</v>
      </c>
      <c r="F2634">
        <f>_xll.BDP("FNDD3986 Mtge","CPN")</f>
        <v>6</v>
      </c>
      <c r="G2634">
        <f>_xll.BDP("FNDD3986 Mtge","MTG_FACTOR")</f>
        <v>0.95537234000000004</v>
      </c>
      <c r="H2634">
        <f>_xll.BDP("FNDD3986 Mtge","MTG_WAL")</f>
        <v>3.1996000000000002</v>
      </c>
      <c r="I2634" t="str">
        <f>_xll.BDP("FNDD3986 Mtge","MTG_ORIG_WAL")</f>
        <v>#N/A N/A</v>
      </c>
    </row>
    <row r="2635" spans="1:9" x14ac:dyDescent="0.25">
      <c r="A2635" t="str">
        <f>_xll.BDP("FNDD3991 Mtge","ID_CUSIP")</f>
        <v>3140B4NH9</v>
      </c>
      <c r="B2635" t="str">
        <f>_xll.BDP("FNDD3991 Mtge","SECURITY_NAME")</f>
        <v>FN DD3991</v>
      </c>
      <c r="C2635" t="str">
        <f>_xll.BDP("FNDD3991 Mtge","GENERIC_TICKER_VINTAGE")</f>
        <v>FNCL 6 2025</v>
      </c>
      <c r="D2635" t="str">
        <f>_xll.BDP("FNDD3991 Mtge","CRNCY")</f>
        <v>USD</v>
      </c>
      <c r="E2635">
        <v>4151170</v>
      </c>
      <c r="F2635">
        <f>_xll.BDP("FNDD3991 Mtge","CPN")</f>
        <v>6</v>
      </c>
      <c r="G2635">
        <f>_xll.BDP("FNDD3991 Mtge","MTG_FACTOR")</f>
        <v>0.97721990999999997</v>
      </c>
      <c r="H2635">
        <f>_xll.BDP("FNDD3991 Mtge","MTG_WAL")</f>
        <v>3.19</v>
      </c>
      <c r="I2635" t="str">
        <f>_xll.BDP("FNDD3991 Mtge","MTG_ORIG_WAL")</f>
        <v>#N/A N/A</v>
      </c>
    </row>
    <row r="2636" spans="1:9" x14ac:dyDescent="0.25">
      <c r="A2636" t="str">
        <f>_xll.BDP("FNDD4005 Mtge","ID_CUSIP")</f>
        <v>3140B4NX4</v>
      </c>
      <c r="B2636" t="str">
        <f>_xll.BDP("FNDD4005 Mtge","SECURITY_NAME")</f>
        <v>FN DD4005</v>
      </c>
      <c r="C2636" t="str">
        <f>_xll.BDP("FNDD4005 Mtge","GENERIC_TICKER_VINTAGE")</f>
        <v>FNCL 6 2025</v>
      </c>
      <c r="D2636" t="str">
        <f>_xll.BDP("FNDD4005 Mtge","CRNCY")</f>
        <v>USD</v>
      </c>
      <c r="E2636">
        <v>1119556</v>
      </c>
      <c r="F2636">
        <f>_xll.BDP("FNDD4005 Mtge","CPN")</f>
        <v>6</v>
      </c>
      <c r="G2636">
        <f>_xll.BDP("FNDD4005 Mtge","MTG_FACTOR")</f>
        <v>0.98829794000000004</v>
      </c>
      <c r="H2636">
        <f>_xll.BDP("FNDD4005 Mtge","MTG_WAL")</f>
        <v>3.1640999999999999</v>
      </c>
      <c r="I2636" t="str">
        <f>_xll.BDP("FNDD4005 Mtge","MTG_ORIG_WAL")</f>
        <v>#N/A N/A</v>
      </c>
    </row>
    <row r="2637" spans="1:9" x14ac:dyDescent="0.25">
      <c r="A2637" t="str">
        <f>_xll.BDP("FNDD4032 Mtge","ID_CUSIP")</f>
        <v>3140B4PS3</v>
      </c>
      <c r="B2637" t="str">
        <f>_xll.BDP("FNDD4032 Mtge","SECURITY_NAME")</f>
        <v>FN DD4032</v>
      </c>
      <c r="C2637" t="str">
        <f>_xll.BDP("FNDD4032 Mtge","GENERIC_TICKER_VINTAGE")</f>
        <v>FNCL 6 2025</v>
      </c>
      <c r="D2637" t="str">
        <f>_xll.BDP("FNDD4032 Mtge","CRNCY")</f>
        <v>USD</v>
      </c>
      <c r="E2637">
        <v>7295225</v>
      </c>
      <c r="F2637">
        <f>_xll.BDP("FNDD4032 Mtge","CPN")</f>
        <v>6</v>
      </c>
      <c r="G2637">
        <f>_xll.BDP("FNDD4032 Mtge","MTG_FACTOR")</f>
        <v>0.55787838999999995</v>
      </c>
      <c r="H2637">
        <f>_xll.BDP("FNDD4032 Mtge","MTG_WAL")</f>
        <v>3.1379999999999999</v>
      </c>
      <c r="I2637" t="str">
        <f>_xll.BDP("FNDD4032 Mtge","MTG_ORIG_WAL")</f>
        <v>#N/A N/A</v>
      </c>
    </row>
    <row r="2638" spans="1:9" x14ac:dyDescent="0.25">
      <c r="A2638" t="str">
        <f>_xll.BDP("FNDD4035 Mtge","ID_CUSIP")</f>
        <v>3140B4PV6</v>
      </c>
      <c r="B2638" t="str">
        <f>_xll.BDP("FNDD4035 Mtge","SECURITY_NAME")</f>
        <v>FN DD4035</v>
      </c>
      <c r="C2638" t="str">
        <f>_xll.BDP("FNDD4035 Mtge","GENERIC_TICKER_VINTAGE")</f>
        <v>FNCL 6 2025</v>
      </c>
      <c r="D2638" t="str">
        <f>_xll.BDP("FNDD4035 Mtge","CRNCY")</f>
        <v>USD</v>
      </c>
      <c r="E2638">
        <v>4013689</v>
      </c>
      <c r="F2638">
        <f>_xll.BDP("FNDD4035 Mtge","CPN")</f>
        <v>6</v>
      </c>
      <c r="G2638">
        <f>_xll.BDP("FNDD4035 Mtge","MTG_FACTOR")</f>
        <v>0.96085039000000005</v>
      </c>
      <c r="H2638">
        <f>_xll.BDP("FNDD4035 Mtge","MTG_WAL")</f>
        <v>3.1480999999999999</v>
      </c>
      <c r="I2638" t="str">
        <f>_xll.BDP("FNDD4035 Mtge","MTG_ORIG_WAL")</f>
        <v>#N/A N/A</v>
      </c>
    </row>
    <row r="2639" spans="1:9" x14ac:dyDescent="0.25">
      <c r="A2639" t="str">
        <f>_xll.BDP("FNDD4039 Mtge","ID_CUSIP")</f>
        <v>3140B4PZ7</v>
      </c>
      <c r="B2639" t="str">
        <f>_xll.BDP("FNDD4039 Mtge","SECURITY_NAME")</f>
        <v>FN DD4039</v>
      </c>
      <c r="C2639" t="str">
        <f>_xll.BDP("FNDD4039 Mtge","GENERIC_TICKER_VINTAGE")</f>
        <v>FNCL 6 2025</v>
      </c>
      <c r="D2639" t="str">
        <f>_xll.BDP("FNDD4039 Mtge","CRNCY")</f>
        <v>USD</v>
      </c>
      <c r="E2639">
        <v>2528767</v>
      </c>
      <c r="F2639">
        <f>_xll.BDP("FNDD4039 Mtge","CPN")</f>
        <v>6</v>
      </c>
      <c r="G2639">
        <f>_xll.BDP("FNDD4039 Mtge","MTG_FACTOR")</f>
        <v>0.98991242999999995</v>
      </c>
      <c r="H2639">
        <f>_xll.BDP("FNDD4039 Mtge","MTG_WAL")</f>
        <v>3.1656</v>
      </c>
      <c r="I2639" t="str">
        <f>_xll.BDP("FNDD4039 Mtge","MTG_ORIG_WAL")</f>
        <v>#N/A N/A</v>
      </c>
    </row>
    <row r="2640" spans="1:9" x14ac:dyDescent="0.25">
      <c r="A2640" t="str">
        <f>_xll.BDP("FNDD4042 Mtge","ID_CUSIP")</f>
        <v>3140B4P46</v>
      </c>
      <c r="B2640" t="str">
        <f>_xll.BDP("FNDD4042 Mtge","SECURITY_NAME")</f>
        <v>FN DD4042</v>
      </c>
      <c r="C2640" t="str">
        <f>_xll.BDP("FNDD4042 Mtge","GENERIC_TICKER_VINTAGE")</f>
        <v>FNCL 6 2025</v>
      </c>
      <c r="D2640" t="str">
        <f>_xll.BDP("FNDD4042 Mtge","CRNCY")</f>
        <v>USD</v>
      </c>
      <c r="E2640">
        <v>2190371</v>
      </c>
      <c r="F2640">
        <f>_xll.BDP("FNDD4042 Mtge","CPN")</f>
        <v>6</v>
      </c>
      <c r="G2640">
        <f>_xll.BDP("FNDD4042 Mtge","MTG_FACTOR")</f>
        <v>0.90252904</v>
      </c>
      <c r="H2640">
        <f>_xll.BDP("FNDD4042 Mtge","MTG_WAL")</f>
        <v>3.2008999999999999</v>
      </c>
      <c r="I2640" t="str">
        <f>_xll.BDP("FNDD4042 Mtge","MTG_ORIG_WAL")</f>
        <v>#N/A N/A</v>
      </c>
    </row>
    <row r="2641" spans="1:9" x14ac:dyDescent="0.25">
      <c r="A2641" t="str">
        <f>_xll.BDP("FNDD4045 Mtge","ID_CUSIP")</f>
        <v>3140B4P79</v>
      </c>
      <c r="B2641" t="str">
        <f>_xll.BDP("FNDD4045 Mtge","SECURITY_NAME")</f>
        <v>FN DD4045</v>
      </c>
      <c r="C2641" t="str">
        <f>_xll.BDP("FNDD4045 Mtge","GENERIC_TICKER_VINTAGE")</f>
        <v>FNCL 6 2025</v>
      </c>
      <c r="D2641" t="str">
        <f>_xll.BDP("FNDD4045 Mtge","CRNCY")</f>
        <v>USD</v>
      </c>
      <c r="E2641">
        <v>1087500</v>
      </c>
      <c r="F2641">
        <f>_xll.BDP("FNDD4045 Mtge","CPN")</f>
        <v>6</v>
      </c>
      <c r="G2641">
        <f>_xll.BDP("FNDD4045 Mtge","MTG_FACTOR")</f>
        <v>0.58930413999999998</v>
      </c>
      <c r="H2641">
        <f>_xll.BDP("FNDD4045 Mtge","MTG_WAL")</f>
        <v>3.2052999999999998</v>
      </c>
      <c r="I2641" t="str">
        <f>_xll.BDP("FNDD4045 Mtge","MTG_ORIG_WAL")</f>
        <v>#N/A N/A</v>
      </c>
    </row>
    <row r="2642" spans="1:9" x14ac:dyDescent="0.25">
      <c r="A2642" t="str">
        <f>_xll.BDP("FNDD4054 Mtge","ID_CUSIP")</f>
        <v>3140B4QG8</v>
      </c>
      <c r="B2642" t="str">
        <f>_xll.BDP("FNDD4054 Mtge","SECURITY_NAME")</f>
        <v>FN DD4054</v>
      </c>
      <c r="C2642" t="str">
        <f>_xll.BDP("FNDD4054 Mtge","GENERIC_TICKER_VINTAGE")</f>
        <v>FNCL 6 2025</v>
      </c>
      <c r="D2642" t="str">
        <f>_xll.BDP("FNDD4054 Mtge","CRNCY")</f>
        <v>USD</v>
      </c>
      <c r="E2642">
        <v>3216476</v>
      </c>
      <c r="F2642">
        <f>_xll.BDP("FNDD4054 Mtge","CPN")</f>
        <v>6</v>
      </c>
      <c r="G2642">
        <f>_xll.BDP("FNDD4054 Mtge","MTG_FACTOR")</f>
        <v>0.85001152000000002</v>
      </c>
      <c r="H2642">
        <f>_xll.BDP("FNDD4054 Mtge","MTG_WAL")</f>
        <v>3.1572</v>
      </c>
      <c r="I2642" t="str">
        <f>_xll.BDP("FNDD4054 Mtge","MTG_ORIG_WAL")</f>
        <v>#N/A N/A</v>
      </c>
    </row>
    <row r="2643" spans="1:9" x14ac:dyDescent="0.25">
      <c r="A2643" t="str">
        <f>_xll.BDP("FNDD4068 Mtge","ID_CUSIP")</f>
        <v>3140B4QW3</v>
      </c>
      <c r="B2643" t="str">
        <f>_xll.BDP("FNDD4068 Mtge","SECURITY_NAME")</f>
        <v>FN DD4068</v>
      </c>
      <c r="C2643" t="str">
        <f>_xll.BDP("FNDD4068 Mtge","GENERIC_TICKER_VINTAGE")</f>
        <v>FNCL 6 2025</v>
      </c>
      <c r="D2643" t="str">
        <f>_xll.BDP("FNDD4068 Mtge","CRNCY")</f>
        <v>USD</v>
      </c>
      <c r="E2643">
        <v>2520855</v>
      </c>
      <c r="F2643">
        <f>_xll.BDP("FNDD4068 Mtge","CPN")</f>
        <v>6</v>
      </c>
      <c r="G2643">
        <f>_xll.BDP("FNDD4068 Mtge","MTG_FACTOR")</f>
        <v>0.95870789999999995</v>
      </c>
      <c r="H2643">
        <f>_xll.BDP("FNDD4068 Mtge","MTG_WAL")</f>
        <v>3.1898</v>
      </c>
      <c r="I2643" t="str">
        <f>_xll.BDP("FNDD4068 Mtge","MTG_ORIG_WAL")</f>
        <v>#N/A N/A</v>
      </c>
    </row>
    <row r="2644" spans="1:9" x14ac:dyDescent="0.25">
      <c r="A2644" t="str">
        <f>_xll.BDP("FNDD4070 Mtge","ID_CUSIP")</f>
        <v>3140B4QY9</v>
      </c>
      <c r="B2644" t="str">
        <f>_xll.BDP("FNDD4070 Mtge","SECURITY_NAME")</f>
        <v>FN DD4070</v>
      </c>
      <c r="C2644" t="str">
        <f>_xll.BDP("FNDD4070 Mtge","GENERIC_TICKER_VINTAGE")</f>
        <v>FNCL 6 2025</v>
      </c>
      <c r="D2644" t="str">
        <f>_xll.BDP("FNDD4070 Mtge","CRNCY")</f>
        <v>USD</v>
      </c>
      <c r="E2644">
        <v>3189381</v>
      </c>
      <c r="F2644">
        <f>_xll.BDP("FNDD4070 Mtge","CPN")</f>
        <v>6</v>
      </c>
      <c r="G2644">
        <f>_xll.BDP("FNDD4070 Mtge","MTG_FACTOR")</f>
        <v>0.97931961000000001</v>
      </c>
      <c r="H2644">
        <f>_xll.BDP("FNDD4070 Mtge","MTG_WAL")</f>
        <v>3.1941000000000002</v>
      </c>
      <c r="I2644" t="str">
        <f>_xll.BDP("FNDD4070 Mtge","MTG_ORIG_WAL")</f>
        <v>#N/A N/A</v>
      </c>
    </row>
    <row r="2645" spans="1:9" x14ac:dyDescent="0.25">
      <c r="A2645" t="str">
        <f>_xll.BDP("FNDD4074 Mtge","ID_CUSIP")</f>
        <v>3140B4Q45</v>
      </c>
      <c r="B2645" t="str">
        <f>_xll.BDP("FNDD4074 Mtge","SECURITY_NAME")</f>
        <v>FN DD4074</v>
      </c>
      <c r="C2645" t="str">
        <f>_xll.BDP("FNDD4074 Mtge","GENERIC_TICKER_VINTAGE")</f>
        <v>FNCL 6 2025</v>
      </c>
      <c r="D2645" t="str">
        <f>_xll.BDP("FNDD4074 Mtge","CRNCY")</f>
        <v>USD</v>
      </c>
      <c r="E2645">
        <v>5570792</v>
      </c>
      <c r="F2645">
        <f>_xll.BDP("FNDD4074 Mtge","CPN")</f>
        <v>6</v>
      </c>
      <c r="G2645">
        <f>_xll.BDP("FNDD4074 Mtge","MTG_FACTOR")</f>
        <v>0.97273693000000006</v>
      </c>
      <c r="H2645">
        <f>_xll.BDP("FNDD4074 Mtge","MTG_WAL")</f>
        <v>3.1943000000000001</v>
      </c>
      <c r="I2645" t="str">
        <f>_xll.BDP("FNDD4074 Mtge","MTG_ORIG_WAL")</f>
        <v>#N/A N/A</v>
      </c>
    </row>
    <row r="2646" spans="1:9" x14ac:dyDescent="0.25">
      <c r="A2646" t="str">
        <f>_xll.BDP("FNDD4077 Mtge","ID_CUSIP")</f>
        <v>3140B4Q78</v>
      </c>
      <c r="B2646" t="str">
        <f>_xll.BDP("FNDD4077 Mtge","SECURITY_NAME")</f>
        <v>FN DD4077</v>
      </c>
      <c r="C2646" t="str">
        <f>_xll.BDP("FNDD4077 Mtge","GENERIC_TICKER_VINTAGE")</f>
        <v>FNCL 6 2025</v>
      </c>
      <c r="D2646" t="str">
        <f>_xll.BDP("FNDD4077 Mtge","CRNCY")</f>
        <v>USD</v>
      </c>
      <c r="E2646">
        <v>1185534</v>
      </c>
      <c r="F2646">
        <f>_xll.BDP("FNDD4077 Mtge","CPN")</f>
        <v>6</v>
      </c>
      <c r="G2646">
        <f>_xll.BDP("FNDD4077 Mtge","MTG_FACTOR")</f>
        <v>0.64660530000000005</v>
      </c>
      <c r="H2646">
        <f>_xll.BDP("FNDD4077 Mtge","MTG_WAL")</f>
        <v>3.2084999999999999</v>
      </c>
      <c r="I2646" t="str">
        <f>_xll.BDP("FNDD4077 Mtge","MTG_ORIG_WAL")</f>
        <v>#N/A N/A</v>
      </c>
    </row>
    <row r="2647" spans="1:9" x14ac:dyDescent="0.25">
      <c r="A2647" t="str">
        <f>_xll.BDP("FNDD4082 Mtge","ID_CUSIP")</f>
        <v>3140B4RC6</v>
      </c>
      <c r="B2647" t="str">
        <f>_xll.BDP("FNDD4082 Mtge","SECURITY_NAME")</f>
        <v>FN DD4082</v>
      </c>
      <c r="C2647" t="str">
        <f>_xll.BDP("FNDD4082 Mtge","GENERIC_TICKER_VINTAGE")</f>
        <v>FNCL 6 2025</v>
      </c>
      <c r="D2647" t="str">
        <f>_xll.BDP("FNDD4082 Mtge","CRNCY")</f>
        <v>USD</v>
      </c>
      <c r="E2647">
        <v>11363451</v>
      </c>
      <c r="F2647">
        <f>_xll.BDP("FNDD4082 Mtge","CPN")</f>
        <v>6</v>
      </c>
      <c r="G2647">
        <f>_xll.BDP("FNDD4082 Mtge","MTG_FACTOR")</f>
        <v>0.69279124000000003</v>
      </c>
      <c r="H2647">
        <f>_xll.BDP("FNDD4082 Mtge","MTG_WAL")</f>
        <v>3.2063999999999999</v>
      </c>
      <c r="I2647" t="str">
        <f>_xll.BDP("FNDD4082 Mtge","MTG_ORIG_WAL")</f>
        <v>#N/A N/A</v>
      </c>
    </row>
    <row r="2648" spans="1:9" x14ac:dyDescent="0.25">
      <c r="A2648" t="str">
        <f>_xll.BDP("FNDD4087 Mtge","ID_CUSIP")</f>
        <v>3140B4RH5</v>
      </c>
      <c r="B2648" t="str">
        <f>_xll.BDP("FNDD4087 Mtge","SECURITY_NAME")</f>
        <v>FN DD4087</v>
      </c>
      <c r="C2648" t="str">
        <f>_xll.BDP("FNDD4087 Mtge","GENERIC_TICKER_VINTAGE")</f>
        <v>FNCL 6 2025</v>
      </c>
      <c r="D2648" t="str">
        <f>_xll.BDP("FNDD4087 Mtge","CRNCY")</f>
        <v>USD</v>
      </c>
      <c r="E2648">
        <v>1240507</v>
      </c>
      <c r="F2648">
        <f>_xll.BDP("FNDD4087 Mtge","CPN")</f>
        <v>6</v>
      </c>
      <c r="G2648">
        <f>_xll.BDP("FNDD4087 Mtge","MTG_FACTOR")</f>
        <v>0.99087654000000003</v>
      </c>
      <c r="H2648">
        <f>_xll.BDP("FNDD4087 Mtge","MTG_WAL")</f>
        <v>3.2084999999999999</v>
      </c>
      <c r="I2648" t="str">
        <f>_xll.BDP("FNDD4087 Mtge","MTG_ORIG_WAL")</f>
        <v>#N/A N/A</v>
      </c>
    </row>
    <row r="2649" spans="1:9" x14ac:dyDescent="0.25">
      <c r="A2649" t="str">
        <f>_xll.BDP("FNDD4090 Mtge","ID_CUSIP")</f>
        <v>3140B4RL6</v>
      </c>
      <c r="B2649" t="str">
        <f>_xll.BDP("FNDD4090 Mtge","SECURITY_NAME")</f>
        <v>FN DD4090</v>
      </c>
      <c r="C2649" t="str">
        <f>_xll.BDP("FNDD4090 Mtge","GENERIC_TICKER_VINTAGE")</f>
        <v>FNCL 6 2025</v>
      </c>
      <c r="D2649" t="str">
        <f>_xll.BDP("FNDD4090 Mtge","CRNCY")</f>
        <v>USD</v>
      </c>
      <c r="E2649">
        <v>1513751</v>
      </c>
      <c r="F2649">
        <f>_xll.BDP("FNDD4090 Mtge","CPN")</f>
        <v>6</v>
      </c>
      <c r="G2649">
        <f>_xll.BDP("FNDD4090 Mtge","MTG_FACTOR")</f>
        <v>0.98179046999999997</v>
      </c>
      <c r="H2649">
        <f>_xll.BDP("FNDD4090 Mtge","MTG_WAL")</f>
        <v>3.1964999999999999</v>
      </c>
      <c r="I2649" t="str">
        <f>_xll.BDP("FNDD4090 Mtge","MTG_ORIG_WAL")</f>
        <v>#N/A N/A</v>
      </c>
    </row>
    <row r="2650" spans="1:9" x14ac:dyDescent="0.25">
      <c r="A2650" t="str">
        <f>_xll.BDP("FNDD4092 Mtge","ID_CUSIP")</f>
        <v>3140B4RN2</v>
      </c>
      <c r="B2650" t="str">
        <f>_xll.BDP("FNDD4092 Mtge","SECURITY_NAME")</f>
        <v>FN DD4092</v>
      </c>
      <c r="C2650" t="str">
        <f>_xll.BDP("FNDD4092 Mtge","GENERIC_TICKER_VINTAGE")</f>
        <v>FNCL 6 2025</v>
      </c>
      <c r="D2650" t="str">
        <f>_xll.BDP("FNDD4092 Mtge","CRNCY")</f>
        <v>USD</v>
      </c>
      <c r="E2650">
        <v>2849963</v>
      </c>
      <c r="F2650">
        <f>_xll.BDP("FNDD4092 Mtge","CPN")</f>
        <v>6</v>
      </c>
      <c r="G2650">
        <f>_xll.BDP("FNDD4092 Mtge","MTG_FACTOR")</f>
        <v>0.98765338999999996</v>
      </c>
      <c r="H2650">
        <f>_xll.BDP("FNDD4092 Mtge","MTG_WAL")</f>
        <v>3.2031000000000001</v>
      </c>
      <c r="I2650" t="str">
        <f>_xll.BDP("FNDD4092 Mtge","MTG_ORIG_WAL")</f>
        <v>#N/A N/A</v>
      </c>
    </row>
    <row r="2651" spans="1:9" x14ac:dyDescent="0.25">
      <c r="A2651" t="str">
        <f>_xll.BDP("FNDD4099 Mtge","ID_CUSIP")</f>
        <v>3140B4RV4</v>
      </c>
      <c r="B2651" t="str">
        <f>_xll.BDP("FNDD4099 Mtge","SECURITY_NAME")</f>
        <v>FN DD4099</v>
      </c>
      <c r="C2651" t="str">
        <f>_xll.BDP("FNDD4099 Mtge","GENERIC_TICKER_VINTAGE")</f>
        <v>FNCL 6 2025</v>
      </c>
      <c r="D2651" t="str">
        <f>_xll.BDP("FNDD4099 Mtge","CRNCY")</f>
        <v>USD</v>
      </c>
      <c r="E2651">
        <v>1112445</v>
      </c>
      <c r="F2651">
        <f>_xll.BDP("FNDD4099 Mtge","CPN")</f>
        <v>6</v>
      </c>
      <c r="G2651">
        <f>_xll.BDP("FNDD4099 Mtge","MTG_FACTOR")</f>
        <v>0.96466436</v>
      </c>
      <c r="H2651">
        <f>_xll.BDP("FNDD4099 Mtge","MTG_WAL")</f>
        <v>3.1823999999999999</v>
      </c>
      <c r="I2651" t="str">
        <f>_xll.BDP("FNDD4099 Mtge","MTG_ORIG_WAL")</f>
        <v>#N/A N/A</v>
      </c>
    </row>
    <row r="2652" spans="1:9" x14ac:dyDescent="0.25">
      <c r="A2652" t="str">
        <f>_xll.BDP("FNDD4100 Mtge","ID_CUSIP")</f>
        <v>3140B4RW2</v>
      </c>
      <c r="B2652" t="str">
        <f>_xll.BDP("FNDD4100 Mtge","SECURITY_NAME")</f>
        <v>FN DD4100</v>
      </c>
      <c r="C2652" t="str">
        <f>_xll.BDP("FNDD4100 Mtge","GENERIC_TICKER_VINTAGE")</f>
        <v>FNCL 6 2025</v>
      </c>
      <c r="D2652" t="str">
        <f>_xll.BDP("FNDD4100 Mtge","CRNCY")</f>
        <v>USD</v>
      </c>
      <c r="E2652">
        <v>1145500</v>
      </c>
      <c r="F2652">
        <f>_xll.BDP("FNDD4100 Mtge","CPN")</f>
        <v>6</v>
      </c>
      <c r="G2652">
        <f>_xll.BDP("FNDD4100 Mtge","MTG_FACTOR")</f>
        <v>0.98953131000000005</v>
      </c>
      <c r="H2652">
        <f>_xll.BDP("FNDD4100 Mtge","MTG_WAL")</f>
        <v>3.2040000000000002</v>
      </c>
      <c r="I2652" t="str">
        <f>_xll.BDP("FNDD4100 Mtge","MTG_ORIG_WAL")</f>
        <v>#N/A N/A</v>
      </c>
    </row>
    <row r="2653" spans="1:9" x14ac:dyDescent="0.25">
      <c r="A2653" t="str">
        <f>_xll.BDP("FNDD4109 Mtge","ID_CUSIP")</f>
        <v>3140B4R77</v>
      </c>
      <c r="B2653" t="str">
        <f>_xll.BDP("FNDD4109 Mtge","SECURITY_NAME")</f>
        <v>FN DD4109</v>
      </c>
      <c r="C2653" t="str">
        <f>_xll.BDP("FNDD4109 Mtge","GENERIC_TICKER_VINTAGE")</f>
        <v>FNCL 6 2025</v>
      </c>
      <c r="D2653" t="str">
        <f>_xll.BDP("FNDD4109 Mtge","CRNCY")</f>
        <v>USD</v>
      </c>
      <c r="E2653">
        <v>6439844</v>
      </c>
      <c r="F2653">
        <f>_xll.BDP("FNDD4109 Mtge","CPN")</f>
        <v>5.875</v>
      </c>
      <c r="G2653">
        <f>_xll.BDP("FNDD4109 Mtge","MTG_FACTOR")</f>
        <v>0.96815929000000001</v>
      </c>
      <c r="H2653">
        <f>_xll.BDP("FNDD4109 Mtge","MTG_WAL")</f>
        <v>3.1555</v>
      </c>
      <c r="I2653" t="str">
        <f>_xll.BDP("FNDD4109 Mtge","MTG_ORIG_WAL")</f>
        <v>#N/A N/A</v>
      </c>
    </row>
    <row r="2654" spans="1:9" x14ac:dyDescent="0.25">
      <c r="A2654" t="str">
        <f>_xll.BDP("FNDD4110 Mtge","ID_CUSIP")</f>
        <v>3140B4R85</v>
      </c>
      <c r="B2654" t="str">
        <f>_xll.BDP("FNDD4110 Mtge","SECURITY_NAME")</f>
        <v>FN DD4110</v>
      </c>
      <c r="C2654" t="str">
        <f>_xll.BDP("FNDD4110 Mtge","GENERIC_TICKER_VINTAGE")</f>
        <v>FNCL 6 2025</v>
      </c>
      <c r="D2654" t="str">
        <f>_xll.BDP("FNDD4110 Mtge","CRNCY")</f>
        <v>USD</v>
      </c>
      <c r="E2654">
        <v>4737488</v>
      </c>
      <c r="F2654">
        <f>_xll.BDP("FNDD4110 Mtge","CPN")</f>
        <v>6</v>
      </c>
      <c r="G2654">
        <f>_xll.BDP("FNDD4110 Mtge","MTG_FACTOR")</f>
        <v>0.98247077000000005</v>
      </c>
      <c r="H2654">
        <f>_xll.BDP("FNDD4110 Mtge","MTG_WAL")</f>
        <v>3.1536</v>
      </c>
      <c r="I2654" t="str">
        <f>_xll.BDP("FNDD4110 Mtge","MTG_ORIG_WAL")</f>
        <v>#N/A N/A</v>
      </c>
    </row>
    <row r="2655" spans="1:9" x14ac:dyDescent="0.25">
      <c r="A2655" t="str">
        <f>_xll.BDP("FNDD4115 Mtge","ID_CUSIP")</f>
        <v>3140B4SD3</v>
      </c>
      <c r="B2655" t="str">
        <f>_xll.BDP("FNDD4115 Mtge","SECURITY_NAME")</f>
        <v>FN DD4115</v>
      </c>
      <c r="C2655" t="str">
        <f>_xll.BDP("FNDD4115 Mtge","GENERIC_TICKER_VINTAGE")</f>
        <v>FNCL 6 2025</v>
      </c>
      <c r="D2655" t="str">
        <f>_xll.BDP("FNDD4115 Mtge","CRNCY")</f>
        <v>USD</v>
      </c>
      <c r="E2655">
        <v>4670281</v>
      </c>
      <c r="F2655">
        <f>_xll.BDP("FNDD4115 Mtge","CPN")</f>
        <v>6</v>
      </c>
      <c r="G2655">
        <f>_xll.BDP("FNDD4115 Mtge","MTG_FACTOR")</f>
        <v>0.93457676000000001</v>
      </c>
      <c r="H2655">
        <f>_xll.BDP("FNDD4115 Mtge","MTG_WAL")</f>
        <v>3.1634000000000002</v>
      </c>
      <c r="I2655" t="str">
        <f>_xll.BDP("FNDD4115 Mtge","MTG_ORIG_WAL")</f>
        <v>#N/A N/A</v>
      </c>
    </row>
    <row r="2656" spans="1:9" x14ac:dyDescent="0.25">
      <c r="A2656" t="str">
        <f>_xll.BDP("FNDD4116 Mtge","ID_CUSIP")</f>
        <v>3140B4SE1</v>
      </c>
      <c r="B2656" t="str">
        <f>_xll.BDP("FNDD4116 Mtge","SECURITY_NAME")</f>
        <v>FN DD4116</v>
      </c>
      <c r="C2656" t="str">
        <f>_xll.BDP("FNDD4116 Mtge","GENERIC_TICKER_VINTAGE")</f>
        <v>FNCL 6 2025</v>
      </c>
      <c r="D2656" t="str">
        <f>_xll.BDP("FNDD4116 Mtge","CRNCY")</f>
        <v>USD</v>
      </c>
      <c r="E2656">
        <v>4678391</v>
      </c>
      <c r="F2656">
        <f>_xll.BDP("FNDD4116 Mtge","CPN")</f>
        <v>6</v>
      </c>
      <c r="G2656">
        <f>_xll.BDP("FNDD4116 Mtge","MTG_FACTOR")</f>
        <v>0.98875782000000001</v>
      </c>
      <c r="H2656">
        <f>_xll.BDP("FNDD4116 Mtge","MTG_WAL")</f>
        <v>3.2039</v>
      </c>
      <c r="I2656" t="str">
        <f>_xll.BDP("FNDD4116 Mtge","MTG_ORIG_WAL")</f>
        <v>#N/A N/A</v>
      </c>
    </row>
    <row r="2657" spans="1:9" x14ac:dyDescent="0.25">
      <c r="A2657" t="str">
        <f>_xll.BDP("FNDD4134 Mtge","ID_CUSIP")</f>
        <v>3140B4SY7</v>
      </c>
      <c r="B2657" t="str">
        <f>_xll.BDP("FNDD4134 Mtge","SECURITY_NAME")</f>
        <v>FN DD4134</v>
      </c>
      <c r="C2657" t="str">
        <f>_xll.BDP("FNDD4134 Mtge","GENERIC_TICKER_VINTAGE")</f>
        <v>FNCL 6 2025</v>
      </c>
      <c r="D2657" t="str">
        <f>_xll.BDP("FNDD4134 Mtge","CRNCY")</f>
        <v>USD</v>
      </c>
      <c r="E2657">
        <v>9230554</v>
      </c>
      <c r="F2657">
        <f>_xll.BDP("FNDD4134 Mtge","CPN")</f>
        <v>6</v>
      </c>
      <c r="G2657">
        <f>_xll.BDP("FNDD4134 Mtge","MTG_FACTOR")</f>
        <v>0.84763182000000004</v>
      </c>
      <c r="H2657">
        <f>_xll.BDP("FNDD4134 Mtge","MTG_WAL")</f>
        <v>3.2031999999999998</v>
      </c>
      <c r="I2657" t="str">
        <f>_xll.BDP("FNDD4134 Mtge","MTG_ORIG_WAL")</f>
        <v>#N/A N/A</v>
      </c>
    </row>
    <row r="2658" spans="1:9" x14ac:dyDescent="0.25">
      <c r="A2658" t="str">
        <f>_xll.BDP("FNDD4135 Mtge","ID_CUSIP")</f>
        <v>3140B4SZ4</v>
      </c>
      <c r="B2658" t="str">
        <f>_xll.BDP("FNDD4135 Mtge","SECURITY_NAME")</f>
        <v>FN DD4135</v>
      </c>
      <c r="C2658" t="str">
        <f>_xll.BDP("FNDD4135 Mtge","GENERIC_TICKER_VINTAGE")</f>
        <v>FNCL 6 2025</v>
      </c>
      <c r="D2658" t="str">
        <f>_xll.BDP("FNDD4135 Mtge","CRNCY")</f>
        <v>USD</v>
      </c>
      <c r="E2658">
        <v>5360471</v>
      </c>
      <c r="F2658">
        <f>_xll.BDP("FNDD4135 Mtge","CPN")</f>
        <v>6</v>
      </c>
      <c r="G2658">
        <f>_xll.BDP("FNDD4135 Mtge","MTG_FACTOR")</f>
        <v>0.74365658000000001</v>
      </c>
      <c r="H2658">
        <f>_xll.BDP("FNDD4135 Mtge","MTG_WAL")</f>
        <v>3.1781000000000001</v>
      </c>
      <c r="I2658" t="str">
        <f>_xll.BDP("FNDD4135 Mtge","MTG_ORIG_WAL")</f>
        <v>#N/A N/A</v>
      </c>
    </row>
    <row r="2659" spans="1:9" x14ac:dyDescent="0.25">
      <c r="A2659" t="str">
        <f>_xll.BDP("FNDD4145 Mtge","ID_CUSIP")</f>
        <v>3140B4TB6</v>
      </c>
      <c r="B2659" t="str">
        <f>_xll.BDP("FNDD4145 Mtge","SECURITY_NAME")</f>
        <v>FN DD4145</v>
      </c>
      <c r="C2659" t="str">
        <f>_xll.BDP("FNDD4145 Mtge","GENERIC_TICKER_VINTAGE")</f>
        <v>FNCL 6 2025</v>
      </c>
      <c r="D2659" t="str">
        <f>_xll.BDP("FNDD4145 Mtge","CRNCY")</f>
        <v>USD</v>
      </c>
      <c r="E2659">
        <v>6521459</v>
      </c>
      <c r="F2659">
        <f>_xll.BDP("FNDD4145 Mtge","CPN")</f>
        <v>6</v>
      </c>
      <c r="G2659">
        <f>_xll.BDP("FNDD4145 Mtge","MTG_FACTOR")</f>
        <v>0.68744726</v>
      </c>
      <c r="H2659">
        <f>_xll.BDP("FNDD4145 Mtge","MTG_WAL")</f>
        <v>3.2025999999999999</v>
      </c>
      <c r="I2659" t="str">
        <f>_xll.BDP("FNDD4145 Mtge","MTG_ORIG_WAL")</f>
        <v>#N/A N/A</v>
      </c>
    </row>
    <row r="2660" spans="1:9" x14ac:dyDescent="0.25">
      <c r="A2660" t="str">
        <f>_xll.BDP("FNDD4163 Mtge","ID_CUSIP")</f>
        <v>3140B4TV2</v>
      </c>
      <c r="B2660" t="str">
        <f>_xll.BDP("FNDD4163 Mtge","SECURITY_NAME")</f>
        <v>FN DD4163</v>
      </c>
      <c r="C2660" t="str">
        <f>_xll.BDP("FNDD4163 Mtge","GENERIC_TICKER_VINTAGE")</f>
        <v>FNCL 6 2025</v>
      </c>
      <c r="D2660" t="str">
        <f>_xll.BDP("FNDD4163 Mtge","CRNCY")</f>
        <v>USD</v>
      </c>
      <c r="E2660">
        <v>11628358</v>
      </c>
      <c r="F2660">
        <f>_xll.BDP("FNDD4163 Mtge","CPN")</f>
        <v>6</v>
      </c>
      <c r="G2660">
        <f>_xll.BDP("FNDD4163 Mtge","MTG_FACTOR")</f>
        <v>0.86904150999999996</v>
      </c>
      <c r="H2660">
        <f>_xll.BDP("FNDD4163 Mtge","MTG_WAL")</f>
        <v>3.2442000000000002</v>
      </c>
      <c r="I2660" t="str">
        <f>_xll.BDP("FNDD4163 Mtge","MTG_ORIG_WAL")</f>
        <v>#N/A N/A</v>
      </c>
    </row>
    <row r="2661" spans="1:9" x14ac:dyDescent="0.25">
      <c r="A2661" t="str">
        <f>_xll.BDP("FNDD4166 Mtge","ID_CUSIP")</f>
        <v>3140B4TY6</v>
      </c>
      <c r="B2661" t="str">
        <f>_xll.BDP("FNDD4166 Mtge","SECURITY_NAME")</f>
        <v>FN DD4166</v>
      </c>
      <c r="C2661" t="str">
        <f>_xll.BDP("FNDD4166 Mtge","GENERIC_TICKER_VINTAGE")</f>
        <v>FNCL 6 2025</v>
      </c>
      <c r="D2661" t="str">
        <f>_xll.BDP("FNDD4166 Mtge","CRNCY")</f>
        <v>USD</v>
      </c>
      <c r="E2661">
        <v>5991945</v>
      </c>
      <c r="F2661">
        <f>_xll.BDP("FNDD4166 Mtge","CPN")</f>
        <v>6</v>
      </c>
      <c r="G2661">
        <f>_xll.BDP("FNDD4166 Mtge","MTG_FACTOR")</f>
        <v>0.76336937999999999</v>
      </c>
      <c r="H2661">
        <f>_xll.BDP("FNDD4166 Mtge","MTG_WAL")</f>
        <v>3.2477999999999998</v>
      </c>
      <c r="I2661" t="str">
        <f>_xll.BDP("FNDD4166 Mtge","MTG_ORIG_WAL")</f>
        <v>#N/A N/A</v>
      </c>
    </row>
    <row r="2662" spans="1:9" x14ac:dyDescent="0.25">
      <c r="A2662" t="str">
        <f>_xll.BDP("FNDD4178 Mtge","ID_CUSIP")</f>
        <v>3140B4UC2</v>
      </c>
      <c r="B2662" t="str">
        <f>_xll.BDP("FNDD4178 Mtge","SECURITY_NAME")</f>
        <v>FN DD4178</v>
      </c>
      <c r="C2662" t="str">
        <f>_xll.BDP("FNDD4178 Mtge","GENERIC_TICKER_VINTAGE")</f>
        <v>FNCL 6 2025</v>
      </c>
      <c r="D2662" t="str">
        <f>_xll.BDP("FNDD4178 Mtge","CRNCY")</f>
        <v>USD</v>
      </c>
      <c r="E2662">
        <v>2981861</v>
      </c>
      <c r="F2662">
        <f>_xll.BDP("FNDD4178 Mtge","CPN")</f>
        <v>6</v>
      </c>
      <c r="G2662">
        <f>_xll.BDP("FNDD4178 Mtge","MTG_FACTOR")</f>
        <v>0.91720016999999998</v>
      </c>
      <c r="H2662">
        <f>_xll.BDP("FNDD4178 Mtge","MTG_WAL")</f>
        <v>3.2444999999999999</v>
      </c>
      <c r="I2662" t="str">
        <f>_xll.BDP("FNDD4178 Mtge","MTG_ORIG_WAL")</f>
        <v>#N/A N/A</v>
      </c>
    </row>
    <row r="2663" spans="1:9" x14ac:dyDescent="0.25">
      <c r="A2663" t="str">
        <f>_xll.BDP("FNDD4179 Mtge","ID_CUSIP")</f>
        <v>3140B4UD0</v>
      </c>
      <c r="B2663" t="str">
        <f>_xll.BDP("FNDD4179 Mtge","SECURITY_NAME")</f>
        <v>FN DD4179</v>
      </c>
      <c r="C2663" t="str">
        <f>_xll.BDP("FNDD4179 Mtge","GENERIC_TICKER_VINTAGE")</f>
        <v>FNCL 6 2025</v>
      </c>
      <c r="D2663" t="str">
        <f>_xll.BDP("FNDD4179 Mtge","CRNCY")</f>
        <v>USD</v>
      </c>
      <c r="E2663">
        <v>2556708</v>
      </c>
      <c r="F2663">
        <f>_xll.BDP("FNDD4179 Mtge","CPN")</f>
        <v>6</v>
      </c>
      <c r="G2663">
        <f>_xll.BDP("FNDD4179 Mtge","MTG_FACTOR")</f>
        <v>0.80683353000000002</v>
      </c>
      <c r="H2663">
        <f>_xll.BDP("FNDD4179 Mtge","MTG_WAL")</f>
        <v>3.2473000000000001</v>
      </c>
      <c r="I2663" t="str">
        <f>_xll.BDP("FNDD4179 Mtge","MTG_ORIG_WAL")</f>
        <v>#N/A N/A</v>
      </c>
    </row>
    <row r="2664" spans="1:9" x14ac:dyDescent="0.25">
      <c r="A2664" t="str">
        <f>_xll.BDP("FNDD4183 Mtge","ID_CUSIP")</f>
        <v>3140B4UH1</v>
      </c>
      <c r="B2664" t="str">
        <f>_xll.BDP("FNDD4183 Mtge","SECURITY_NAME")</f>
        <v>FN DD4183</v>
      </c>
      <c r="C2664" t="str">
        <f>_xll.BDP("FNDD4183 Mtge","GENERIC_TICKER_VINTAGE")</f>
        <v>FNCL 6 2025</v>
      </c>
      <c r="D2664" t="str">
        <f>_xll.BDP("FNDD4183 Mtge","CRNCY")</f>
        <v>USD</v>
      </c>
      <c r="E2664">
        <v>1001504</v>
      </c>
      <c r="F2664">
        <f>_xll.BDP("FNDD4183 Mtge","CPN")</f>
        <v>6</v>
      </c>
      <c r="G2664">
        <f>_xll.BDP("FNDD4183 Mtge","MTG_FACTOR")</f>
        <v>0.73251566000000001</v>
      </c>
      <c r="H2664">
        <f>_xll.BDP("FNDD4183 Mtge","MTG_WAL")</f>
        <v>3.2473999999999998</v>
      </c>
      <c r="I2664" t="str">
        <f>_xll.BDP("FNDD4183 Mtge","MTG_ORIG_WAL")</f>
        <v>#N/A N/A</v>
      </c>
    </row>
    <row r="2665" spans="1:9" x14ac:dyDescent="0.25">
      <c r="A2665" t="str">
        <f>_xll.BDP("FNDD4188 Mtge","ID_CUSIP")</f>
        <v>3140B4UN8</v>
      </c>
      <c r="B2665" t="str">
        <f>_xll.BDP("FNDD4188 Mtge","SECURITY_NAME")</f>
        <v>FN DD4188</v>
      </c>
      <c r="C2665" t="str">
        <f>_xll.BDP("FNDD4188 Mtge","GENERIC_TICKER_VINTAGE")</f>
        <v>FNCL 6 2025</v>
      </c>
      <c r="D2665" t="str">
        <f>_xll.BDP("FNDD4188 Mtge","CRNCY")</f>
        <v>USD</v>
      </c>
      <c r="E2665">
        <v>1664875</v>
      </c>
      <c r="F2665">
        <f>_xll.BDP("FNDD4188 Mtge","CPN")</f>
        <v>6</v>
      </c>
      <c r="G2665">
        <f>_xll.BDP("FNDD4188 Mtge","MTG_FACTOR")</f>
        <v>0.98289884999999999</v>
      </c>
      <c r="H2665">
        <f>_xll.BDP("FNDD4188 Mtge","MTG_WAL")</f>
        <v>3.1999</v>
      </c>
      <c r="I2665" t="str">
        <f>_xll.BDP("FNDD4188 Mtge","MTG_ORIG_WAL")</f>
        <v>#N/A N/A</v>
      </c>
    </row>
    <row r="2666" spans="1:9" x14ac:dyDescent="0.25">
      <c r="A2666" t="str">
        <f>_xll.BDP("FNDD4191 Mtge","ID_CUSIP")</f>
        <v>3140B4UR9</v>
      </c>
      <c r="B2666" t="str">
        <f>_xll.BDP("FNDD4191 Mtge","SECURITY_NAME")</f>
        <v>FN DD4191</v>
      </c>
      <c r="C2666" t="str">
        <f>_xll.BDP("FNDD4191 Mtge","GENERIC_TICKER_VINTAGE")</f>
        <v>FNCL 6 2025</v>
      </c>
      <c r="D2666" t="str">
        <f>_xll.BDP("FNDD4191 Mtge","CRNCY")</f>
        <v>USD</v>
      </c>
      <c r="E2666">
        <v>1407353</v>
      </c>
      <c r="F2666">
        <f>_xll.BDP("FNDD4191 Mtge","CPN")</f>
        <v>6</v>
      </c>
      <c r="G2666">
        <f>_xll.BDP("FNDD4191 Mtge","MTG_FACTOR")</f>
        <v>0.98976255000000002</v>
      </c>
      <c r="H2666">
        <f>_xll.BDP("FNDD4191 Mtge","MTG_WAL")</f>
        <v>3.2052999999999998</v>
      </c>
      <c r="I2666" t="str">
        <f>_xll.BDP("FNDD4191 Mtge","MTG_ORIG_WAL")</f>
        <v>#N/A N/A</v>
      </c>
    </row>
    <row r="2667" spans="1:9" x14ac:dyDescent="0.25">
      <c r="A2667" t="str">
        <f>_xll.BDP("FNDD4199 Mtge","ID_CUSIP")</f>
        <v>3140B4UZ1</v>
      </c>
      <c r="B2667" t="str">
        <f>_xll.BDP("FNDD4199 Mtge","SECURITY_NAME")</f>
        <v>FN DD4199</v>
      </c>
      <c r="C2667" t="str">
        <f>_xll.BDP("FNDD4199 Mtge","GENERIC_TICKER_VINTAGE")</f>
        <v>FNCL 6 2025</v>
      </c>
      <c r="D2667" t="str">
        <f>_xll.BDP("FNDD4199 Mtge","CRNCY")</f>
        <v>USD</v>
      </c>
      <c r="E2667">
        <v>1342670</v>
      </c>
      <c r="F2667">
        <f>_xll.BDP("FNDD4199 Mtge","CPN")</f>
        <v>6</v>
      </c>
      <c r="G2667">
        <f>_xll.BDP("FNDD4199 Mtge","MTG_FACTOR")</f>
        <v>0.98692712999999999</v>
      </c>
      <c r="H2667">
        <f>_xll.BDP("FNDD4199 Mtge","MTG_WAL")</f>
        <v>3.1602000000000001</v>
      </c>
      <c r="I2667" t="str">
        <f>_xll.BDP("FNDD4199 Mtge","MTG_ORIG_WAL")</f>
        <v>#N/A N/A</v>
      </c>
    </row>
    <row r="2668" spans="1:9" x14ac:dyDescent="0.25">
      <c r="A2668" t="str">
        <f>_xll.BDP("FNDD4208 Mtge","ID_CUSIP")</f>
        <v>3140B4VA5</v>
      </c>
      <c r="B2668" t="str">
        <f>_xll.BDP("FNDD4208 Mtge","SECURITY_NAME")</f>
        <v>FN DD4208</v>
      </c>
      <c r="C2668" t="str">
        <f>_xll.BDP("FNDD4208 Mtge","GENERIC_TICKER_VINTAGE")</f>
        <v>FNCL 6 2025</v>
      </c>
      <c r="D2668" t="str">
        <f>_xll.BDP("FNDD4208 Mtge","CRNCY")</f>
        <v>USD</v>
      </c>
      <c r="E2668">
        <v>1830593</v>
      </c>
      <c r="F2668">
        <f>_xll.BDP("FNDD4208 Mtge","CPN")</f>
        <v>6</v>
      </c>
      <c r="G2668">
        <f>_xll.BDP("FNDD4208 Mtge","MTG_FACTOR")</f>
        <v>0.66905988000000005</v>
      </c>
      <c r="H2668">
        <f>_xll.BDP("FNDD4208 Mtge","MTG_WAL")</f>
        <v>3.1585000000000001</v>
      </c>
      <c r="I2668" t="str">
        <f>_xll.BDP("FNDD4208 Mtge","MTG_ORIG_WAL")</f>
        <v>#N/A N/A</v>
      </c>
    </row>
    <row r="2669" spans="1:9" x14ac:dyDescent="0.25">
      <c r="A2669" t="str">
        <f>_xll.BDP("FNDD4209 Mtge","ID_CUSIP")</f>
        <v>3140B4VB3</v>
      </c>
      <c r="B2669" t="str">
        <f>_xll.BDP("FNDD4209 Mtge","SECURITY_NAME")</f>
        <v>FN DD4209</v>
      </c>
      <c r="C2669" t="str">
        <f>_xll.BDP("FNDD4209 Mtge","GENERIC_TICKER_VINTAGE")</f>
        <v>FNCL 6 2025</v>
      </c>
      <c r="D2669" t="str">
        <f>_xll.BDP("FNDD4209 Mtge","CRNCY")</f>
        <v>USD</v>
      </c>
      <c r="E2669">
        <v>3757750</v>
      </c>
      <c r="F2669">
        <f>_xll.BDP("FNDD4209 Mtge","CPN")</f>
        <v>6</v>
      </c>
      <c r="G2669">
        <f>_xll.BDP("FNDD4209 Mtge","MTG_FACTOR")</f>
        <v>0.82101181999999995</v>
      </c>
      <c r="H2669">
        <f>_xll.BDP("FNDD4209 Mtge","MTG_WAL")</f>
        <v>3.1515</v>
      </c>
      <c r="I2669" t="str">
        <f>_xll.BDP("FNDD4209 Mtge","MTG_ORIG_WAL")</f>
        <v>#N/A N/A</v>
      </c>
    </row>
    <row r="2670" spans="1:9" x14ac:dyDescent="0.25">
      <c r="A2670" t="str">
        <f>_xll.BDP("FNDD4210 Mtge","ID_CUSIP")</f>
        <v>3140B4VC1</v>
      </c>
      <c r="B2670" t="str">
        <f>_xll.BDP("FNDD4210 Mtge","SECURITY_NAME")</f>
        <v>FN DD4210</v>
      </c>
      <c r="C2670" t="str">
        <f>_xll.BDP("FNDD4210 Mtge","GENERIC_TICKER_VINTAGE")</f>
        <v>FNCL 6 2025</v>
      </c>
      <c r="D2670" t="str">
        <f>_xll.BDP("FNDD4210 Mtge","CRNCY")</f>
        <v>USD</v>
      </c>
      <c r="E2670">
        <v>1365907</v>
      </c>
      <c r="F2670">
        <f>_xll.BDP("FNDD4210 Mtge","CPN")</f>
        <v>6</v>
      </c>
      <c r="G2670">
        <f>_xll.BDP("FNDD4210 Mtge","MTG_FACTOR")</f>
        <v>0.92139152000000002</v>
      </c>
      <c r="H2670">
        <f>_xll.BDP("FNDD4210 Mtge","MTG_WAL")</f>
        <v>3.1454</v>
      </c>
      <c r="I2670" t="str">
        <f>_xll.BDP("FNDD4210 Mtge","MTG_ORIG_WAL")</f>
        <v>#N/A N/A</v>
      </c>
    </row>
    <row r="2671" spans="1:9" x14ac:dyDescent="0.25">
      <c r="A2671" t="str">
        <f>_xll.BDP("FNDD4211 Mtge","ID_CUSIP")</f>
        <v>3140B4VD9</v>
      </c>
      <c r="B2671" t="str">
        <f>_xll.BDP("FNDD4211 Mtge","SECURITY_NAME")</f>
        <v>FN DD4211</v>
      </c>
      <c r="C2671" t="str">
        <f>_xll.BDP("FNDD4211 Mtge","GENERIC_TICKER_VINTAGE")</f>
        <v>FNCL 6 2025</v>
      </c>
      <c r="D2671" t="str">
        <f>_xll.BDP("FNDD4211 Mtge","CRNCY")</f>
        <v>USD</v>
      </c>
      <c r="E2671">
        <v>3785951</v>
      </c>
      <c r="F2671">
        <f>_xll.BDP("FNDD4211 Mtge","CPN")</f>
        <v>6</v>
      </c>
      <c r="G2671">
        <f>_xll.BDP("FNDD4211 Mtge","MTG_FACTOR")</f>
        <v>0.82094522999999997</v>
      </c>
      <c r="H2671">
        <f>_xll.BDP("FNDD4211 Mtge","MTG_WAL")</f>
        <v>3.1621999999999999</v>
      </c>
      <c r="I2671" t="str">
        <f>_xll.BDP("FNDD4211 Mtge","MTG_ORIG_WAL")</f>
        <v>#N/A N/A</v>
      </c>
    </row>
    <row r="2672" spans="1:9" x14ac:dyDescent="0.25">
      <c r="A2672" t="str">
        <f>_xll.BDP("FNDD4212 Mtge","ID_CUSIP")</f>
        <v>3140B4VE7</v>
      </c>
      <c r="B2672" t="str">
        <f>_xll.BDP("FNDD4212 Mtge","SECURITY_NAME")</f>
        <v>FN DD4212</v>
      </c>
      <c r="C2672" t="str">
        <f>_xll.BDP("FNDD4212 Mtge","GENERIC_TICKER_VINTAGE")</f>
        <v>FNCL 6 2025</v>
      </c>
      <c r="D2672" t="str">
        <f>_xll.BDP("FNDD4212 Mtge","CRNCY")</f>
        <v>USD</v>
      </c>
      <c r="E2672">
        <v>4805914</v>
      </c>
      <c r="F2672">
        <f>_xll.BDP("FNDD4212 Mtge","CPN")</f>
        <v>6</v>
      </c>
      <c r="G2672">
        <f>_xll.BDP("FNDD4212 Mtge","MTG_FACTOR")</f>
        <v>0.79056048999999995</v>
      </c>
      <c r="H2672">
        <f>_xll.BDP("FNDD4212 Mtge","MTG_WAL")</f>
        <v>3.1568000000000001</v>
      </c>
      <c r="I2672" t="str">
        <f>_xll.BDP("FNDD4212 Mtge","MTG_ORIG_WAL")</f>
        <v>#N/A N/A</v>
      </c>
    </row>
    <row r="2673" spans="1:9" x14ac:dyDescent="0.25">
      <c r="A2673" t="str">
        <f>_xll.BDP("FNDD4213 Mtge","ID_CUSIP")</f>
        <v>3140B4VF4</v>
      </c>
      <c r="B2673" t="str">
        <f>_xll.BDP("FNDD4213 Mtge","SECURITY_NAME")</f>
        <v>FN DD4213</v>
      </c>
      <c r="C2673" t="str">
        <f>_xll.BDP("FNDD4213 Mtge","GENERIC_TICKER_VINTAGE")</f>
        <v>FNCL 6 2025</v>
      </c>
      <c r="D2673" t="str">
        <f>_xll.BDP("FNDD4213 Mtge","CRNCY")</f>
        <v>USD</v>
      </c>
      <c r="E2673">
        <v>3189357</v>
      </c>
      <c r="F2673">
        <f>_xll.BDP("FNDD4213 Mtge","CPN")</f>
        <v>6</v>
      </c>
      <c r="G2673">
        <f>_xll.BDP("FNDD4213 Mtge","MTG_FACTOR")</f>
        <v>0.73025507000000001</v>
      </c>
      <c r="H2673">
        <f>_xll.BDP("FNDD4213 Mtge","MTG_WAL")</f>
        <v>3.157</v>
      </c>
      <c r="I2673" t="str">
        <f>_xll.BDP("FNDD4213 Mtge","MTG_ORIG_WAL")</f>
        <v>#N/A N/A</v>
      </c>
    </row>
    <row r="2674" spans="1:9" x14ac:dyDescent="0.25">
      <c r="A2674" t="str">
        <f>_xll.BDP("FNDD4214 Mtge","ID_CUSIP")</f>
        <v>3140B4VG2</v>
      </c>
      <c r="B2674" t="str">
        <f>_xll.BDP("FNDD4214 Mtge","SECURITY_NAME")</f>
        <v>FN DD4214</v>
      </c>
      <c r="C2674" t="str">
        <f>_xll.BDP("FNDD4214 Mtge","GENERIC_TICKER_VINTAGE")</f>
        <v>FNCL 6 2025</v>
      </c>
      <c r="D2674" t="str">
        <f>_xll.BDP("FNDD4214 Mtge","CRNCY")</f>
        <v>USD</v>
      </c>
      <c r="E2674">
        <v>10232637</v>
      </c>
      <c r="F2674">
        <f>_xll.BDP("FNDD4214 Mtge","CPN")</f>
        <v>6</v>
      </c>
      <c r="G2674">
        <f>_xll.BDP("FNDD4214 Mtge","MTG_FACTOR")</f>
        <v>0.82725676000000004</v>
      </c>
      <c r="H2674">
        <f>_xll.BDP("FNDD4214 Mtge","MTG_WAL")</f>
        <v>3.1585999999999999</v>
      </c>
      <c r="I2674" t="str">
        <f>_xll.BDP("FNDD4214 Mtge","MTG_ORIG_WAL")</f>
        <v>#N/A N/A</v>
      </c>
    </row>
    <row r="2675" spans="1:9" x14ac:dyDescent="0.25">
      <c r="A2675" t="str">
        <f>_xll.BDP("FNDD4215 Mtge","ID_CUSIP")</f>
        <v>3140B4VH0</v>
      </c>
      <c r="B2675" t="str">
        <f>_xll.BDP("FNDD4215 Mtge","SECURITY_NAME")</f>
        <v>FN DD4215</v>
      </c>
      <c r="C2675" t="str">
        <f>_xll.BDP("FNDD4215 Mtge","GENERIC_TICKER_VINTAGE")</f>
        <v>FNCL 6 2025</v>
      </c>
      <c r="D2675" t="str">
        <f>_xll.BDP("FNDD4215 Mtge","CRNCY")</f>
        <v>USD</v>
      </c>
      <c r="E2675">
        <v>3006650</v>
      </c>
      <c r="F2675">
        <f>_xll.BDP("FNDD4215 Mtge","CPN")</f>
        <v>6</v>
      </c>
      <c r="G2675">
        <f>_xll.BDP("FNDD4215 Mtge","MTG_FACTOR")</f>
        <v>0.73842205000000005</v>
      </c>
      <c r="H2675">
        <f>_xll.BDP("FNDD4215 Mtge","MTG_WAL")</f>
        <v>3.1617999999999999</v>
      </c>
      <c r="I2675" t="str">
        <f>_xll.BDP("FNDD4215 Mtge","MTG_ORIG_WAL")</f>
        <v>#N/A N/A</v>
      </c>
    </row>
    <row r="2676" spans="1:9" x14ac:dyDescent="0.25">
      <c r="A2676" t="str">
        <f>_xll.BDP("FNDD4216 Mtge","ID_CUSIP")</f>
        <v>3140B4VJ6</v>
      </c>
      <c r="B2676" t="str">
        <f>_xll.BDP("FNDD4216 Mtge","SECURITY_NAME")</f>
        <v>FN DD4216</v>
      </c>
      <c r="C2676" t="str">
        <f>_xll.BDP("FNDD4216 Mtge","GENERIC_TICKER_VINTAGE")</f>
        <v>FNCL 6 2025</v>
      </c>
      <c r="D2676" t="str">
        <f>_xll.BDP("FNDD4216 Mtge","CRNCY")</f>
        <v>USD</v>
      </c>
      <c r="E2676">
        <v>1005000</v>
      </c>
      <c r="F2676">
        <f>_xll.BDP("FNDD4216 Mtge","CPN")</f>
        <v>6</v>
      </c>
      <c r="G2676">
        <f>_xll.BDP("FNDD4216 Mtge","MTG_FACTOR")</f>
        <v>0.98056779000000005</v>
      </c>
      <c r="H2676">
        <f>_xll.BDP("FNDD4216 Mtge","MTG_WAL")</f>
        <v>3.1543000000000001</v>
      </c>
      <c r="I2676" t="str">
        <f>_xll.BDP("FNDD4216 Mtge","MTG_ORIG_WAL")</f>
        <v>#N/A N/A</v>
      </c>
    </row>
    <row r="2677" spans="1:9" x14ac:dyDescent="0.25">
      <c r="A2677" t="str">
        <f>_xll.BDP("FNDD4218 Mtge","ID_CUSIP")</f>
        <v>3140B4VL1</v>
      </c>
      <c r="B2677" t="str">
        <f>_xll.BDP("FNDD4218 Mtge","SECURITY_NAME")</f>
        <v>FN DD4218</v>
      </c>
      <c r="C2677" t="str">
        <f>_xll.BDP("FNDD4218 Mtge","GENERIC_TICKER_VINTAGE")</f>
        <v>FNCL 6 2025</v>
      </c>
      <c r="D2677" t="str">
        <f>_xll.BDP("FNDD4218 Mtge","CRNCY")</f>
        <v>USD</v>
      </c>
      <c r="E2677">
        <v>4227370</v>
      </c>
      <c r="F2677">
        <f>_xll.BDP("FNDD4218 Mtge","CPN")</f>
        <v>6</v>
      </c>
      <c r="G2677">
        <f>_xll.BDP("FNDD4218 Mtge","MTG_FACTOR")</f>
        <v>0.88509495000000005</v>
      </c>
      <c r="H2677">
        <f>_xll.BDP("FNDD4218 Mtge","MTG_WAL")</f>
        <v>3.1511999999999998</v>
      </c>
      <c r="I2677" t="str">
        <f>_xll.BDP("FNDD4218 Mtge","MTG_ORIG_WAL")</f>
        <v>#N/A N/A</v>
      </c>
    </row>
    <row r="2678" spans="1:9" x14ac:dyDescent="0.25">
      <c r="A2678" t="str">
        <f>_xll.BDP("FNDD4220 Mtge","ID_CUSIP")</f>
        <v>3140B4VN7</v>
      </c>
      <c r="B2678" t="str">
        <f>_xll.BDP("FNDD4220 Mtge","SECURITY_NAME")</f>
        <v>FN DD4220</v>
      </c>
      <c r="C2678" t="str">
        <f>_xll.BDP("FNDD4220 Mtge","GENERIC_TICKER_VINTAGE")</f>
        <v>FNCL 6 2025</v>
      </c>
      <c r="D2678" t="str">
        <f>_xll.BDP("FNDD4220 Mtge","CRNCY")</f>
        <v>USD</v>
      </c>
      <c r="E2678">
        <v>1437043</v>
      </c>
      <c r="F2678">
        <f>_xll.BDP("FNDD4220 Mtge","CPN")</f>
        <v>6</v>
      </c>
      <c r="G2678">
        <f>_xll.BDP("FNDD4220 Mtge","MTG_FACTOR")</f>
        <v>0.77420250000000002</v>
      </c>
      <c r="H2678">
        <f>_xll.BDP("FNDD4220 Mtge","MTG_WAL")</f>
        <v>3.1505000000000001</v>
      </c>
      <c r="I2678" t="str">
        <f>_xll.BDP("FNDD4220 Mtge","MTG_ORIG_WAL")</f>
        <v>#N/A N/A</v>
      </c>
    </row>
    <row r="2679" spans="1:9" x14ac:dyDescent="0.25">
      <c r="A2679" t="str">
        <f>_xll.BDP("FNDD4222 Mtge","ID_CUSIP")</f>
        <v>3140B4VQ0</v>
      </c>
      <c r="B2679" t="str">
        <f>_xll.BDP("FNDD4222 Mtge","SECURITY_NAME")</f>
        <v>FN DD4222</v>
      </c>
      <c r="C2679" t="str">
        <f>_xll.BDP("FNDD4222 Mtge","GENERIC_TICKER_VINTAGE")</f>
        <v>FNCL 6 2025</v>
      </c>
      <c r="D2679" t="str">
        <f>_xll.BDP("FNDD4222 Mtge","CRNCY")</f>
        <v>USD</v>
      </c>
      <c r="E2679">
        <v>4212813</v>
      </c>
      <c r="F2679">
        <f>_xll.BDP("FNDD4222 Mtge","CPN")</f>
        <v>6</v>
      </c>
      <c r="G2679">
        <f>_xll.BDP("FNDD4222 Mtge","MTG_FACTOR")</f>
        <v>0.64143337</v>
      </c>
      <c r="H2679">
        <f>_xll.BDP("FNDD4222 Mtge","MTG_WAL")</f>
        <v>3.1577999999999999</v>
      </c>
      <c r="I2679" t="str">
        <f>_xll.BDP("FNDD4222 Mtge","MTG_ORIG_WAL")</f>
        <v>#N/A N/A</v>
      </c>
    </row>
    <row r="2680" spans="1:9" x14ac:dyDescent="0.25">
      <c r="A2680" t="str">
        <f>_xll.BDP("FNDD4223 Mtge","ID_CUSIP")</f>
        <v>3140B4VR8</v>
      </c>
      <c r="B2680" t="str">
        <f>_xll.BDP("FNDD4223 Mtge","SECURITY_NAME")</f>
        <v>FN DD4223</v>
      </c>
      <c r="C2680" t="str">
        <f>_xll.BDP("FNDD4223 Mtge","GENERIC_TICKER_VINTAGE")</f>
        <v>FNCL 6 2025</v>
      </c>
      <c r="D2680" t="str">
        <f>_xll.BDP("FNDD4223 Mtge","CRNCY")</f>
        <v>USD</v>
      </c>
      <c r="E2680">
        <v>1989000</v>
      </c>
      <c r="F2680">
        <f>_xll.BDP("FNDD4223 Mtge","CPN")</f>
        <v>6</v>
      </c>
      <c r="G2680">
        <f>_xll.BDP("FNDD4223 Mtge","MTG_FACTOR")</f>
        <v>0.98521833999999997</v>
      </c>
      <c r="H2680">
        <f>_xll.BDP("FNDD4223 Mtge","MTG_WAL")</f>
        <v>3.1589999999999998</v>
      </c>
      <c r="I2680" t="str">
        <f>_xll.BDP("FNDD4223 Mtge","MTG_ORIG_WAL")</f>
        <v>#N/A N/A</v>
      </c>
    </row>
    <row r="2681" spans="1:9" x14ac:dyDescent="0.25">
      <c r="A2681" t="str">
        <f>_xll.BDP("FNDD4242 Mtge","ID_CUSIP")</f>
        <v>3140B4WC0</v>
      </c>
      <c r="B2681" t="str">
        <f>_xll.BDP("FNDD4242 Mtge","SECURITY_NAME")</f>
        <v>FN DD4242</v>
      </c>
      <c r="C2681" t="str">
        <f>_xll.BDP("FNDD4242 Mtge","GENERIC_TICKER_VINTAGE")</f>
        <v>FNCL 6 2025</v>
      </c>
      <c r="D2681" t="str">
        <f>_xll.BDP("FNDD4242 Mtge","CRNCY")</f>
        <v>USD</v>
      </c>
      <c r="E2681">
        <v>1484309</v>
      </c>
      <c r="F2681">
        <f>_xll.BDP("FNDD4242 Mtge","CPN")</f>
        <v>6</v>
      </c>
      <c r="G2681">
        <f>_xll.BDP("FNDD4242 Mtge","MTG_FACTOR")</f>
        <v>0.85853038999999998</v>
      </c>
      <c r="H2681">
        <f>_xll.BDP("FNDD4242 Mtge","MTG_WAL")</f>
        <v>3.1997</v>
      </c>
      <c r="I2681" t="str">
        <f>_xll.BDP("FNDD4242 Mtge","MTG_ORIG_WAL")</f>
        <v>#N/A N/A</v>
      </c>
    </row>
    <row r="2682" spans="1:9" x14ac:dyDescent="0.25">
      <c r="A2682" t="str">
        <f>_xll.BDP("FNDD4243 Mtge","ID_CUSIP")</f>
        <v>3140B4WD8</v>
      </c>
      <c r="B2682" t="str">
        <f>_xll.BDP("FNDD4243 Mtge","SECURITY_NAME")</f>
        <v>FN DD4243</v>
      </c>
      <c r="C2682" t="str">
        <f>_xll.BDP("FNDD4243 Mtge","GENERIC_TICKER_VINTAGE")</f>
        <v>FNCL 6 2025</v>
      </c>
      <c r="D2682" t="str">
        <f>_xll.BDP("FNDD4243 Mtge","CRNCY")</f>
        <v>USD</v>
      </c>
      <c r="E2682">
        <v>1084045</v>
      </c>
      <c r="F2682">
        <f>_xll.BDP("FNDD4243 Mtge","CPN")</f>
        <v>6</v>
      </c>
      <c r="G2682">
        <f>_xll.BDP("FNDD4243 Mtge","MTG_FACTOR")</f>
        <v>0.84084528000000003</v>
      </c>
      <c r="H2682">
        <f>_xll.BDP("FNDD4243 Mtge","MTG_WAL")</f>
        <v>3.2012999999999998</v>
      </c>
      <c r="I2682" t="str">
        <f>_xll.BDP("FNDD4243 Mtge","MTG_ORIG_WAL")</f>
        <v>#N/A N/A</v>
      </c>
    </row>
    <row r="2683" spans="1:9" x14ac:dyDescent="0.25">
      <c r="A2683" t="str">
        <f>_xll.BDP("FNDD4245 Mtge","ID_CUSIP")</f>
        <v>3140B4WF3</v>
      </c>
      <c r="B2683" t="str">
        <f>_xll.BDP("FNDD4245 Mtge","SECURITY_NAME")</f>
        <v>FN DD4245</v>
      </c>
      <c r="C2683" t="str">
        <f>_xll.BDP("FNDD4245 Mtge","GENERIC_TICKER_VINTAGE")</f>
        <v>FNCL 6 2025</v>
      </c>
      <c r="D2683" t="str">
        <f>_xll.BDP("FNDD4245 Mtge","CRNCY")</f>
        <v>USD</v>
      </c>
      <c r="E2683">
        <v>1164263</v>
      </c>
      <c r="F2683">
        <f>_xll.BDP("FNDD4245 Mtge","CPN")</f>
        <v>6</v>
      </c>
      <c r="G2683">
        <f>_xll.BDP("FNDD4245 Mtge","MTG_FACTOR")</f>
        <v>0.80505386999999995</v>
      </c>
      <c r="H2683">
        <f>_xll.BDP("FNDD4245 Mtge","MTG_WAL")</f>
        <v>3.1613000000000002</v>
      </c>
      <c r="I2683" t="str">
        <f>_xll.BDP("FNDD4245 Mtge","MTG_ORIG_WAL")</f>
        <v>#N/A N/A</v>
      </c>
    </row>
    <row r="2684" spans="1:9" x14ac:dyDescent="0.25">
      <c r="A2684" t="str">
        <f>_xll.BDP("FNDD4248 Mtge","ID_CUSIP")</f>
        <v>3140B4WJ5</v>
      </c>
      <c r="B2684" t="str">
        <f>_xll.BDP("FNDD4248 Mtge","SECURITY_NAME")</f>
        <v>FN DD4248</v>
      </c>
      <c r="C2684" t="str">
        <f>_xll.BDP("FNDD4248 Mtge","GENERIC_TICKER_VINTAGE")</f>
        <v>FNCL 6 2025</v>
      </c>
      <c r="D2684" t="str">
        <f>_xll.BDP("FNDD4248 Mtge","CRNCY")</f>
        <v>USD</v>
      </c>
      <c r="E2684">
        <v>1231485</v>
      </c>
      <c r="F2684">
        <f>_xll.BDP("FNDD4248 Mtge","CPN")</f>
        <v>6</v>
      </c>
      <c r="G2684">
        <f>_xll.BDP("FNDD4248 Mtge","MTG_FACTOR")</f>
        <v>0.98547072999999996</v>
      </c>
      <c r="H2684">
        <f>_xll.BDP("FNDD4248 Mtge","MTG_WAL")</f>
        <v>3.2017000000000002</v>
      </c>
      <c r="I2684" t="str">
        <f>_xll.BDP("FNDD4248 Mtge","MTG_ORIG_WAL")</f>
        <v>#N/A N/A</v>
      </c>
    </row>
    <row r="2685" spans="1:9" x14ac:dyDescent="0.25">
      <c r="A2685" t="str">
        <f>_xll.BDP("FNDD4249 Mtge","ID_CUSIP")</f>
        <v>3140B4WK2</v>
      </c>
      <c r="B2685" t="str">
        <f>_xll.BDP("FNDD4249 Mtge","SECURITY_NAME")</f>
        <v>FN DD4249</v>
      </c>
      <c r="C2685" t="str">
        <f>_xll.BDP("FNDD4249 Mtge","GENERIC_TICKER_VINTAGE")</f>
        <v>FNCL 6 2025</v>
      </c>
      <c r="D2685" t="str">
        <f>_xll.BDP("FNDD4249 Mtge","CRNCY")</f>
        <v>USD</v>
      </c>
      <c r="E2685">
        <v>9116093</v>
      </c>
      <c r="F2685">
        <f>_xll.BDP("FNDD4249 Mtge","CPN")</f>
        <v>6</v>
      </c>
      <c r="G2685">
        <f>_xll.BDP("FNDD4249 Mtge","MTG_FACTOR")</f>
        <v>0.86693949000000003</v>
      </c>
      <c r="H2685">
        <f>_xll.BDP("FNDD4249 Mtge","MTG_WAL")</f>
        <v>3.1520999999999999</v>
      </c>
      <c r="I2685" t="str">
        <f>_xll.BDP("FNDD4249 Mtge","MTG_ORIG_WAL")</f>
        <v>#N/A N/A</v>
      </c>
    </row>
    <row r="2686" spans="1:9" x14ac:dyDescent="0.25">
      <c r="A2686" t="str">
        <f>_xll.BDP("FNDD4251 Mtge","ID_CUSIP")</f>
        <v>3140B4WM8</v>
      </c>
      <c r="B2686" t="str">
        <f>_xll.BDP("FNDD4251 Mtge","SECURITY_NAME")</f>
        <v>FN DD4251</v>
      </c>
      <c r="C2686" t="str">
        <f>_xll.BDP("FNDD4251 Mtge","GENERIC_TICKER_VINTAGE")</f>
        <v>FNCL 6 2025</v>
      </c>
      <c r="D2686" t="str">
        <f>_xll.BDP("FNDD4251 Mtge","CRNCY")</f>
        <v>USD</v>
      </c>
      <c r="E2686">
        <v>1864676</v>
      </c>
      <c r="F2686">
        <f>_xll.BDP("FNDD4251 Mtge","CPN")</f>
        <v>6</v>
      </c>
      <c r="G2686">
        <f>_xll.BDP("FNDD4251 Mtge","MTG_FACTOR")</f>
        <v>0.61127757999999999</v>
      </c>
      <c r="H2686">
        <f>_xll.BDP("FNDD4251 Mtge","MTG_WAL")</f>
        <v>3.2008000000000001</v>
      </c>
      <c r="I2686" t="str">
        <f>_xll.BDP("FNDD4251 Mtge","MTG_ORIG_WAL")</f>
        <v>#N/A N/A</v>
      </c>
    </row>
    <row r="2687" spans="1:9" x14ac:dyDescent="0.25">
      <c r="A2687" t="str">
        <f>_xll.BDP("FNDD4288 Mtge","ID_CUSIP")</f>
        <v>3140B4XS4</v>
      </c>
      <c r="B2687" t="str">
        <f>_xll.BDP("FNDD4288 Mtge","SECURITY_NAME")</f>
        <v>FN DD4288</v>
      </c>
      <c r="C2687" t="str">
        <f>_xll.BDP("FNDD4288 Mtge","GENERIC_TICKER_VINTAGE")</f>
        <v>FNCL 6 2025</v>
      </c>
      <c r="D2687" t="str">
        <f>_xll.BDP("FNDD4288 Mtge","CRNCY")</f>
        <v>USD</v>
      </c>
      <c r="E2687">
        <v>6418658</v>
      </c>
      <c r="F2687">
        <f>_xll.BDP("FNDD4288 Mtge","CPN")</f>
        <v>6</v>
      </c>
      <c r="G2687">
        <f>_xll.BDP("FNDD4288 Mtge","MTG_FACTOR")</f>
        <v>0.83435566000000005</v>
      </c>
      <c r="H2687">
        <f>_xll.BDP("FNDD4288 Mtge","MTG_WAL")</f>
        <v>3.1555</v>
      </c>
      <c r="I2687" t="str">
        <f>_xll.BDP("FNDD4288 Mtge","MTG_ORIG_WAL")</f>
        <v>#N/A N/A</v>
      </c>
    </row>
    <row r="2688" spans="1:9" x14ac:dyDescent="0.25">
      <c r="A2688" t="str">
        <f>_xll.BDP("FNDD4290 Mtge","ID_CUSIP")</f>
        <v>3140B4XU9</v>
      </c>
      <c r="B2688" t="str">
        <f>_xll.BDP("FNDD4290 Mtge","SECURITY_NAME")</f>
        <v>FN DD4290</v>
      </c>
      <c r="C2688" t="str">
        <f>_xll.BDP("FNDD4290 Mtge","GENERIC_TICKER_VINTAGE")</f>
        <v>FNCL 6 2025</v>
      </c>
      <c r="D2688" t="str">
        <f>_xll.BDP("FNDD4290 Mtge","CRNCY")</f>
        <v>USD</v>
      </c>
      <c r="E2688">
        <v>4965285</v>
      </c>
      <c r="F2688">
        <f>_xll.BDP("FNDD4290 Mtge","CPN")</f>
        <v>6</v>
      </c>
      <c r="G2688">
        <f>_xll.BDP("FNDD4290 Mtge","MTG_FACTOR")</f>
        <v>0.93814637000000001</v>
      </c>
      <c r="H2688">
        <f>_xll.BDP("FNDD4290 Mtge","MTG_WAL")</f>
        <v>3.1539999999999999</v>
      </c>
      <c r="I2688" t="str">
        <f>_xll.BDP("FNDD4290 Mtge","MTG_ORIG_WAL")</f>
        <v>#N/A N/A</v>
      </c>
    </row>
    <row r="2689" spans="1:9" x14ac:dyDescent="0.25">
      <c r="A2689" t="str">
        <f>_xll.BDP("FNDD4291 Mtge","ID_CUSIP")</f>
        <v>3140B4XV7</v>
      </c>
      <c r="B2689" t="str">
        <f>_xll.BDP("FNDD4291 Mtge","SECURITY_NAME")</f>
        <v>FN DD4291</v>
      </c>
      <c r="C2689" t="str">
        <f>_xll.BDP("FNDD4291 Mtge","GENERIC_TICKER_VINTAGE")</f>
        <v>FNCL 6 2025</v>
      </c>
      <c r="D2689" t="str">
        <f>_xll.BDP("FNDD4291 Mtge","CRNCY")</f>
        <v>USD</v>
      </c>
      <c r="E2689">
        <v>11621679</v>
      </c>
      <c r="F2689">
        <f>_xll.BDP("FNDD4291 Mtge","CPN")</f>
        <v>6</v>
      </c>
      <c r="G2689">
        <f>_xll.BDP("FNDD4291 Mtge","MTG_FACTOR")</f>
        <v>0.70434507000000002</v>
      </c>
      <c r="H2689">
        <f>_xll.BDP("FNDD4291 Mtge","MTG_WAL")</f>
        <v>3.1535000000000002</v>
      </c>
      <c r="I2689" t="str">
        <f>_xll.BDP("FNDD4291 Mtge","MTG_ORIG_WAL")</f>
        <v>#N/A N/A</v>
      </c>
    </row>
    <row r="2690" spans="1:9" x14ac:dyDescent="0.25">
      <c r="A2690" t="str">
        <f>_xll.BDP("FNDD4292 Mtge","ID_CUSIP")</f>
        <v>3140B4XW5</v>
      </c>
      <c r="B2690" t="str">
        <f>_xll.BDP("FNDD4292 Mtge","SECURITY_NAME")</f>
        <v>FN DD4292</v>
      </c>
      <c r="C2690" t="str">
        <f>_xll.BDP("FNDD4292 Mtge","GENERIC_TICKER_VINTAGE")</f>
        <v>FNCL 6 2025</v>
      </c>
      <c r="D2690" t="str">
        <f>_xll.BDP("FNDD4292 Mtge","CRNCY")</f>
        <v>USD</v>
      </c>
      <c r="E2690">
        <v>20179530</v>
      </c>
      <c r="F2690">
        <f>_xll.BDP("FNDD4292 Mtge","CPN")</f>
        <v>6</v>
      </c>
      <c r="G2690">
        <f>_xll.BDP("FNDD4292 Mtge","MTG_FACTOR")</f>
        <v>0.76333801000000001</v>
      </c>
      <c r="H2690">
        <f>_xll.BDP("FNDD4292 Mtge","MTG_WAL")</f>
        <v>3.1972</v>
      </c>
      <c r="I2690" t="str">
        <f>_xll.BDP("FNDD4292 Mtge","MTG_ORIG_WAL")</f>
        <v>#N/A N/A</v>
      </c>
    </row>
    <row r="2691" spans="1:9" x14ac:dyDescent="0.25">
      <c r="A2691" t="str">
        <f>_xll.BDP("FNDD4295 Mtge","ID_CUSIP")</f>
        <v>3140B4XZ8</v>
      </c>
      <c r="B2691" t="str">
        <f>_xll.BDP("FNDD4295 Mtge","SECURITY_NAME")</f>
        <v>FN DD4295</v>
      </c>
      <c r="C2691" t="str">
        <f>_xll.BDP("FNDD4295 Mtge","GENERIC_TICKER_VINTAGE")</f>
        <v>FNCL 6 2025</v>
      </c>
      <c r="D2691" t="str">
        <f>_xll.BDP("FNDD4295 Mtge","CRNCY")</f>
        <v>USD</v>
      </c>
      <c r="E2691">
        <v>13313661</v>
      </c>
      <c r="F2691">
        <f>_xll.BDP("FNDD4295 Mtge","CPN")</f>
        <v>6</v>
      </c>
      <c r="G2691">
        <f>_xll.BDP("FNDD4295 Mtge","MTG_FACTOR")</f>
        <v>0.85779371999999998</v>
      </c>
      <c r="H2691">
        <f>_xll.BDP("FNDD4295 Mtge","MTG_WAL")</f>
        <v>3.1991999999999998</v>
      </c>
      <c r="I2691" t="str">
        <f>_xll.BDP("FNDD4295 Mtge","MTG_ORIG_WAL")</f>
        <v>#N/A N/A</v>
      </c>
    </row>
    <row r="2692" spans="1:9" x14ac:dyDescent="0.25">
      <c r="A2692" t="str">
        <f>_xll.BDP("FNDD4296 Mtge","ID_CUSIP")</f>
        <v>3140B4X21</v>
      </c>
      <c r="B2692" t="str">
        <f>_xll.BDP("FNDD4296 Mtge","SECURITY_NAME")</f>
        <v>FN DD4296</v>
      </c>
      <c r="C2692" t="str">
        <f>_xll.BDP("FNDD4296 Mtge","GENERIC_TICKER_VINTAGE")</f>
        <v>FNCL 6 2025</v>
      </c>
      <c r="D2692" t="str">
        <f>_xll.BDP("FNDD4296 Mtge","CRNCY")</f>
        <v>USD</v>
      </c>
      <c r="E2692">
        <v>20513809</v>
      </c>
      <c r="F2692">
        <f>_xll.BDP("FNDD4296 Mtge","CPN")</f>
        <v>6</v>
      </c>
      <c r="G2692">
        <f>_xll.BDP("FNDD4296 Mtge","MTG_FACTOR")</f>
        <v>0.81904916999999999</v>
      </c>
      <c r="H2692">
        <f>_xll.BDP("FNDD4296 Mtge","MTG_WAL")</f>
        <v>3.2023000000000001</v>
      </c>
      <c r="I2692" t="str">
        <f>_xll.BDP("FNDD4296 Mtge","MTG_ORIG_WAL")</f>
        <v>#N/A N/A</v>
      </c>
    </row>
    <row r="2693" spans="1:9" x14ac:dyDescent="0.25">
      <c r="A2693" t="str">
        <f>_xll.BDP("FNDD4297 Mtge","ID_CUSIP")</f>
        <v>3140B4X39</v>
      </c>
      <c r="B2693" t="str">
        <f>_xll.BDP("FNDD4297 Mtge","SECURITY_NAME")</f>
        <v>FN DD4297</v>
      </c>
      <c r="C2693" t="str">
        <f>_xll.BDP("FNDD4297 Mtge","GENERIC_TICKER_VINTAGE")</f>
        <v>FNCL 6 2025</v>
      </c>
      <c r="D2693" t="str">
        <f>_xll.BDP("FNDD4297 Mtge","CRNCY")</f>
        <v>USD</v>
      </c>
      <c r="E2693">
        <v>1242254</v>
      </c>
      <c r="F2693">
        <f>_xll.BDP("FNDD4297 Mtge","CPN")</f>
        <v>6</v>
      </c>
      <c r="G2693">
        <f>_xll.BDP("FNDD4297 Mtge","MTG_FACTOR")</f>
        <v>0.98970124000000004</v>
      </c>
      <c r="H2693">
        <f>_xll.BDP("FNDD4297 Mtge","MTG_WAL")</f>
        <v>3.2050000000000001</v>
      </c>
      <c r="I2693" t="str">
        <f>_xll.BDP("FNDD4297 Mtge","MTG_ORIG_WAL")</f>
        <v>#N/A N/A</v>
      </c>
    </row>
    <row r="2694" spans="1:9" x14ac:dyDescent="0.25">
      <c r="A2694" t="str">
        <f>_xll.BDP("FNDD4299 Mtge","ID_CUSIP")</f>
        <v>3140B4X54</v>
      </c>
      <c r="B2694" t="str">
        <f>_xll.BDP("FNDD4299 Mtge","SECURITY_NAME")</f>
        <v>FN DD4299</v>
      </c>
      <c r="C2694" t="str">
        <f>_xll.BDP("FNDD4299 Mtge","GENERIC_TICKER_VINTAGE")</f>
        <v>FNCL 6 2025</v>
      </c>
      <c r="D2694" t="str">
        <f>_xll.BDP("FNDD4299 Mtge","CRNCY")</f>
        <v>USD</v>
      </c>
      <c r="E2694">
        <v>4016338</v>
      </c>
      <c r="F2694">
        <f>_xll.BDP("FNDD4299 Mtge","CPN")</f>
        <v>6</v>
      </c>
      <c r="G2694">
        <f>_xll.BDP("FNDD4299 Mtge","MTG_FACTOR")</f>
        <v>0.75242918000000003</v>
      </c>
      <c r="H2694">
        <f>_xll.BDP("FNDD4299 Mtge","MTG_WAL")</f>
        <v>3.1570999999999998</v>
      </c>
      <c r="I2694" t="str">
        <f>_xll.BDP("FNDD4299 Mtge","MTG_ORIG_WAL")</f>
        <v>#N/A N/A</v>
      </c>
    </row>
    <row r="2695" spans="1:9" x14ac:dyDescent="0.25">
      <c r="A2695" t="str">
        <f>_xll.BDP("FNDD4303 Mtge","ID_CUSIP")</f>
        <v>3140B4X96</v>
      </c>
      <c r="B2695" t="str">
        <f>_xll.BDP("FNDD4303 Mtge","SECURITY_NAME")</f>
        <v>FN DD4303</v>
      </c>
      <c r="C2695" t="str">
        <f>_xll.BDP("FNDD4303 Mtge","GENERIC_TICKER_VINTAGE")</f>
        <v>FNCL 6 2025</v>
      </c>
      <c r="D2695" t="str">
        <f>_xll.BDP("FNDD4303 Mtge","CRNCY")</f>
        <v>USD</v>
      </c>
      <c r="E2695">
        <v>1221273</v>
      </c>
      <c r="F2695">
        <f>_xll.BDP("FNDD4303 Mtge","CPN")</f>
        <v>6</v>
      </c>
      <c r="G2695">
        <f>_xll.BDP("FNDD4303 Mtge","MTG_FACTOR")</f>
        <v>0.97239684999999998</v>
      </c>
      <c r="H2695">
        <f>_xll.BDP("FNDD4303 Mtge","MTG_WAL")</f>
        <v>3.1602999999999999</v>
      </c>
      <c r="I2695" t="str">
        <f>_xll.BDP("FNDD4303 Mtge","MTG_ORIG_WAL")</f>
        <v>#N/A N/A</v>
      </c>
    </row>
    <row r="2696" spans="1:9" x14ac:dyDescent="0.25">
      <c r="A2696" t="str">
        <f>_xll.BDP("FNDD4304 Mtge","ID_CUSIP")</f>
        <v>3140B4YA2</v>
      </c>
      <c r="B2696" t="str">
        <f>_xll.BDP("FNDD4304 Mtge","SECURITY_NAME")</f>
        <v>FN DD4304</v>
      </c>
      <c r="C2696" t="str">
        <f>_xll.BDP("FNDD4304 Mtge","GENERIC_TICKER_VINTAGE")</f>
        <v>FNCL 6 2025</v>
      </c>
      <c r="D2696" t="str">
        <f>_xll.BDP("FNDD4304 Mtge","CRNCY")</f>
        <v>USD</v>
      </c>
      <c r="E2696">
        <v>2576994</v>
      </c>
      <c r="F2696">
        <f>_xll.BDP("FNDD4304 Mtge","CPN")</f>
        <v>6</v>
      </c>
      <c r="G2696">
        <f>_xll.BDP("FNDD4304 Mtge","MTG_FACTOR")</f>
        <v>0.98696976000000003</v>
      </c>
      <c r="H2696">
        <f>_xll.BDP("FNDD4304 Mtge","MTG_WAL")</f>
        <v>3.1593</v>
      </c>
      <c r="I2696" t="str">
        <f>_xll.BDP("FNDD4304 Mtge","MTG_ORIG_WAL")</f>
        <v>#N/A N/A</v>
      </c>
    </row>
    <row r="2697" spans="1:9" x14ac:dyDescent="0.25">
      <c r="A2697" t="str">
        <f>_xll.BDP("FNDD4310 Mtge","ID_CUSIP")</f>
        <v>3140B4YG9</v>
      </c>
      <c r="B2697" t="str">
        <f>_xll.BDP("FNDD4310 Mtge","SECURITY_NAME")</f>
        <v>FN DD4310</v>
      </c>
      <c r="C2697" t="str">
        <f>_xll.BDP("FNDD4310 Mtge","GENERIC_TICKER_VINTAGE")</f>
        <v>FNCL 6 2025</v>
      </c>
      <c r="D2697" t="str">
        <f>_xll.BDP("FNDD4310 Mtge","CRNCY")</f>
        <v>USD</v>
      </c>
      <c r="E2697">
        <v>1929909</v>
      </c>
      <c r="F2697">
        <f>_xll.BDP("FNDD4310 Mtge","CPN")</f>
        <v>6</v>
      </c>
      <c r="G2697">
        <f>_xll.BDP("FNDD4310 Mtge","MTG_FACTOR")</f>
        <v>0.86267431000000006</v>
      </c>
      <c r="H2697">
        <f>_xll.BDP("FNDD4310 Mtge","MTG_WAL")</f>
        <v>3.1421999999999999</v>
      </c>
      <c r="I2697" t="str">
        <f>_xll.BDP("FNDD4310 Mtge","MTG_ORIG_WAL")</f>
        <v>#N/A N/A</v>
      </c>
    </row>
    <row r="2698" spans="1:9" x14ac:dyDescent="0.25">
      <c r="A2698" t="str">
        <f>_xll.BDP("FNDD4330 Mtge","ID_CUSIP")</f>
        <v>3140B4Y46</v>
      </c>
      <c r="B2698" t="str">
        <f>_xll.BDP("FNDD4330 Mtge","SECURITY_NAME")</f>
        <v>FN DD4330</v>
      </c>
      <c r="C2698" t="str">
        <f>_xll.BDP("FNDD4330 Mtge","GENERIC_TICKER_VINTAGE")</f>
        <v>FNCL 6 2025</v>
      </c>
      <c r="D2698" t="str">
        <f>_xll.BDP("FNDD4330 Mtge","CRNCY")</f>
        <v>USD</v>
      </c>
      <c r="E2698">
        <v>1193572</v>
      </c>
      <c r="F2698">
        <f>_xll.BDP("FNDD4330 Mtge","CPN")</f>
        <v>6</v>
      </c>
      <c r="G2698">
        <f>_xll.BDP("FNDD4330 Mtge","MTG_FACTOR")</f>
        <v>0.97805430999999998</v>
      </c>
      <c r="H2698">
        <f>_xll.BDP("FNDD4330 Mtge","MTG_WAL")</f>
        <v>3.1947999999999999</v>
      </c>
      <c r="I2698" t="str">
        <f>_xll.BDP("FNDD4330 Mtge","MTG_ORIG_WAL")</f>
        <v>#N/A N/A</v>
      </c>
    </row>
    <row r="2699" spans="1:9" x14ac:dyDescent="0.25">
      <c r="A2699" t="str">
        <f>_xll.BDP("FNDD4331 Mtge","ID_CUSIP")</f>
        <v>3140B4Y53</v>
      </c>
      <c r="B2699" t="str">
        <f>_xll.BDP("FNDD4331 Mtge","SECURITY_NAME")</f>
        <v>FN DD4331</v>
      </c>
      <c r="C2699" t="str">
        <f>_xll.BDP("FNDD4331 Mtge","GENERIC_TICKER_VINTAGE")</f>
        <v>FNCL 6 2025</v>
      </c>
      <c r="D2699" t="str">
        <f>_xll.BDP("FNDD4331 Mtge","CRNCY")</f>
        <v>USD</v>
      </c>
      <c r="E2699">
        <v>1385918</v>
      </c>
      <c r="F2699">
        <f>_xll.BDP("FNDD4331 Mtge","CPN")</f>
        <v>6</v>
      </c>
      <c r="G2699">
        <f>_xll.BDP("FNDD4331 Mtge","MTG_FACTOR")</f>
        <v>0.98621526000000004</v>
      </c>
      <c r="H2699">
        <f>_xll.BDP("FNDD4331 Mtge","MTG_WAL")</f>
        <v>3.2008999999999999</v>
      </c>
      <c r="I2699" t="str">
        <f>_xll.BDP("FNDD4331 Mtge","MTG_ORIG_WAL")</f>
        <v>#N/A N/A</v>
      </c>
    </row>
    <row r="2700" spans="1:9" x14ac:dyDescent="0.25">
      <c r="A2700" t="str">
        <f>_xll.BDP("FNDD4332 Mtge","ID_CUSIP")</f>
        <v>3140B4Y61</v>
      </c>
      <c r="B2700" t="str">
        <f>_xll.BDP("FNDD4332 Mtge","SECURITY_NAME")</f>
        <v>FN DD4332</v>
      </c>
      <c r="C2700" t="str">
        <f>_xll.BDP("FNDD4332 Mtge","GENERIC_TICKER_VINTAGE")</f>
        <v>FNCL 6 2025</v>
      </c>
      <c r="D2700" t="str">
        <f>_xll.BDP("FNDD4332 Mtge","CRNCY")</f>
        <v>USD</v>
      </c>
      <c r="E2700">
        <v>1327889</v>
      </c>
      <c r="F2700">
        <f>_xll.BDP("FNDD4332 Mtge","CPN")</f>
        <v>6</v>
      </c>
      <c r="G2700">
        <f>_xll.BDP("FNDD4332 Mtge","MTG_FACTOR")</f>
        <v>0.99030167000000002</v>
      </c>
      <c r="H2700">
        <f>_xll.BDP("FNDD4332 Mtge","MTG_WAL")</f>
        <v>3.2046999999999999</v>
      </c>
      <c r="I2700" t="str">
        <f>_xll.BDP("FNDD4332 Mtge","MTG_ORIG_WAL")</f>
        <v>#N/A N/A</v>
      </c>
    </row>
    <row r="2701" spans="1:9" x14ac:dyDescent="0.25">
      <c r="A2701" t="str">
        <f>_xll.BDP("FNDD4333 Mtge","ID_CUSIP")</f>
        <v>3140B4Y79</v>
      </c>
      <c r="B2701" t="str">
        <f>_xll.BDP("FNDD4333 Mtge","SECURITY_NAME")</f>
        <v>FN DD4333</v>
      </c>
      <c r="C2701" t="str">
        <f>_xll.BDP("FNDD4333 Mtge","GENERIC_TICKER_VINTAGE")</f>
        <v>FNCL 6 2025</v>
      </c>
      <c r="D2701" t="str">
        <f>_xll.BDP("FNDD4333 Mtge","CRNCY")</f>
        <v>USD</v>
      </c>
      <c r="E2701">
        <v>1582254</v>
      </c>
      <c r="F2701">
        <f>_xll.BDP("FNDD4333 Mtge","CPN")</f>
        <v>6</v>
      </c>
      <c r="G2701">
        <f>_xll.BDP("FNDD4333 Mtge","MTG_FACTOR")</f>
        <v>0.98848860999999999</v>
      </c>
      <c r="H2701">
        <f>_xll.BDP("FNDD4333 Mtge","MTG_WAL")</f>
        <v>3.2038000000000002</v>
      </c>
      <c r="I2701" t="str">
        <f>_xll.BDP("FNDD4333 Mtge","MTG_ORIG_WAL")</f>
        <v>#N/A N/A</v>
      </c>
    </row>
    <row r="2702" spans="1:9" x14ac:dyDescent="0.25">
      <c r="A2702" t="str">
        <f>_xll.BDP("FNDD4335 Mtge","ID_CUSIP")</f>
        <v>3140B4Y95</v>
      </c>
      <c r="B2702" t="str">
        <f>_xll.BDP("FNDD4335 Mtge","SECURITY_NAME")</f>
        <v>FN DD4335</v>
      </c>
      <c r="C2702" t="str">
        <f>_xll.BDP("FNDD4335 Mtge","GENERIC_TICKER_VINTAGE")</f>
        <v>FNCL 6 2025</v>
      </c>
      <c r="D2702" t="str">
        <f>_xll.BDP("FNDD4335 Mtge","CRNCY")</f>
        <v>USD</v>
      </c>
      <c r="E2702">
        <v>5923627</v>
      </c>
      <c r="F2702">
        <f>_xll.BDP("FNDD4335 Mtge","CPN")</f>
        <v>6</v>
      </c>
      <c r="G2702">
        <f>_xll.BDP("FNDD4335 Mtge","MTG_FACTOR")</f>
        <v>0.92861307000000004</v>
      </c>
      <c r="H2702">
        <f>_xll.BDP("FNDD4335 Mtge","MTG_WAL")</f>
        <v>3.2029999999999998</v>
      </c>
      <c r="I2702" t="str">
        <f>_xll.BDP("FNDD4335 Mtge","MTG_ORIG_WAL")</f>
        <v>#N/A N/A</v>
      </c>
    </row>
    <row r="2703" spans="1:9" x14ac:dyDescent="0.25">
      <c r="A2703" t="str">
        <f>_xll.BDP("FNDD4337 Mtge","ID_CUSIP")</f>
        <v>3140B4ZB9</v>
      </c>
      <c r="B2703" t="str">
        <f>_xll.BDP("FNDD4337 Mtge","SECURITY_NAME")</f>
        <v>FN DD4337</v>
      </c>
      <c r="C2703" t="str">
        <f>_xll.BDP("FNDD4337 Mtge","GENERIC_TICKER_VINTAGE")</f>
        <v>FNCL 6 2025</v>
      </c>
      <c r="D2703" t="str">
        <f>_xll.BDP("FNDD4337 Mtge","CRNCY")</f>
        <v>USD</v>
      </c>
      <c r="E2703">
        <v>3032919</v>
      </c>
      <c r="F2703">
        <f>_xll.BDP("FNDD4337 Mtge","CPN")</f>
        <v>6</v>
      </c>
      <c r="G2703">
        <f>_xll.BDP("FNDD4337 Mtge","MTG_FACTOR")</f>
        <v>0.53661886999999997</v>
      </c>
      <c r="H2703">
        <f>_xll.BDP("FNDD4337 Mtge","MTG_WAL")</f>
        <v>3.2006999999999999</v>
      </c>
      <c r="I2703" t="str">
        <f>_xll.BDP("FNDD4337 Mtge","MTG_ORIG_WAL")</f>
        <v>#N/A N/A</v>
      </c>
    </row>
    <row r="2704" spans="1:9" x14ac:dyDescent="0.25">
      <c r="A2704" t="str">
        <f>_xll.BDP("FNDD4352 Mtge","ID_CUSIP")</f>
        <v>3140B4ZS2</v>
      </c>
      <c r="B2704" t="str">
        <f>_xll.BDP("FNDD4352 Mtge","SECURITY_NAME")</f>
        <v>FN DD4352</v>
      </c>
      <c r="C2704" t="str">
        <f>_xll.BDP("FNDD4352 Mtge","GENERIC_TICKER_VINTAGE")</f>
        <v>FNCL 6 2025</v>
      </c>
      <c r="D2704" t="str">
        <f>_xll.BDP("FNDD4352 Mtge","CRNCY")</f>
        <v>USD</v>
      </c>
      <c r="E2704">
        <v>2657940</v>
      </c>
      <c r="F2704">
        <f>_xll.BDP("FNDD4352 Mtge","CPN")</f>
        <v>6</v>
      </c>
      <c r="G2704">
        <f>_xll.BDP("FNDD4352 Mtge","MTG_FACTOR")</f>
        <v>0.93394358</v>
      </c>
      <c r="H2704">
        <f>_xll.BDP("FNDD4352 Mtge","MTG_WAL")</f>
        <v>3.2004000000000001</v>
      </c>
      <c r="I2704" t="str">
        <f>_xll.BDP("FNDD4352 Mtge","MTG_ORIG_WAL")</f>
        <v>#N/A N/A</v>
      </c>
    </row>
    <row r="2705" spans="1:9" x14ac:dyDescent="0.25">
      <c r="A2705" t="str">
        <f>_xll.BDP("FNDD4355 Mtge","ID_CUSIP")</f>
        <v>3140B4ZV5</v>
      </c>
      <c r="B2705" t="str">
        <f>_xll.BDP("FNDD4355 Mtge","SECURITY_NAME")</f>
        <v>FN DD4355</v>
      </c>
      <c r="C2705" t="str">
        <f>_xll.BDP("FNDD4355 Mtge","GENERIC_TICKER_VINTAGE")</f>
        <v>FNCL 6 2025</v>
      </c>
      <c r="D2705" t="str">
        <f>_xll.BDP("FNDD4355 Mtge","CRNCY")</f>
        <v>USD</v>
      </c>
      <c r="E2705">
        <v>1024810</v>
      </c>
      <c r="F2705">
        <f>_xll.BDP("FNDD4355 Mtge","CPN")</f>
        <v>6</v>
      </c>
      <c r="G2705">
        <f>_xll.BDP("FNDD4355 Mtge","MTG_FACTOR")</f>
        <v>0.98880330999999999</v>
      </c>
      <c r="H2705">
        <f>_xll.BDP("FNDD4355 Mtge","MTG_WAL")</f>
        <v>3.202</v>
      </c>
      <c r="I2705" t="str">
        <f>_xll.BDP("FNDD4355 Mtge","MTG_ORIG_WAL")</f>
        <v>#N/A N/A</v>
      </c>
    </row>
    <row r="2706" spans="1:9" x14ac:dyDescent="0.25">
      <c r="A2706" t="str">
        <f>_xll.BDP("FNDD4356 Mtge","ID_CUSIP")</f>
        <v>3140B4ZW3</v>
      </c>
      <c r="B2706" t="str">
        <f>_xll.BDP("FNDD4356 Mtge","SECURITY_NAME")</f>
        <v>FN DD4356</v>
      </c>
      <c r="C2706" t="str">
        <f>_xll.BDP("FNDD4356 Mtge","GENERIC_TICKER_VINTAGE")</f>
        <v>FNCL 6 2025</v>
      </c>
      <c r="D2706" t="str">
        <f>_xll.BDP("FNDD4356 Mtge","CRNCY")</f>
        <v>USD</v>
      </c>
      <c r="E2706">
        <v>1662945</v>
      </c>
      <c r="F2706">
        <f>_xll.BDP("FNDD4356 Mtge","CPN")</f>
        <v>6</v>
      </c>
      <c r="G2706">
        <f>_xll.BDP("FNDD4356 Mtge","MTG_FACTOR")</f>
        <v>0.98380542999999998</v>
      </c>
      <c r="H2706">
        <f>_xll.BDP("FNDD4356 Mtge","MTG_WAL")</f>
        <v>3.1993</v>
      </c>
      <c r="I2706" t="str">
        <f>_xll.BDP("FNDD4356 Mtge","MTG_ORIG_WAL")</f>
        <v>#N/A N/A</v>
      </c>
    </row>
    <row r="2707" spans="1:9" x14ac:dyDescent="0.25">
      <c r="A2707" t="str">
        <f>_xll.BDP("FNDD4358 Mtge","ID_CUSIP")</f>
        <v>3140B4ZY9</v>
      </c>
      <c r="B2707" t="str">
        <f>_xll.BDP("FNDD4358 Mtge","SECURITY_NAME")</f>
        <v>FN DD4358</v>
      </c>
      <c r="C2707" t="str">
        <f>_xll.BDP("FNDD4358 Mtge","GENERIC_TICKER_VINTAGE")</f>
        <v>FNCL 6 2025</v>
      </c>
      <c r="D2707" t="str">
        <f>_xll.BDP("FNDD4358 Mtge","CRNCY")</f>
        <v>USD</v>
      </c>
      <c r="E2707">
        <v>1181971</v>
      </c>
      <c r="F2707">
        <f>_xll.BDP("FNDD4358 Mtge","CPN")</f>
        <v>6</v>
      </c>
      <c r="G2707">
        <f>_xll.BDP("FNDD4358 Mtge","MTG_FACTOR")</f>
        <v>0.72251652</v>
      </c>
      <c r="H2707">
        <f>_xll.BDP("FNDD4358 Mtge","MTG_WAL")</f>
        <v>3.2481</v>
      </c>
      <c r="I2707" t="str">
        <f>_xll.BDP("FNDD4358 Mtge","MTG_ORIG_WAL")</f>
        <v>#N/A N/A</v>
      </c>
    </row>
    <row r="2708" spans="1:9" x14ac:dyDescent="0.25">
      <c r="A2708" t="str">
        <f>_xll.BDP("FNDD4366 Mtge","ID_CUSIP")</f>
        <v>3140B4Z86</v>
      </c>
      <c r="B2708" t="str">
        <f>_xll.BDP("FNDD4366 Mtge","SECURITY_NAME")</f>
        <v>FN DD4366</v>
      </c>
      <c r="C2708" t="str">
        <f>_xll.BDP("FNDD4366 Mtge","GENERIC_TICKER_VINTAGE")</f>
        <v>FNCL 6 2025</v>
      </c>
      <c r="D2708" t="str">
        <f>_xll.BDP("FNDD4366 Mtge","CRNCY")</f>
        <v>USD</v>
      </c>
      <c r="E2708">
        <v>4928580</v>
      </c>
      <c r="F2708">
        <f>_xll.BDP("FNDD4366 Mtge","CPN")</f>
        <v>6</v>
      </c>
      <c r="G2708">
        <f>_xll.BDP("FNDD4366 Mtge","MTG_FACTOR")</f>
        <v>0.94759515000000005</v>
      </c>
      <c r="H2708">
        <f>_xll.BDP("FNDD4366 Mtge","MTG_WAL")</f>
        <v>3.2010000000000001</v>
      </c>
      <c r="I2708" t="str">
        <f>_xll.BDP("FNDD4366 Mtge","MTG_ORIG_WAL")</f>
        <v>#N/A N/A</v>
      </c>
    </row>
    <row r="2709" spans="1:9" x14ac:dyDescent="0.25">
      <c r="A2709" t="str">
        <f>_xll.BDP("FNDD4368 Mtge","ID_CUSIP")</f>
        <v>3140B42A7</v>
      </c>
      <c r="B2709" t="str">
        <f>_xll.BDP("FNDD4368 Mtge","SECURITY_NAME")</f>
        <v>FN DD4368</v>
      </c>
      <c r="C2709" t="str">
        <f>_xll.BDP("FNDD4368 Mtge","GENERIC_TICKER_VINTAGE")</f>
        <v>FNCL 6 2025</v>
      </c>
      <c r="D2709" t="str">
        <f>_xll.BDP("FNDD4368 Mtge","CRNCY")</f>
        <v>USD</v>
      </c>
      <c r="E2709">
        <v>6288863</v>
      </c>
      <c r="F2709">
        <f>_xll.BDP("FNDD4368 Mtge","CPN")</f>
        <v>6</v>
      </c>
      <c r="G2709">
        <f>_xll.BDP("FNDD4368 Mtge","MTG_FACTOR")</f>
        <v>0.94561013999999999</v>
      </c>
      <c r="H2709">
        <f>_xll.BDP("FNDD4368 Mtge","MTG_WAL")</f>
        <v>3.2033</v>
      </c>
      <c r="I2709" t="str">
        <f>_xll.BDP("FNDD4368 Mtge","MTG_ORIG_WAL")</f>
        <v>#N/A N/A</v>
      </c>
    </row>
    <row r="2710" spans="1:9" x14ac:dyDescent="0.25">
      <c r="A2710" t="str">
        <f>_xll.BDP("FNDD4370 Mtge","ID_CUSIP")</f>
        <v>3140B42C3</v>
      </c>
      <c r="B2710" t="str">
        <f>_xll.BDP("FNDD4370 Mtge","SECURITY_NAME")</f>
        <v>FN DD4370</v>
      </c>
      <c r="C2710" t="str">
        <f>_xll.BDP("FNDD4370 Mtge","GENERIC_TICKER_VINTAGE")</f>
        <v>FNCL 6 2025</v>
      </c>
      <c r="D2710" t="str">
        <f>_xll.BDP("FNDD4370 Mtge","CRNCY")</f>
        <v>USD</v>
      </c>
      <c r="E2710">
        <v>1533300</v>
      </c>
      <c r="F2710">
        <f>_xll.BDP("FNDD4370 Mtge","CPN")</f>
        <v>6</v>
      </c>
      <c r="G2710">
        <f>_xll.BDP("FNDD4370 Mtge","MTG_FACTOR")</f>
        <v>0.78811542000000001</v>
      </c>
      <c r="H2710">
        <f>_xll.BDP("FNDD4370 Mtge","MTG_WAL")</f>
        <v>3.2505000000000002</v>
      </c>
      <c r="I2710" t="str">
        <f>_xll.BDP("FNDD4370 Mtge","MTG_ORIG_WAL")</f>
        <v>#N/A N/A</v>
      </c>
    </row>
    <row r="2711" spans="1:9" x14ac:dyDescent="0.25">
      <c r="A2711" t="str">
        <f>_xll.BDP("FNDD4371 Mtge","ID_CUSIP")</f>
        <v>3140B42D1</v>
      </c>
      <c r="B2711" t="str">
        <f>_xll.BDP("FNDD4371 Mtge","SECURITY_NAME")</f>
        <v>FN DD4371</v>
      </c>
      <c r="C2711" t="str">
        <f>_xll.BDP("FNDD4371 Mtge","GENERIC_TICKER_VINTAGE")</f>
        <v>FNCL 6 2025</v>
      </c>
      <c r="D2711" t="str">
        <f>_xll.BDP("FNDD4371 Mtge","CRNCY")</f>
        <v>USD</v>
      </c>
      <c r="E2711">
        <v>1465401</v>
      </c>
      <c r="F2711">
        <f>_xll.BDP("FNDD4371 Mtge","CPN")</f>
        <v>6</v>
      </c>
      <c r="G2711">
        <f>_xll.BDP("FNDD4371 Mtge","MTG_FACTOR")</f>
        <v>0.96823371000000003</v>
      </c>
      <c r="H2711">
        <f>_xll.BDP("FNDD4371 Mtge","MTG_WAL")</f>
        <v>3.1859000000000002</v>
      </c>
      <c r="I2711" t="str">
        <f>_xll.BDP("FNDD4371 Mtge","MTG_ORIG_WAL")</f>
        <v>#N/A N/A</v>
      </c>
    </row>
    <row r="2712" spans="1:9" x14ac:dyDescent="0.25">
      <c r="A2712" t="str">
        <f>_xll.BDP("FNDD4374 Mtge","ID_CUSIP")</f>
        <v>3140B42G4</v>
      </c>
      <c r="B2712" t="str">
        <f>_xll.BDP("FNDD4374 Mtge","SECURITY_NAME")</f>
        <v>FN DD4374</v>
      </c>
      <c r="C2712" t="str">
        <f>_xll.BDP("FNDD4374 Mtge","GENERIC_TICKER_VINTAGE")</f>
        <v>FNCL 6 2025</v>
      </c>
      <c r="D2712" t="str">
        <f>_xll.BDP("FNDD4374 Mtge","CRNCY")</f>
        <v>USD</v>
      </c>
      <c r="E2712">
        <v>3640159</v>
      </c>
      <c r="F2712">
        <f>_xll.BDP("FNDD4374 Mtge","CPN")</f>
        <v>6</v>
      </c>
      <c r="G2712">
        <f>_xll.BDP("FNDD4374 Mtge","MTG_FACTOR")</f>
        <v>0.89751296000000003</v>
      </c>
      <c r="H2712">
        <f>_xll.BDP("FNDD4374 Mtge","MTG_WAL")</f>
        <v>3.2010000000000001</v>
      </c>
      <c r="I2712" t="str">
        <f>_xll.BDP("FNDD4374 Mtge","MTG_ORIG_WAL")</f>
        <v>#N/A N/A</v>
      </c>
    </row>
    <row r="2713" spans="1:9" x14ac:dyDescent="0.25">
      <c r="A2713" t="str">
        <f>_xll.BDP("FNDD4375 Mtge","ID_CUSIP")</f>
        <v>3140B42H2</v>
      </c>
      <c r="B2713" t="str">
        <f>_xll.BDP("FNDD4375 Mtge","SECURITY_NAME")</f>
        <v>FN DD4375</v>
      </c>
      <c r="C2713" t="str">
        <f>_xll.BDP("FNDD4375 Mtge","GENERIC_TICKER_VINTAGE")</f>
        <v>FNCL 6 2025</v>
      </c>
      <c r="D2713" t="str">
        <f>_xll.BDP("FNDD4375 Mtge","CRNCY")</f>
        <v>USD</v>
      </c>
      <c r="E2713">
        <v>7861009</v>
      </c>
      <c r="F2713">
        <f>_xll.BDP("FNDD4375 Mtge","CPN")</f>
        <v>6</v>
      </c>
      <c r="G2713">
        <f>_xll.BDP("FNDD4375 Mtge","MTG_FACTOR")</f>
        <v>0.88810628000000003</v>
      </c>
      <c r="H2713">
        <f>_xll.BDP("FNDD4375 Mtge","MTG_WAL")</f>
        <v>3.1970000000000001</v>
      </c>
      <c r="I2713" t="str">
        <f>_xll.BDP("FNDD4375 Mtge","MTG_ORIG_WAL")</f>
        <v>#N/A N/A</v>
      </c>
    </row>
    <row r="2714" spans="1:9" x14ac:dyDescent="0.25">
      <c r="A2714" t="str">
        <f>_xll.BDP("FNDD4376 Mtge","ID_CUSIP")</f>
        <v>3140B42J8</v>
      </c>
      <c r="B2714" t="str">
        <f>_xll.BDP("FNDD4376 Mtge","SECURITY_NAME")</f>
        <v>FN DD4376</v>
      </c>
      <c r="C2714" t="str">
        <f>_xll.BDP("FNDD4376 Mtge","GENERIC_TICKER_VINTAGE")</f>
        <v>FNCL 6 2025</v>
      </c>
      <c r="D2714" t="str">
        <f>_xll.BDP("FNDD4376 Mtge","CRNCY")</f>
        <v>USD</v>
      </c>
      <c r="E2714">
        <v>5877809</v>
      </c>
      <c r="F2714">
        <f>_xll.BDP("FNDD4376 Mtge","CPN")</f>
        <v>6</v>
      </c>
      <c r="G2714">
        <f>_xll.BDP("FNDD4376 Mtge","MTG_FACTOR")</f>
        <v>0.60835943000000003</v>
      </c>
      <c r="H2714">
        <f>_xll.BDP("FNDD4376 Mtge","MTG_WAL")</f>
        <v>3.1958000000000002</v>
      </c>
      <c r="I2714" t="str">
        <f>_xll.BDP("FNDD4376 Mtge","MTG_ORIG_WAL")</f>
        <v>#N/A N/A</v>
      </c>
    </row>
    <row r="2715" spans="1:9" x14ac:dyDescent="0.25">
      <c r="A2715" t="str">
        <f>_xll.BDP("FNDD4377 Mtge","ID_CUSIP")</f>
        <v>3140B42K5</v>
      </c>
      <c r="B2715" t="str">
        <f>_xll.BDP("FNDD4377 Mtge","SECURITY_NAME")</f>
        <v>FN DD4377</v>
      </c>
      <c r="C2715" t="str">
        <f>_xll.BDP("FNDD4377 Mtge","GENERIC_TICKER_VINTAGE")</f>
        <v>FNCL 6 2025</v>
      </c>
      <c r="D2715" t="str">
        <f>_xll.BDP("FNDD4377 Mtge","CRNCY")</f>
        <v>USD</v>
      </c>
      <c r="E2715">
        <v>2110267</v>
      </c>
      <c r="F2715">
        <f>_xll.BDP("FNDD4377 Mtge","CPN")</f>
        <v>6</v>
      </c>
      <c r="G2715">
        <f>_xll.BDP("FNDD4377 Mtge","MTG_FACTOR")</f>
        <v>0.80035982000000006</v>
      </c>
      <c r="H2715">
        <f>_xll.BDP("FNDD4377 Mtge","MTG_WAL")</f>
        <v>3.2006999999999999</v>
      </c>
      <c r="I2715" t="str">
        <f>_xll.BDP("FNDD4377 Mtge","MTG_ORIG_WAL")</f>
        <v>#N/A N/A</v>
      </c>
    </row>
    <row r="2716" spans="1:9" x14ac:dyDescent="0.25">
      <c r="A2716" t="str">
        <f>_xll.BDP("FNDD4395 Mtge","ID_CUSIP")</f>
        <v>3140B43D0</v>
      </c>
      <c r="B2716" t="str">
        <f>_xll.BDP("FNDD4395 Mtge","SECURITY_NAME")</f>
        <v>FN DD4395</v>
      </c>
      <c r="C2716" t="str">
        <f>_xll.BDP("FNDD4395 Mtge","GENERIC_TICKER_VINTAGE")</f>
        <v>FNCL 6 2025</v>
      </c>
      <c r="D2716" t="str">
        <f>_xll.BDP("FNDD4395 Mtge","CRNCY")</f>
        <v>USD</v>
      </c>
      <c r="E2716">
        <v>1280321</v>
      </c>
      <c r="F2716">
        <f>_xll.BDP("FNDD4395 Mtge","CPN")</f>
        <v>6</v>
      </c>
      <c r="G2716">
        <f>_xll.BDP("FNDD4395 Mtge","MTG_FACTOR")</f>
        <v>0.98873277999999998</v>
      </c>
      <c r="H2716">
        <f>_xll.BDP("FNDD4395 Mtge","MTG_WAL")</f>
        <v>3.2890000000000001</v>
      </c>
      <c r="I2716" t="str">
        <f>_xll.BDP("FNDD4395 Mtge","MTG_ORIG_WAL")</f>
        <v>#N/A N/A</v>
      </c>
    </row>
    <row r="2717" spans="1:9" x14ac:dyDescent="0.25">
      <c r="A2717" t="str">
        <f>_xll.BDP("FNDD4400 Mtge","ID_CUSIP")</f>
        <v>3140B43J7</v>
      </c>
      <c r="B2717" t="str">
        <f>_xll.BDP("FNDD4400 Mtge","SECURITY_NAME")</f>
        <v>FN DD4400</v>
      </c>
      <c r="C2717" t="str">
        <f>_xll.BDP("FNDD4400 Mtge","GENERIC_TICKER_VINTAGE")</f>
        <v>FNCL 6 2025</v>
      </c>
      <c r="D2717" t="str">
        <f>_xll.BDP("FNDD4400 Mtge","CRNCY")</f>
        <v>USD</v>
      </c>
      <c r="E2717">
        <v>29323878</v>
      </c>
      <c r="F2717">
        <f>_xll.BDP("FNDD4400 Mtge","CPN")</f>
        <v>6</v>
      </c>
      <c r="G2717">
        <f>_xll.BDP("FNDD4400 Mtge","MTG_FACTOR")</f>
        <v>0.80234755999999996</v>
      </c>
      <c r="H2717">
        <f>_xll.BDP("FNDD4400 Mtge","MTG_WAL")</f>
        <v>3.2031999999999998</v>
      </c>
      <c r="I2717" t="str">
        <f>_xll.BDP("FNDD4400 Mtge","MTG_ORIG_WAL")</f>
        <v>#N/A N/A</v>
      </c>
    </row>
    <row r="2718" spans="1:9" x14ac:dyDescent="0.25">
      <c r="A2718" t="str">
        <f>_xll.BDP("FNDD4402 Mtge","ID_CUSIP")</f>
        <v>3140B43L2</v>
      </c>
      <c r="B2718" t="str">
        <f>_xll.BDP("FNDD4402 Mtge","SECURITY_NAME")</f>
        <v>FN DD4402</v>
      </c>
      <c r="C2718" t="str">
        <f>_xll.BDP("FNDD4402 Mtge","GENERIC_TICKER_VINTAGE")</f>
        <v>FNCL 6 2025</v>
      </c>
      <c r="D2718" t="str">
        <f>_xll.BDP("FNDD4402 Mtge","CRNCY")</f>
        <v>USD</v>
      </c>
      <c r="E2718">
        <v>37210765</v>
      </c>
      <c r="F2718">
        <f>_xll.BDP("FNDD4402 Mtge","CPN")</f>
        <v>6</v>
      </c>
      <c r="G2718">
        <f>_xll.BDP("FNDD4402 Mtge","MTG_FACTOR")</f>
        <v>0.68054106000000003</v>
      </c>
      <c r="H2718">
        <f>_xll.BDP("FNDD4402 Mtge","MTG_WAL")</f>
        <v>3.2025999999999999</v>
      </c>
      <c r="I2718" t="str">
        <f>_xll.BDP("FNDD4402 Mtge","MTG_ORIG_WAL")</f>
        <v>#N/A N/A</v>
      </c>
    </row>
    <row r="2719" spans="1:9" x14ac:dyDescent="0.25">
      <c r="A2719" t="str">
        <f>_xll.BDP("FNDD4405 Mtge","ID_CUSIP")</f>
        <v>3140B43P3</v>
      </c>
      <c r="B2719" t="str">
        <f>_xll.BDP("FNDD4405 Mtge","SECURITY_NAME")</f>
        <v>FN DD4405</v>
      </c>
      <c r="C2719" t="str">
        <f>_xll.BDP("FNDD4405 Mtge","GENERIC_TICKER_VINTAGE")</f>
        <v>FNCL 6 2025</v>
      </c>
      <c r="D2719" t="str">
        <f>_xll.BDP("FNDD4405 Mtge","CRNCY")</f>
        <v>USD</v>
      </c>
      <c r="E2719">
        <v>14810797</v>
      </c>
      <c r="F2719">
        <f>_xll.BDP("FNDD4405 Mtge","CPN")</f>
        <v>6</v>
      </c>
      <c r="G2719">
        <f>_xll.BDP("FNDD4405 Mtge","MTG_FACTOR")</f>
        <v>0.83625945000000002</v>
      </c>
      <c r="H2719">
        <f>_xll.BDP("FNDD4405 Mtge","MTG_WAL")</f>
        <v>3.2004999999999999</v>
      </c>
      <c r="I2719" t="str">
        <f>_xll.BDP("FNDD4405 Mtge","MTG_ORIG_WAL")</f>
        <v>#N/A N/A</v>
      </c>
    </row>
    <row r="2720" spans="1:9" x14ac:dyDescent="0.25">
      <c r="A2720" t="str">
        <f>_xll.BDP("FNDD4421 Mtge","ID_CUSIP")</f>
        <v>3140B44F4</v>
      </c>
      <c r="B2720" t="str">
        <f>_xll.BDP("FNDD4421 Mtge","SECURITY_NAME")</f>
        <v>FN DD4421</v>
      </c>
      <c r="C2720" t="str">
        <f>_xll.BDP("FNDD4421 Mtge","GENERIC_TICKER_VINTAGE")</f>
        <v>FNCL 6 2025</v>
      </c>
      <c r="D2720" t="str">
        <f>_xll.BDP("FNDD4421 Mtge","CRNCY")</f>
        <v>USD</v>
      </c>
      <c r="E2720">
        <v>1458179</v>
      </c>
      <c r="F2720">
        <f>_xll.BDP("FNDD4421 Mtge","CPN")</f>
        <v>6</v>
      </c>
      <c r="G2720">
        <f>_xll.BDP("FNDD4421 Mtge","MTG_FACTOR")</f>
        <v>0.90137712000000003</v>
      </c>
      <c r="H2720">
        <f>_xll.BDP("FNDD4421 Mtge","MTG_WAL")</f>
        <v>3.1920000000000002</v>
      </c>
      <c r="I2720" t="str">
        <f>_xll.BDP("FNDD4421 Mtge","MTG_ORIG_WAL")</f>
        <v>#N/A N/A</v>
      </c>
    </row>
    <row r="2721" spans="1:9" x14ac:dyDescent="0.25">
      <c r="A2721" t="str">
        <f>_xll.BDP("FNDD4426 Mtge","ID_CUSIP")</f>
        <v>3140B44L1</v>
      </c>
      <c r="B2721" t="str">
        <f>_xll.BDP("FNDD4426 Mtge","SECURITY_NAME")</f>
        <v>FN DD4426</v>
      </c>
      <c r="C2721" t="str">
        <f>_xll.BDP("FNDD4426 Mtge","GENERIC_TICKER_VINTAGE")</f>
        <v>FNCL 6 2025</v>
      </c>
      <c r="D2721" t="str">
        <f>_xll.BDP("FNDD4426 Mtge","CRNCY")</f>
        <v>USD</v>
      </c>
      <c r="E2721">
        <v>6643050</v>
      </c>
      <c r="F2721">
        <f>_xll.BDP("FNDD4426 Mtge","CPN")</f>
        <v>6</v>
      </c>
      <c r="G2721">
        <f>_xll.BDP("FNDD4426 Mtge","MTG_FACTOR")</f>
        <v>0.91561501000000001</v>
      </c>
      <c r="H2721">
        <f>_xll.BDP("FNDD4426 Mtge","MTG_WAL")</f>
        <v>3.1978</v>
      </c>
      <c r="I2721" t="str">
        <f>_xll.BDP("FNDD4426 Mtge","MTG_ORIG_WAL")</f>
        <v>#N/A N/A</v>
      </c>
    </row>
    <row r="2722" spans="1:9" x14ac:dyDescent="0.25">
      <c r="A2722" t="str">
        <f>_xll.BDP("FNDD4427 Mtge","ID_CUSIP")</f>
        <v>3140B44M9</v>
      </c>
      <c r="B2722" t="str">
        <f>_xll.BDP("FNDD4427 Mtge","SECURITY_NAME")</f>
        <v>FN DD4427</v>
      </c>
      <c r="C2722" t="str">
        <f>_xll.BDP("FNDD4427 Mtge","GENERIC_TICKER_VINTAGE")</f>
        <v>FNCL 6 2025</v>
      </c>
      <c r="D2722" t="str">
        <f>_xll.BDP("FNDD4427 Mtge","CRNCY")</f>
        <v>USD</v>
      </c>
      <c r="E2722">
        <v>6042390</v>
      </c>
      <c r="F2722">
        <f>_xll.BDP("FNDD4427 Mtge","CPN")</f>
        <v>6</v>
      </c>
      <c r="G2722">
        <f>_xll.BDP("FNDD4427 Mtge","MTG_FACTOR")</f>
        <v>0.84950124999999999</v>
      </c>
      <c r="H2722">
        <f>_xll.BDP("FNDD4427 Mtge","MTG_WAL")</f>
        <v>3.1987000000000001</v>
      </c>
      <c r="I2722" t="str">
        <f>_xll.BDP("FNDD4427 Mtge","MTG_ORIG_WAL")</f>
        <v>#N/A N/A</v>
      </c>
    </row>
    <row r="2723" spans="1:9" x14ac:dyDescent="0.25">
      <c r="A2723" t="str">
        <f>_xll.BDP("FNDD4428 Mtge","ID_CUSIP")</f>
        <v>3140B44N7</v>
      </c>
      <c r="B2723" t="str">
        <f>_xll.BDP("FNDD4428 Mtge","SECURITY_NAME")</f>
        <v>FN DD4428</v>
      </c>
      <c r="C2723" t="str">
        <f>_xll.BDP("FNDD4428 Mtge","GENERIC_TICKER_VINTAGE")</f>
        <v>FNCL 6 2025</v>
      </c>
      <c r="D2723" t="str">
        <f>_xll.BDP("FNDD4428 Mtge","CRNCY")</f>
        <v>USD</v>
      </c>
      <c r="E2723">
        <v>6818195</v>
      </c>
      <c r="F2723">
        <f>_xll.BDP("FNDD4428 Mtge","CPN")</f>
        <v>6</v>
      </c>
      <c r="G2723">
        <f>_xll.BDP("FNDD4428 Mtge","MTG_FACTOR")</f>
        <v>0.94565220000000005</v>
      </c>
      <c r="H2723">
        <f>_xll.BDP("FNDD4428 Mtge","MTG_WAL")</f>
        <v>3.1998000000000002</v>
      </c>
      <c r="I2723" t="str">
        <f>_xll.BDP("FNDD4428 Mtge","MTG_ORIG_WAL")</f>
        <v>#N/A N/A</v>
      </c>
    </row>
    <row r="2724" spans="1:9" x14ac:dyDescent="0.25">
      <c r="A2724" t="str">
        <f>_xll.BDP("FNDD4430 Mtge","ID_CUSIP")</f>
        <v>3140B44Q0</v>
      </c>
      <c r="B2724" t="str">
        <f>_xll.BDP("FNDD4430 Mtge","SECURITY_NAME")</f>
        <v>FN DD4430</v>
      </c>
      <c r="C2724" t="str">
        <f>_xll.BDP("FNDD4430 Mtge","GENERIC_TICKER_VINTAGE")</f>
        <v>FNCL 6 2025</v>
      </c>
      <c r="D2724" t="str">
        <f>_xll.BDP("FNDD4430 Mtge","CRNCY")</f>
        <v>USD</v>
      </c>
      <c r="E2724">
        <v>7841988</v>
      </c>
      <c r="F2724">
        <f>_xll.BDP("FNDD4430 Mtge","CPN")</f>
        <v>6</v>
      </c>
      <c r="G2724">
        <f>_xll.BDP("FNDD4430 Mtge","MTG_FACTOR")</f>
        <v>0.92636490000000005</v>
      </c>
      <c r="H2724">
        <f>_xll.BDP("FNDD4430 Mtge","MTG_WAL")</f>
        <v>3.1960000000000002</v>
      </c>
      <c r="I2724" t="str">
        <f>_xll.BDP("FNDD4430 Mtge","MTG_ORIG_WAL")</f>
        <v>#N/A N/A</v>
      </c>
    </row>
    <row r="2725" spans="1:9" x14ac:dyDescent="0.25">
      <c r="A2725" t="str">
        <f>_xll.BDP("FNDD4431 Mtge","ID_CUSIP")</f>
        <v>3140B44R8</v>
      </c>
      <c r="B2725" t="str">
        <f>_xll.BDP("FNDD4431 Mtge","SECURITY_NAME")</f>
        <v>FN DD4431</v>
      </c>
      <c r="C2725" t="str">
        <f>_xll.BDP("FNDD4431 Mtge","GENERIC_TICKER_VINTAGE")</f>
        <v>FNCL 6 2025</v>
      </c>
      <c r="D2725" t="str">
        <f>_xll.BDP("FNDD4431 Mtge","CRNCY")</f>
        <v>USD</v>
      </c>
      <c r="E2725">
        <v>8063217</v>
      </c>
      <c r="F2725">
        <f>_xll.BDP("FNDD4431 Mtge","CPN")</f>
        <v>6</v>
      </c>
      <c r="G2725">
        <f>_xll.BDP("FNDD4431 Mtge","MTG_FACTOR")</f>
        <v>0.59796031999999999</v>
      </c>
      <c r="H2725">
        <f>_xll.BDP("FNDD4431 Mtge","MTG_WAL")</f>
        <v>3.2044000000000001</v>
      </c>
      <c r="I2725" t="str">
        <f>_xll.BDP("FNDD4431 Mtge","MTG_ORIG_WAL")</f>
        <v>#N/A N/A</v>
      </c>
    </row>
    <row r="2726" spans="1:9" x14ac:dyDescent="0.25">
      <c r="A2726" t="str">
        <f>_xll.BDP("FNDD4433 Mtge","ID_CUSIP")</f>
        <v>3140B44T4</v>
      </c>
      <c r="B2726" t="str">
        <f>_xll.BDP("FNDD4433 Mtge","SECURITY_NAME")</f>
        <v>FN DD4433</v>
      </c>
      <c r="C2726" t="str">
        <f>_xll.BDP("FNDD4433 Mtge","GENERIC_TICKER_VINTAGE")</f>
        <v>FNCL 6 2025</v>
      </c>
      <c r="D2726" t="str">
        <f>_xll.BDP("FNDD4433 Mtge","CRNCY")</f>
        <v>USD</v>
      </c>
      <c r="E2726">
        <v>6004134</v>
      </c>
      <c r="F2726">
        <f>_xll.BDP("FNDD4433 Mtge","CPN")</f>
        <v>6</v>
      </c>
      <c r="G2726">
        <f>_xll.BDP("FNDD4433 Mtge","MTG_FACTOR")</f>
        <v>0.83822319999999995</v>
      </c>
      <c r="H2726">
        <f>_xll.BDP("FNDD4433 Mtge","MTG_WAL")</f>
        <v>3.1958000000000002</v>
      </c>
      <c r="I2726" t="str">
        <f>_xll.BDP("FNDD4433 Mtge","MTG_ORIG_WAL")</f>
        <v>#N/A N/A</v>
      </c>
    </row>
    <row r="2727" spans="1:9" x14ac:dyDescent="0.25">
      <c r="A2727" t="str">
        <f>_xll.BDP("FNDD4459 Mtge","ID_CUSIP")</f>
        <v>3140B45V8</v>
      </c>
      <c r="B2727" t="str">
        <f>_xll.BDP("FNDD4459 Mtge","SECURITY_NAME")</f>
        <v>FN DD4459</v>
      </c>
      <c r="C2727" t="str">
        <f>_xll.BDP("FNDD4459 Mtge","GENERIC_TICKER_VINTAGE")</f>
        <v>FNCL 6 2025</v>
      </c>
      <c r="D2727" t="str">
        <f>_xll.BDP("FNDD4459 Mtge","CRNCY")</f>
        <v>USD</v>
      </c>
      <c r="E2727">
        <v>76032106</v>
      </c>
      <c r="F2727">
        <f>_xll.BDP("FNDD4459 Mtge","CPN")</f>
        <v>6</v>
      </c>
      <c r="G2727">
        <f>_xll.BDP("FNDD4459 Mtge","MTG_FACTOR")</f>
        <v>0.78512177999999999</v>
      </c>
      <c r="H2727">
        <f>_xll.BDP("FNDD4459 Mtge","MTG_WAL")</f>
        <v>3.2473999999999998</v>
      </c>
      <c r="I2727" t="str">
        <f>_xll.BDP("FNDD4459 Mtge","MTG_ORIG_WAL")</f>
        <v>#N/A N/A</v>
      </c>
    </row>
    <row r="2728" spans="1:9" x14ac:dyDescent="0.25">
      <c r="A2728" t="str">
        <f>_xll.BDP("FNDD4464 Mtge","ID_CUSIP")</f>
        <v>3140B46A3</v>
      </c>
      <c r="B2728" t="str">
        <f>_xll.BDP("FNDD4464 Mtge","SECURITY_NAME")</f>
        <v>FN DD4464</v>
      </c>
      <c r="C2728" t="str">
        <f>_xll.BDP("FNDD4464 Mtge","GENERIC_TICKER_VINTAGE")</f>
        <v>FNCL 6 2025</v>
      </c>
      <c r="D2728" t="str">
        <f>_xll.BDP("FNDD4464 Mtge","CRNCY")</f>
        <v>USD</v>
      </c>
      <c r="E2728">
        <v>25619867</v>
      </c>
      <c r="F2728">
        <f>_xll.BDP("FNDD4464 Mtge","CPN")</f>
        <v>6</v>
      </c>
      <c r="G2728">
        <f>_xll.BDP("FNDD4464 Mtge","MTG_FACTOR")</f>
        <v>0.82694467999999999</v>
      </c>
      <c r="H2728">
        <f>_xll.BDP("FNDD4464 Mtge","MTG_WAL")</f>
        <v>3.2446000000000002</v>
      </c>
      <c r="I2728" t="str">
        <f>_xll.BDP("FNDD4464 Mtge","MTG_ORIG_WAL")</f>
        <v>#N/A N/A</v>
      </c>
    </row>
    <row r="2729" spans="1:9" x14ac:dyDescent="0.25">
      <c r="A2729" t="str">
        <f>_xll.BDP("FNDD4487 Mtge","ID_CUSIP")</f>
        <v>3140B46Z8</v>
      </c>
      <c r="B2729" t="str">
        <f>_xll.BDP("FNDD4487 Mtge","SECURITY_NAME")</f>
        <v>FN DD4487</v>
      </c>
      <c r="C2729" t="str">
        <f>_xll.BDP("FNDD4487 Mtge","GENERIC_TICKER_VINTAGE")</f>
        <v>FNCL 6 2025</v>
      </c>
      <c r="D2729" t="str">
        <f>_xll.BDP("FNDD4487 Mtge","CRNCY")</f>
        <v>USD</v>
      </c>
      <c r="E2729">
        <v>3570442</v>
      </c>
      <c r="F2729">
        <f>_xll.BDP("FNDD4487 Mtge","CPN")</f>
        <v>6</v>
      </c>
      <c r="G2729">
        <f>_xll.BDP("FNDD4487 Mtge","MTG_FACTOR")</f>
        <v>0.89386613999999998</v>
      </c>
      <c r="H2729">
        <f>_xll.BDP("FNDD4487 Mtge","MTG_WAL")</f>
        <v>3.2383000000000002</v>
      </c>
      <c r="I2729" t="str">
        <f>_xll.BDP("FNDD4487 Mtge","MTG_ORIG_WAL")</f>
        <v>#N/A N/A</v>
      </c>
    </row>
    <row r="2730" spans="1:9" x14ac:dyDescent="0.25">
      <c r="A2730" t="str">
        <f>_xll.BDP("FNDD4490 Mtge","ID_CUSIP")</f>
        <v>3140B47C8</v>
      </c>
      <c r="B2730" t="str">
        <f>_xll.BDP("FNDD4490 Mtge","SECURITY_NAME")</f>
        <v>FN DD4490</v>
      </c>
      <c r="C2730" t="str">
        <f>_xll.BDP("FNDD4490 Mtge","GENERIC_TICKER_VINTAGE")</f>
        <v>FNCL 6 2025</v>
      </c>
      <c r="D2730" t="str">
        <f>_xll.BDP("FNDD4490 Mtge","CRNCY")</f>
        <v>USD</v>
      </c>
      <c r="E2730">
        <v>12041588</v>
      </c>
      <c r="F2730">
        <f>_xll.BDP("FNDD4490 Mtge","CPN")</f>
        <v>6</v>
      </c>
      <c r="G2730">
        <f>_xll.BDP("FNDD4490 Mtge","MTG_FACTOR")</f>
        <v>0.86437151000000001</v>
      </c>
      <c r="H2730">
        <f>_xll.BDP("FNDD4490 Mtge","MTG_WAL")</f>
        <v>3.2397999999999998</v>
      </c>
      <c r="I2730" t="str">
        <f>_xll.BDP("FNDD4490 Mtge","MTG_ORIG_WAL")</f>
        <v>#N/A N/A</v>
      </c>
    </row>
    <row r="2731" spans="1:9" x14ac:dyDescent="0.25">
      <c r="A2731" t="str">
        <f>_xll.BDP("FNDD4492 Mtge","ID_CUSIP")</f>
        <v>3140B47E4</v>
      </c>
      <c r="B2731" t="str">
        <f>_xll.BDP("FNDD4492 Mtge","SECURITY_NAME")</f>
        <v>FN DD4492</v>
      </c>
      <c r="C2731" t="str">
        <f>_xll.BDP("FNDD4492 Mtge","GENERIC_TICKER_VINTAGE")</f>
        <v>FNCL 6 2025</v>
      </c>
      <c r="D2731" t="str">
        <f>_xll.BDP("FNDD4492 Mtge","CRNCY")</f>
        <v>USD</v>
      </c>
      <c r="E2731">
        <v>13541677</v>
      </c>
      <c r="F2731">
        <f>_xll.BDP("FNDD4492 Mtge","CPN")</f>
        <v>6</v>
      </c>
      <c r="G2731">
        <f>_xll.BDP("FNDD4492 Mtge","MTG_FACTOR")</f>
        <v>0.93174119</v>
      </c>
      <c r="H2731">
        <f>_xll.BDP("FNDD4492 Mtge","MTG_WAL")</f>
        <v>3.2454999999999998</v>
      </c>
      <c r="I2731" t="str">
        <f>_xll.BDP("FNDD4492 Mtge","MTG_ORIG_WAL")</f>
        <v>#N/A N/A</v>
      </c>
    </row>
    <row r="2732" spans="1:9" x14ac:dyDescent="0.25">
      <c r="A2732" t="str">
        <f>_xll.BDP("FNDD4494 Mtge","ID_CUSIP")</f>
        <v>3140B47G9</v>
      </c>
      <c r="B2732" t="str">
        <f>_xll.BDP("FNDD4494 Mtge","SECURITY_NAME")</f>
        <v>FN DD4494</v>
      </c>
      <c r="C2732" t="str">
        <f>_xll.BDP("FNDD4494 Mtge","GENERIC_TICKER_VINTAGE")</f>
        <v>FNCL 6 2025</v>
      </c>
      <c r="D2732" t="str">
        <f>_xll.BDP("FNDD4494 Mtge","CRNCY")</f>
        <v>USD</v>
      </c>
      <c r="E2732">
        <v>14492028</v>
      </c>
      <c r="F2732">
        <f>_xll.BDP("FNDD4494 Mtge","CPN")</f>
        <v>6</v>
      </c>
      <c r="G2732">
        <f>_xll.BDP("FNDD4494 Mtge","MTG_FACTOR")</f>
        <v>0.91493104999999997</v>
      </c>
      <c r="H2732">
        <f>_xll.BDP("FNDD4494 Mtge","MTG_WAL")</f>
        <v>3.2444000000000002</v>
      </c>
      <c r="I2732" t="str">
        <f>_xll.BDP("FNDD4494 Mtge","MTG_ORIG_WAL")</f>
        <v>#N/A N/A</v>
      </c>
    </row>
    <row r="2733" spans="1:9" x14ac:dyDescent="0.25">
      <c r="A2733" t="str">
        <f>_xll.BDP("FNDD4496 Mtge","ID_CUSIP")</f>
        <v>3140B47J3</v>
      </c>
      <c r="B2733" t="str">
        <f>_xll.BDP("FNDD4496 Mtge","SECURITY_NAME")</f>
        <v>FN DD4496</v>
      </c>
      <c r="C2733" t="str">
        <f>_xll.BDP("FNDD4496 Mtge","GENERIC_TICKER_VINTAGE")</f>
        <v>FNCL 6 2025</v>
      </c>
      <c r="D2733" t="str">
        <f>_xll.BDP("FNDD4496 Mtge","CRNCY")</f>
        <v>USD</v>
      </c>
      <c r="E2733">
        <v>4389596</v>
      </c>
      <c r="F2733">
        <f>_xll.BDP("FNDD4496 Mtge","CPN")</f>
        <v>6</v>
      </c>
      <c r="G2733">
        <f>_xll.BDP("FNDD4496 Mtge","MTG_FACTOR")</f>
        <v>0.97776980000000002</v>
      </c>
      <c r="H2733">
        <f>_xll.BDP("FNDD4496 Mtge","MTG_WAL")</f>
        <v>3.2414999999999998</v>
      </c>
      <c r="I2733" t="str">
        <f>_xll.BDP("FNDD4496 Mtge","MTG_ORIG_WAL")</f>
        <v>#N/A N/A</v>
      </c>
    </row>
    <row r="2734" spans="1:9" x14ac:dyDescent="0.25">
      <c r="A2734" t="str">
        <f>_xll.BDP("FNDD4497 Mtge","ID_CUSIP")</f>
        <v>3140B47K0</v>
      </c>
      <c r="B2734" t="str">
        <f>_xll.BDP("FNDD4497 Mtge","SECURITY_NAME")</f>
        <v>FN DD4497</v>
      </c>
      <c r="C2734" t="str">
        <f>_xll.BDP("FNDD4497 Mtge","GENERIC_TICKER_VINTAGE")</f>
        <v>FNCL 6 2025</v>
      </c>
      <c r="D2734" t="str">
        <f>_xll.BDP("FNDD4497 Mtge","CRNCY")</f>
        <v>USD</v>
      </c>
      <c r="E2734">
        <v>16858984</v>
      </c>
      <c r="F2734">
        <f>_xll.BDP("FNDD4497 Mtge","CPN")</f>
        <v>6</v>
      </c>
      <c r="G2734">
        <f>_xll.BDP("FNDD4497 Mtge","MTG_FACTOR")</f>
        <v>0.84855919999999996</v>
      </c>
      <c r="H2734">
        <f>_xll.BDP("FNDD4497 Mtge","MTG_WAL")</f>
        <v>3.2475000000000001</v>
      </c>
      <c r="I2734" t="str">
        <f>_xll.BDP("FNDD4497 Mtge","MTG_ORIG_WAL")</f>
        <v>#N/A N/A</v>
      </c>
    </row>
    <row r="2735" spans="1:9" x14ac:dyDescent="0.25">
      <c r="A2735" t="str">
        <f>_xll.BDP("FNDD4530 Mtge","ID_CUSIP")</f>
        <v>3140B5A80</v>
      </c>
      <c r="B2735" t="str">
        <f>_xll.BDP("FNDD4530 Mtge","SECURITY_NAME")</f>
        <v>FN DD4530</v>
      </c>
      <c r="C2735" t="str">
        <f>_xll.BDP("FNDD4530 Mtge","GENERIC_TICKER_VINTAGE")</f>
        <v>FNCL 6 2025</v>
      </c>
      <c r="D2735" t="str">
        <f>_xll.BDP("FNDD4530 Mtge","CRNCY")</f>
        <v>USD</v>
      </c>
      <c r="E2735">
        <v>15658981</v>
      </c>
      <c r="F2735">
        <f>_xll.BDP("FNDD4530 Mtge","CPN")</f>
        <v>6</v>
      </c>
      <c r="G2735">
        <f>_xll.BDP("FNDD4530 Mtge","MTG_FACTOR")</f>
        <v>0.98939692999999995</v>
      </c>
      <c r="H2735">
        <f>_xll.BDP("FNDD4530 Mtge","MTG_WAL")</f>
        <v>3.2014999999999998</v>
      </c>
      <c r="I2735" t="str">
        <f>_xll.BDP("FNDD4530 Mtge","MTG_ORIG_WAL")</f>
        <v>#N/A N/A</v>
      </c>
    </row>
    <row r="2736" spans="1:9" x14ac:dyDescent="0.25">
      <c r="A2736" t="str">
        <f>_xll.BDP("FNDD4531 Mtge","ID_CUSIP")</f>
        <v>3140B5A98</v>
      </c>
      <c r="B2736" t="str">
        <f>_xll.BDP("FNDD4531 Mtge","SECURITY_NAME")</f>
        <v>FN DD4531</v>
      </c>
      <c r="C2736" t="str">
        <f>_xll.BDP("FNDD4531 Mtge","GENERIC_TICKER_VINTAGE")</f>
        <v>FNCL 6 2025</v>
      </c>
      <c r="D2736" t="str">
        <f>_xll.BDP("FNDD4531 Mtge","CRNCY")</f>
        <v>USD</v>
      </c>
      <c r="E2736">
        <v>8759200</v>
      </c>
      <c r="F2736">
        <f>_xll.BDP("FNDD4531 Mtge","CPN")</f>
        <v>6</v>
      </c>
      <c r="G2736">
        <f>_xll.BDP("FNDD4531 Mtge","MTG_FACTOR")</f>
        <v>0.98911048000000001</v>
      </c>
      <c r="H2736">
        <f>_xll.BDP("FNDD4531 Mtge","MTG_WAL")</f>
        <v>3.2025000000000001</v>
      </c>
      <c r="I2736" t="str">
        <f>_xll.BDP("FNDD4531 Mtge","MTG_ORIG_WAL")</f>
        <v>#N/A N/A</v>
      </c>
    </row>
    <row r="2737" spans="1:9" x14ac:dyDescent="0.25">
      <c r="A2737" t="str">
        <f>_xll.BDP("FNDD4557 Mtge","ID_CUSIP")</f>
        <v>3140B5B30</v>
      </c>
      <c r="B2737" t="str">
        <f>_xll.BDP("FNDD4557 Mtge","SECURITY_NAME")</f>
        <v>FN DD4557</v>
      </c>
      <c r="C2737" t="str">
        <f>_xll.BDP("FNDD4557 Mtge","GENERIC_TICKER_VINTAGE")</f>
        <v>FNCL 6 2025</v>
      </c>
      <c r="D2737" t="str">
        <f>_xll.BDP("FNDD4557 Mtge","CRNCY")</f>
        <v>USD</v>
      </c>
      <c r="E2737">
        <v>4388710</v>
      </c>
      <c r="F2737">
        <f>_xll.BDP("FNDD4557 Mtge","CPN")</f>
        <v>6</v>
      </c>
      <c r="G2737">
        <f>_xll.BDP("FNDD4557 Mtge","MTG_FACTOR")</f>
        <v>0.98952715000000002</v>
      </c>
      <c r="H2737">
        <f>_xll.BDP("FNDD4557 Mtge","MTG_WAL")</f>
        <v>3.2437</v>
      </c>
      <c r="I2737" t="str">
        <f>_xll.BDP("FNDD4557 Mtge","MTG_ORIG_WAL")</f>
        <v>#N/A N/A</v>
      </c>
    </row>
    <row r="2738" spans="1:9" x14ac:dyDescent="0.25">
      <c r="A2738" t="str">
        <f>_xll.BDP("FNDD4565 Mtge","ID_CUSIP")</f>
        <v>3140B5CB1</v>
      </c>
      <c r="B2738" t="str">
        <f>_xll.BDP("FNDD4565 Mtge","SECURITY_NAME")</f>
        <v>FN DD4565</v>
      </c>
      <c r="C2738" t="str">
        <f>_xll.BDP("FNDD4565 Mtge","GENERIC_TICKER_VINTAGE")</f>
        <v>FNCL 6 2025</v>
      </c>
      <c r="D2738" t="str">
        <f>_xll.BDP("FNDD4565 Mtge","CRNCY")</f>
        <v>USD</v>
      </c>
      <c r="E2738">
        <v>1108814</v>
      </c>
      <c r="F2738">
        <f>_xll.BDP("FNDD4565 Mtge","CPN")</f>
        <v>6</v>
      </c>
      <c r="G2738">
        <f>_xll.BDP("FNDD4565 Mtge","MTG_FACTOR")</f>
        <v>0.99118209000000002</v>
      </c>
      <c r="H2738">
        <f>_xll.BDP("FNDD4565 Mtge","MTG_WAL")</f>
        <v>3.2944</v>
      </c>
      <c r="I2738" t="str">
        <f>_xll.BDP("FNDD4565 Mtge","MTG_ORIG_WAL")</f>
        <v>#N/A N/A</v>
      </c>
    </row>
    <row r="2739" spans="1:9" x14ac:dyDescent="0.25">
      <c r="A2739" t="str">
        <f>_xll.BDP("FNDD4609 Mtge","ID_CUSIP")</f>
        <v>3140B5DP9</v>
      </c>
      <c r="B2739" t="str">
        <f>_xll.BDP("FNDD4609 Mtge","SECURITY_NAME")</f>
        <v>FN DD4609</v>
      </c>
      <c r="C2739" t="str">
        <f>_xll.BDP("FNDD4609 Mtge","GENERIC_TICKER_VINTAGE")</f>
        <v>FNCL 6 2025</v>
      </c>
      <c r="D2739" t="str">
        <f>_xll.BDP("FNDD4609 Mtge","CRNCY")</f>
        <v>USD</v>
      </c>
      <c r="E2739">
        <v>1743131</v>
      </c>
      <c r="F2739">
        <f>_xll.BDP("FNDD4609 Mtge","CPN")</f>
        <v>6</v>
      </c>
      <c r="G2739">
        <f>_xll.BDP("FNDD4609 Mtge","MTG_FACTOR")</f>
        <v>0.81331154999999999</v>
      </c>
      <c r="H2739">
        <f>_xll.BDP("FNDD4609 Mtge","MTG_WAL")</f>
        <v>3.1993999999999998</v>
      </c>
      <c r="I2739" t="str">
        <f>_xll.BDP("FNDD4609 Mtge","MTG_ORIG_WAL")</f>
        <v>#N/A N/A</v>
      </c>
    </row>
    <row r="2740" spans="1:9" x14ac:dyDescent="0.25">
      <c r="A2740" t="str">
        <f>_xll.BDP("FNDD4611 Mtge","ID_CUSIP")</f>
        <v>3140B5DR5</v>
      </c>
      <c r="B2740" t="str">
        <f>_xll.BDP("FNDD4611 Mtge","SECURITY_NAME")</f>
        <v>FN DD4611</v>
      </c>
      <c r="C2740" t="str">
        <f>_xll.BDP("FNDD4611 Mtge","GENERIC_TICKER_VINTAGE")</f>
        <v>FNCL 6 2025</v>
      </c>
      <c r="D2740" t="str">
        <f>_xll.BDP("FNDD4611 Mtge","CRNCY")</f>
        <v>USD</v>
      </c>
      <c r="E2740">
        <v>1689865</v>
      </c>
      <c r="F2740">
        <f>_xll.BDP("FNDD4611 Mtge","CPN")</f>
        <v>6</v>
      </c>
      <c r="G2740">
        <f>_xll.BDP("FNDD4611 Mtge","MTG_FACTOR")</f>
        <v>0.98768257999999998</v>
      </c>
      <c r="H2740">
        <f>_xll.BDP("FNDD4611 Mtge","MTG_WAL")</f>
        <v>3.2042000000000002</v>
      </c>
      <c r="I2740" t="str">
        <f>_xll.BDP("FNDD4611 Mtge","MTG_ORIG_WAL")</f>
        <v>#N/A N/A</v>
      </c>
    </row>
    <row r="2741" spans="1:9" x14ac:dyDescent="0.25">
      <c r="A2741" t="str">
        <f>_xll.BDP("FNDD4617 Mtge","ID_CUSIP")</f>
        <v>3140B5DX2</v>
      </c>
      <c r="B2741" t="str">
        <f>_xll.BDP("FNDD4617 Mtge","SECURITY_NAME")</f>
        <v>FN DD4617</v>
      </c>
      <c r="C2741" t="str">
        <f>_xll.BDP("FNDD4617 Mtge","GENERIC_TICKER_VINTAGE")</f>
        <v>FNCL 6 2025</v>
      </c>
      <c r="D2741" t="str">
        <f>_xll.BDP("FNDD4617 Mtge","CRNCY")</f>
        <v>USD</v>
      </c>
      <c r="E2741">
        <v>1775075</v>
      </c>
      <c r="F2741">
        <f>_xll.BDP("FNDD4617 Mtge","CPN")</f>
        <v>6</v>
      </c>
      <c r="G2741">
        <f>_xll.BDP("FNDD4617 Mtge","MTG_FACTOR")</f>
        <v>0.44489972999999999</v>
      </c>
      <c r="H2741">
        <f>_xll.BDP("FNDD4617 Mtge","MTG_WAL")</f>
        <v>3.1983000000000001</v>
      </c>
      <c r="I2741" t="str">
        <f>_xll.BDP("FNDD4617 Mtge","MTG_ORIG_WAL")</f>
        <v>#N/A N/A</v>
      </c>
    </row>
    <row r="2742" spans="1:9" x14ac:dyDescent="0.25">
      <c r="A2742" t="str">
        <f>_xll.BDP("FNDD4636 Mtge","ID_CUSIP")</f>
        <v>3140B5EJ2</v>
      </c>
      <c r="B2742" t="str">
        <f>_xll.BDP("FNDD4636 Mtge","SECURITY_NAME")</f>
        <v>FN DD4636</v>
      </c>
      <c r="C2742" t="str">
        <f>_xll.BDP("FNDD4636 Mtge","GENERIC_TICKER_VINTAGE")</f>
        <v>FNCL 6 2025</v>
      </c>
      <c r="D2742" t="str">
        <f>_xll.BDP("FNDD4636 Mtge","CRNCY")</f>
        <v>USD</v>
      </c>
      <c r="E2742">
        <v>3868010</v>
      </c>
      <c r="F2742">
        <f>_xll.BDP("FNDD4636 Mtge","CPN")</f>
        <v>6</v>
      </c>
      <c r="G2742">
        <f>_xll.BDP("FNDD4636 Mtge","MTG_FACTOR")</f>
        <v>0.83921491000000004</v>
      </c>
      <c r="H2742">
        <f>_xll.BDP("FNDD4636 Mtge","MTG_WAL")</f>
        <v>3.198</v>
      </c>
      <c r="I2742" t="str">
        <f>_xll.BDP("FNDD4636 Mtge","MTG_ORIG_WAL")</f>
        <v>#N/A N/A</v>
      </c>
    </row>
    <row r="2743" spans="1:9" x14ac:dyDescent="0.25">
      <c r="A2743" t="str">
        <f>_xll.BDP("FNDD4639 Mtge","ID_CUSIP")</f>
        <v>3140B5EM5</v>
      </c>
      <c r="B2743" t="str">
        <f>_xll.BDP("FNDD4639 Mtge","SECURITY_NAME")</f>
        <v>FN DD4639</v>
      </c>
      <c r="C2743" t="str">
        <f>_xll.BDP("FNDD4639 Mtge","GENERIC_TICKER_VINTAGE")</f>
        <v>FNCL 6 2025</v>
      </c>
      <c r="D2743" t="str">
        <f>_xll.BDP("FNDD4639 Mtge","CRNCY")</f>
        <v>USD</v>
      </c>
      <c r="E2743">
        <v>13062899</v>
      </c>
      <c r="F2743">
        <f>_xll.BDP("FNDD4639 Mtge","CPN")</f>
        <v>6</v>
      </c>
      <c r="G2743">
        <f>_xll.BDP("FNDD4639 Mtge","MTG_FACTOR")</f>
        <v>0.87940733000000004</v>
      </c>
      <c r="H2743">
        <f>_xll.BDP("FNDD4639 Mtge","MTG_WAL")</f>
        <v>3.2039</v>
      </c>
      <c r="I2743" t="str">
        <f>_xll.BDP("FNDD4639 Mtge","MTG_ORIG_WAL")</f>
        <v>#N/A N/A</v>
      </c>
    </row>
    <row r="2744" spans="1:9" x14ac:dyDescent="0.25">
      <c r="A2744" t="str">
        <f>_xll.BDP("FNDD4648 Mtge","ID_CUSIP")</f>
        <v>3140B5EW3</v>
      </c>
      <c r="B2744" t="str">
        <f>_xll.BDP("FNDD4648 Mtge","SECURITY_NAME")</f>
        <v>FN DD4648</v>
      </c>
      <c r="C2744" t="str">
        <f>_xll.BDP("FNDD4648 Mtge","GENERIC_TICKER_VINTAGE")</f>
        <v>FNCL 6 2025</v>
      </c>
      <c r="D2744" t="str">
        <f>_xll.BDP("FNDD4648 Mtge","CRNCY")</f>
        <v>USD</v>
      </c>
      <c r="E2744">
        <v>15207865</v>
      </c>
      <c r="F2744">
        <f>_xll.BDP("FNDD4648 Mtge","CPN")</f>
        <v>6</v>
      </c>
      <c r="G2744">
        <f>_xll.BDP("FNDD4648 Mtge","MTG_FACTOR")</f>
        <v>0.76429548999999997</v>
      </c>
      <c r="H2744">
        <f>_xll.BDP("FNDD4648 Mtge","MTG_WAL")</f>
        <v>3.2035</v>
      </c>
      <c r="I2744" t="str">
        <f>_xll.BDP("FNDD4648 Mtge","MTG_ORIG_WAL")</f>
        <v>#N/A N/A</v>
      </c>
    </row>
    <row r="2745" spans="1:9" x14ac:dyDescent="0.25">
      <c r="A2745" t="str">
        <f>_xll.BDP("FNDD4651 Mtge","ID_CUSIP")</f>
        <v>3140B5EZ6</v>
      </c>
      <c r="B2745" t="str">
        <f>_xll.BDP("FNDD4651 Mtge","SECURITY_NAME")</f>
        <v>FN DD4651</v>
      </c>
      <c r="C2745" t="str">
        <f>_xll.BDP("FNDD4651 Mtge","GENERIC_TICKER_VINTAGE")</f>
        <v>FNCL 6 2025</v>
      </c>
      <c r="D2745" t="str">
        <f>_xll.BDP("FNDD4651 Mtge","CRNCY")</f>
        <v>USD</v>
      </c>
      <c r="E2745">
        <v>6790050</v>
      </c>
      <c r="F2745">
        <f>_xll.BDP("FNDD4651 Mtge","CPN")</f>
        <v>6</v>
      </c>
      <c r="G2745">
        <f>_xll.BDP("FNDD4651 Mtge","MTG_FACTOR")</f>
        <v>0.81333803999999998</v>
      </c>
      <c r="H2745">
        <f>_xll.BDP("FNDD4651 Mtge","MTG_WAL")</f>
        <v>3.2016</v>
      </c>
      <c r="I2745" t="str">
        <f>_xll.BDP("FNDD4651 Mtge","MTG_ORIG_WAL")</f>
        <v>#N/A N/A</v>
      </c>
    </row>
    <row r="2746" spans="1:9" x14ac:dyDescent="0.25">
      <c r="A2746" t="str">
        <f>_xll.BDP("FNDD4653 Mtge","ID_CUSIP")</f>
        <v>3140B5E37</v>
      </c>
      <c r="B2746" t="str">
        <f>_xll.BDP("FNDD4653 Mtge","SECURITY_NAME")</f>
        <v>FN DD4653</v>
      </c>
      <c r="C2746" t="str">
        <f>_xll.BDP("FNDD4653 Mtge","GENERIC_TICKER_VINTAGE")</f>
        <v>FNCL 6 2025</v>
      </c>
      <c r="D2746" t="str">
        <f>_xll.BDP("FNDD4653 Mtge","CRNCY")</f>
        <v>USD</v>
      </c>
      <c r="E2746">
        <v>7491320</v>
      </c>
      <c r="F2746">
        <f>_xll.BDP("FNDD4653 Mtge","CPN")</f>
        <v>6</v>
      </c>
      <c r="G2746">
        <f>_xll.BDP("FNDD4653 Mtge","MTG_FACTOR")</f>
        <v>0.89473597000000005</v>
      </c>
      <c r="H2746">
        <f>_xll.BDP("FNDD4653 Mtge","MTG_WAL")</f>
        <v>3.1964999999999999</v>
      </c>
      <c r="I2746" t="str">
        <f>_xll.BDP("FNDD4653 Mtge","MTG_ORIG_WAL")</f>
        <v>#N/A N/A</v>
      </c>
    </row>
    <row r="2747" spans="1:9" x14ac:dyDescent="0.25">
      <c r="A2747" t="str">
        <f>_xll.BDP("FNDD4657 Mtge","ID_CUSIP")</f>
        <v>3140B5E78</v>
      </c>
      <c r="B2747" t="str">
        <f>_xll.BDP("FNDD4657 Mtge","SECURITY_NAME")</f>
        <v>FN DD4657</v>
      </c>
      <c r="C2747" t="str">
        <f>_xll.BDP("FNDD4657 Mtge","GENERIC_TICKER_VINTAGE")</f>
        <v>FNCL 6 2025</v>
      </c>
      <c r="D2747" t="str">
        <f>_xll.BDP("FNDD4657 Mtge","CRNCY")</f>
        <v>USD</v>
      </c>
      <c r="E2747">
        <v>4562696</v>
      </c>
      <c r="F2747">
        <f>_xll.BDP("FNDD4657 Mtge","CPN")</f>
        <v>6</v>
      </c>
      <c r="G2747">
        <f>_xll.BDP("FNDD4657 Mtge","MTG_FACTOR")</f>
        <v>0.98877473999999999</v>
      </c>
      <c r="H2747">
        <f>_xll.BDP("FNDD4657 Mtge","MTG_WAL")</f>
        <v>3.2039</v>
      </c>
      <c r="I2747" t="str">
        <f>_xll.BDP("FNDD4657 Mtge","MTG_ORIG_WAL")</f>
        <v>#N/A N/A</v>
      </c>
    </row>
    <row r="2748" spans="1:9" x14ac:dyDescent="0.25">
      <c r="A2748" t="str">
        <f>_xll.BDP("FNDD4658 Mtge","ID_CUSIP")</f>
        <v>3140B5E86</v>
      </c>
      <c r="B2748" t="str">
        <f>_xll.BDP("FNDD4658 Mtge","SECURITY_NAME")</f>
        <v>FN DD4658</v>
      </c>
      <c r="C2748" t="str">
        <f>_xll.BDP("FNDD4658 Mtge","GENERIC_TICKER_VINTAGE")</f>
        <v>FNCL 6 2025</v>
      </c>
      <c r="D2748" t="str">
        <f>_xll.BDP("FNDD4658 Mtge","CRNCY")</f>
        <v>USD</v>
      </c>
      <c r="E2748">
        <v>5315178</v>
      </c>
      <c r="F2748">
        <f>_xll.BDP("FNDD4658 Mtge","CPN")</f>
        <v>6</v>
      </c>
      <c r="G2748">
        <f>_xll.BDP("FNDD4658 Mtge","MTG_FACTOR")</f>
        <v>0.92165218000000004</v>
      </c>
      <c r="H2748">
        <f>_xll.BDP("FNDD4658 Mtge","MTG_WAL")</f>
        <v>3.2046999999999999</v>
      </c>
      <c r="I2748" t="str">
        <f>_xll.BDP("FNDD4658 Mtge","MTG_ORIG_WAL")</f>
        <v>#N/A N/A</v>
      </c>
    </row>
    <row r="2749" spans="1:9" x14ac:dyDescent="0.25">
      <c r="A2749" t="str">
        <f>_xll.BDP("FNDD4661 Mtge","ID_CUSIP")</f>
        <v>3140B5FB8</v>
      </c>
      <c r="B2749" t="str">
        <f>_xll.BDP("FNDD4661 Mtge","SECURITY_NAME")</f>
        <v>FN DD4661</v>
      </c>
      <c r="C2749" t="str">
        <f>_xll.BDP("FNDD4661 Mtge","GENERIC_TICKER_VINTAGE")</f>
        <v>FNCL 6 2025</v>
      </c>
      <c r="D2749" t="str">
        <f>_xll.BDP("FNDD4661 Mtge","CRNCY")</f>
        <v>USD</v>
      </c>
      <c r="E2749">
        <v>6629074</v>
      </c>
      <c r="F2749">
        <f>_xll.BDP("FNDD4661 Mtge","CPN")</f>
        <v>6</v>
      </c>
      <c r="G2749">
        <f>_xll.BDP("FNDD4661 Mtge","MTG_FACTOR")</f>
        <v>0.89177455000000005</v>
      </c>
      <c r="H2749">
        <f>_xll.BDP("FNDD4661 Mtge","MTG_WAL")</f>
        <v>3.2002999999999999</v>
      </c>
      <c r="I2749" t="str">
        <f>_xll.BDP("FNDD4661 Mtge","MTG_ORIG_WAL")</f>
        <v>#N/A N/A</v>
      </c>
    </row>
    <row r="2750" spans="1:9" x14ac:dyDescent="0.25">
      <c r="A2750" t="str">
        <f>_xll.BDP("FNDD4666 Mtge","ID_CUSIP")</f>
        <v>3140B5FG7</v>
      </c>
      <c r="B2750" t="str">
        <f>_xll.BDP("FNDD4666 Mtge","SECURITY_NAME")</f>
        <v>FN DD4666</v>
      </c>
      <c r="C2750" t="str">
        <f>_xll.BDP("FNDD4666 Mtge","GENERIC_TICKER_VINTAGE")</f>
        <v>FNCL 6 2025</v>
      </c>
      <c r="D2750" t="str">
        <f>_xll.BDP("FNDD4666 Mtge","CRNCY")</f>
        <v>USD</v>
      </c>
      <c r="E2750">
        <v>3155123</v>
      </c>
      <c r="F2750">
        <f>_xll.BDP("FNDD4666 Mtge","CPN")</f>
        <v>6</v>
      </c>
      <c r="G2750">
        <f>_xll.BDP("FNDD4666 Mtge","MTG_FACTOR")</f>
        <v>0.97817838000000001</v>
      </c>
      <c r="H2750">
        <f>_xll.BDP("FNDD4666 Mtge","MTG_WAL")</f>
        <v>3.1953</v>
      </c>
      <c r="I2750" t="str">
        <f>_xll.BDP("FNDD4666 Mtge","MTG_ORIG_WAL")</f>
        <v>#N/A N/A</v>
      </c>
    </row>
    <row r="2751" spans="1:9" x14ac:dyDescent="0.25">
      <c r="A2751" t="str">
        <f>_xll.BDP("FNDD4667 Mtge","ID_CUSIP")</f>
        <v>3140B5FH5</v>
      </c>
      <c r="B2751" t="str">
        <f>_xll.BDP("FNDD4667 Mtge","SECURITY_NAME")</f>
        <v>FN DD4667</v>
      </c>
      <c r="C2751" t="str">
        <f>_xll.BDP("FNDD4667 Mtge","GENERIC_TICKER_VINTAGE")</f>
        <v>FNCL 6 2025</v>
      </c>
      <c r="D2751" t="str">
        <f>_xll.BDP("FNDD4667 Mtge","CRNCY")</f>
        <v>USD</v>
      </c>
      <c r="E2751">
        <v>1027651</v>
      </c>
      <c r="F2751">
        <f>_xll.BDP("FNDD4667 Mtge","CPN")</f>
        <v>6</v>
      </c>
      <c r="G2751">
        <f>_xll.BDP("FNDD4667 Mtge","MTG_FACTOR")</f>
        <v>0.87701337999999995</v>
      </c>
      <c r="H2751">
        <f>_xll.BDP("FNDD4667 Mtge","MTG_WAL")</f>
        <v>3.1915</v>
      </c>
      <c r="I2751" t="str">
        <f>_xll.BDP("FNDD4667 Mtge","MTG_ORIG_WAL")</f>
        <v>#N/A N/A</v>
      </c>
    </row>
    <row r="2752" spans="1:9" x14ac:dyDescent="0.25">
      <c r="A2752" t="str">
        <f>_xll.BDP("FNDD4670 Mtge","ID_CUSIP")</f>
        <v>3140B5FL6</v>
      </c>
      <c r="B2752" t="str">
        <f>_xll.BDP("FNDD4670 Mtge","SECURITY_NAME")</f>
        <v>FN DD4670</v>
      </c>
      <c r="C2752" t="str">
        <f>_xll.BDP("FNDD4670 Mtge","GENERIC_TICKER_VINTAGE")</f>
        <v>FNCL 6 2025</v>
      </c>
      <c r="D2752" t="str">
        <f>_xll.BDP("FNDD4670 Mtge","CRNCY")</f>
        <v>USD</v>
      </c>
      <c r="E2752">
        <v>1918501</v>
      </c>
      <c r="F2752">
        <f>_xll.BDP("FNDD4670 Mtge","CPN")</f>
        <v>6</v>
      </c>
      <c r="G2752">
        <f>_xll.BDP("FNDD4670 Mtge","MTG_FACTOR")</f>
        <v>0.98948670999999999</v>
      </c>
      <c r="H2752">
        <f>_xll.BDP("FNDD4670 Mtge","MTG_WAL")</f>
        <v>3.2027000000000001</v>
      </c>
      <c r="I2752" t="str">
        <f>_xll.BDP("FNDD4670 Mtge","MTG_ORIG_WAL")</f>
        <v>#N/A N/A</v>
      </c>
    </row>
    <row r="2753" spans="1:9" x14ac:dyDescent="0.25">
      <c r="A2753" t="str">
        <f>_xll.BDP("FNDD4687 Mtge","ID_CUSIP")</f>
        <v>3140B5F51</v>
      </c>
      <c r="B2753" t="str">
        <f>_xll.BDP("FNDD4687 Mtge","SECURITY_NAME")</f>
        <v>FN DD4687</v>
      </c>
      <c r="C2753" t="str">
        <f>_xll.BDP("FNDD4687 Mtge","GENERIC_TICKER_VINTAGE")</f>
        <v>FNCL 6 2025</v>
      </c>
      <c r="D2753" t="str">
        <f>_xll.BDP("FNDD4687 Mtge","CRNCY")</f>
        <v>USD</v>
      </c>
      <c r="E2753">
        <v>1049060</v>
      </c>
      <c r="F2753">
        <f>_xll.BDP("FNDD4687 Mtge","CPN")</f>
        <v>6</v>
      </c>
      <c r="G2753">
        <f>_xll.BDP("FNDD4687 Mtge","MTG_FACTOR")</f>
        <v>0.98911194999999996</v>
      </c>
      <c r="H2753">
        <f>_xll.BDP("FNDD4687 Mtge","MTG_WAL")</f>
        <v>3.2018</v>
      </c>
      <c r="I2753" t="str">
        <f>_xll.BDP("FNDD4687 Mtge","MTG_ORIG_WAL")</f>
        <v>#N/A N/A</v>
      </c>
    </row>
    <row r="2754" spans="1:9" x14ac:dyDescent="0.25">
      <c r="A2754" t="str">
        <f>_xll.BDP("FNDD4698 Mtge","ID_CUSIP")</f>
        <v>3140B5GG6</v>
      </c>
      <c r="B2754" t="str">
        <f>_xll.BDP("FNDD4698 Mtge","SECURITY_NAME")</f>
        <v>FN DD4698</v>
      </c>
      <c r="C2754" t="str">
        <f>_xll.BDP("FNDD4698 Mtge","GENERIC_TICKER_VINTAGE")</f>
        <v>FNCL 6 2025</v>
      </c>
      <c r="D2754" t="str">
        <f>_xll.BDP("FNDD4698 Mtge","CRNCY")</f>
        <v>USD</v>
      </c>
      <c r="E2754">
        <v>8186257</v>
      </c>
      <c r="F2754">
        <f>_xll.BDP("FNDD4698 Mtge","CPN")</f>
        <v>6</v>
      </c>
      <c r="G2754">
        <f>_xll.BDP("FNDD4698 Mtge","MTG_FACTOR")</f>
        <v>0.80200594000000003</v>
      </c>
      <c r="H2754">
        <f>_xll.BDP("FNDD4698 Mtge","MTG_WAL")</f>
        <v>3.2044000000000001</v>
      </c>
      <c r="I2754" t="str">
        <f>_xll.BDP("FNDD4698 Mtge","MTG_ORIG_WAL")</f>
        <v>#N/A N/A</v>
      </c>
    </row>
    <row r="2755" spans="1:9" x14ac:dyDescent="0.25">
      <c r="A2755" t="str">
        <f>_xll.BDP("FNDD4705 Mtge","ID_CUSIP")</f>
        <v>3140B5GP6</v>
      </c>
      <c r="B2755" t="str">
        <f>_xll.BDP("FNDD4705 Mtge","SECURITY_NAME")</f>
        <v>FN DD4705</v>
      </c>
      <c r="C2755" t="str">
        <f>_xll.BDP("FNDD4705 Mtge","GENERIC_TICKER_VINTAGE")</f>
        <v>FNCL 6 2025</v>
      </c>
      <c r="D2755" t="str">
        <f>_xll.BDP("FNDD4705 Mtge","CRNCY")</f>
        <v>USD</v>
      </c>
      <c r="E2755">
        <v>5073625</v>
      </c>
      <c r="F2755">
        <f>_xll.BDP("FNDD4705 Mtge","CPN")</f>
        <v>6</v>
      </c>
      <c r="G2755">
        <f>_xll.BDP("FNDD4705 Mtge","MTG_FACTOR")</f>
        <v>0.79496571000000005</v>
      </c>
      <c r="H2755">
        <f>_xll.BDP("FNDD4705 Mtge","MTG_WAL")</f>
        <v>3.1972</v>
      </c>
      <c r="I2755" t="str">
        <f>_xll.BDP("FNDD4705 Mtge","MTG_ORIG_WAL")</f>
        <v>#N/A N/A</v>
      </c>
    </row>
    <row r="2756" spans="1:9" x14ac:dyDescent="0.25">
      <c r="A2756" t="str">
        <f>_xll.BDP("FNDD4715 Mtge","ID_CUSIP")</f>
        <v>3140B5GZ4</v>
      </c>
      <c r="B2756" t="str">
        <f>_xll.BDP("FNDD4715 Mtge","SECURITY_NAME")</f>
        <v>FN DD4715</v>
      </c>
      <c r="C2756" t="str">
        <f>_xll.BDP("FNDD4715 Mtge","GENERIC_TICKER_VINTAGE")</f>
        <v>FNCL 6 2025</v>
      </c>
      <c r="D2756" t="str">
        <f>_xll.BDP("FNDD4715 Mtge","CRNCY")</f>
        <v>USD</v>
      </c>
      <c r="E2756">
        <v>9988808</v>
      </c>
      <c r="F2756">
        <f>_xll.BDP("FNDD4715 Mtge","CPN")</f>
        <v>6</v>
      </c>
      <c r="G2756">
        <f>_xll.BDP("FNDD4715 Mtge","MTG_FACTOR")</f>
        <v>0.85985785999999997</v>
      </c>
      <c r="H2756">
        <f>_xll.BDP("FNDD4715 Mtge","MTG_WAL")</f>
        <v>3.2387999999999999</v>
      </c>
      <c r="I2756" t="str">
        <f>_xll.BDP("FNDD4715 Mtge","MTG_ORIG_WAL")</f>
        <v>#N/A N/A</v>
      </c>
    </row>
    <row r="2757" spans="1:9" x14ac:dyDescent="0.25">
      <c r="A2757" t="str">
        <f>_xll.BDP("FNDD4728 Mtge","ID_CUSIP")</f>
        <v>3140B5HE0</v>
      </c>
      <c r="B2757" t="str">
        <f>_xll.BDP("FNDD4728 Mtge","SECURITY_NAME")</f>
        <v>FN DD4728</v>
      </c>
      <c r="C2757" t="str">
        <f>_xll.BDP("FNDD4728 Mtge","GENERIC_TICKER_VINTAGE")</f>
        <v>FNCL 6 2025</v>
      </c>
      <c r="D2757" t="str">
        <f>_xll.BDP("FNDD4728 Mtge","CRNCY")</f>
        <v>USD</v>
      </c>
      <c r="E2757">
        <v>3447234</v>
      </c>
      <c r="F2757">
        <f>_xll.BDP("FNDD4728 Mtge","CPN")</f>
        <v>6</v>
      </c>
      <c r="G2757">
        <f>_xll.BDP("FNDD4728 Mtge","MTG_FACTOR")</f>
        <v>0.96758127000000005</v>
      </c>
      <c r="H2757">
        <f>_xll.BDP("FNDD4728 Mtge","MTG_WAL")</f>
        <v>3.2035</v>
      </c>
      <c r="I2757" t="str">
        <f>_xll.BDP("FNDD4728 Mtge","MTG_ORIG_WAL")</f>
        <v>#N/A N/A</v>
      </c>
    </row>
    <row r="2758" spans="1:9" x14ac:dyDescent="0.25">
      <c r="A2758" t="str">
        <f>_xll.BDP("FNDD4779 Mtge","ID_CUSIP")</f>
        <v>3140B5JZ1</v>
      </c>
      <c r="B2758" t="str">
        <f>_xll.BDP("FNDD4779 Mtge","SECURITY_NAME")</f>
        <v>FN DD4779</v>
      </c>
      <c r="C2758" t="str">
        <f>_xll.BDP("FNDD4779 Mtge","GENERIC_TICKER_VINTAGE")</f>
        <v>FNCL 6 2025</v>
      </c>
      <c r="D2758" t="str">
        <f>_xll.BDP("FNDD4779 Mtge","CRNCY")</f>
        <v>USD</v>
      </c>
      <c r="E2758">
        <v>28085353</v>
      </c>
      <c r="F2758">
        <f>_xll.BDP("FNDD4779 Mtge","CPN")</f>
        <v>6</v>
      </c>
      <c r="G2758">
        <f>_xll.BDP("FNDD4779 Mtge","MTG_FACTOR")</f>
        <v>0.74899406999999996</v>
      </c>
      <c r="H2758">
        <f>_xll.BDP("FNDD4779 Mtge","MTG_WAL")</f>
        <v>3.1970000000000001</v>
      </c>
      <c r="I2758" t="str">
        <f>_xll.BDP("FNDD4779 Mtge","MTG_ORIG_WAL")</f>
        <v>#N/A N/A</v>
      </c>
    </row>
    <row r="2759" spans="1:9" x14ac:dyDescent="0.25">
      <c r="A2759" t="str">
        <f>_xll.BDP("FNDD4781 Mtge","ID_CUSIP")</f>
        <v>3140B5J32</v>
      </c>
      <c r="B2759" t="str">
        <f>_xll.BDP("FNDD4781 Mtge","SECURITY_NAME")</f>
        <v>FN DD4781</v>
      </c>
      <c r="C2759" t="str">
        <f>_xll.BDP("FNDD4781 Mtge","GENERIC_TICKER_VINTAGE")</f>
        <v>FNCL 6 2025</v>
      </c>
      <c r="D2759" t="str">
        <f>_xll.BDP("FNDD4781 Mtge","CRNCY")</f>
        <v>USD</v>
      </c>
      <c r="E2759">
        <v>1851811</v>
      </c>
      <c r="F2759">
        <f>_xll.BDP("FNDD4781 Mtge","CPN")</f>
        <v>6</v>
      </c>
      <c r="G2759">
        <f>_xll.BDP("FNDD4781 Mtge","MTG_FACTOR")</f>
        <v>0.98417264000000004</v>
      </c>
      <c r="H2759">
        <f>_xll.BDP("FNDD4781 Mtge","MTG_WAL")</f>
        <v>3.1555</v>
      </c>
      <c r="I2759" t="str">
        <f>_xll.BDP("FNDD4781 Mtge","MTG_ORIG_WAL")</f>
        <v>#N/A N/A</v>
      </c>
    </row>
    <row r="2760" spans="1:9" x14ac:dyDescent="0.25">
      <c r="A2760" t="str">
        <f>_xll.BDP("FNDD4789 Mtge","ID_CUSIP")</f>
        <v>3140B5KB2</v>
      </c>
      <c r="B2760" t="str">
        <f>_xll.BDP("FNDD4789 Mtge","SECURITY_NAME")</f>
        <v>FN DD4789</v>
      </c>
      <c r="C2760" t="str">
        <f>_xll.BDP("FNDD4789 Mtge","GENERIC_TICKER_VINTAGE")</f>
        <v>FNCL 6 2025</v>
      </c>
      <c r="D2760" t="str">
        <f>_xll.BDP("FNDD4789 Mtge","CRNCY")</f>
        <v>USD</v>
      </c>
      <c r="E2760">
        <v>1835633</v>
      </c>
      <c r="F2760">
        <f>_xll.BDP("FNDD4789 Mtge","CPN")</f>
        <v>6</v>
      </c>
      <c r="G2760">
        <f>_xll.BDP("FNDD4789 Mtge","MTG_FACTOR")</f>
        <v>0.90193128</v>
      </c>
      <c r="H2760">
        <f>_xll.BDP("FNDD4789 Mtge","MTG_WAL")</f>
        <v>3.1595</v>
      </c>
      <c r="I2760" t="str">
        <f>_xll.BDP("FNDD4789 Mtge","MTG_ORIG_WAL")</f>
        <v>#N/A N/A</v>
      </c>
    </row>
    <row r="2761" spans="1:9" x14ac:dyDescent="0.25">
      <c r="A2761" t="str">
        <f>_xll.BDP("FNDD4792 Mtge","ID_CUSIP")</f>
        <v>3140B5KE6</v>
      </c>
      <c r="B2761" t="str">
        <f>_xll.BDP("FNDD4792 Mtge","SECURITY_NAME")</f>
        <v>FN DD4792</v>
      </c>
      <c r="C2761" t="str">
        <f>_xll.BDP("FNDD4792 Mtge","GENERIC_TICKER_VINTAGE")</f>
        <v>FNCL 6 2025</v>
      </c>
      <c r="D2761" t="str">
        <f>_xll.BDP("FNDD4792 Mtge","CRNCY")</f>
        <v>USD</v>
      </c>
      <c r="E2761">
        <v>1179759</v>
      </c>
      <c r="F2761">
        <f>_xll.BDP("FNDD4792 Mtge","CPN")</f>
        <v>6</v>
      </c>
      <c r="G2761">
        <f>_xll.BDP("FNDD4792 Mtge","MTG_FACTOR")</f>
        <v>0.98179581000000005</v>
      </c>
      <c r="H2761">
        <f>_xll.BDP("FNDD4792 Mtge","MTG_WAL")</f>
        <v>3.1537000000000002</v>
      </c>
      <c r="I2761" t="str">
        <f>_xll.BDP("FNDD4792 Mtge","MTG_ORIG_WAL")</f>
        <v>#N/A N/A</v>
      </c>
    </row>
    <row r="2762" spans="1:9" x14ac:dyDescent="0.25">
      <c r="A2762" t="str">
        <f>_xll.BDP("FNDD4800 Mtge","ID_CUSIP")</f>
        <v>3140B5KN6</v>
      </c>
      <c r="B2762" t="str">
        <f>_xll.BDP("FNDD4800 Mtge","SECURITY_NAME")</f>
        <v>FN DD4800</v>
      </c>
      <c r="C2762" t="str">
        <f>_xll.BDP("FNDD4800 Mtge","GENERIC_TICKER_VINTAGE")</f>
        <v>FNCL 6 2025</v>
      </c>
      <c r="D2762" t="str">
        <f>_xll.BDP("FNDD4800 Mtge","CRNCY")</f>
        <v>USD</v>
      </c>
      <c r="E2762">
        <v>222907</v>
      </c>
      <c r="F2762">
        <f>_xll.BDP("FNDD4800 Mtge","CPN")</f>
        <v>5.99</v>
      </c>
      <c r="G2762">
        <f>_xll.BDP("FNDD4800 Mtge","MTG_FACTOR")</f>
        <v>0.98925286999999995</v>
      </c>
      <c r="H2762">
        <f>_xll.BDP("FNDD4800 Mtge","MTG_WAL")</f>
        <v>3.1587000000000001</v>
      </c>
      <c r="I2762" t="str">
        <f>_xll.BDP("FNDD4800 Mtge","MTG_ORIG_WAL")</f>
        <v>#N/A N/A</v>
      </c>
    </row>
    <row r="2763" spans="1:9" x14ac:dyDescent="0.25">
      <c r="A2763" t="str">
        <f>_xll.BDP("FNDD4937 Mtge","ID_CUSIP")</f>
        <v>3140B5PX9</v>
      </c>
      <c r="B2763" t="str">
        <f>_xll.BDP("FNDD4937 Mtge","SECURITY_NAME")</f>
        <v>FN DD4937</v>
      </c>
      <c r="C2763" t="str">
        <f>_xll.BDP("FNDD4937 Mtge","GENERIC_TICKER_VINTAGE")</f>
        <v>FNCL 6 2025</v>
      </c>
      <c r="D2763" t="str">
        <f>_xll.BDP("FNDD4937 Mtge","CRNCY")</f>
        <v>USD</v>
      </c>
      <c r="E2763">
        <v>24561761</v>
      </c>
      <c r="F2763">
        <f>_xll.BDP("FNDD4937 Mtge","CPN")</f>
        <v>6</v>
      </c>
      <c r="G2763">
        <f>_xll.BDP("FNDD4937 Mtge","MTG_FACTOR")</f>
        <v>0.78824227999999996</v>
      </c>
      <c r="H2763">
        <f>_xll.BDP("FNDD4937 Mtge","MTG_WAL")</f>
        <v>3.2004999999999999</v>
      </c>
      <c r="I2763" t="str">
        <f>_xll.BDP("FNDD4937 Mtge","MTG_ORIG_WAL")</f>
        <v>#N/A N/A</v>
      </c>
    </row>
    <row r="2764" spans="1:9" x14ac:dyDescent="0.25">
      <c r="A2764" t="str">
        <f>_xll.BDP("FNDD4939 Mtge","ID_CUSIP")</f>
        <v>3140B5PZ4</v>
      </c>
      <c r="B2764" t="str">
        <f>_xll.BDP("FNDD4939 Mtge","SECURITY_NAME")</f>
        <v>FN DD4939</v>
      </c>
      <c r="C2764" t="str">
        <f>_xll.BDP("FNDD4939 Mtge","GENERIC_TICKER_VINTAGE")</f>
        <v>FNCL 6 2025</v>
      </c>
      <c r="D2764" t="str">
        <f>_xll.BDP("FNDD4939 Mtge","CRNCY")</f>
        <v>USD</v>
      </c>
      <c r="E2764">
        <v>3180435</v>
      </c>
      <c r="F2764">
        <f>_xll.BDP("FNDD4939 Mtge","CPN")</f>
        <v>6</v>
      </c>
      <c r="G2764">
        <f>_xll.BDP("FNDD4939 Mtge","MTG_FACTOR")</f>
        <v>0.98182491999999999</v>
      </c>
      <c r="H2764">
        <f>_xll.BDP("FNDD4939 Mtge","MTG_WAL")</f>
        <v>3.1976</v>
      </c>
      <c r="I2764" t="str">
        <f>_xll.BDP("FNDD4939 Mtge","MTG_ORIG_WAL")</f>
        <v>#N/A N/A</v>
      </c>
    </row>
    <row r="2765" spans="1:9" x14ac:dyDescent="0.25">
      <c r="A2765" t="str">
        <f>_xll.BDP("FNDD4940 Mtge","ID_CUSIP")</f>
        <v>3140B5P27</v>
      </c>
      <c r="B2765" t="str">
        <f>_xll.BDP("FNDD4940 Mtge","SECURITY_NAME")</f>
        <v>FN DD4940</v>
      </c>
      <c r="C2765" t="str">
        <f>_xll.BDP("FNDD4940 Mtge","GENERIC_TICKER_VINTAGE")</f>
        <v>FNCL 6 2025</v>
      </c>
      <c r="D2765" t="str">
        <f>_xll.BDP("FNDD4940 Mtge","CRNCY")</f>
        <v>USD</v>
      </c>
      <c r="E2765">
        <v>2382816</v>
      </c>
      <c r="F2765">
        <f>_xll.BDP("FNDD4940 Mtge","CPN")</f>
        <v>6</v>
      </c>
      <c r="G2765">
        <f>_xll.BDP("FNDD4940 Mtge","MTG_FACTOR")</f>
        <v>0.67627431999999998</v>
      </c>
      <c r="H2765">
        <f>_xll.BDP("FNDD4940 Mtge","MTG_WAL")</f>
        <v>3.2372999999999998</v>
      </c>
      <c r="I2765" t="str">
        <f>_xll.BDP("FNDD4940 Mtge","MTG_ORIG_WAL")</f>
        <v>#N/A N/A</v>
      </c>
    </row>
    <row r="2766" spans="1:9" x14ac:dyDescent="0.25">
      <c r="A2766" t="str">
        <f>_xll.BDP("FNDD4942 Mtge","ID_CUSIP")</f>
        <v>3140B5P43</v>
      </c>
      <c r="B2766" t="str">
        <f>_xll.BDP("FNDD4942 Mtge","SECURITY_NAME")</f>
        <v>FN DD4942</v>
      </c>
      <c r="C2766" t="str">
        <f>_xll.BDP("FNDD4942 Mtge","GENERIC_TICKER_VINTAGE")</f>
        <v>FNCL 6 2025</v>
      </c>
      <c r="D2766" t="str">
        <f>_xll.BDP("FNDD4942 Mtge","CRNCY")</f>
        <v>USD</v>
      </c>
      <c r="E2766">
        <v>4931146</v>
      </c>
      <c r="F2766">
        <f>_xll.BDP("FNDD4942 Mtge","CPN")</f>
        <v>6</v>
      </c>
      <c r="G2766">
        <f>_xll.BDP("FNDD4942 Mtge","MTG_FACTOR")</f>
        <v>0.88986531999999996</v>
      </c>
      <c r="H2766">
        <f>_xll.BDP("FNDD4942 Mtge","MTG_WAL")</f>
        <v>3.1852</v>
      </c>
      <c r="I2766" t="str">
        <f>_xll.BDP("FNDD4942 Mtge","MTG_ORIG_WAL")</f>
        <v>#N/A N/A</v>
      </c>
    </row>
    <row r="2767" spans="1:9" x14ac:dyDescent="0.25">
      <c r="A2767" t="str">
        <f>_xll.BDP("FNDD4946 Mtge","ID_CUSIP")</f>
        <v>3140B5P84</v>
      </c>
      <c r="B2767" t="str">
        <f>_xll.BDP("FNDD4946 Mtge","SECURITY_NAME")</f>
        <v>FN DD4946</v>
      </c>
      <c r="C2767" t="str">
        <f>_xll.BDP("FNDD4946 Mtge","GENERIC_TICKER_VINTAGE")</f>
        <v>FNCL 6 2025</v>
      </c>
      <c r="D2767" t="str">
        <f>_xll.BDP("FNDD4946 Mtge","CRNCY")</f>
        <v>USD</v>
      </c>
      <c r="E2767">
        <v>1077750</v>
      </c>
      <c r="F2767">
        <f>_xll.BDP("FNDD4946 Mtge","CPN")</f>
        <v>6</v>
      </c>
      <c r="G2767">
        <f>_xll.BDP("FNDD4946 Mtge","MTG_FACTOR")</f>
        <v>0.98945284</v>
      </c>
      <c r="H2767">
        <f>_xll.BDP("FNDD4946 Mtge","MTG_WAL")</f>
        <v>3.202</v>
      </c>
      <c r="I2767" t="str">
        <f>_xll.BDP("FNDD4946 Mtge","MTG_ORIG_WAL")</f>
        <v>#N/A N/A</v>
      </c>
    </row>
    <row r="2768" spans="1:9" x14ac:dyDescent="0.25">
      <c r="A2768" t="str">
        <f>_xll.BDP("FNDD4949 Mtge","ID_CUSIP")</f>
        <v>3140B5QB6</v>
      </c>
      <c r="B2768" t="str">
        <f>_xll.BDP("FNDD4949 Mtge","SECURITY_NAME")</f>
        <v>FN DD4949</v>
      </c>
      <c r="C2768" t="str">
        <f>_xll.BDP("FNDD4949 Mtge","GENERIC_TICKER_VINTAGE")</f>
        <v>FNCL 6 2025</v>
      </c>
      <c r="D2768" t="str">
        <f>_xll.BDP("FNDD4949 Mtge","CRNCY")</f>
        <v>USD</v>
      </c>
      <c r="E2768">
        <v>6309817</v>
      </c>
      <c r="F2768">
        <f>_xll.BDP("FNDD4949 Mtge","CPN")</f>
        <v>6</v>
      </c>
      <c r="G2768">
        <f>_xll.BDP("FNDD4949 Mtge","MTG_FACTOR")</f>
        <v>0.83001287000000001</v>
      </c>
      <c r="H2768">
        <f>_xll.BDP("FNDD4949 Mtge","MTG_WAL")</f>
        <v>3.2054999999999998</v>
      </c>
      <c r="I2768" t="str">
        <f>_xll.BDP("FNDD4949 Mtge","MTG_ORIG_WAL")</f>
        <v>#N/A N/A</v>
      </c>
    </row>
    <row r="2769" spans="1:9" x14ac:dyDescent="0.25">
      <c r="A2769" t="str">
        <f>_xll.BDP("FNDD4952 Mtge","ID_CUSIP")</f>
        <v>3140B5QE0</v>
      </c>
      <c r="B2769" t="str">
        <f>_xll.BDP("FNDD4952 Mtge","SECURITY_NAME")</f>
        <v>FN DD4952</v>
      </c>
      <c r="C2769" t="str">
        <f>_xll.BDP("FNDD4952 Mtge","GENERIC_TICKER_VINTAGE")</f>
        <v>FNCL 6 2025</v>
      </c>
      <c r="D2769" t="str">
        <f>_xll.BDP("FNDD4952 Mtge","CRNCY")</f>
        <v>USD</v>
      </c>
      <c r="E2769">
        <v>5134814</v>
      </c>
      <c r="F2769">
        <f>_xll.BDP("FNDD4952 Mtge","CPN")</f>
        <v>6</v>
      </c>
      <c r="G2769">
        <f>_xll.BDP("FNDD4952 Mtge","MTG_FACTOR")</f>
        <v>0.83101004000000001</v>
      </c>
      <c r="H2769">
        <f>_xll.BDP("FNDD4952 Mtge","MTG_WAL")</f>
        <v>3.1998000000000002</v>
      </c>
      <c r="I2769" t="str">
        <f>_xll.BDP("FNDD4952 Mtge","MTG_ORIG_WAL")</f>
        <v>#N/A N/A</v>
      </c>
    </row>
    <row r="2770" spans="1:9" x14ac:dyDescent="0.25">
      <c r="A2770" t="str">
        <f>_xll.BDP("FNDD4953 Mtge","ID_CUSIP")</f>
        <v>3140B5QF7</v>
      </c>
      <c r="B2770" t="str">
        <f>_xll.BDP("FNDD4953 Mtge","SECURITY_NAME")</f>
        <v>FN DD4953</v>
      </c>
      <c r="C2770" t="str">
        <f>_xll.BDP("FNDD4953 Mtge","GENERIC_TICKER_VINTAGE")</f>
        <v>FNCL 6 2025</v>
      </c>
      <c r="D2770" t="str">
        <f>_xll.BDP("FNDD4953 Mtge","CRNCY")</f>
        <v>USD</v>
      </c>
      <c r="E2770">
        <v>4359740</v>
      </c>
      <c r="F2770">
        <f>_xll.BDP("FNDD4953 Mtge","CPN")</f>
        <v>6</v>
      </c>
      <c r="G2770">
        <f>_xll.BDP("FNDD4953 Mtge","MTG_FACTOR")</f>
        <v>0.76173913000000004</v>
      </c>
      <c r="H2770">
        <f>_xll.BDP("FNDD4953 Mtge","MTG_WAL")</f>
        <v>3.2040999999999999</v>
      </c>
      <c r="I2770" t="str">
        <f>_xll.BDP("FNDD4953 Mtge","MTG_ORIG_WAL")</f>
        <v>#N/A N/A</v>
      </c>
    </row>
    <row r="2771" spans="1:9" x14ac:dyDescent="0.25">
      <c r="A2771" t="str">
        <f>_xll.BDP("FNDD4977 Mtge","ID_CUSIP")</f>
        <v>3140B5Q75</v>
      </c>
      <c r="B2771" t="str">
        <f>_xll.BDP("FNDD4977 Mtge","SECURITY_NAME")</f>
        <v>FN DD4977</v>
      </c>
      <c r="C2771" t="str">
        <f>_xll.BDP("FNDD4977 Mtge","GENERIC_TICKER_VINTAGE")</f>
        <v>FNCL 6 2025</v>
      </c>
      <c r="D2771" t="str">
        <f>_xll.BDP("FNDD4977 Mtge","CRNCY")</f>
        <v>USD</v>
      </c>
      <c r="E2771">
        <v>1842820</v>
      </c>
      <c r="F2771">
        <f>_xll.BDP("FNDD4977 Mtge","CPN")</f>
        <v>6</v>
      </c>
      <c r="G2771">
        <f>_xll.BDP("FNDD4977 Mtge","MTG_FACTOR")</f>
        <v>0.87557315000000002</v>
      </c>
      <c r="H2771">
        <f>_xll.BDP("FNDD4977 Mtge","MTG_WAL")</f>
        <v>3.2222</v>
      </c>
      <c r="I2771" t="str">
        <f>_xll.BDP("FNDD4977 Mtge","MTG_ORIG_WAL")</f>
        <v>#N/A N/A</v>
      </c>
    </row>
    <row r="2772" spans="1:9" x14ac:dyDescent="0.25">
      <c r="A2772" t="str">
        <f>_xll.BDP("FNDD4979 Mtge","ID_CUSIP")</f>
        <v>3140B5Q91</v>
      </c>
      <c r="B2772" t="str">
        <f>_xll.BDP("FNDD4979 Mtge","SECURITY_NAME")</f>
        <v>FN DD4979</v>
      </c>
      <c r="C2772" t="str">
        <f>_xll.BDP("FNDD4979 Mtge","GENERIC_TICKER_VINTAGE")</f>
        <v>FNCL 6 2025</v>
      </c>
      <c r="D2772" t="str">
        <f>_xll.BDP("FNDD4979 Mtge","CRNCY")</f>
        <v>USD</v>
      </c>
      <c r="E2772">
        <v>2683452</v>
      </c>
      <c r="F2772">
        <f>_xll.BDP("FNDD4979 Mtge","CPN")</f>
        <v>6</v>
      </c>
      <c r="G2772">
        <f>_xll.BDP("FNDD4979 Mtge","MTG_FACTOR")</f>
        <v>0.71083611999999996</v>
      </c>
      <c r="H2772">
        <f>_xll.BDP("FNDD4979 Mtge","MTG_WAL")</f>
        <v>3.2488000000000001</v>
      </c>
      <c r="I2772" t="str">
        <f>_xll.BDP("FNDD4979 Mtge","MTG_ORIG_WAL")</f>
        <v>#N/A N/A</v>
      </c>
    </row>
    <row r="2773" spans="1:9" x14ac:dyDescent="0.25">
      <c r="A2773" t="str">
        <f>_xll.BDP("FNDD5017 Mtge","ID_CUSIP")</f>
        <v>3140B5SF5</v>
      </c>
      <c r="B2773" t="str">
        <f>_xll.BDP("FNDD5017 Mtge","SECURITY_NAME")</f>
        <v>FN DD5017</v>
      </c>
      <c r="C2773" t="str">
        <f>_xll.BDP("FNDD5017 Mtge","GENERIC_TICKER_VINTAGE")</f>
        <v>FNCL 6 2025</v>
      </c>
      <c r="D2773" t="str">
        <f>_xll.BDP("FNDD5017 Mtge","CRNCY")</f>
        <v>USD</v>
      </c>
      <c r="E2773">
        <v>8079275</v>
      </c>
      <c r="F2773">
        <f>_xll.BDP("FNDD5017 Mtge","CPN")</f>
        <v>6</v>
      </c>
      <c r="G2773">
        <f>_xll.BDP("FNDD5017 Mtge","MTG_FACTOR")</f>
        <v>0.77448792</v>
      </c>
      <c r="H2773">
        <f>_xll.BDP("FNDD5017 Mtge","MTG_WAL")</f>
        <v>3.1949000000000001</v>
      </c>
      <c r="I2773" t="str">
        <f>_xll.BDP("FNDD5017 Mtge","MTG_ORIG_WAL")</f>
        <v>#N/A N/A</v>
      </c>
    </row>
    <row r="2774" spans="1:9" x14ac:dyDescent="0.25">
      <c r="A2774" t="str">
        <f>_xll.BDP("FNDD5018 Mtge","ID_CUSIP")</f>
        <v>3140B5SG3</v>
      </c>
      <c r="B2774" t="str">
        <f>_xll.BDP("FNDD5018 Mtge","SECURITY_NAME")</f>
        <v>FN DD5018</v>
      </c>
      <c r="C2774" t="str">
        <f>_xll.BDP("FNDD5018 Mtge","GENERIC_TICKER_VINTAGE")</f>
        <v>FNCL 6 2025</v>
      </c>
      <c r="D2774" t="str">
        <f>_xll.BDP("FNDD5018 Mtge","CRNCY")</f>
        <v>USD</v>
      </c>
      <c r="E2774">
        <v>5040708</v>
      </c>
      <c r="F2774">
        <f>_xll.BDP("FNDD5018 Mtge","CPN")</f>
        <v>6</v>
      </c>
      <c r="G2774">
        <f>_xll.BDP("FNDD5018 Mtge","MTG_FACTOR")</f>
        <v>0.92545438000000002</v>
      </c>
      <c r="H2774">
        <f>_xll.BDP("FNDD5018 Mtge","MTG_WAL")</f>
        <v>3.2014</v>
      </c>
      <c r="I2774" t="str">
        <f>_xll.BDP("FNDD5018 Mtge","MTG_ORIG_WAL")</f>
        <v>#N/A N/A</v>
      </c>
    </row>
    <row r="2775" spans="1:9" x14ac:dyDescent="0.25">
      <c r="A2775" t="str">
        <f>_xll.BDP("FNDD5022 Mtge","ID_CUSIP")</f>
        <v>3140B5SL2</v>
      </c>
      <c r="B2775" t="str">
        <f>_xll.BDP("FNDD5022 Mtge","SECURITY_NAME")</f>
        <v>FN DD5022</v>
      </c>
      <c r="C2775" t="str">
        <f>_xll.BDP("FNDD5022 Mtge","GENERIC_TICKER_VINTAGE")</f>
        <v>FNCL 6 2025</v>
      </c>
      <c r="D2775" t="str">
        <f>_xll.BDP("FNDD5022 Mtge","CRNCY")</f>
        <v>USD</v>
      </c>
      <c r="E2775">
        <v>1323035</v>
      </c>
      <c r="F2775">
        <f>_xll.BDP("FNDD5022 Mtge","CPN")</f>
        <v>6</v>
      </c>
      <c r="G2775">
        <f>_xll.BDP("FNDD5022 Mtge","MTG_FACTOR")</f>
        <v>0.83003214000000003</v>
      </c>
      <c r="H2775">
        <f>_xll.BDP("FNDD5022 Mtge","MTG_WAL")</f>
        <v>3.153</v>
      </c>
      <c r="I2775" t="str">
        <f>_xll.BDP("FNDD5022 Mtge","MTG_ORIG_WAL")</f>
        <v>#N/A N/A</v>
      </c>
    </row>
    <row r="2776" spans="1:9" x14ac:dyDescent="0.25">
      <c r="A2776" t="str">
        <f>_xll.BDP("FNDD5024 Mtge","ID_CUSIP")</f>
        <v>3140B5SN8</v>
      </c>
      <c r="B2776" t="str">
        <f>_xll.BDP("FNDD5024 Mtge","SECURITY_NAME")</f>
        <v>FN DD5024</v>
      </c>
      <c r="C2776" t="str">
        <f>_xll.BDP("FNDD5024 Mtge","GENERIC_TICKER_VINTAGE")</f>
        <v>FNCL 6 2025</v>
      </c>
      <c r="D2776" t="str">
        <f>_xll.BDP("FNDD5024 Mtge","CRNCY")</f>
        <v>USD</v>
      </c>
      <c r="E2776">
        <v>1994700</v>
      </c>
      <c r="F2776">
        <f>_xll.BDP("FNDD5024 Mtge","CPN")</f>
        <v>6</v>
      </c>
      <c r="G2776">
        <f>_xll.BDP("FNDD5024 Mtge","MTG_FACTOR")</f>
        <v>0.85645698000000003</v>
      </c>
      <c r="H2776">
        <f>_xll.BDP("FNDD5024 Mtge","MTG_WAL")</f>
        <v>3.1985000000000001</v>
      </c>
      <c r="I2776" t="str">
        <f>_xll.BDP("FNDD5024 Mtge","MTG_ORIG_WAL")</f>
        <v>#N/A N/A</v>
      </c>
    </row>
    <row r="2777" spans="1:9" x14ac:dyDescent="0.25">
      <c r="A2777" t="str">
        <f>_xll.BDP("FNDD5025 Mtge","ID_CUSIP")</f>
        <v>3140B5SP3</v>
      </c>
      <c r="B2777" t="str">
        <f>_xll.BDP("FNDD5025 Mtge","SECURITY_NAME")</f>
        <v>FN DD5025</v>
      </c>
      <c r="C2777" t="str">
        <f>_xll.BDP("FNDD5025 Mtge","GENERIC_TICKER_VINTAGE")</f>
        <v>FNCL 6 2025</v>
      </c>
      <c r="D2777" t="str">
        <f>_xll.BDP("FNDD5025 Mtge","CRNCY")</f>
        <v>USD</v>
      </c>
      <c r="E2777">
        <v>1278250</v>
      </c>
      <c r="F2777">
        <f>_xll.BDP("FNDD5025 Mtge","CPN")</f>
        <v>6</v>
      </c>
      <c r="G2777">
        <f>_xll.BDP("FNDD5025 Mtge","MTG_FACTOR")</f>
        <v>0.87739266000000005</v>
      </c>
      <c r="H2777">
        <f>_xll.BDP("FNDD5025 Mtge","MTG_WAL")</f>
        <v>3.2000999999999999</v>
      </c>
      <c r="I2777" t="str">
        <f>_xll.BDP("FNDD5025 Mtge","MTG_ORIG_WAL")</f>
        <v>#N/A N/A</v>
      </c>
    </row>
    <row r="2778" spans="1:9" x14ac:dyDescent="0.25">
      <c r="A2778" t="str">
        <f>_xll.BDP("FNDD5026 Mtge","ID_CUSIP")</f>
        <v>3140B5SQ1</v>
      </c>
      <c r="B2778" t="str">
        <f>_xll.BDP("FNDD5026 Mtge","SECURITY_NAME")</f>
        <v>FN DD5026</v>
      </c>
      <c r="C2778" t="str">
        <f>_xll.BDP("FNDD5026 Mtge","GENERIC_TICKER_VINTAGE")</f>
        <v>FNCL 6 2025</v>
      </c>
      <c r="D2778" t="str">
        <f>_xll.BDP("FNDD5026 Mtge","CRNCY")</f>
        <v>USD</v>
      </c>
      <c r="E2778">
        <v>5034491</v>
      </c>
      <c r="F2778">
        <f>_xll.BDP("FNDD5026 Mtge","CPN")</f>
        <v>6</v>
      </c>
      <c r="G2778">
        <f>_xll.BDP("FNDD5026 Mtge","MTG_FACTOR")</f>
        <v>0.98221751000000002</v>
      </c>
      <c r="H2778">
        <f>_xll.BDP("FNDD5026 Mtge","MTG_WAL")</f>
        <v>3.1962000000000002</v>
      </c>
      <c r="I2778" t="str">
        <f>_xll.BDP("FNDD5026 Mtge","MTG_ORIG_WAL")</f>
        <v>#N/A N/A</v>
      </c>
    </row>
    <row r="2779" spans="1:9" x14ac:dyDescent="0.25">
      <c r="A2779" t="str">
        <f>_xll.BDP("FNDD5038 Mtge","ID_CUSIP")</f>
        <v>3140B5S40</v>
      </c>
      <c r="B2779" t="str">
        <f>_xll.BDP("FNDD5038 Mtge","SECURITY_NAME")</f>
        <v>FN DD5038</v>
      </c>
      <c r="C2779" t="str">
        <f>_xll.BDP("FNDD5038 Mtge","GENERIC_TICKER_VINTAGE")</f>
        <v>FNCL 6 2025</v>
      </c>
      <c r="D2779" t="str">
        <f>_xll.BDP("FNDD5038 Mtge","CRNCY")</f>
        <v>USD</v>
      </c>
      <c r="E2779">
        <v>1952191</v>
      </c>
      <c r="F2779">
        <f>_xll.BDP("FNDD5038 Mtge","CPN")</f>
        <v>6</v>
      </c>
      <c r="G2779">
        <f>_xll.BDP("FNDD5038 Mtge","MTG_FACTOR")</f>
        <v>0.98951171000000004</v>
      </c>
      <c r="H2779">
        <f>_xll.BDP("FNDD5038 Mtge","MTG_WAL")</f>
        <v>3.2048999999999999</v>
      </c>
      <c r="I2779" t="str">
        <f>_xll.BDP("FNDD5038 Mtge","MTG_ORIG_WAL")</f>
        <v>#N/A N/A</v>
      </c>
    </row>
    <row r="2780" spans="1:9" x14ac:dyDescent="0.25">
      <c r="A2780" t="str">
        <f>_xll.BDP("FNDD5039 Mtge","ID_CUSIP")</f>
        <v>3140B5S57</v>
      </c>
      <c r="B2780" t="str">
        <f>_xll.BDP("FNDD5039 Mtge","SECURITY_NAME")</f>
        <v>FN DD5039</v>
      </c>
      <c r="C2780" t="str">
        <f>_xll.BDP("FNDD5039 Mtge","GENERIC_TICKER_VINTAGE")</f>
        <v>FNCL 6 2025</v>
      </c>
      <c r="D2780" t="str">
        <f>_xll.BDP("FNDD5039 Mtge","CRNCY")</f>
        <v>USD</v>
      </c>
      <c r="E2780">
        <v>9149852</v>
      </c>
      <c r="F2780">
        <f>_xll.BDP("FNDD5039 Mtge","CPN")</f>
        <v>6</v>
      </c>
      <c r="G2780">
        <f>_xll.BDP("FNDD5039 Mtge","MTG_FACTOR")</f>
        <v>0.85073679999999996</v>
      </c>
      <c r="H2780">
        <f>_xll.BDP("FNDD5039 Mtge","MTG_WAL")</f>
        <v>3.2029000000000001</v>
      </c>
      <c r="I2780" t="str">
        <f>_xll.BDP("FNDD5039 Mtge","MTG_ORIG_WAL")</f>
        <v>#N/A N/A</v>
      </c>
    </row>
    <row r="2781" spans="1:9" x14ac:dyDescent="0.25">
      <c r="A2781" t="str">
        <f>_xll.BDP("FNDD5040 Mtge","ID_CUSIP")</f>
        <v>3140B5S65</v>
      </c>
      <c r="B2781" t="str">
        <f>_xll.BDP("FNDD5040 Mtge","SECURITY_NAME")</f>
        <v>FN DD5040</v>
      </c>
      <c r="C2781" t="str">
        <f>_xll.BDP("FNDD5040 Mtge","GENERIC_TICKER_VINTAGE")</f>
        <v>FNCL 6 2025</v>
      </c>
      <c r="D2781" t="str">
        <f>_xll.BDP("FNDD5040 Mtge","CRNCY")</f>
        <v>USD</v>
      </c>
      <c r="E2781">
        <v>1753600</v>
      </c>
      <c r="F2781">
        <f>_xll.BDP("FNDD5040 Mtge","CPN")</f>
        <v>6</v>
      </c>
      <c r="G2781">
        <f>_xll.BDP("FNDD5040 Mtge","MTG_FACTOR")</f>
        <v>0.98748526000000003</v>
      </c>
      <c r="H2781">
        <f>_xll.BDP("FNDD5040 Mtge","MTG_WAL")</f>
        <v>3.2010000000000001</v>
      </c>
      <c r="I2781" t="str">
        <f>_xll.BDP("FNDD5040 Mtge","MTG_ORIG_WAL")</f>
        <v>#N/A N/A</v>
      </c>
    </row>
    <row r="2782" spans="1:9" x14ac:dyDescent="0.25">
      <c r="A2782" t="str">
        <f>_xll.BDP("FNDD5046 Mtge","ID_CUSIP")</f>
        <v>3140B5TC1</v>
      </c>
      <c r="B2782" t="str">
        <f>_xll.BDP("FNDD5046 Mtge","SECURITY_NAME")</f>
        <v>FN DD5046</v>
      </c>
      <c r="C2782" t="str">
        <f>_xll.BDP("FNDD5046 Mtge","GENERIC_TICKER_VINTAGE")</f>
        <v>FNCL 6 2025</v>
      </c>
      <c r="D2782" t="str">
        <f>_xll.BDP("FNDD5046 Mtge","CRNCY")</f>
        <v>USD</v>
      </c>
      <c r="E2782">
        <v>1243250</v>
      </c>
      <c r="F2782">
        <f>_xll.BDP("FNDD5046 Mtge","CPN")</f>
        <v>6</v>
      </c>
      <c r="G2782">
        <f>_xll.BDP("FNDD5046 Mtge","MTG_FACTOR")</f>
        <v>0.98505441000000005</v>
      </c>
      <c r="H2782">
        <f>_xll.BDP("FNDD5046 Mtge","MTG_WAL")</f>
        <v>3.2439</v>
      </c>
      <c r="I2782" t="str">
        <f>_xll.BDP("FNDD5046 Mtge","MTG_ORIG_WAL")</f>
        <v>#N/A N/A</v>
      </c>
    </row>
    <row r="2783" spans="1:9" x14ac:dyDescent="0.25">
      <c r="A2783" t="str">
        <f>_xll.BDP("FNDD5047 Mtge","ID_CUSIP")</f>
        <v>3140B5TD9</v>
      </c>
      <c r="B2783" t="str">
        <f>_xll.BDP("FNDD5047 Mtge","SECURITY_NAME")</f>
        <v>FN DD5047</v>
      </c>
      <c r="C2783" t="str">
        <f>_xll.BDP("FNDD5047 Mtge","GENERIC_TICKER_VINTAGE")</f>
        <v>FNCL 6 2025</v>
      </c>
      <c r="D2783" t="str">
        <f>_xll.BDP("FNDD5047 Mtge","CRNCY")</f>
        <v>USD</v>
      </c>
      <c r="E2783">
        <v>1732000</v>
      </c>
      <c r="F2783">
        <f>_xll.BDP("FNDD5047 Mtge","CPN")</f>
        <v>6</v>
      </c>
      <c r="G2783">
        <f>_xll.BDP("FNDD5047 Mtge","MTG_FACTOR")</f>
        <v>0.99028287000000004</v>
      </c>
      <c r="H2783">
        <f>_xll.BDP("FNDD5047 Mtge","MTG_WAL")</f>
        <v>3.2490000000000001</v>
      </c>
      <c r="I2783" t="str">
        <f>_xll.BDP("FNDD5047 Mtge","MTG_ORIG_WAL")</f>
        <v>#N/A N/A</v>
      </c>
    </row>
    <row r="2784" spans="1:9" x14ac:dyDescent="0.25">
      <c r="A2784" t="str">
        <f>_xll.BDP("FNDD5048 Mtge","ID_CUSIP")</f>
        <v>3140B5TE7</v>
      </c>
      <c r="B2784" t="str">
        <f>_xll.BDP("FNDD5048 Mtge","SECURITY_NAME")</f>
        <v>FN DD5048</v>
      </c>
      <c r="C2784" t="str">
        <f>_xll.BDP("FNDD5048 Mtge","GENERIC_TICKER_VINTAGE")</f>
        <v>FNCL 6 2025</v>
      </c>
      <c r="D2784" t="str">
        <f>_xll.BDP("FNDD5048 Mtge","CRNCY")</f>
        <v>USD</v>
      </c>
      <c r="E2784">
        <v>1463760</v>
      </c>
      <c r="F2784">
        <f>_xll.BDP("FNDD5048 Mtge","CPN")</f>
        <v>6</v>
      </c>
      <c r="G2784">
        <f>_xll.BDP("FNDD5048 Mtge","MTG_FACTOR")</f>
        <v>0.85476576000000004</v>
      </c>
      <c r="H2784">
        <f>_xll.BDP("FNDD5048 Mtge","MTG_WAL")</f>
        <v>3.2031999999999998</v>
      </c>
      <c r="I2784" t="str">
        <f>_xll.BDP("FNDD5048 Mtge","MTG_ORIG_WAL")</f>
        <v>#N/A N/A</v>
      </c>
    </row>
    <row r="2785" spans="1:9" x14ac:dyDescent="0.25">
      <c r="A2785" t="str">
        <f>_xll.BDP("FNDD5049 Mtge","ID_CUSIP")</f>
        <v>3140B5TF4</v>
      </c>
      <c r="B2785" t="str">
        <f>_xll.BDP("FNDD5049 Mtge","SECURITY_NAME")</f>
        <v>FN DD5049</v>
      </c>
      <c r="C2785" t="str">
        <f>_xll.BDP("FNDD5049 Mtge","GENERIC_TICKER_VINTAGE")</f>
        <v>FNCL 6 2025</v>
      </c>
      <c r="D2785" t="str">
        <f>_xll.BDP("FNDD5049 Mtge","CRNCY")</f>
        <v>USD</v>
      </c>
      <c r="E2785">
        <v>1333661</v>
      </c>
      <c r="F2785">
        <f>_xll.BDP("FNDD5049 Mtge","CPN")</f>
        <v>6</v>
      </c>
      <c r="G2785">
        <f>_xll.BDP("FNDD5049 Mtge","MTG_FACTOR")</f>
        <v>0.84493015999999999</v>
      </c>
      <c r="H2785">
        <f>_xll.BDP("FNDD5049 Mtge","MTG_WAL")</f>
        <v>3.2040999999999999</v>
      </c>
      <c r="I2785" t="str">
        <f>_xll.BDP("FNDD5049 Mtge","MTG_ORIG_WAL")</f>
        <v>#N/A N/A</v>
      </c>
    </row>
    <row r="2786" spans="1:9" x14ac:dyDescent="0.25">
      <c r="A2786" t="str">
        <f>_xll.BDP("FNDD5050 Mtge","ID_CUSIP")</f>
        <v>3140B5TG2</v>
      </c>
      <c r="B2786" t="str">
        <f>_xll.BDP("FNDD5050 Mtge","SECURITY_NAME")</f>
        <v>FN DD5050</v>
      </c>
      <c r="C2786" t="str">
        <f>_xll.BDP("FNDD5050 Mtge","GENERIC_TICKER_VINTAGE")</f>
        <v>FNCL 6 2025</v>
      </c>
      <c r="D2786" t="str">
        <f>_xll.BDP("FNDD5050 Mtge","CRNCY")</f>
        <v>USD</v>
      </c>
      <c r="E2786">
        <v>1140150</v>
      </c>
      <c r="F2786">
        <f>_xll.BDP("FNDD5050 Mtge","CPN")</f>
        <v>6</v>
      </c>
      <c r="G2786">
        <f>_xll.BDP("FNDD5050 Mtge","MTG_FACTOR")</f>
        <v>0.9884366</v>
      </c>
      <c r="H2786">
        <f>_xll.BDP("FNDD5050 Mtge","MTG_WAL")</f>
        <v>3.2471000000000001</v>
      </c>
      <c r="I2786" t="str">
        <f>_xll.BDP("FNDD5050 Mtge","MTG_ORIG_WAL")</f>
        <v>#N/A N/A</v>
      </c>
    </row>
    <row r="2787" spans="1:9" x14ac:dyDescent="0.25">
      <c r="A2787" t="str">
        <f>_xll.BDP("FNDD5051 Mtge","ID_CUSIP")</f>
        <v>3140B5TH0</v>
      </c>
      <c r="B2787" t="str">
        <f>_xll.BDP("FNDD5051 Mtge","SECURITY_NAME")</f>
        <v>FN DD5051</v>
      </c>
      <c r="C2787" t="str">
        <f>_xll.BDP("FNDD5051 Mtge","GENERIC_TICKER_VINTAGE")</f>
        <v>FNCL 6 2025</v>
      </c>
      <c r="D2787" t="str">
        <f>_xll.BDP("FNDD5051 Mtge","CRNCY")</f>
        <v>USD</v>
      </c>
      <c r="E2787">
        <v>1565750</v>
      </c>
      <c r="F2787">
        <f>_xll.BDP("FNDD5051 Mtge","CPN")</f>
        <v>6</v>
      </c>
      <c r="G2787">
        <f>_xll.BDP("FNDD5051 Mtge","MTG_FACTOR")</f>
        <v>0.98775932</v>
      </c>
      <c r="H2787">
        <f>_xll.BDP("FNDD5051 Mtge","MTG_WAL")</f>
        <v>3.2465999999999999</v>
      </c>
      <c r="I2787" t="str">
        <f>_xll.BDP("FNDD5051 Mtge","MTG_ORIG_WAL")</f>
        <v>#N/A N/A</v>
      </c>
    </row>
    <row r="2788" spans="1:9" x14ac:dyDescent="0.25">
      <c r="A2788" t="str">
        <f>_xll.BDP("FNDD5053 Mtge","ID_CUSIP")</f>
        <v>3140B5TK3</v>
      </c>
      <c r="B2788" t="str">
        <f>_xll.BDP("FNDD5053 Mtge","SECURITY_NAME")</f>
        <v>FN DD5053</v>
      </c>
      <c r="C2788" t="str">
        <f>_xll.BDP("FNDD5053 Mtge","GENERIC_TICKER_VINTAGE")</f>
        <v>FNCL 6 2025</v>
      </c>
      <c r="D2788" t="str">
        <f>_xll.BDP("FNDD5053 Mtge","CRNCY")</f>
        <v>USD</v>
      </c>
      <c r="E2788">
        <v>1104200</v>
      </c>
      <c r="F2788">
        <f>_xll.BDP("FNDD5053 Mtge","CPN")</f>
        <v>6</v>
      </c>
      <c r="G2788">
        <f>_xll.BDP("FNDD5053 Mtge","MTG_FACTOR")</f>
        <v>0.98937487000000002</v>
      </c>
      <c r="H2788">
        <f>_xll.BDP("FNDD5053 Mtge","MTG_WAL")</f>
        <v>3.2052999999999998</v>
      </c>
      <c r="I2788" t="str">
        <f>_xll.BDP("FNDD5053 Mtge","MTG_ORIG_WAL")</f>
        <v>#N/A N/A</v>
      </c>
    </row>
    <row r="2789" spans="1:9" x14ac:dyDescent="0.25">
      <c r="A2789" t="str">
        <f>_xll.BDP("FNDD5054 Mtge","ID_CUSIP")</f>
        <v>3140B5TL1</v>
      </c>
      <c r="B2789" t="str">
        <f>_xll.BDP("FNDD5054 Mtge","SECURITY_NAME")</f>
        <v>FN DD5054</v>
      </c>
      <c r="C2789" t="str">
        <f>_xll.BDP("FNDD5054 Mtge","GENERIC_TICKER_VINTAGE")</f>
        <v>FNCL 6 2025</v>
      </c>
      <c r="D2789" t="str">
        <f>_xll.BDP("FNDD5054 Mtge","CRNCY")</f>
        <v>USD</v>
      </c>
      <c r="E2789">
        <v>1612000</v>
      </c>
      <c r="F2789">
        <f>_xll.BDP("FNDD5054 Mtge","CPN")</f>
        <v>6</v>
      </c>
      <c r="G2789">
        <f>_xll.BDP("FNDD5054 Mtge","MTG_FACTOR")</f>
        <v>0.92499556000000005</v>
      </c>
      <c r="H2789">
        <f>_xll.BDP("FNDD5054 Mtge","MTG_WAL")</f>
        <v>3.1737000000000002</v>
      </c>
      <c r="I2789" t="str">
        <f>_xll.BDP("FNDD5054 Mtge","MTG_ORIG_WAL")</f>
        <v>#N/A N/A</v>
      </c>
    </row>
    <row r="2790" spans="1:9" x14ac:dyDescent="0.25">
      <c r="A2790" t="str">
        <f>_xll.BDP("FNDD5056 Mtge","ID_CUSIP")</f>
        <v>3140B5TN7</v>
      </c>
      <c r="B2790" t="str">
        <f>_xll.BDP("FNDD5056 Mtge","SECURITY_NAME")</f>
        <v>FN DD5056</v>
      </c>
      <c r="C2790" t="str">
        <f>_xll.BDP("FNDD5056 Mtge","GENERIC_TICKER_VINTAGE")</f>
        <v>FNCL 6 2025</v>
      </c>
      <c r="D2790" t="str">
        <f>_xll.BDP("FNDD5056 Mtge","CRNCY")</f>
        <v>USD</v>
      </c>
      <c r="E2790">
        <v>1620700</v>
      </c>
      <c r="F2790">
        <f>_xll.BDP("FNDD5056 Mtge","CPN")</f>
        <v>6</v>
      </c>
      <c r="G2790">
        <f>_xll.BDP("FNDD5056 Mtge","MTG_FACTOR")</f>
        <v>0.98953248999999999</v>
      </c>
      <c r="H2790">
        <f>_xll.BDP("FNDD5056 Mtge","MTG_WAL")</f>
        <v>3.202</v>
      </c>
      <c r="I2790" t="str">
        <f>_xll.BDP("FNDD5056 Mtge","MTG_ORIG_WAL")</f>
        <v>#N/A N/A</v>
      </c>
    </row>
    <row r="2791" spans="1:9" x14ac:dyDescent="0.25">
      <c r="A2791" t="str">
        <f>_xll.BDP("FNDD5057 Mtge","ID_CUSIP")</f>
        <v>3140B5TP2</v>
      </c>
      <c r="B2791" t="str">
        <f>_xll.BDP("FNDD5057 Mtge","SECURITY_NAME")</f>
        <v>FN DD5057</v>
      </c>
      <c r="C2791" t="str">
        <f>_xll.BDP("FNDD5057 Mtge","GENERIC_TICKER_VINTAGE")</f>
        <v>FNCL 6 2025</v>
      </c>
      <c r="D2791" t="str">
        <f>_xll.BDP("FNDD5057 Mtge","CRNCY")</f>
        <v>USD</v>
      </c>
      <c r="E2791">
        <v>3306229</v>
      </c>
      <c r="F2791">
        <f>_xll.BDP("FNDD5057 Mtge","CPN")</f>
        <v>6</v>
      </c>
      <c r="G2791">
        <f>_xll.BDP("FNDD5057 Mtge","MTG_FACTOR")</f>
        <v>0.98943490999999995</v>
      </c>
      <c r="H2791">
        <f>_xll.BDP("FNDD5057 Mtge","MTG_WAL")</f>
        <v>3.2496</v>
      </c>
      <c r="I2791" t="str">
        <f>_xll.BDP("FNDD5057 Mtge","MTG_ORIG_WAL")</f>
        <v>#N/A N/A</v>
      </c>
    </row>
    <row r="2792" spans="1:9" x14ac:dyDescent="0.25">
      <c r="A2792" t="str">
        <f>_xll.BDP("FNDD5058 Mtge","ID_CUSIP")</f>
        <v>3140B5TQ0</v>
      </c>
      <c r="B2792" t="str">
        <f>_xll.BDP("FNDD5058 Mtge","SECURITY_NAME")</f>
        <v>FN DD5058</v>
      </c>
      <c r="C2792" t="str">
        <f>_xll.BDP("FNDD5058 Mtge","GENERIC_TICKER_VINTAGE")</f>
        <v>FNCL 6 2025</v>
      </c>
      <c r="D2792" t="str">
        <f>_xll.BDP("FNDD5058 Mtge","CRNCY")</f>
        <v>USD</v>
      </c>
      <c r="E2792">
        <v>1199750</v>
      </c>
      <c r="F2792">
        <f>_xll.BDP("FNDD5058 Mtge","CPN")</f>
        <v>6</v>
      </c>
      <c r="G2792">
        <f>_xll.BDP("FNDD5058 Mtge","MTG_FACTOR")</f>
        <v>0.98567042000000005</v>
      </c>
      <c r="H2792">
        <f>_xll.BDP("FNDD5058 Mtge","MTG_WAL")</f>
        <v>3.2437999999999998</v>
      </c>
      <c r="I2792" t="str">
        <f>_xll.BDP("FNDD5058 Mtge","MTG_ORIG_WAL")</f>
        <v>#N/A N/A</v>
      </c>
    </row>
    <row r="2793" spans="1:9" x14ac:dyDescent="0.25">
      <c r="A2793" t="str">
        <f>_xll.BDP("FNDD5059 Mtge","ID_CUSIP")</f>
        <v>3140B5TR8</v>
      </c>
      <c r="B2793" t="str">
        <f>_xll.BDP("FNDD5059 Mtge","SECURITY_NAME")</f>
        <v>FN DD5059</v>
      </c>
      <c r="C2793" t="str">
        <f>_xll.BDP("FNDD5059 Mtge","GENERIC_TICKER_VINTAGE")</f>
        <v>FNCL 6 2025</v>
      </c>
      <c r="D2793" t="str">
        <f>_xll.BDP("FNDD5059 Mtge","CRNCY")</f>
        <v>USD</v>
      </c>
      <c r="E2793">
        <v>2925820</v>
      </c>
      <c r="F2793">
        <f>_xll.BDP("FNDD5059 Mtge","CPN")</f>
        <v>6</v>
      </c>
      <c r="G2793">
        <f>_xll.BDP("FNDD5059 Mtge","MTG_FACTOR")</f>
        <v>0.85895869000000002</v>
      </c>
      <c r="H2793">
        <f>_xll.BDP("FNDD5059 Mtge","MTG_WAL")</f>
        <v>3.2467000000000001</v>
      </c>
      <c r="I2793" t="str">
        <f>_xll.BDP("FNDD5059 Mtge","MTG_ORIG_WAL")</f>
        <v>#N/A N/A</v>
      </c>
    </row>
    <row r="2794" spans="1:9" x14ac:dyDescent="0.25">
      <c r="A2794" t="str">
        <f>_xll.BDP("FNDD5064 Mtge","ID_CUSIP")</f>
        <v>3140B5TW7</v>
      </c>
      <c r="B2794" t="str">
        <f>_xll.BDP("FNDD5064 Mtge","SECURITY_NAME")</f>
        <v>FN DD5064</v>
      </c>
      <c r="C2794" t="str">
        <f>_xll.BDP("FNDD5064 Mtge","GENERIC_TICKER_VINTAGE")</f>
        <v>FNCL 6 2025</v>
      </c>
      <c r="D2794" t="str">
        <f>_xll.BDP("FNDD5064 Mtge","CRNCY")</f>
        <v>USD</v>
      </c>
      <c r="E2794">
        <v>1953699</v>
      </c>
      <c r="F2794">
        <f>_xll.BDP("FNDD5064 Mtge","CPN")</f>
        <v>6</v>
      </c>
      <c r="G2794">
        <f>_xll.BDP("FNDD5064 Mtge","MTG_FACTOR")</f>
        <v>0.64110440000000002</v>
      </c>
      <c r="H2794">
        <f>_xll.BDP("FNDD5064 Mtge","MTG_WAL")</f>
        <v>3.2473999999999998</v>
      </c>
      <c r="I2794" t="str">
        <f>_xll.BDP("FNDD5064 Mtge","MTG_ORIG_WAL")</f>
        <v>#N/A N/A</v>
      </c>
    </row>
    <row r="2795" spans="1:9" x14ac:dyDescent="0.25">
      <c r="A2795" t="str">
        <f>_xll.BDP("FNDD5068 Mtge","ID_CUSIP")</f>
        <v>3140B5T23</v>
      </c>
      <c r="B2795" t="str">
        <f>_xll.BDP("FNDD5068 Mtge","SECURITY_NAME")</f>
        <v>FN DD5068</v>
      </c>
      <c r="C2795" t="str">
        <f>_xll.BDP("FNDD5068 Mtge","GENERIC_TICKER_VINTAGE")</f>
        <v>FNCL 6 2025</v>
      </c>
      <c r="D2795" t="str">
        <f>_xll.BDP("FNDD5068 Mtge","CRNCY")</f>
        <v>USD</v>
      </c>
      <c r="E2795">
        <v>1142350</v>
      </c>
      <c r="F2795">
        <f>_xll.BDP("FNDD5068 Mtge","CPN")</f>
        <v>6</v>
      </c>
      <c r="G2795">
        <f>_xll.BDP("FNDD5068 Mtge","MTG_FACTOR")</f>
        <v>0.99048497999999996</v>
      </c>
      <c r="H2795">
        <f>_xll.BDP("FNDD5068 Mtge","MTG_WAL")</f>
        <v>3.2483</v>
      </c>
      <c r="I2795" t="str">
        <f>_xll.BDP("FNDD5068 Mtge","MTG_ORIG_WAL")</f>
        <v>#N/A N/A</v>
      </c>
    </row>
    <row r="2796" spans="1:9" x14ac:dyDescent="0.25">
      <c r="A2796" t="str">
        <f>_xll.BDP("FNDD5077 Mtge","ID_CUSIP")</f>
        <v>3140B5UB1</v>
      </c>
      <c r="B2796" t="str">
        <f>_xll.BDP("FNDD5077 Mtge","SECURITY_NAME")</f>
        <v>FN DD5077</v>
      </c>
      <c r="C2796" t="str">
        <f>_xll.BDP("FNDD5077 Mtge","GENERIC_TICKER_VINTAGE")</f>
        <v>FNCL 6 2025</v>
      </c>
      <c r="D2796" t="str">
        <f>_xll.BDP("FNDD5077 Mtge","CRNCY")</f>
        <v>USD</v>
      </c>
      <c r="E2796">
        <v>4329884</v>
      </c>
      <c r="F2796">
        <f>_xll.BDP("FNDD5077 Mtge","CPN")</f>
        <v>6</v>
      </c>
      <c r="G2796">
        <f>_xll.BDP("FNDD5077 Mtge","MTG_FACTOR")</f>
        <v>0.84108934999999996</v>
      </c>
      <c r="H2796">
        <f>_xll.BDP("FNDD5077 Mtge","MTG_WAL")</f>
        <v>3.2469999999999999</v>
      </c>
      <c r="I2796" t="str">
        <f>_xll.BDP("FNDD5077 Mtge","MTG_ORIG_WAL")</f>
        <v>#N/A N/A</v>
      </c>
    </row>
    <row r="2797" spans="1:9" x14ac:dyDescent="0.25">
      <c r="A2797" t="str">
        <f>_xll.BDP("FNDD5078 Mtge","ID_CUSIP")</f>
        <v>3140B5UC9</v>
      </c>
      <c r="B2797" t="str">
        <f>_xll.BDP("FNDD5078 Mtge","SECURITY_NAME")</f>
        <v>FN DD5078</v>
      </c>
      <c r="C2797" t="str">
        <f>_xll.BDP("FNDD5078 Mtge","GENERIC_TICKER_VINTAGE")</f>
        <v>FNCL 6 2025</v>
      </c>
      <c r="D2797" t="str">
        <f>_xll.BDP("FNDD5078 Mtge","CRNCY")</f>
        <v>USD</v>
      </c>
      <c r="E2797">
        <v>1327920</v>
      </c>
      <c r="F2797">
        <f>_xll.BDP("FNDD5078 Mtge","CPN")</f>
        <v>6</v>
      </c>
      <c r="G2797">
        <f>_xll.BDP("FNDD5078 Mtge","MTG_FACTOR")</f>
        <v>0.76766939000000001</v>
      </c>
      <c r="H2797">
        <f>_xll.BDP("FNDD5078 Mtge","MTG_WAL")</f>
        <v>3.2486000000000002</v>
      </c>
      <c r="I2797" t="str">
        <f>_xll.BDP("FNDD5078 Mtge","MTG_ORIG_WAL")</f>
        <v>#N/A N/A</v>
      </c>
    </row>
    <row r="2798" spans="1:9" x14ac:dyDescent="0.25">
      <c r="A2798" t="str">
        <f>_xll.BDP("FNDD5083 Mtge","ID_CUSIP")</f>
        <v>3140B5UH8</v>
      </c>
      <c r="B2798" t="str">
        <f>_xll.BDP("FNDD5083 Mtge","SECURITY_NAME")</f>
        <v>FN DD5083</v>
      </c>
      <c r="C2798" t="str">
        <f>_xll.BDP("FNDD5083 Mtge","GENERIC_TICKER_VINTAGE")</f>
        <v>FNCL 6 2025</v>
      </c>
      <c r="D2798" t="str">
        <f>_xll.BDP("FNDD5083 Mtge","CRNCY")</f>
        <v>USD</v>
      </c>
      <c r="E2798">
        <v>2320400</v>
      </c>
      <c r="F2798">
        <f>_xll.BDP("FNDD5083 Mtge","CPN")</f>
        <v>6</v>
      </c>
      <c r="G2798">
        <f>_xll.BDP("FNDD5083 Mtge","MTG_FACTOR")</f>
        <v>0.45172232000000001</v>
      </c>
      <c r="H2798">
        <f>_xll.BDP("FNDD5083 Mtge","MTG_WAL")</f>
        <v>3.2039</v>
      </c>
      <c r="I2798" t="str">
        <f>_xll.BDP("FNDD5083 Mtge","MTG_ORIG_WAL")</f>
        <v>#N/A N/A</v>
      </c>
    </row>
    <row r="2799" spans="1:9" x14ac:dyDescent="0.25">
      <c r="A2799" t="str">
        <f>_xll.BDP("FNDD5084 Mtge","ID_CUSIP")</f>
        <v>3140B5UJ4</v>
      </c>
      <c r="B2799" t="str">
        <f>_xll.BDP("FNDD5084 Mtge","SECURITY_NAME")</f>
        <v>FN DD5084</v>
      </c>
      <c r="C2799" t="str">
        <f>_xll.BDP("FNDD5084 Mtge","GENERIC_TICKER_VINTAGE")</f>
        <v>FNCL 6 2025</v>
      </c>
      <c r="D2799" t="str">
        <f>_xll.BDP("FNDD5084 Mtge","CRNCY")</f>
        <v>USD</v>
      </c>
      <c r="E2799">
        <v>1179388</v>
      </c>
      <c r="F2799">
        <f>_xll.BDP("FNDD5084 Mtge","CPN")</f>
        <v>6</v>
      </c>
      <c r="G2799">
        <f>_xll.BDP("FNDD5084 Mtge","MTG_FACTOR")</f>
        <v>0.98884114999999995</v>
      </c>
      <c r="H2799">
        <f>_xll.BDP("FNDD5084 Mtge","MTG_WAL")</f>
        <v>3.2473999999999998</v>
      </c>
      <c r="I2799" t="str">
        <f>_xll.BDP("FNDD5084 Mtge","MTG_ORIG_WAL")</f>
        <v>#N/A N/A</v>
      </c>
    </row>
    <row r="2800" spans="1:9" x14ac:dyDescent="0.25">
      <c r="A2800" t="str">
        <f>_xll.BDP("FNDD5085 Mtge","ID_CUSIP")</f>
        <v>3140B5UK1</v>
      </c>
      <c r="B2800" t="str">
        <f>_xll.BDP("FNDD5085 Mtge","SECURITY_NAME")</f>
        <v>FN DD5085</v>
      </c>
      <c r="C2800" t="str">
        <f>_xll.BDP("FNDD5085 Mtge","GENERIC_TICKER_VINTAGE")</f>
        <v>FNCL 6 2025</v>
      </c>
      <c r="D2800" t="str">
        <f>_xll.BDP("FNDD5085 Mtge","CRNCY")</f>
        <v>USD</v>
      </c>
      <c r="E2800">
        <v>1572500</v>
      </c>
      <c r="F2800">
        <f>_xll.BDP("FNDD5085 Mtge","CPN")</f>
        <v>6</v>
      </c>
      <c r="G2800">
        <f>_xll.BDP("FNDD5085 Mtge","MTG_FACTOR")</f>
        <v>0.78651004999999996</v>
      </c>
      <c r="H2800">
        <f>_xll.BDP("FNDD5085 Mtge","MTG_WAL")</f>
        <v>3.2046999999999999</v>
      </c>
      <c r="I2800" t="str">
        <f>_xll.BDP("FNDD5085 Mtge","MTG_ORIG_WAL")</f>
        <v>#N/A N/A</v>
      </c>
    </row>
    <row r="2801" spans="1:9" x14ac:dyDescent="0.25">
      <c r="A2801" t="str">
        <f>_xll.BDP("FNDD5087 Mtge","ID_CUSIP")</f>
        <v>3140B5UM7</v>
      </c>
      <c r="B2801" t="str">
        <f>_xll.BDP("FNDD5087 Mtge","SECURITY_NAME")</f>
        <v>FN DD5087</v>
      </c>
      <c r="C2801" t="str">
        <f>_xll.BDP("FNDD5087 Mtge","GENERIC_TICKER_VINTAGE")</f>
        <v>FNCL 6 2025</v>
      </c>
      <c r="D2801" t="str">
        <f>_xll.BDP("FNDD5087 Mtge","CRNCY")</f>
        <v>USD</v>
      </c>
      <c r="E2801">
        <v>1997965</v>
      </c>
      <c r="F2801">
        <f>_xll.BDP("FNDD5087 Mtge","CPN")</f>
        <v>6</v>
      </c>
      <c r="G2801">
        <f>_xll.BDP("FNDD5087 Mtge","MTG_FACTOR")</f>
        <v>0.97999769999999997</v>
      </c>
      <c r="H2801">
        <f>_xll.BDP("FNDD5087 Mtge","MTG_WAL")</f>
        <v>3.1964000000000001</v>
      </c>
      <c r="I2801" t="str">
        <f>_xll.BDP("FNDD5087 Mtge","MTG_ORIG_WAL")</f>
        <v>#N/A N/A</v>
      </c>
    </row>
    <row r="2802" spans="1:9" x14ac:dyDescent="0.25">
      <c r="A2802" t="str">
        <f>_xll.BDP("FNDD5088 Mtge","ID_CUSIP")</f>
        <v>3140B5UN5</v>
      </c>
      <c r="B2802" t="str">
        <f>_xll.BDP("FNDD5088 Mtge","SECURITY_NAME")</f>
        <v>FN DD5088</v>
      </c>
      <c r="C2802" t="str">
        <f>_xll.BDP("FNDD5088 Mtge","GENERIC_TICKER_VINTAGE")</f>
        <v>FNCL 6 2025</v>
      </c>
      <c r="D2802" t="str">
        <f>_xll.BDP("FNDD5088 Mtge","CRNCY")</f>
        <v>USD</v>
      </c>
      <c r="E2802">
        <v>1330322</v>
      </c>
      <c r="F2802">
        <f>_xll.BDP("FNDD5088 Mtge","CPN")</f>
        <v>6</v>
      </c>
      <c r="G2802">
        <f>_xll.BDP("FNDD5088 Mtge","MTG_FACTOR")</f>
        <v>0.73222851</v>
      </c>
      <c r="H2802">
        <f>_xll.BDP("FNDD5088 Mtge","MTG_WAL")</f>
        <v>3.2467000000000001</v>
      </c>
      <c r="I2802" t="str">
        <f>_xll.BDP("FNDD5088 Mtge","MTG_ORIG_WAL")</f>
        <v>#N/A N/A</v>
      </c>
    </row>
    <row r="2803" spans="1:9" x14ac:dyDescent="0.25">
      <c r="A2803" t="str">
        <f>_xll.BDP("FNDD5091 Mtge","ID_CUSIP")</f>
        <v>3140B5UR6</v>
      </c>
      <c r="B2803" t="str">
        <f>_xll.BDP("FNDD5091 Mtge","SECURITY_NAME")</f>
        <v>FN DD5091</v>
      </c>
      <c r="C2803" t="str">
        <f>_xll.BDP("FNDD5091 Mtge","GENERIC_TICKER_VINTAGE")</f>
        <v>FNCL 6 2025</v>
      </c>
      <c r="D2803" t="str">
        <f>_xll.BDP("FNDD5091 Mtge","CRNCY")</f>
        <v>USD</v>
      </c>
      <c r="E2803">
        <v>1265600</v>
      </c>
      <c r="F2803">
        <f>_xll.BDP("FNDD5091 Mtge","CPN")</f>
        <v>6</v>
      </c>
      <c r="G2803">
        <f>_xll.BDP("FNDD5091 Mtge","MTG_FACTOR")</f>
        <v>0.93800075999999999</v>
      </c>
      <c r="H2803">
        <f>_xll.BDP("FNDD5091 Mtge","MTG_WAL")</f>
        <v>3.2056</v>
      </c>
      <c r="I2803" t="str">
        <f>_xll.BDP("FNDD5091 Mtge","MTG_ORIG_WAL")</f>
        <v>#N/A N/A</v>
      </c>
    </row>
    <row r="2804" spans="1:9" x14ac:dyDescent="0.25">
      <c r="A2804" t="str">
        <f>_xll.BDP("FNDD5092 Mtge","ID_CUSIP")</f>
        <v>3140B5US4</v>
      </c>
      <c r="B2804" t="str">
        <f>_xll.BDP("FNDD5092 Mtge","SECURITY_NAME")</f>
        <v>FN DD5092</v>
      </c>
      <c r="C2804" t="str">
        <f>_xll.BDP("FNDD5092 Mtge","GENERIC_TICKER_VINTAGE")</f>
        <v>FNCL 6 2025</v>
      </c>
      <c r="D2804" t="str">
        <f>_xll.BDP("FNDD5092 Mtge","CRNCY")</f>
        <v>USD</v>
      </c>
      <c r="E2804">
        <v>1103460</v>
      </c>
      <c r="F2804">
        <f>_xll.BDP("FNDD5092 Mtge","CPN")</f>
        <v>6</v>
      </c>
      <c r="G2804">
        <f>_xll.BDP("FNDD5092 Mtge","MTG_FACTOR")</f>
        <v>0.98969894999999997</v>
      </c>
      <c r="H2804">
        <f>_xll.BDP("FNDD5092 Mtge","MTG_WAL")</f>
        <v>3.2481</v>
      </c>
      <c r="I2804" t="str">
        <f>_xll.BDP("FNDD5092 Mtge","MTG_ORIG_WAL")</f>
        <v>#N/A N/A</v>
      </c>
    </row>
    <row r="2805" spans="1:9" x14ac:dyDescent="0.25">
      <c r="A2805" t="str">
        <f>_xll.BDP("FNDD5093 Mtge","ID_CUSIP")</f>
        <v>3140B5UT2</v>
      </c>
      <c r="B2805" t="str">
        <f>_xll.BDP("FNDD5093 Mtge","SECURITY_NAME")</f>
        <v>FN DD5093</v>
      </c>
      <c r="C2805" t="str">
        <f>_xll.BDP("FNDD5093 Mtge","GENERIC_TICKER_VINTAGE")</f>
        <v>FNCL 6 2025</v>
      </c>
      <c r="D2805" t="str">
        <f>_xll.BDP("FNDD5093 Mtge","CRNCY")</f>
        <v>USD</v>
      </c>
      <c r="E2805">
        <v>1209800</v>
      </c>
      <c r="F2805">
        <f>_xll.BDP("FNDD5093 Mtge","CPN")</f>
        <v>6</v>
      </c>
      <c r="G2805">
        <f>_xll.BDP("FNDD5093 Mtge","MTG_FACTOR")</f>
        <v>0.81731209999999999</v>
      </c>
      <c r="H2805">
        <f>_xll.BDP("FNDD5093 Mtge","MTG_WAL")</f>
        <v>3.2456999999999998</v>
      </c>
      <c r="I2805" t="str">
        <f>_xll.BDP("FNDD5093 Mtge","MTG_ORIG_WAL")</f>
        <v>#N/A N/A</v>
      </c>
    </row>
    <row r="2806" spans="1:9" x14ac:dyDescent="0.25">
      <c r="A2806" t="str">
        <f>_xll.BDP("FNDD5094 Mtge","ID_CUSIP")</f>
        <v>3140B5UU9</v>
      </c>
      <c r="B2806" t="str">
        <f>_xll.BDP("FNDD5094 Mtge","SECURITY_NAME")</f>
        <v>FN DD5094</v>
      </c>
      <c r="C2806" t="str">
        <f>_xll.BDP("FNDD5094 Mtge","GENERIC_TICKER_VINTAGE")</f>
        <v>FNCL 6 2025</v>
      </c>
      <c r="D2806" t="str">
        <f>_xll.BDP("FNDD5094 Mtge","CRNCY")</f>
        <v>USD</v>
      </c>
      <c r="E2806">
        <v>1186129</v>
      </c>
      <c r="F2806">
        <f>_xll.BDP("FNDD5094 Mtge","CPN")</f>
        <v>6</v>
      </c>
      <c r="G2806">
        <f>_xll.BDP("FNDD5094 Mtge","MTG_FACTOR")</f>
        <v>0.98978628000000002</v>
      </c>
      <c r="H2806">
        <f>_xll.BDP("FNDD5094 Mtge","MTG_WAL")</f>
        <v>3.2021000000000002</v>
      </c>
      <c r="I2806" t="str">
        <f>_xll.BDP("FNDD5094 Mtge","MTG_ORIG_WAL")</f>
        <v>#N/A N/A</v>
      </c>
    </row>
    <row r="2807" spans="1:9" x14ac:dyDescent="0.25">
      <c r="A2807" t="str">
        <f>_xll.BDP("FNDD5095 Mtge","ID_CUSIP")</f>
        <v>3140B5UV7</v>
      </c>
      <c r="B2807" t="str">
        <f>_xll.BDP("FNDD5095 Mtge","SECURITY_NAME")</f>
        <v>FN DD5095</v>
      </c>
      <c r="C2807" t="str">
        <f>_xll.BDP("FNDD5095 Mtge","GENERIC_TICKER_VINTAGE")</f>
        <v>FNCL 6 2025</v>
      </c>
      <c r="D2807" t="str">
        <f>_xll.BDP("FNDD5095 Mtge","CRNCY")</f>
        <v>USD</v>
      </c>
      <c r="E2807">
        <v>1337400</v>
      </c>
      <c r="F2807">
        <f>_xll.BDP("FNDD5095 Mtge","CPN")</f>
        <v>6</v>
      </c>
      <c r="G2807">
        <f>_xll.BDP("FNDD5095 Mtge","MTG_FACTOR")</f>
        <v>0.98882530000000002</v>
      </c>
      <c r="H2807">
        <f>_xll.BDP("FNDD5095 Mtge","MTG_WAL")</f>
        <v>3.2458999999999998</v>
      </c>
      <c r="I2807" t="str">
        <f>_xll.BDP("FNDD5095 Mtge","MTG_ORIG_WAL")</f>
        <v>#N/A N/A</v>
      </c>
    </row>
    <row r="2808" spans="1:9" x14ac:dyDescent="0.25">
      <c r="A2808" t="str">
        <f>_xll.BDP("FNDD5096 Mtge","ID_CUSIP")</f>
        <v>3140B5UW5</v>
      </c>
      <c r="B2808" t="str">
        <f>_xll.BDP("FNDD5096 Mtge","SECURITY_NAME")</f>
        <v>FN DD5096</v>
      </c>
      <c r="C2808" t="str">
        <f>_xll.BDP("FNDD5096 Mtge","GENERIC_TICKER_VINTAGE")</f>
        <v>FNCL 6 2025</v>
      </c>
      <c r="D2808" t="str">
        <f>_xll.BDP("FNDD5096 Mtge","CRNCY")</f>
        <v>USD</v>
      </c>
      <c r="E2808">
        <v>1442712</v>
      </c>
      <c r="F2808">
        <f>_xll.BDP("FNDD5096 Mtge","CPN")</f>
        <v>6</v>
      </c>
      <c r="G2808">
        <f>_xll.BDP("FNDD5096 Mtge","MTG_FACTOR")</f>
        <v>0.78983851000000005</v>
      </c>
      <c r="H2808">
        <f>_xll.BDP("FNDD5096 Mtge","MTG_WAL")</f>
        <v>3.2444000000000002</v>
      </c>
      <c r="I2808" t="str">
        <f>_xll.BDP("FNDD5096 Mtge","MTG_ORIG_WAL")</f>
        <v>#N/A N/A</v>
      </c>
    </row>
    <row r="2809" spans="1:9" x14ac:dyDescent="0.25">
      <c r="A2809" t="str">
        <f>_xll.BDP("FNDD5100 Mtge","ID_CUSIP")</f>
        <v>3140B5U21</v>
      </c>
      <c r="B2809" t="str">
        <f>_xll.BDP("FNDD5100 Mtge","SECURITY_NAME")</f>
        <v>FN DD5100</v>
      </c>
      <c r="C2809" t="str">
        <f>_xll.BDP("FNDD5100 Mtge","GENERIC_TICKER_VINTAGE")</f>
        <v>FNCL 6 2025</v>
      </c>
      <c r="D2809" t="str">
        <f>_xll.BDP("FNDD5100 Mtge","CRNCY")</f>
        <v>USD</v>
      </c>
      <c r="E2809">
        <v>1068655</v>
      </c>
      <c r="F2809">
        <f>_xll.BDP("FNDD5100 Mtge","CPN")</f>
        <v>6</v>
      </c>
      <c r="G2809">
        <f>_xll.BDP("FNDD5100 Mtge","MTG_FACTOR")</f>
        <v>0.64141791999999997</v>
      </c>
      <c r="H2809">
        <f>_xll.BDP("FNDD5100 Mtge","MTG_WAL")</f>
        <v>3.2496</v>
      </c>
      <c r="I2809" t="str">
        <f>_xll.BDP("FNDD5100 Mtge","MTG_ORIG_WAL")</f>
        <v>#N/A N/A</v>
      </c>
    </row>
    <row r="2810" spans="1:9" x14ac:dyDescent="0.25">
      <c r="A2810" t="str">
        <f>_xll.BDP("FNDD5108 Mtge","ID_CUSIP")</f>
        <v>3140B5VA2</v>
      </c>
      <c r="B2810" t="str">
        <f>_xll.BDP("FNDD5108 Mtge","SECURITY_NAME")</f>
        <v>FN DD5108</v>
      </c>
      <c r="C2810" t="str">
        <f>_xll.BDP("FNDD5108 Mtge","GENERIC_TICKER_VINTAGE")</f>
        <v>FNCL 6 2025</v>
      </c>
      <c r="D2810" t="str">
        <f>_xll.BDP("FNDD5108 Mtge","CRNCY")</f>
        <v>USD</v>
      </c>
      <c r="E2810">
        <v>1504560</v>
      </c>
      <c r="F2810">
        <f>_xll.BDP("FNDD5108 Mtge","CPN")</f>
        <v>6</v>
      </c>
      <c r="G2810">
        <f>_xll.BDP("FNDD5108 Mtge","MTG_FACTOR")</f>
        <v>0.98896114999999996</v>
      </c>
      <c r="H2810">
        <f>_xll.BDP("FNDD5108 Mtge","MTG_WAL")</f>
        <v>3.2465999999999999</v>
      </c>
      <c r="I2810" t="str">
        <f>_xll.BDP("FNDD5108 Mtge","MTG_ORIG_WAL")</f>
        <v>#N/A N/A</v>
      </c>
    </row>
    <row r="2811" spans="1:9" x14ac:dyDescent="0.25">
      <c r="A2811" t="str">
        <f>_xll.BDP("FNDD5109 Mtge","ID_CUSIP")</f>
        <v>3140B5VB0</v>
      </c>
      <c r="B2811" t="str">
        <f>_xll.BDP("FNDD5109 Mtge","SECURITY_NAME")</f>
        <v>FN DD5109</v>
      </c>
      <c r="C2811" t="str">
        <f>_xll.BDP("FNDD5109 Mtge","GENERIC_TICKER_VINTAGE")</f>
        <v>FNCL 6 2025</v>
      </c>
      <c r="D2811" t="str">
        <f>_xll.BDP("FNDD5109 Mtge","CRNCY")</f>
        <v>USD</v>
      </c>
      <c r="E2811">
        <v>1129690</v>
      </c>
      <c r="F2811">
        <f>_xll.BDP("FNDD5109 Mtge","CPN")</f>
        <v>6</v>
      </c>
      <c r="G2811">
        <f>_xll.BDP("FNDD5109 Mtge","MTG_FACTOR")</f>
        <v>0.97081432000000001</v>
      </c>
      <c r="H2811">
        <f>_xll.BDP("FNDD5109 Mtge","MTG_WAL")</f>
        <v>3.2381000000000002</v>
      </c>
      <c r="I2811" t="str">
        <f>_xll.BDP("FNDD5109 Mtge","MTG_ORIG_WAL")</f>
        <v>#N/A N/A</v>
      </c>
    </row>
    <row r="2812" spans="1:9" x14ac:dyDescent="0.25">
      <c r="A2812" t="str">
        <f>_xll.BDP("FNDD5110 Mtge","ID_CUSIP")</f>
        <v>3140B5VC8</v>
      </c>
      <c r="B2812" t="str">
        <f>_xll.BDP("FNDD5110 Mtge","SECURITY_NAME")</f>
        <v>FN DD5110</v>
      </c>
      <c r="C2812" t="str">
        <f>_xll.BDP("FNDD5110 Mtge","GENERIC_TICKER_VINTAGE")</f>
        <v>FNCL 6 2025</v>
      </c>
      <c r="D2812" t="str">
        <f>_xll.BDP("FNDD5110 Mtge","CRNCY")</f>
        <v>USD</v>
      </c>
      <c r="E2812">
        <v>1002334</v>
      </c>
      <c r="F2812">
        <f>_xll.BDP("FNDD5110 Mtge","CPN")</f>
        <v>6</v>
      </c>
      <c r="G2812">
        <f>_xll.BDP("FNDD5110 Mtge","MTG_FACTOR")</f>
        <v>0.97683211999999997</v>
      </c>
      <c r="H2812">
        <f>_xll.BDP("FNDD5110 Mtge","MTG_WAL")</f>
        <v>3.2347999999999999</v>
      </c>
      <c r="I2812" t="str">
        <f>_xll.BDP("FNDD5110 Mtge","MTG_ORIG_WAL")</f>
        <v>#N/A N/A</v>
      </c>
    </row>
    <row r="2813" spans="1:9" x14ac:dyDescent="0.25">
      <c r="A2813" t="str">
        <f>_xll.BDP("FNDD5118 Mtge","ID_CUSIP")</f>
        <v>3140B5VL8</v>
      </c>
      <c r="B2813" t="str">
        <f>_xll.BDP("FNDD5118 Mtge","SECURITY_NAME")</f>
        <v>FN DD5118</v>
      </c>
      <c r="C2813" t="str">
        <f>_xll.BDP("FNDD5118 Mtge","GENERIC_TICKER_VINTAGE")</f>
        <v>FNCL 6 2025</v>
      </c>
      <c r="D2813" t="str">
        <f>_xll.BDP("FNDD5118 Mtge","CRNCY")</f>
        <v>USD</v>
      </c>
      <c r="E2813">
        <v>1240997</v>
      </c>
      <c r="F2813">
        <f>_xll.BDP("FNDD5118 Mtge","CPN")</f>
        <v>6</v>
      </c>
      <c r="G2813">
        <f>_xll.BDP("FNDD5118 Mtge","MTG_FACTOR")</f>
        <v>0.99054218000000005</v>
      </c>
      <c r="H2813">
        <f>_xll.BDP("FNDD5118 Mtge","MTG_WAL")</f>
        <v>3.2490999999999999</v>
      </c>
      <c r="I2813" t="str">
        <f>_xll.BDP("FNDD5118 Mtge","MTG_ORIG_WAL")</f>
        <v>#N/A N/A</v>
      </c>
    </row>
    <row r="2814" spans="1:9" x14ac:dyDescent="0.25">
      <c r="A2814" t="str">
        <f>_xll.BDP("FNDD5120 Mtge","ID_CUSIP")</f>
        <v>3140B5VN4</v>
      </c>
      <c r="B2814" t="str">
        <f>_xll.BDP("FNDD5120 Mtge","SECURITY_NAME")</f>
        <v>FN DD5120</v>
      </c>
      <c r="C2814" t="str">
        <f>_xll.BDP("FNDD5120 Mtge","GENERIC_TICKER_VINTAGE")</f>
        <v>FNCL 6 2025</v>
      </c>
      <c r="D2814" t="str">
        <f>_xll.BDP("FNDD5120 Mtge","CRNCY")</f>
        <v>USD</v>
      </c>
      <c r="E2814">
        <v>1146385</v>
      </c>
      <c r="F2814">
        <f>_xll.BDP("FNDD5120 Mtge","CPN")</f>
        <v>6</v>
      </c>
      <c r="G2814">
        <f>_xll.BDP("FNDD5120 Mtge","MTG_FACTOR")</f>
        <v>0.99019014000000005</v>
      </c>
      <c r="H2814">
        <f>_xll.BDP("FNDD5120 Mtge","MTG_WAL")</f>
        <v>3.2484000000000002</v>
      </c>
      <c r="I2814" t="str">
        <f>_xll.BDP("FNDD5120 Mtge","MTG_ORIG_WAL")</f>
        <v>#N/A N/A</v>
      </c>
    </row>
    <row r="2815" spans="1:9" x14ac:dyDescent="0.25">
      <c r="A2815" t="str">
        <f>_xll.BDP("FNDD5121 Mtge","ID_CUSIP")</f>
        <v>3140B5VP9</v>
      </c>
      <c r="B2815" t="str">
        <f>_xll.BDP("FNDD5121 Mtge","SECURITY_NAME")</f>
        <v>FN DD5121</v>
      </c>
      <c r="C2815" t="str">
        <f>_xll.BDP("FNDD5121 Mtge","GENERIC_TICKER_VINTAGE")</f>
        <v>FNCL 6 2025</v>
      </c>
      <c r="D2815" t="str">
        <f>_xll.BDP("FNDD5121 Mtge","CRNCY")</f>
        <v>USD</v>
      </c>
      <c r="E2815">
        <v>1328650</v>
      </c>
      <c r="F2815">
        <f>_xll.BDP("FNDD5121 Mtge","CPN")</f>
        <v>6</v>
      </c>
      <c r="G2815">
        <f>_xll.BDP("FNDD5121 Mtge","MTG_FACTOR")</f>
        <v>0.98964200000000002</v>
      </c>
      <c r="H2815">
        <f>_xll.BDP("FNDD5121 Mtge","MTG_WAL")</f>
        <v>3.2480000000000002</v>
      </c>
      <c r="I2815" t="str">
        <f>_xll.BDP("FNDD5121 Mtge","MTG_ORIG_WAL")</f>
        <v>#N/A N/A</v>
      </c>
    </row>
    <row r="2816" spans="1:9" x14ac:dyDescent="0.25">
      <c r="A2816" t="str">
        <f>_xll.BDP("FNDD5122 Mtge","ID_CUSIP")</f>
        <v>3140B5VQ7</v>
      </c>
      <c r="B2816" t="str">
        <f>_xll.BDP("FNDD5122 Mtge","SECURITY_NAME")</f>
        <v>FN DD5122</v>
      </c>
      <c r="C2816" t="str">
        <f>_xll.BDP("FNDD5122 Mtge","GENERIC_TICKER_VINTAGE")</f>
        <v>FNCL 6 2025</v>
      </c>
      <c r="D2816" t="str">
        <f>_xll.BDP("FNDD5122 Mtge","CRNCY")</f>
        <v>USD</v>
      </c>
      <c r="E2816">
        <v>1081860</v>
      </c>
      <c r="F2816">
        <f>_xll.BDP("FNDD5122 Mtge","CPN")</f>
        <v>6</v>
      </c>
      <c r="G2816">
        <f>_xll.BDP("FNDD5122 Mtge","MTG_FACTOR")</f>
        <v>0.98604163</v>
      </c>
      <c r="H2816">
        <f>_xll.BDP("FNDD5122 Mtge","MTG_WAL")</f>
        <v>3.2439</v>
      </c>
      <c r="I2816" t="str">
        <f>_xll.BDP("FNDD5122 Mtge","MTG_ORIG_WAL")</f>
        <v>#N/A N/A</v>
      </c>
    </row>
    <row r="2817" spans="1:9" x14ac:dyDescent="0.25">
      <c r="A2817" t="str">
        <f>_xll.BDP("FNDD5124 Mtge","ID_CUSIP")</f>
        <v>3140B5VS3</v>
      </c>
      <c r="B2817" t="str">
        <f>_xll.BDP("FNDD5124 Mtge","SECURITY_NAME")</f>
        <v>FN DD5124</v>
      </c>
      <c r="C2817" t="str">
        <f>_xll.BDP("FNDD5124 Mtge","GENERIC_TICKER_VINTAGE")</f>
        <v>FNCL 6 2025</v>
      </c>
      <c r="D2817" t="str">
        <f>_xll.BDP("FNDD5124 Mtge","CRNCY")</f>
        <v>USD</v>
      </c>
      <c r="E2817">
        <v>1269651</v>
      </c>
      <c r="F2817">
        <f>_xll.BDP("FNDD5124 Mtge","CPN")</f>
        <v>6</v>
      </c>
      <c r="G2817">
        <f>_xll.BDP("FNDD5124 Mtge","MTG_FACTOR")</f>
        <v>0.83097122999999995</v>
      </c>
      <c r="H2817">
        <f>_xll.BDP("FNDD5124 Mtge","MTG_WAL")</f>
        <v>3.1583000000000001</v>
      </c>
      <c r="I2817" t="str">
        <f>_xll.BDP("FNDD5124 Mtge","MTG_ORIG_WAL")</f>
        <v>#N/A N/A</v>
      </c>
    </row>
    <row r="2818" spans="1:9" x14ac:dyDescent="0.25">
      <c r="A2818" t="str">
        <f>_xll.BDP("FNDD5128 Mtge","ID_CUSIP")</f>
        <v>3140B5VW4</v>
      </c>
      <c r="B2818" t="str">
        <f>_xll.BDP("FNDD5128 Mtge","SECURITY_NAME")</f>
        <v>FN DD5128</v>
      </c>
      <c r="C2818" t="str">
        <f>_xll.BDP("FNDD5128 Mtge","GENERIC_TICKER_VINTAGE")</f>
        <v>FNCL 6 2025</v>
      </c>
      <c r="D2818" t="str">
        <f>_xll.BDP("FNDD5128 Mtge","CRNCY")</f>
        <v>USD</v>
      </c>
      <c r="E2818">
        <v>1163122</v>
      </c>
      <c r="F2818">
        <f>_xll.BDP("FNDD5128 Mtge","CPN")</f>
        <v>6</v>
      </c>
      <c r="G2818">
        <f>_xll.BDP("FNDD5128 Mtge","MTG_FACTOR")</f>
        <v>0.98967088999999997</v>
      </c>
      <c r="H2818">
        <f>_xll.BDP("FNDD5128 Mtge","MTG_WAL")</f>
        <v>3.1625999999999999</v>
      </c>
      <c r="I2818" t="str">
        <f>_xll.BDP("FNDD5128 Mtge","MTG_ORIG_WAL")</f>
        <v>#N/A N/A</v>
      </c>
    </row>
    <row r="2819" spans="1:9" x14ac:dyDescent="0.25">
      <c r="A2819" t="str">
        <f>_xll.BDP("FNDD5129 Mtge","ID_CUSIP")</f>
        <v>3140B5VX2</v>
      </c>
      <c r="B2819" t="str">
        <f>_xll.BDP("FNDD5129 Mtge","SECURITY_NAME")</f>
        <v>FN DD5129</v>
      </c>
      <c r="C2819" t="str">
        <f>_xll.BDP("FNDD5129 Mtge","GENERIC_TICKER_VINTAGE")</f>
        <v>FNCL 6 2025</v>
      </c>
      <c r="D2819" t="str">
        <f>_xll.BDP("FNDD5129 Mtge","CRNCY")</f>
        <v>USD</v>
      </c>
      <c r="E2819">
        <v>1434700</v>
      </c>
      <c r="F2819">
        <f>_xll.BDP("FNDD5129 Mtge","CPN")</f>
        <v>6</v>
      </c>
      <c r="G2819">
        <f>_xll.BDP("FNDD5129 Mtge","MTG_FACTOR")</f>
        <v>0.98276116000000002</v>
      </c>
      <c r="H2819">
        <f>_xll.BDP("FNDD5129 Mtge","MTG_WAL")</f>
        <v>3.1493000000000002</v>
      </c>
      <c r="I2819" t="str">
        <f>_xll.BDP("FNDD5129 Mtge","MTG_ORIG_WAL")</f>
        <v>#N/A N/A</v>
      </c>
    </row>
    <row r="2820" spans="1:9" x14ac:dyDescent="0.25">
      <c r="A2820" t="str">
        <f>_xll.BDP("FNDD5133 Mtge","ID_CUSIP")</f>
        <v>3140B5V38</v>
      </c>
      <c r="B2820" t="str">
        <f>_xll.BDP("FNDD5133 Mtge","SECURITY_NAME")</f>
        <v>FN DD5133</v>
      </c>
      <c r="C2820" t="str">
        <f>_xll.BDP("FNDD5133 Mtge","GENERIC_TICKER_VINTAGE")</f>
        <v>FNCL 6 2025</v>
      </c>
      <c r="D2820" t="str">
        <f>_xll.BDP("FNDD5133 Mtge","CRNCY")</f>
        <v>USD</v>
      </c>
      <c r="E2820">
        <v>2271872</v>
      </c>
      <c r="F2820">
        <f>_xll.BDP("FNDD5133 Mtge","CPN")</f>
        <v>5.875</v>
      </c>
      <c r="G2820">
        <f>_xll.BDP("FNDD5133 Mtge","MTG_FACTOR")</f>
        <v>0.85727028000000005</v>
      </c>
      <c r="H2820">
        <f>_xll.BDP("FNDD5133 Mtge","MTG_WAL")</f>
        <v>3.1968000000000001</v>
      </c>
      <c r="I2820" t="str">
        <f>_xll.BDP("FNDD5133 Mtge","MTG_ORIG_WAL")</f>
        <v>#N/A N/A</v>
      </c>
    </row>
    <row r="2821" spans="1:9" x14ac:dyDescent="0.25">
      <c r="A2821" t="str">
        <f>_xll.BDP("FNDD5154 Mtge","ID_CUSIP")</f>
        <v>3140B5WQ6</v>
      </c>
      <c r="B2821" t="str">
        <f>_xll.BDP("FNDD5154 Mtge","SECURITY_NAME")</f>
        <v>FN DD5154</v>
      </c>
      <c r="C2821" t="str">
        <f>_xll.BDP("FNDD5154 Mtge","GENERIC_TICKER_VINTAGE")</f>
        <v>FNCL 6 2025</v>
      </c>
      <c r="D2821" t="str">
        <f>_xll.BDP("FNDD5154 Mtge","CRNCY")</f>
        <v>USD</v>
      </c>
      <c r="E2821">
        <v>1548915</v>
      </c>
      <c r="F2821">
        <f>_xll.BDP("FNDD5154 Mtge","CPN")</f>
        <v>6</v>
      </c>
      <c r="G2821">
        <f>_xll.BDP("FNDD5154 Mtge","MTG_FACTOR")</f>
        <v>0.86530293999999996</v>
      </c>
      <c r="H2821">
        <f>_xll.BDP("FNDD5154 Mtge","MTG_WAL")</f>
        <v>3.2052</v>
      </c>
      <c r="I2821" t="str">
        <f>_xll.BDP("FNDD5154 Mtge","MTG_ORIG_WAL")</f>
        <v>#N/A N/A</v>
      </c>
    </row>
    <row r="2822" spans="1:9" x14ac:dyDescent="0.25">
      <c r="A2822" t="str">
        <f>_xll.BDP("FNDD5155 Mtge","ID_CUSIP")</f>
        <v>3140B5WR4</v>
      </c>
      <c r="B2822" t="str">
        <f>_xll.BDP("FNDD5155 Mtge","SECURITY_NAME")</f>
        <v>FN DD5155</v>
      </c>
      <c r="C2822" t="str">
        <f>_xll.BDP("FNDD5155 Mtge","GENERIC_TICKER_VINTAGE")</f>
        <v>FNCL 6 2025</v>
      </c>
      <c r="D2822" t="str">
        <f>_xll.BDP("FNDD5155 Mtge","CRNCY")</f>
        <v>USD</v>
      </c>
      <c r="E2822">
        <v>1130908</v>
      </c>
      <c r="F2822">
        <f>_xll.BDP("FNDD5155 Mtge","CPN")</f>
        <v>6</v>
      </c>
      <c r="G2822">
        <f>_xll.BDP("FNDD5155 Mtge","MTG_FACTOR")</f>
        <v>0.98599331999999995</v>
      </c>
      <c r="H2822">
        <f>_xll.BDP("FNDD5155 Mtge","MTG_WAL")</f>
        <v>3.1997</v>
      </c>
      <c r="I2822" t="str">
        <f>_xll.BDP("FNDD5155 Mtge","MTG_ORIG_WAL")</f>
        <v>#N/A N/A</v>
      </c>
    </row>
    <row r="2823" spans="1:9" x14ac:dyDescent="0.25">
      <c r="A2823" t="str">
        <f>_xll.BDP("FNDD5156 Mtge","ID_CUSIP")</f>
        <v>3140B5WS2</v>
      </c>
      <c r="B2823" t="str">
        <f>_xll.BDP("FNDD5156 Mtge","SECURITY_NAME")</f>
        <v>FN DD5156</v>
      </c>
      <c r="C2823" t="str">
        <f>_xll.BDP("FNDD5156 Mtge","GENERIC_TICKER_VINTAGE")</f>
        <v>FNCL 6 2025</v>
      </c>
      <c r="D2823" t="str">
        <f>_xll.BDP("FNDD5156 Mtge","CRNCY")</f>
        <v>USD</v>
      </c>
      <c r="E2823">
        <v>1471426</v>
      </c>
      <c r="F2823">
        <f>_xll.BDP("FNDD5156 Mtge","CPN")</f>
        <v>6</v>
      </c>
      <c r="G2823">
        <f>_xll.BDP("FNDD5156 Mtge","MTG_FACTOR")</f>
        <v>0.75475546999999998</v>
      </c>
      <c r="H2823">
        <f>_xll.BDP("FNDD5156 Mtge","MTG_WAL")</f>
        <v>3.1977000000000002</v>
      </c>
      <c r="I2823" t="str">
        <f>_xll.BDP("FNDD5156 Mtge","MTG_ORIG_WAL")</f>
        <v>#N/A N/A</v>
      </c>
    </row>
    <row r="2824" spans="1:9" x14ac:dyDescent="0.25">
      <c r="A2824" t="str">
        <f>_xll.BDP("FNDD5157 Mtge","ID_CUSIP")</f>
        <v>3140B5WT0</v>
      </c>
      <c r="B2824" t="str">
        <f>_xll.BDP("FNDD5157 Mtge","SECURITY_NAME")</f>
        <v>FN DD5157</v>
      </c>
      <c r="C2824" t="str">
        <f>_xll.BDP("FNDD5157 Mtge","GENERIC_TICKER_VINTAGE")</f>
        <v>FNCL 6 2025</v>
      </c>
      <c r="D2824" t="str">
        <f>_xll.BDP("FNDD5157 Mtge","CRNCY")</f>
        <v>USD</v>
      </c>
      <c r="E2824">
        <v>2230567</v>
      </c>
      <c r="F2824">
        <f>_xll.BDP("FNDD5157 Mtge","CPN")</f>
        <v>6</v>
      </c>
      <c r="G2824">
        <f>_xll.BDP("FNDD5157 Mtge","MTG_FACTOR")</f>
        <v>0.81073289000000004</v>
      </c>
      <c r="H2824">
        <f>_xll.BDP("FNDD5157 Mtge","MTG_WAL")</f>
        <v>3.2033</v>
      </c>
      <c r="I2824" t="str">
        <f>_xll.BDP("FNDD5157 Mtge","MTG_ORIG_WAL")</f>
        <v>#N/A N/A</v>
      </c>
    </row>
    <row r="2825" spans="1:9" x14ac:dyDescent="0.25">
      <c r="A2825" t="str">
        <f>_xll.BDP("FNDD5159 Mtge","ID_CUSIP")</f>
        <v>3140B5WV5</v>
      </c>
      <c r="B2825" t="str">
        <f>_xll.BDP("FNDD5159 Mtge","SECURITY_NAME")</f>
        <v>FN DD5159</v>
      </c>
      <c r="C2825" t="str">
        <f>_xll.BDP("FNDD5159 Mtge","GENERIC_TICKER_VINTAGE")</f>
        <v>FNCL 6 2025</v>
      </c>
      <c r="D2825" t="str">
        <f>_xll.BDP("FNDD5159 Mtge","CRNCY")</f>
        <v>USD</v>
      </c>
      <c r="E2825">
        <v>19917983</v>
      </c>
      <c r="F2825">
        <f>_xll.BDP("FNDD5159 Mtge","CPN")</f>
        <v>6</v>
      </c>
      <c r="G2825">
        <f>_xll.BDP("FNDD5159 Mtge","MTG_FACTOR")</f>
        <v>0.75993626999999997</v>
      </c>
      <c r="H2825">
        <f>_xll.BDP("FNDD5159 Mtge","MTG_WAL")</f>
        <v>3.2033999999999998</v>
      </c>
      <c r="I2825" t="str">
        <f>_xll.BDP("FNDD5159 Mtge","MTG_ORIG_WAL")</f>
        <v>#N/A N/A</v>
      </c>
    </row>
    <row r="2826" spans="1:9" x14ac:dyDescent="0.25">
      <c r="A2826" t="str">
        <f>_xll.BDP("FNDD5160 Mtge","ID_CUSIP")</f>
        <v>3140B5WW3</v>
      </c>
      <c r="B2826" t="str">
        <f>_xll.BDP("FNDD5160 Mtge","SECURITY_NAME")</f>
        <v>FN DD5160</v>
      </c>
      <c r="C2826" t="str">
        <f>_xll.BDP("FNDD5160 Mtge","GENERIC_TICKER_VINTAGE")</f>
        <v>FNCL 6 2025</v>
      </c>
      <c r="D2826" t="str">
        <f>_xll.BDP("FNDD5160 Mtge","CRNCY")</f>
        <v>USD</v>
      </c>
      <c r="E2826">
        <v>19715522</v>
      </c>
      <c r="F2826">
        <f>_xll.BDP("FNDD5160 Mtge","CPN")</f>
        <v>6</v>
      </c>
      <c r="G2826">
        <f>_xll.BDP("FNDD5160 Mtge","MTG_FACTOR")</f>
        <v>0.89129435999999995</v>
      </c>
      <c r="H2826">
        <f>_xll.BDP("FNDD5160 Mtge","MTG_WAL")</f>
        <v>3.2422</v>
      </c>
      <c r="I2826" t="str">
        <f>_xll.BDP("FNDD5160 Mtge","MTG_ORIG_WAL")</f>
        <v>#N/A N/A</v>
      </c>
    </row>
    <row r="2827" spans="1:9" x14ac:dyDescent="0.25">
      <c r="A2827" t="str">
        <f>_xll.BDP("FNDD5165 Mtge","ID_CUSIP")</f>
        <v>3140B5W37</v>
      </c>
      <c r="B2827" t="str">
        <f>_xll.BDP("FNDD5165 Mtge","SECURITY_NAME")</f>
        <v>FN DD5165</v>
      </c>
      <c r="C2827" t="str">
        <f>_xll.BDP("FNDD5165 Mtge","GENERIC_TICKER_VINTAGE")</f>
        <v>FNCL 6 2025</v>
      </c>
      <c r="D2827" t="str">
        <f>_xll.BDP("FNDD5165 Mtge","CRNCY")</f>
        <v>USD</v>
      </c>
      <c r="E2827">
        <v>3197690</v>
      </c>
      <c r="F2827">
        <f>_xll.BDP("FNDD5165 Mtge","CPN")</f>
        <v>6</v>
      </c>
      <c r="G2827">
        <f>_xll.BDP("FNDD5165 Mtge","MTG_FACTOR")</f>
        <v>0.91862237999999996</v>
      </c>
      <c r="H2827">
        <f>_xll.BDP("FNDD5165 Mtge","MTG_WAL")</f>
        <v>3.2033</v>
      </c>
      <c r="I2827" t="str">
        <f>_xll.BDP("FNDD5165 Mtge","MTG_ORIG_WAL")</f>
        <v>#N/A N/A</v>
      </c>
    </row>
    <row r="2828" spans="1:9" x14ac:dyDescent="0.25">
      <c r="A2828" t="str">
        <f>_xll.BDP("FNDD5173 Mtge","ID_CUSIP")</f>
        <v>3140B5XB8</v>
      </c>
      <c r="B2828" t="str">
        <f>_xll.BDP("FNDD5173 Mtge","SECURITY_NAME")</f>
        <v>FN DD5173</v>
      </c>
      <c r="C2828" t="str">
        <f>_xll.BDP("FNDD5173 Mtge","GENERIC_TICKER_VINTAGE")</f>
        <v>FNCL 6 2025</v>
      </c>
      <c r="D2828" t="str">
        <f>_xll.BDP("FNDD5173 Mtge","CRNCY")</f>
        <v>USD</v>
      </c>
      <c r="E2828">
        <v>2823515</v>
      </c>
      <c r="F2828">
        <f>_xll.BDP("FNDD5173 Mtge","CPN")</f>
        <v>6</v>
      </c>
      <c r="G2828">
        <f>_xll.BDP("FNDD5173 Mtge","MTG_FACTOR")</f>
        <v>0.88072651000000002</v>
      </c>
      <c r="H2828">
        <f>_xll.BDP("FNDD5173 Mtge","MTG_WAL")</f>
        <v>3.2044999999999999</v>
      </c>
      <c r="I2828" t="str">
        <f>_xll.BDP("FNDD5173 Mtge","MTG_ORIG_WAL")</f>
        <v>#N/A N/A</v>
      </c>
    </row>
    <row r="2829" spans="1:9" x14ac:dyDescent="0.25">
      <c r="A2829" t="str">
        <f>_xll.BDP("FNDD5177 Mtge","ID_CUSIP")</f>
        <v>3140B5XF9</v>
      </c>
      <c r="B2829" t="str">
        <f>_xll.BDP("FNDD5177 Mtge","SECURITY_NAME")</f>
        <v>FN DD5177</v>
      </c>
      <c r="C2829" t="str">
        <f>_xll.BDP("FNDD5177 Mtge","GENERIC_TICKER_VINTAGE")</f>
        <v>FNCL 6 2025</v>
      </c>
      <c r="D2829" t="str">
        <f>_xll.BDP("FNDD5177 Mtge","CRNCY")</f>
        <v>USD</v>
      </c>
      <c r="E2829">
        <v>8673380</v>
      </c>
      <c r="F2829">
        <f>_xll.BDP("FNDD5177 Mtge","CPN")</f>
        <v>6</v>
      </c>
      <c r="G2829">
        <f>_xll.BDP("FNDD5177 Mtge","MTG_FACTOR")</f>
        <v>0.82455193999999998</v>
      </c>
      <c r="H2829">
        <f>_xll.BDP("FNDD5177 Mtge","MTG_WAL")</f>
        <v>3.202</v>
      </c>
      <c r="I2829" t="str">
        <f>_xll.BDP("FNDD5177 Mtge","MTG_ORIG_WAL")</f>
        <v>#N/A N/A</v>
      </c>
    </row>
    <row r="2830" spans="1:9" x14ac:dyDescent="0.25">
      <c r="A2830" t="str">
        <f>_xll.BDP("FNDD5179 Mtge","ID_CUSIP")</f>
        <v>3140B5XH5</v>
      </c>
      <c r="B2830" t="str">
        <f>_xll.BDP("FNDD5179 Mtge","SECURITY_NAME")</f>
        <v>FN DD5179</v>
      </c>
      <c r="C2830" t="str">
        <f>_xll.BDP("FNDD5179 Mtge","GENERIC_TICKER_VINTAGE")</f>
        <v>FNCL 6 2025</v>
      </c>
      <c r="D2830" t="str">
        <f>_xll.BDP("FNDD5179 Mtge","CRNCY")</f>
        <v>USD</v>
      </c>
      <c r="E2830">
        <v>6536917</v>
      </c>
      <c r="F2830">
        <f>_xll.BDP("FNDD5179 Mtge","CPN")</f>
        <v>6</v>
      </c>
      <c r="G2830">
        <f>_xll.BDP("FNDD5179 Mtge","MTG_FACTOR")</f>
        <v>0.93865770999999998</v>
      </c>
      <c r="H2830">
        <f>_xll.BDP("FNDD5179 Mtge","MTG_WAL")</f>
        <v>3.2052</v>
      </c>
      <c r="I2830" t="str">
        <f>_xll.BDP("FNDD5179 Mtge","MTG_ORIG_WAL")</f>
        <v>#N/A N/A</v>
      </c>
    </row>
    <row r="2831" spans="1:9" x14ac:dyDescent="0.25">
      <c r="A2831" t="str">
        <f>_xll.BDP("FNDD5181 Mtge","ID_CUSIP")</f>
        <v>3140B5XK8</v>
      </c>
      <c r="B2831" t="str">
        <f>_xll.BDP("FNDD5181 Mtge","SECURITY_NAME")</f>
        <v>FN DD5181</v>
      </c>
      <c r="C2831" t="str">
        <f>_xll.BDP("FNDD5181 Mtge","GENERIC_TICKER_VINTAGE")</f>
        <v>FNCL 6 2025</v>
      </c>
      <c r="D2831" t="str">
        <f>_xll.BDP("FNDD5181 Mtge","CRNCY")</f>
        <v>USD</v>
      </c>
      <c r="E2831">
        <v>4881716</v>
      </c>
      <c r="F2831">
        <f>_xll.BDP("FNDD5181 Mtge","CPN")</f>
        <v>6</v>
      </c>
      <c r="G2831">
        <f>_xll.BDP("FNDD5181 Mtge","MTG_FACTOR")</f>
        <v>0.93121922000000001</v>
      </c>
      <c r="H2831">
        <f>_xll.BDP("FNDD5181 Mtge","MTG_WAL")</f>
        <v>3.2014999999999998</v>
      </c>
      <c r="I2831" t="str">
        <f>_xll.BDP("FNDD5181 Mtge","MTG_ORIG_WAL")</f>
        <v>#N/A N/A</v>
      </c>
    </row>
    <row r="2832" spans="1:9" x14ac:dyDescent="0.25">
      <c r="A2832" t="str">
        <f>_xll.BDP("FNDD5194 Mtge","ID_CUSIP")</f>
        <v>3140B5XY8</v>
      </c>
      <c r="B2832" t="str">
        <f>_xll.BDP("FNDD5194 Mtge","SECURITY_NAME")</f>
        <v>FN DD5194</v>
      </c>
      <c r="C2832" t="str">
        <f>_xll.BDP("FNDD5194 Mtge","GENERIC_TICKER_VINTAGE")</f>
        <v>FNCL 6 2025</v>
      </c>
      <c r="D2832" t="str">
        <f>_xll.BDP("FNDD5194 Mtge","CRNCY")</f>
        <v>USD</v>
      </c>
      <c r="E2832">
        <v>3318307</v>
      </c>
      <c r="F2832">
        <f>_xll.BDP("FNDD5194 Mtge","CPN")</f>
        <v>6</v>
      </c>
      <c r="G2832">
        <f>_xll.BDP("FNDD5194 Mtge","MTG_FACTOR")</f>
        <v>0.98855249000000001</v>
      </c>
      <c r="H2832">
        <f>_xll.BDP("FNDD5194 Mtge","MTG_WAL")</f>
        <v>3.2475999999999998</v>
      </c>
      <c r="I2832" t="str">
        <f>_xll.BDP("FNDD5194 Mtge","MTG_ORIG_WAL")</f>
        <v>#N/A N/A</v>
      </c>
    </row>
    <row r="2833" spans="1:9" x14ac:dyDescent="0.25">
      <c r="A2833" t="str">
        <f>_xll.BDP("FNDD5210 Mtge","ID_CUSIP")</f>
        <v>3140B5YG6</v>
      </c>
      <c r="B2833" t="str">
        <f>_xll.BDP("FNDD5210 Mtge","SECURITY_NAME")</f>
        <v>FN DD5210</v>
      </c>
      <c r="C2833" t="str">
        <f>_xll.BDP("FNDD5210 Mtge","GENERIC_TICKER_VINTAGE")</f>
        <v>FNCL 6 2025</v>
      </c>
      <c r="D2833" t="str">
        <f>_xll.BDP("FNDD5210 Mtge","CRNCY")</f>
        <v>USD</v>
      </c>
      <c r="E2833">
        <v>5331962</v>
      </c>
      <c r="F2833">
        <f>_xll.BDP("FNDD5210 Mtge","CPN")</f>
        <v>6</v>
      </c>
      <c r="G2833">
        <f>_xll.BDP("FNDD5210 Mtge","MTG_FACTOR")</f>
        <v>0.85018718999999998</v>
      </c>
      <c r="H2833">
        <f>_xll.BDP("FNDD5210 Mtge","MTG_WAL")</f>
        <v>3.2385999999999999</v>
      </c>
      <c r="I2833" t="str">
        <f>_xll.BDP("FNDD5210 Mtge","MTG_ORIG_WAL")</f>
        <v>#N/A N/A</v>
      </c>
    </row>
    <row r="2834" spans="1:9" x14ac:dyDescent="0.25">
      <c r="A2834" t="str">
        <f>_xll.BDP("FNDD5217 Mtge","ID_CUSIP")</f>
        <v>3140B5YP6</v>
      </c>
      <c r="B2834" t="str">
        <f>_xll.BDP("FNDD5217 Mtge","SECURITY_NAME")</f>
        <v>FN DD5217</v>
      </c>
      <c r="C2834" t="str">
        <f>_xll.BDP("FNDD5217 Mtge","GENERIC_TICKER_VINTAGE")</f>
        <v>FNCL 6 2025</v>
      </c>
      <c r="D2834" t="str">
        <f>_xll.BDP("FNDD5217 Mtge","CRNCY")</f>
        <v>USD</v>
      </c>
      <c r="E2834">
        <v>1989148</v>
      </c>
      <c r="F2834">
        <f>_xll.BDP("FNDD5217 Mtge","CPN")</f>
        <v>6</v>
      </c>
      <c r="G2834">
        <f>_xll.BDP("FNDD5217 Mtge","MTG_FACTOR")</f>
        <v>0.98385235000000004</v>
      </c>
      <c r="H2834">
        <f>_xll.BDP("FNDD5217 Mtge","MTG_WAL")</f>
        <v>3.1993</v>
      </c>
      <c r="I2834" t="str">
        <f>_xll.BDP("FNDD5217 Mtge","MTG_ORIG_WAL")</f>
        <v>#N/A N/A</v>
      </c>
    </row>
    <row r="2835" spans="1:9" x14ac:dyDescent="0.25">
      <c r="A2835" t="str">
        <f>_xll.BDP("FNDD5218 Mtge","ID_CUSIP")</f>
        <v>3140B5YQ4</v>
      </c>
      <c r="B2835" t="str">
        <f>_xll.BDP("FNDD5218 Mtge","SECURITY_NAME")</f>
        <v>FN DD5218</v>
      </c>
      <c r="C2835" t="str">
        <f>_xll.BDP("FNDD5218 Mtge","GENERIC_TICKER_VINTAGE")</f>
        <v>FNCL 6 2025</v>
      </c>
      <c r="D2835" t="str">
        <f>_xll.BDP("FNDD5218 Mtge","CRNCY")</f>
        <v>USD</v>
      </c>
      <c r="E2835">
        <v>2053512</v>
      </c>
      <c r="F2835">
        <f>_xll.BDP("FNDD5218 Mtge","CPN")</f>
        <v>6</v>
      </c>
      <c r="G2835">
        <f>_xll.BDP("FNDD5218 Mtge","MTG_FACTOR")</f>
        <v>0.98911777000000001</v>
      </c>
      <c r="H2835">
        <f>_xll.BDP("FNDD5218 Mtge","MTG_WAL")</f>
        <v>3.2044999999999999</v>
      </c>
      <c r="I2835" t="str">
        <f>_xll.BDP("FNDD5218 Mtge","MTG_ORIG_WAL")</f>
        <v>#N/A N/A</v>
      </c>
    </row>
    <row r="2836" spans="1:9" x14ac:dyDescent="0.25">
      <c r="A2836" t="str">
        <f>_xll.BDP("FNDD5219 Mtge","ID_CUSIP")</f>
        <v>3140B5YR2</v>
      </c>
      <c r="B2836" t="str">
        <f>_xll.BDP("FNDD5219 Mtge","SECURITY_NAME")</f>
        <v>FN DD5219</v>
      </c>
      <c r="C2836" t="str">
        <f>_xll.BDP("FNDD5219 Mtge","GENERIC_TICKER_VINTAGE")</f>
        <v>FNCL 6 2025</v>
      </c>
      <c r="D2836" t="str">
        <f>_xll.BDP("FNDD5219 Mtge","CRNCY")</f>
        <v>USD</v>
      </c>
      <c r="E2836">
        <v>2400015</v>
      </c>
      <c r="F2836">
        <f>_xll.BDP("FNDD5219 Mtge","CPN")</f>
        <v>6</v>
      </c>
      <c r="G2836">
        <f>_xll.BDP("FNDD5219 Mtge","MTG_FACTOR")</f>
        <v>0.76539886000000001</v>
      </c>
      <c r="H2836">
        <f>_xll.BDP("FNDD5219 Mtge","MTG_WAL")</f>
        <v>3.1985000000000001</v>
      </c>
      <c r="I2836" t="str">
        <f>_xll.BDP("FNDD5219 Mtge","MTG_ORIG_WAL")</f>
        <v>#N/A N/A</v>
      </c>
    </row>
    <row r="2837" spans="1:9" x14ac:dyDescent="0.25">
      <c r="A2837" t="str">
        <f>_xll.BDP("FNDD5220 Mtge","ID_CUSIP")</f>
        <v>3140B5YS0</v>
      </c>
      <c r="B2837" t="str">
        <f>_xll.BDP("FNDD5220 Mtge","SECURITY_NAME")</f>
        <v>FN DD5220</v>
      </c>
      <c r="C2837" t="str">
        <f>_xll.BDP("FNDD5220 Mtge","GENERIC_TICKER_VINTAGE")</f>
        <v>FNCL 6 2025</v>
      </c>
      <c r="D2837" t="str">
        <f>_xll.BDP("FNDD5220 Mtge","CRNCY")</f>
        <v>USD</v>
      </c>
      <c r="E2837">
        <v>2589762</v>
      </c>
      <c r="F2837">
        <f>_xll.BDP("FNDD5220 Mtge","CPN")</f>
        <v>6</v>
      </c>
      <c r="G2837">
        <f>_xll.BDP("FNDD5220 Mtge","MTG_FACTOR")</f>
        <v>0.87436809000000004</v>
      </c>
      <c r="H2837">
        <f>_xll.BDP("FNDD5220 Mtge","MTG_WAL")</f>
        <v>3.2473999999999998</v>
      </c>
      <c r="I2837" t="str">
        <f>_xll.BDP("FNDD5220 Mtge","MTG_ORIG_WAL")</f>
        <v>#N/A N/A</v>
      </c>
    </row>
    <row r="2838" spans="1:9" x14ac:dyDescent="0.25">
      <c r="A2838" t="str">
        <f>_xll.BDP("FNDD5221 Mtge","ID_CUSIP")</f>
        <v>3140B5YT8</v>
      </c>
      <c r="B2838" t="str">
        <f>_xll.BDP("FNDD5221 Mtge","SECURITY_NAME")</f>
        <v>FN DD5221</v>
      </c>
      <c r="C2838" t="str">
        <f>_xll.BDP("FNDD5221 Mtge","GENERIC_TICKER_VINTAGE")</f>
        <v>FNCL 6 2025</v>
      </c>
      <c r="D2838" t="str">
        <f>_xll.BDP("FNDD5221 Mtge","CRNCY")</f>
        <v>USD</v>
      </c>
      <c r="E2838">
        <v>2320845</v>
      </c>
      <c r="F2838">
        <f>_xll.BDP("FNDD5221 Mtge","CPN")</f>
        <v>6</v>
      </c>
      <c r="G2838">
        <f>_xll.BDP("FNDD5221 Mtge","MTG_FACTOR")</f>
        <v>0.98722160999999997</v>
      </c>
      <c r="H2838">
        <f>_xll.BDP("FNDD5221 Mtge","MTG_WAL")</f>
        <v>3.2027000000000001</v>
      </c>
      <c r="I2838" t="str">
        <f>_xll.BDP("FNDD5221 Mtge","MTG_ORIG_WAL")</f>
        <v>#N/A N/A</v>
      </c>
    </row>
    <row r="2839" spans="1:9" x14ac:dyDescent="0.25">
      <c r="A2839" t="str">
        <f>_xll.BDP("FNDD5222 Mtge","ID_CUSIP")</f>
        <v>3140B5YU5</v>
      </c>
      <c r="B2839" t="str">
        <f>_xll.BDP("FNDD5222 Mtge","SECURITY_NAME")</f>
        <v>FN DD5222</v>
      </c>
      <c r="C2839" t="str">
        <f>_xll.BDP("FNDD5222 Mtge","GENERIC_TICKER_VINTAGE")</f>
        <v>FNCL 6 2025</v>
      </c>
      <c r="D2839" t="str">
        <f>_xll.BDP("FNDD5222 Mtge","CRNCY")</f>
        <v>USD</v>
      </c>
      <c r="E2839">
        <v>2557897</v>
      </c>
      <c r="F2839">
        <f>_xll.BDP("FNDD5222 Mtge","CPN")</f>
        <v>6</v>
      </c>
      <c r="G2839">
        <f>_xll.BDP("FNDD5222 Mtge","MTG_FACTOR")</f>
        <v>0.62229336999999996</v>
      </c>
      <c r="H2839">
        <f>_xll.BDP("FNDD5222 Mtge","MTG_WAL")</f>
        <v>3.1913</v>
      </c>
      <c r="I2839" t="str">
        <f>_xll.BDP("FNDD5222 Mtge","MTG_ORIG_WAL")</f>
        <v>#N/A N/A</v>
      </c>
    </row>
    <row r="2840" spans="1:9" x14ac:dyDescent="0.25">
      <c r="A2840" t="str">
        <f>_xll.BDP("FNDD5223 Mtge","ID_CUSIP")</f>
        <v>3140B5YV3</v>
      </c>
      <c r="B2840" t="str">
        <f>_xll.BDP("FNDD5223 Mtge","SECURITY_NAME")</f>
        <v>FN DD5223</v>
      </c>
      <c r="C2840" t="str">
        <f>_xll.BDP("FNDD5223 Mtge","GENERIC_TICKER_VINTAGE")</f>
        <v>FNCL 6 2025</v>
      </c>
      <c r="D2840" t="str">
        <f>_xll.BDP("FNDD5223 Mtge","CRNCY")</f>
        <v>USD</v>
      </c>
      <c r="E2840">
        <v>2548184</v>
      </c>
      <c r="F2840">
        <f>_xll.BDP("FNDD5223 Mtge","CPN")</f>
        <v>6</v>
      </c>
      <c r="G2840">
        <f>_xll.BDP("FNDD5223 Mtge","MTG_FACTOR")</f>
        <v>0.99064616000000005</v>
      </c>
      <c r="H2840">
        <f>_xll.BDP("FNDD5223 Mtge","MTG_WAL")</f>
        <v>3.2059000000000002</v>
      </c>
      <c r="I2840" t="str">
        <f>_xll.BDP("FNDD5223 Mtge","MTG_ORIG_WAL")</f>
        <v>#N/A N/A</v>
      </c>
    </row>
    <row r="2841" spans="1:9" x14ac:dyDescent="0.25">
      <c r="A2841" t="str">
        <f>_xll.BDP("FNDD5224 Mtge","ID_CUSIP")</f>
        <v>3140B5YW1</v>
      </c>
      <c r="B2841" t="str">
        <f>_xll.BDP("FNDD5224 Mtge","SECURITY_NAME")</f>
        <v>FN DD5224</v>
      </c>
      <c r="C2841" t="str">
        <f>_xll.BDP("FNDD5224 Mtge","GENERIC_TICKER_VINTAGE")</f>
        <v>FNCL 6 2025</v>
      </c>
      <c r="D2841" t="str">
        <f>_xll.BDP("FNDD5224 Mtge","CRNCY")</f>
        <v>USD</v>
      </c>
      <c r="E2841">
        <v>1733124</v>
      </c>
      <c r="F2841">
        <f>_xll.BDP("FNDD5224 Mtge","CPN")</f>
        <v>6</v>
      </c>
      <c r="G2841">
        <f>_xll.BDP("FNDD5224 Mtge","MTG_FACTOR")</f>
        <v>0.99023313000000002</v>
      </c>
      <c r="H2841">
        <f>_xll.BDP("FNDD5224 Mtge","MTG_WAL")</f>
        <v>3.2054</v>
      </c>
      <c r="I2841" t="str">
        <f>_xll.BDP("FNDD5224 Mtge","MTG_ORIG_WAL")</f>
        <v>#N/A N/A</v>
      </c>
    </row>
    <row r="2842" spans="1:9" x14ac:dyDescent="0.25">
      <c r="A2842" t="str">
        <f>_xll.BDP("FNDD5229 Mtge","ID_CUSIP")</f>
        <v>3140B5Y35</v>
      </c>
      <c r="B2842" t="str">
        <f>_xll.BDP("FNDD5229 Mtge","SECURITY_NAME")</f>
        <v>FN DD5229</v>
      </c>
      <c r="C2842" t="str">
        <f>_xll.BDP("FNDD5229 Mtge","GENERIC_TICKER_VINTAGE")</f>
        <v>FNCL 6 2025</v>
      </c>
      <c r="D2842" t="str">
        <f>_xll.BDP("FNDD5229 Mtge","CRNCY")</f>
        <v>USD</v>
      </c>
      <c r="E2842">
        <v>15187766</v>
      </c>
      <c r="F2842">
        <f>_xll.BDP("FNDD5229 Mtge","CPN")</f>
        <v>6</v>
      </c>
      <c r="G2842">
        <f>_xll.BDP("FNDD5229 Mtge","MTG_FACTOR")</f>
        <v>0.87537403000000003</v>
      </c>
      <c r="H2842">
        <f>_xll.BDP("FNDD5229 Mtge","MTG_WAL")</f>
        <v>3.2471999999999999</v>
      </c>
      <c r="I2842" t="str">
        <f>_xll.BDP("FNDD5229 Mtge","MTG_ORIG_WAL")</f>
        <v>#N/A N/A</v>
      </c>
    </row>
    <row r="2843" spans="1:9" x14ac:dyDescent="0.25">
      <c r="A2843" t="str">
        <f>_xll.BDP("FNDD5231 Mtge","ID_CUSIP")</f>
        <v>3140B5Y50</v>
      </c>
      <c r="B2843" t="str">
        <f>_xll.BDP("FNDD5231 Mtge","SECURITY_NAME")</f>
        <v>FN DD5231</v>
      </c>
      <c r="C2843" t="str">
        <f>_xll.BDP("FNDD5231 Mtge","GENERIC_TICKER_VINTAGE")</f>
        <v>FNCL 6 2025</v>
      </c>
      <c r="D2843" t="str">
        <f>_xll.BDP("FNDD5231 Mtge","CRNCY")</f>
        <v>USD</v>
      </c>
      <c r="E2843">
        <v>23120539</v>
      </c>
      <c r="F2843">
        <f>_xll.BDP("FNDD5231 Mtge","CPN")</f>
        <v>6</v>
      </c>
      <c r="G2843">
        <f>_xll.BDP("FNDD5231 Mtge","MTG_FACTOR")</f>
        <v>0.95627740000000006</v>
      </c>
      <c r="H2843">
        <f>_xll.BDP("FNDD5231 Mtge","MTG_WAL")</f>
        <v>3.2505000000000002</v>
      </c>
      <c r="I2843" t="str">
        <f>_xll.BDP("FNDD5231 Mtge","MTG_ORIG_WAL")</f>
        <v>#N/A N/A</v>
      </c>
    </row>
    <row r="2844" spans="1:9" x14ac:dyDescent="0.25">
      <c r="A2844" t="str">
        <f>_xll.BDP("FNDD5240 Mtge","ID_CUSIP")</f>
        <v>3140B5ZE0</v>
      </c>
      <c r="B2844" t="str">
        <f>_xll.BDP("FNDD5240 Mtge","SECURITY_NAME")</f>
        <v>FN DD5240</v>
      </c>
      <c r="C2844" t="str">
        <f>_xll.BDP("FNDD5240 Mtge","GENERIC_TICKER_VINTAGE")</f>
        <v>FNCL 6 2025</v>
      </c>
      <c r="D2844" t="str">
        <f>_xll.BDP("FNDD5240 Mtge","CRNCY")</f>
        <v>USD</v>
      </c>
      <c r="E2844">
        <v>1844300</v>
      </c>
      <c r="F2844">
        <f>_xll.BDP("FNDD5240 Mtge","CPN")</f>
        <v>6</v>
      </c>
      <c r="G2844">
        <f>_xll.BDP("FNDD5240 Mtge","MTG_FACTOR")</f>
        <v>0.6613424</v>
      </c>
      <c r="H2844">
        <f>_xll.BDP("FNDD5240 Mtge","MTG_WAL")</f>
        <v>3.2052</v>
      </c>
      <c r="I2844" t="str">
        <f>_xll.BDP("FNDD5240 Mtge","MTG_ORIG_WAL")</f>
        <v>#N/A N/A</v>
      </c>
    </row>
    <row r="2845" spans="1:9" x14ac:dyDescent="0.25">
      <c r="A2845" t="str">
        <f>_xll.BDP("FNDD5241 Mtge","ID_CUSIP")</f>
        <v>3140B5ZF7</v>
      </c>
      <c r="B2845" t="str">
        <f>_xll.BDP("FNDD5241 Mtge","SECURITY_NAME")</f>
        <v>FN DD5241</v>
      </c>
      <c r="C2845" t="str">
        <f>_xll.BDP("FNDD5241 Mtge","GENERIC_TICKER_VINTAGE")</f>
        <v>FNCL 6 2025</v>
      </c>
      <c r="D2845" t="str">
        <f>_xll.BDP("FNDD5241 Mtge","CRNCY")</f>
        <v>USD</v>
      </c>
      <c r="E2845">
        <v>1364399</v>
      </c>
      <c r="F2845">
        <f>_xll.BDP("FNDD5241 Mtge","CPN")</f>
        <v>6</v>
      </c>
      <c r="G2845">
        <f>_xll.BDP("FNDD5241 Mtge","MTG_FACTOR")</f>
        <v>0.98969373000000005</v>
      </c>
      <c r="H2845">
        <f>_xll.BDP("FNDD5241 Mtge","MTG_WAL")</f>
        <v>3.2048000000000001</v>
      </c>
      <c r="I2845" t="str">
        <f>_xll.BDP("FNDD5241 Mtge","MTG_ORIG_WAL")</f>
        <v>#N/A N/A</v>
      </c>
    </row>
    <row r="2846" spans="1:9" x14ac:dyDescent="0.25">
      <c r="A2846" t="str">
        <f>_xll.BDP("FNDD5242 Mtge","ID_CUSIP")</f>
        <v>3140B5ZG5</v>
      </c>
      <c r="B2846" t="str">
        <f>_xll.BDP("FNDD5242 Mtge","SECURITY_NAME")</f>
        <v>FN DD5242</v>
      </c>
      <c r="C2846" t="str">
        <f>_xll.BDP("FNDD5242 Mtge","GENERIC_TICKER_VINTAGE")</f>
        <v>FNCL 6 2025</v>
      </c>
      <c r="D2846" t="str">
        <f>_xll.BDP("FNDD5242 Mtge","CRNCY")</f>
        <v>USD</v>
      </c>
      <c r="E2846">
        <v>1372600</v>
      </c>
      <c r="F2846">
        <f>_xll.BDP("FNDD5242 Mtge","CPN")</f>
        <v>6</v>
      </c>
      <c r="G2846">
        <f>_xll.BDP("FNDD5242 Mtge","MTG_FACTOR")</f>
        <v>0.98905527000000004</v>
      </c>
      <c r="H2846">
        <f>_xll.BDP("FNDD5242 Mtge","MTG_WAL")</f>
        <v>3.2050999999999998</v>
      </c>
      <c r="I2846" t="str">
        <f>_xll.BDP("FNDD5242 Mtge","MTG_ORIG_WAL")</f>
        <v>#N/A N/A</v>
      </c>
    </row>
    <row r="2847" spans="1:9" x14ac:dyDescent="0.25">
      <c r="A2847" t="str">
        <f>_xll.BDP("FNDD5243 Mtge","ID_CUSIP")</f>
        <v>3140B5ZH3</v>
      </c>
      <c r="B2847" t="str">
        <f>_xll.BDP("FNDD5243 Mtge","SECURITY_NAME")</f>
        <v>FN DD5243</v>
      </c>
      <c r="C2847" t="str">
        <f>_xll.BDP("FNDD5243 Mtge","GENERIC_TICKER_VINTAGE")</f>
        <v>FNCL 6 2025</v>
      </c>
      <c r="D2847" t="str">
        <f>_xll.BDP("FNDD5243 Mtge","CRNCY")</f>
        <v>USD</v>
      </c>
      <c r="E2847">
        <v>2530576</v>
      </c>
      <c r="F2847">
        <f>_xll.BDP("FNDD5243 Mtge","CPN")</f>
        <v>6</v>
      </c>
      <c r="G2847">
        <f>_xll.BDP("FNDD5243 Mtge","MTG_FACTOR")</f>
        <v>0.68739117999999999</v>
      </c>
      <c r="H2847">
        <f>_xll.BDP("FNDD5243 Mtge","MTG_WAL")</f>
        <v>3.2065999999999999</v>
      </c>
      <c r="I2847" t="str">
        <f>_xll.BDP("FNDD5243 Mtge","MTG_ORIG_WAL")</f>
        <v>#N/A N/A</v>
      </c>
    </row>
    <row r="2848" spans="1:9" x14ac:dyDescent="0.25">
      <c r="A2848" t="str">
        <f>_xll.BDP("FNDD5258 Mtge","ID_CUSIP")</f>
        <v>3140B5ZY6</v>
      </c>
      <c r="B2848" t="str">
        <f>_xll.BDP("FNDD5258 Mtge","SECURITY_NAME")</f>
        <v>FN DD5258</v>
      </c>
      <c r="C2848" t="str">
        <f>_xll.BDP("FNDD5258 Mtge","GENERIC_TICKER_VINTAGE")</f>
        <v>FNCL 6 2025</v>
      </c>
      <c r="D2848" t="str">
        <f>_xll.BDP("FNDD5258 Mtge","CRNCY")</f>
        <v>USD</v>
      </c>
      <c r="E2848">
        <v>1219641</v>
      </c>
      <c r="F2848">
        <f>_xll.BDP("FNDD5258 Mtge","CPN")</f>
        <v>6</v>
      </c>
      <c r="G2848">
        <f>_xll.BDP("FNDD5258 Mtge","MTG_FACTOR")</f>
        <v>0.98778025000000003</v>
      </c>
      <c r="H2848">
        <f>_xll.BDP("FNDD5258 Mtge","MTG_WAL")</f>
        <v>3.2023000000000001</v>
      </c>
      <c r="I2848" t="str">
        <f>_xll.BDP("FNDD5258 Mtge","MTG_ORIG_WAL")</f>
        <v>#N/A N/A</v>
      </c>
    </row>
    <row r="2849" spans="1:9" x14ac:dyDescent="0.25">
      <c r="A2849" t="str">
        <f>_xll.BDP("FNDD5261 Mtge","ID_CUSIP")</f>
        <v>3140B5Z34</v>
      </c>
      <c r="B2849" t="str">
        <f>_xll.BDP("FNDD5261 Mtge","SECURITY_NAME")</f>
        <v>FN DD5261</v>
      </c>
      <c r="C2849" t="str">
        <f>_xll.BDP("FNDD5261 Mtge","GENERIC_TICKER_VINTAGE")</f>
        <v>FNCL 6 2025</v>
      </c>
      <c r="D2849" t="str">
        <f>_xll.BDP("FNDD5261 Mtge","CRNCY")</f>
        <v>USD</v>
      </c>
      <c r="E2849">
        <v>3433383</v>
      </c>
      <c r="F2849">
        <f>_xll.BDP("FNDD5261 Mtge","CPN")</f>
        <v>6</v>
      </c>
      <c r="G2849">
        <f>_xll.BDP("FNDD5261 Mtge","MTG_FACTOR")</f>
        <v>0.90062138999999997</v>
      </c>
      <c r="H2849">
        <f>_xll.BDP("FNDD5261 Mtge","MTG_WAL")</f>
        <v>3.1968000000000001</v>
      </c>
      <c r="I2849" t="str">
        <f>_xll.BDP("FNDD5261 Mtge","MTG_ORIG_WAL")</f>
        <v>#N/A N/A</v>
      </c>
    </row>
    <row r="2850" spans="1:9" x14ac:dyDescent="0.25">
      <c r="A2850" t="str">
        <f>_xll.BDP("FNDD5262 Mtge","ID_CUSIP")</f>
        <v>3140B5Z42</v>
      </c>
      <c r="B2850" t="str">
        <f>_xll.BDP("FNDD5262 Mtge","SECURITY_NAME")</f>
        <v>FN DD5262</v>
      </c>
      <c r="C2850" t="str">
        <f>_xll.BDP("FNDD5262 Mtge","GENERIC_TICKER_VINTAGE")</f>
        <v>FNCL 6 2025</v>
      </c>
      <c r="D2850" t="str">
        <f>_xll.BDP("FNDD5262 Mtge","CRNCY")</f>
        <v>USD</v>
      </c>
      <c r="E2850">
        <v>2056500</v>
      </c>
      <c r="F2850">
        <f>_xll.BDP("FNDD5262 Mtge","CPN")</f>
        <v>6</v>
      </c>
      <c r="G2850">
        <f>_xll.BDP("FNDD5262 Mtge","MTG_FACTOR")</f>
        <v>0.64282437999999997</v>
      </c>
      <c r="H2850">
        <f>_xll.BDP("FNDD5262 Mtge","MTG_WAL")</f>
        <v>3.1882000000000001</v>
      </c>
      <c r="I2850" t="str">
        <f>_xll.BDP("FNDD5262 Mtge","MTG_ORIG_WAL")</f>
        <v>#N/A N/A</v>
      </c>
    </row>
    <row r="2851" spans="1:9" x14ac:dyDescent="0.25">
      <c r="A2851" t="str">
        <f>_xll.BDP("FNDD5263 Mtge","ID_CUSIP")</f>
        <v>3140B5Z59</v>
      </c>
      <c r="B2851" t="str">
        <f>_xll.BDP("FNDD5263 Mtge","SECURITY_NAME")</f>
        <v>FN DD5263</v>
      </c>
      <c r="C2851" t="str">
        <f>_xll.BDP("FNDD5263 Mtge","GENERIC_TICKER_VINTAGE")</f>
        <v>FNCL 6 2025</v>
      </c>
      <c r="D2851" t="str">
        <f>_xll.BDP("FNDD5263 Mtge","CRNCY")</f>
        <v>USD</v>
      </c>
      <c r="E2851">
        <v>3461633</v>
      </c>
      <c r="F2851">
        <f>_xll.BDP("FNDD5263 Mtge","CPN")</f>
        <v>6</v>
      </c>
      <c r="G2851">
        <f>_xll.BDP("FNDD5263 Mtge","MTG_FACTOR")</f>
        <v>0.98277404000000002</v>
      </c>
      <c r="H2851">
        <f>_xll.BDP("FNDD5263 Mtge","MTG_WAL")</f>
        <v>3.1999</v>
      </c>
      <c r="I2851" t="str">
        <f>_xll.BDP("FNDD5263 Mtge","MTG_ORIG_WAL")</f>
        <v>#N/A N/A</v>
      </c>
    </row>
    <row r="2852" spans="1:9" x14ac:dyDescent="0.25">
      <c r="A2852" t="str">
        <f>_xll.BDP("FNDD5264 Mtge","ID_CUSIP")</f>
        <v>3140B5Z67</v>
      </c>
      <c r="B2852" t="str">
        <f>_xll.BDP("FNDD5264 Mtge","SECURITY_NAME")</f>
        <v>FN DD5264</v>
      </c>
      <c r="C2852" t="str">
        <f>_xll.BDP("FNDD5264 Mtge","GENERIC_TICKER_VINTAGE")</f>
        <v>FNCL 6 2025</v>
      </c>
      <c r="D2852" t="str">
        <f>_xll.BDP("FNDD5264 Mtge","CRNCY")</f>
        <v>USD</v>
      </c>
      <c r="E2852">
        <v>2340342</v>
      </c>
      <c r="F2852">
        <f>_xll.BDP("FNDD5264 Mtge","CPN")</f>
        <v>6</v>
      </c>
      <c r="G2852">
        <f>_xll.BDP("FNDD5264 Mtge","MTG_FACTOR")</f>
        <v>0.98274901000000003</v>
      </c>
      <c r="H2852">
        <f>_xll.BDP("FNDD5264 Mtge","MTG_WAL")</f>
        <v>3.1983999999999999</v>
      </c>
      <c r="I2852" t="str">
        <f>_xll.BDP("FNDD5264 Mtge","MTG_ORIG_WAL")</f>
        <v>#N/A N/A</v>
      </c>
    </row>
    <row r="2853" spans="1:9" x14ac:dyDescent="0.25">
      <c r="A2853" t="str">
        <f>_xll.BDP("FNDD5265 Mtge","ID_CUSIP")</f>
        <v>3140B5Z75</v>
      </c>
      <c r="B2853" t="str">
        <f>_xll.BDP("FNDD5265 Mtge","SECURITY_NAME")</f>
        <v>FN DD5265</v>
      </c>
      <c r="C2853" t="str">
        <f>_xll.BDP("FNDD5265 Mtge","GENERIC_TICKER_VINTAGE")</f>
        <v>FNCL 6 2025</v>
      </c>
      <c r="D2853" t="str">
        <f>_xll.BDP("FNDD5265 Mtge","CRNCY")</f>
        <v>USD</v>
      </c>
      <c r="E2853">
        <v>1606600</v>
      </c>
      <c r="F2853">
        <f>_xll.BDP("FNDD5265 Mtge","CPN")</f>
        <v>6</v>
      </c>
      <c r="G2853">
        <f>_xll.BDP("FNDD5265 Mtge","MTG_FACTOR")</f>
        <v>0.98977645000000003</v>
      </c>
      <c r="H2853">
        <f>_xll.BDP("FNDD5265 Mtge","MTG_WAL")</f>
        <v>3.2054</v>
      </c>
      <c r="I2853" t="str">
        <f>_xll.BDP("FNDD5265 Mtge","MTG_ORIG_WAL")</f>
        <v>#N/A N/A</v>
      </c>
    </row>
    <row r="2854" spans="1:9" x14ac:dyDescent="0.25">
      <c r="A2854" t="str">
        <f>_xll.BDP("FNDD5291 Mtge","ID_CUSIP")</f>
        <v>3140B52Z9</v>
      </c>
      <c r="B2854" t="str">
        <f>_xll.BDP("FNDD5291 Mtge","SECURITY_NAME")</f>
        <v>FN DD5291</v>
      </c>
      <c r="C2854" t="str">
        <f>_xll.BDP("FNDD5291 Mtge","GENERIC_TICKER_VINTAGE")</f>
        <v>FNCL 6 2025</v>
      </c>
      <c r="D2854" t="str">
        <f>_xll.BDP("FNDD5291 Mtge","CRNCY")</f>
        <v>USD</v>
      </c>
      <c r="E2854">
        <v>1199569</v>
      </c>
      <c r="F2854">
        <f>_xll.BDP("FNDD5291 Mtge","CPN")</f>
        <v>6</v>
      </c>
      <c r="G2854">
        <f>_xll.BDP("FNDD5291 Mtge","MTG_FACTOR")</f>
        <v>0.87490522999999998</v>
      </c>
      <c r="H2854">
        <f>_xll.BDP("FNDD5291 Mtge","MTG_WAL")</f>
        <v>3.1692</v>
      </c>
      <c r="I2854" t="str">
        <f>_xll.BDP("FNDD5291 Mtge","MTG_ORIG_WAL")</f>
        <v>#N/A N/A</v>
      </c>
    </row>
    <row r="2855" spans="1:9" x14ac:dyDescent="0.25">
      <c r="A2855" t="str">
        <f>_xll.BDP("FNDD5294 Mtge","ID_CUSIP")</f>
        <v>3140B53C9</v>
      </c>
      <c r="B2855" t="str">
        <f>_xll.BDP("FNDD5294 Mtge","SECURITY_NAME")</f>
        <v>FN DD5294</v>
      </c>
      <c r="C2855" t="str">
        <f>_xll.BDP("FNDD5294 Mtge","GENERIC_TICKER_VINTAGE")</f>
        <v>FNCL 6 2025</v>
      </c>
      <c r="D2855" t="str">
        <f>_xll.BDP("FNDD5294 Mtge","CRNCY")</f>
        <v>USD</v>
      </c>
      <c r="E2855">
        <v>7749139</v>
      </c>
      <c r="F2855">
        <f>_xll.BDP("FNDD5294 Mtge","CPN")</f>
        <v>6</v>
      </c>
      <c r="G2855">
        <f>_xll.BDP("FNDD5294 Mtge","MTG_FACTOR")</f>
        <v>0.46736819000000002</v>
      </c>
      <c r="H2855">
        <f>_xll.BDP("FNDD5294 Mtge","MTG_WAL")</f>
        <v>3.2058</v>
      </c>
      <c r="I2855" t="str">
        <f>_xll.BDP("FNDD5294 Mtge","MTG_ORIG_WAL")</f>
        <v>#N/A N/A</v>
      </c>
    </row>
    <row r="2856" spans="1:9" x14ac:dyDescent="0.25">
      <c r="A2856" t="str">
        <f>_xll.BDP("FNDD5295 Mtge","ID_CUSIP")</f>
        <v>3140B53D7</v>
      </c>
      <c r="B2856" t="str">
        <f>_xll.BDP("FNDD5295 Mtge","SECURITY_NAME")</f>
        <v>FN DD5295</v>
      </c>
      <c r="C2856" t="str">
        <f>_xll.BDP("FNDD5295 Mtge","GENERIC_TICKER_VINTAGE")</f>
        <v>FNCL 6 2025</v>
      </c>
      <c r="D2856" t="str">
        <f>_xll.BDP("FNDD5295 Mtge","CRNCY")</f>
        <v>USD</v>
      </c>
      <c r="E2856">
        <v>5460406</v>
      </c>
      <c r="F2856">
        <f>_xll.BDP("FNDD5295 Mtge","CPN")</f>
        <v>6</v>
      </c>
      <c r="G2856">
        <f>_xll.BDP("FNDD5295 Mtge","MTG_FACTOR")</f>
        <v>0.81625369000000003</v>
      </c>
      <c r="H2856">
        <f>_xll.BDP("FNDD5295 Mtge","MTG_WAL")</f>
        <v>3.2021000000000002</v>
      </c>
      <c r="I2856" t="str">
        <f>_xll.BDP("FNDD5295 Mtge","MTG_ORIG_WAL")</f>
        <v>#N/A N/A</v>
      </c>
    </row>
    <row r="2857" spans="1:9" x14ac:dyDescent="0.25">
      <c r="A2857" t="str">
        <f>_xll.BDP("FNDD5296 Mtge","ID_CUSIP")</f>
        <v>3140B53E5</v>
      </c>
      <c r="B2857" t="str">
        <f>_xll.BDP("FNDD5296 Mtge","SECURITY_NAME")</f>
        <v>FN DD5296</v>
      </c>
      <c r="C2857" t="str">
        <f>_xll.BDP("FNDD5296 Mtge","GENERIC_TICKER_VINTAGE")</f>
        <v>FNCL 6 2025</v>
      </c>
      <c r="D2857" t="str">
        <f>_xll.BDP("FNDD5296 Mtge","CRNCY")</f>
        <v>USD</v>
      </c>
      <c r="E2857">
        <v>5221541</v>
      </c>
      <c r="F2857">
        <f>_xll.BDP("FNDD5296 Mtge","CPN")</f>
        <v>6</v>
      </c>
      <c r="G2857">
        <f>_xll.BDP("FNDD5296 Mtge","MTG_FACTOR")</f>
        <v>0.91905049000000005</v>
      </c>
      <c r="H2857">
        <f>_xll.BDP("FNDD5296 Mtge","MTG_WAL")</f>
        <v>3.1966999999999999</v>
      </c>
      <c r="I2857" t="str">
        <f>_xll.BDP("FNDD5296 Mtge","MTG_ORIG_WAL")</f>
        <v>#N/A N/A</v>
      </c>
    </row>
    <row r="2858" spans="1:9" x14ac:dyDescent="0.25">
      <c r="A2858" t="str">
        <f>_xll.BDP("FNDD5298 Mtge","ID_CUSIP")</f>
        <v>3140B53G0</v>
      </c>
      <c r="B2858" t="str">
        <f>_xll.BDP("FNDD5298 Mtge","SECURITY_NAME")</f>
        <v>FN DD5298</v>
      </c>
      <c r="C2858" t="str">
        <f>_xll.BDP("FNDD5298 Mtge","GENERIC_TICKER_VINTAGE")</f>
        <v>FNCL 6 2025</v>
      </c>
      <c r="D2858" t="str">
        <f>_xll.BDP("FNDD5298 Mtge","CRNCY")</f>
        <v>USD</v>
      </c>
      <c r="E2858">
        <v>4448722</v>
      </c>
      <c r="F2858">
        <f>_xll.BDP("FNDD5298 Mtge","CPN")</f>
        <v>6</v>
      </c>
      <c r="G2858">
        <f>_xll.BDP("FNDD5298 Mtge","MTG_FACTOR")</f>
        <v>0.90039415</v>
      </c>
      <c r="H2858">
        <f>_xll.BDP("FNDD5298 Mtge","MTG_WAL")</f>
        <v>3.2006999999999999</v>
      </c>
      <c r="I2858" t="str">
        <f>_xll.BDP("FNDD5298 Mtge","MTG_ORIG_WAL")</f>
        <v>#N/A N/A</v>
      </c>
    </row>
    <row r="2859" spans="1:9" x14ac:dyDescent="0.25">
      <c r="A2859" t="str">
        <f>_xll.BDP("FNDD5300 Mtge","ID_CUSIP")</f>
        <v>3140B53J4</v>
      </c>
      <c r="B2859" t="str">
        <f>_xll.BDP("FNDD5300 Mtge","SECURITY_NAME")</f>
        <v>FN DD5300</v>
      </c>
      <c r="C2859" t="str">
        <f>_xll.BDP("FNDD5300 Mtge","GENERIC_TICKER_VINTAGE")</f>
        <v>FNCL 6 2025</v>
      </c>
      <c r="D2859" t="str">
        <f>_xll.BDP("FNDD5300 Mtge","CRNCY")</f>
        <v>USD</v>
      </c>
      <c r="E2859">
        <v>4420918</v>
      </c>
      <c r="F2859">
        <f>_xll.BDP("FNDD5300 Mtge","CPN")</f>
        <v>6</v>
      </c>
      <c r="G2859">
        <f>_xll.BDP("FNDD5300 Mtge","MTG_FACTOR")</f>
        <v>0.90172037999999999</v>
      </c>
      <c r="H2859">
        <f>_xll.BDP("FNDD5300 Mtge","MTG_WAL")</f>
        <v>3.2006000000000001</v>
      </c>
      <c r="I2859" t="str">
        <f>_xll.BDP("FNDD5300 Mtge","MTG_ORIG_WAL")</f>
        <v>#N/A N/A</v>
      </c>
    </row>
    <row r="2860" spans="1:9" x14ac:dyDescent="0.25">
      <c r="A2860" t="str">
        <f>_xll.BDP("FNDD5301 Mtge","ID_CUSIP")</f>
        <v>3140B53K1</v>
      </c>
      <c r="B2860" t="str">
        <f>_xll.BDP("FNDD5301 Mtge","SECURITY_NAME")</f>
        <v>FN DD5301</v>
      </c>
      <c r="C2860" t="str">
        <f>_xll.BDP("FNDD5301 Mtge","GENERIC_TICKER_VINTAGE")</f>
        <v>FNCL 6 2025</v>
      </c>
      <c r="D2860" t="str">
        <f>_xll.BDP("FNDD5301 Mtge","CRNCY")</f>
        <v>USD</v>
      </c>
      <c r="E2860">
        <v>3451400</v>
      </c>
      <c r="F2860">
        <f>_xll.BDP("FNDD5301 Mtge","CPN")</f>
        <v>6</v>
      </c>
      <c r="G2860">
        <f>_xll.BDP("FNDD5301 Mtge","MTG_FACTOR")</f>
        <v>0.91204890000000005</v>
      </c>
      <c r="H2860">
        <f>_xll.BDP("FNDD5301 Mtge","MTG_WAL")</f>
        <v>3.2023999999999999</v>
      </c>
      <c r="I2860" t="str">
        <f>_xll.BDP("FNDD5301 Mtge","MTG_ORIG_WAL")</f>
        <v>#N/A N/A</v>
      </c>
    </row>
    <row r="2861" spans="1:9" x14ac:dyDescent="0.25">
      <c r="A2861" t="str">
        <f>_xll.BDP("FNDD5310 Mtge","ID_CUSIP")</f>
        <v>3140B53U9</v>
      </c>
      <c r="B2861" t="str">
        <f>_xll.BDP("FNDD5310 Mtge","SECURITY_NAME")</f>
        <v>FN DD5310</v>
      </c>
      <c r="C2861" t="str">
        <f>_xll.BDP("FNDD5310 Mtge","GENERIC_TICKER_VINTAGE")</f>
        <v>FNCL 6 2025</v>
      </c>
      <c r="D2861" t="str">
        <f>_xll.BDP("FNDD5310 Mtge","CRNCY")</f>
        <v>USD</v>
      </c>
      <c r="E2861">
        <v>5163371</v>
      </c>
      <c r="F2861">
        <f>_xll.BDP("FNDD5310 Mtge","CPN")</f>
        <v>6</v>
      </c>
      <c r="G2861">
        <f>_xll.BDP("FNDD5310 Mtge","MTG_FACTOR")</f>
        <v>0.93904588</v>
      </c>
      <c r="H2861">
        <f>_xll.BDP("FNDD5310 Mtge","MTG_WAL")</f>
        <v>3.1959</v>
      </c>
      <c r="I2861" t="str">
        <f>_xll.BDP("FNDD5310 Mtge","MTG_ORIG_WAL")</f>
        <v>#N/A N/A</v>
      </c>
    </row>
    <row r="2862" spans="1:9" x14ac:dyDescent="0.25">
      <c r="A2862" t="str">
        <f>_xll.BDP("FNDD5319 Mtge","ID_CUSIP")</f>
        <v>3140B54D6</v>
      </c>
      <c r="B2862" t="str">
        <f>_xll.BDP("FNDD5319 Mtge","SECURITY_NAME")</f>
        <v>FN DD5319</v>
      </c>
      <c r="C2862" t="str">
        <f>_xll.BDP("FNDD5319 Mtge","GENERIC_TICKER_VINTAGE")</f>
        <v>FNCL 6 2025</v>
      </c>
      <c r="D2862" t="str">
        <f>_xll.BDP("FNDD5319 Mtge","CRNCY")</f>
        <v>USD</v>
      </c>
      <c r="E2862">
        <v>6248766</v>
      </c>
      <c r="F2862">
        <f>_xll.BDP("FNDD5319 Mtge","CPN")</f>
        <v>6</v>
      </c>
      <c r="G2862">
        <f>_xll.BDP("FNDD5319 Mtge","MTG_FACTOR")</f>
        <v>0.89099192999999999</v>
      </c>
      <c r="H2862">
        <f>_xll.BDP("FNDD5319 Mtge","MTG_WAL")</f>
        <v>3.2042999999999999</v>
      </c>
      <c r="I2862" t="str">
        <f>_xll.BDP("FNDD5319 Mtge","MTG_ORIG_WAL")</f>
        <v>#N/A N/A</v>
      </c>
    </row>
    <row r="2863" spans="1:9" x14ac:dyDescent="0.25">
      <c r="A2863" t="str">
        <f>_xll.BDP("FNDD5321 Mtge","ID_CUSIP")</f>
        <v>3140B54F1</v>
      </c>
      <c r="B2863" t="str">
        <f>_xll.BDP("FNDD5321 Mtge","SECURITY_NAME")</f>
        <v>FN DD5321</v>
      </c>
      <c r="C2863" t="str">
        <f>_xll.BDP("FNDD5321 Mtge","GENERIC_TICKER_VINTAGE")</f>
        <v>FNCL 6 2025</v>
      </c>
      <c r="D2863" t="str">
        <f>_xll.BDP("FNDD5321 Mtge","CRNCY")</f>
        <v>USD</v>
      </c>
      <c r="E2863">
        <v>7013937</v>
      </c>
      <c r="F2863">
        <f>_xll.BDP("FNDD5321 Mtge","CPN")</f>
        <v>6</v>
      </c>
      <c r="G2863">
        <f>_xll.BDP("FNDD5321 Mtge","MTG_FACTOR")</f>
        <v>0.86798766000000005</v>
      </c>
      <c r="H2863">
        <f>_xll.BDP("FNDD5321 Mtge","MTG_WAL")</f>
        <v>3.1983999999999999</v>
      </c>
      <c r="I2863" t="str">
        <f>_xll.BDP("FNDD5321 Mtge","MTG_ORIG_WAL")</f>
        <v>#N/A N/A</v>
      </c>
    </row>
    <row r="2864" spans="1:9" x14ac:dyDescent="0.25">
      <c r="A2864" t="str">
        <f>_xll.BDP("FNDD5322 Mtge","ID_CUSIP")</f>
        <v>3140B54G9</v>
      </c>
      <c r="B2864" t="str">
        <f>_xll.BDP("FNDD5322 Mtge","SECURITY_NAME")</f>
        <v>FN DD5322</v>
      </c>
      <c r="C2864" t="str">
        <f>_xll.BDP("FNDD5322 Mtge","GENERIC_TICKER_VINTAGE")</f>
        <v>FNCL 6 2025</v>
      </c>
      <c r="D2864" t="str">
        <f>_xll.BDP("FNDD5322 Mtge","CRNCY")</f>
        <v>USD</v>
      </c>
      <c r="E2864">
        <v>24107869</v>
      </c>
      <c r="F2864">
        <f>_xll.BDP("FNDD5322 Mtge","CPN")</f>
        <v>6</v>
      </c>
      <c r="G2864">
        <f>_xll.BDP("FNDD5322 Mtge","MTG_FACTOR")</f>
        <v>0.73296327999999999</v>
      </c>
      <c r="H2864">
        <f>_xll.BDP("FNDD5322 Mtge","MTG_WAL")</f>
        <v>3.2044000000000001</v>
      </c>
      <c r="I2864" t="str">
        <f>_xll.BDP("FNDD5322 Mtge","MTG_ORIG_WAL")</f>
        <v>#N/A N/A</v>
      </c>
    </row>
    <row r="2865" spans="1:9" x14ac:dyDescent="0.25">
      <c r="A2865" t="str">
        <f>_xll.BDP("FNDD5329 Mtge","ID_CUSIP")</f>
        <v>3140B54P9</v>
      </c>
      <c r="B2865" t="str">
        <f>_xll.BDP("FNDD5329 Mtge","SECURITY_NAME")</f>
        <v>FN DD5329</v>
      </c>
      <c r="C2865" t="str">
        <f>_xll.BDP("FNDD5329 Mtge","GENERIC_TICKER_VINTAGE")</f>
        <v>FNCL 6 2025</v>
      </c>
      <c r="D2865" t="str">
        <f>_xll.BDP("FNDD5329 Mtge","CRNCY")</f>
        <v>USD</v>
      </c>
      <c r="E2865">
        <v>20607809</v>
      </c>
      <c r="F2865">
        <f>_xll.BDP("FNDD5329 Mtge","CPN")</f>
        <v>6</v>
      </c>
      <c r="G2865">
        <f>_xll.BDP("FNDD5329 Mtge","MTG_FACTOR")</f>
        <v>0.73140251999999994</v>
      </c>
      <c r="H2865">
        <f>_xll.BDP("FNDD5329 Mtge","MTG_WAL")</f>
        <v>3.1947999999999999</v>
      </c>
      <c r="I2865" t="str">
        <f>_xll.BDP("FNDD5329 Mtge","MTG_ORIG_WAL")</f>
        <v>#N/A N/A</v>
      </c>
    </row>
    <row r="2866" spans="1:9" x14ac:dyDescent="0.25">
      <c r="A2866" t="str">
        <f>_xll.BDP("FNDD5330 Mtge","ID_CUSIP")</f>
        <v>3140B54Q7</v>
      </c>
      <c r="B2866" t="str">
        <f>_xll.BDP("FNDD5330 Mtge","SECURITY_NAME")</f>
        <v>FN DD5330</v>
      </c>
      <c r="C2866" t="str">
        <f>_xll.BDP("FNDD5330 Mtge","GENERIC_TICKER_VINTAGE")</f>
        <v>FNCL 6 2025</v>
      </c>
      <c r="D2866" t="str">
        <f>_xll.BDP("FNDD5330 Mtge","CRNCY")</f>
        <v>USD</v>
      </c>
      <c r="E2866">
        <v>9958634</v>
      </c>
      <c r="F2866">
        <f>_xll.BDP("FNDD5330 Mtge","CPN")</f>
        <v>6</v>
      </c>
      <c r="G2866">
        <f>_xll.BDP("FNDD5330 Mtge","MTG_FACTOR")</f>
        <v>0.57874886000000003</v>
      </c>
      <c r="H2866">
        <f>_xll.BDP("FNDD5330 Mtge","MTG_WAL")</f>
        <v>3.2456999999999998</v>
      </c>
      <c r="I2866" t="str">
        <f>_xll.BDP("FNDD5330 Mtge","MTG_ORIG_WAL")</f>
        <v>#N/A N/A</v>
      </c>
    </row>
    <row r="2867" spans="1:9" x14ac:dyDescent="0.25">
      <c r="A2867" t="str">
        <f>_xll.BDP("FNDD5331 Mtge","ID_CUSIP")</f>
        <v>3140B54R5</v>
      </c>
      <c r="B2867" t="str">
        <f>_xll.BDP("FNDD5331 Mtge","SECURITY_NAME")</f>
        <v>FN DD5331</v>
      </c>
      <c r="C2867" t="str">
        <f>_xll.BDP("FNDD5331 Mtge","GENERIC_TICKER_VINTAGE")</f>
        <v>FNCL 6 2025</v>
      </c>
      <c r="D2867" t="str">
        <f>_xll.BDP("FNDD5331 Mtge","CRNCY")</f>
        <v>USD</v>
      </c>
      <c r="E2867">
        <v>12250045</v>
      </c>
      <c r="F2867">
        <f>_xll.BDP("FNDD5331 Mtge","CPN")</f>
        <v>6</v>
      </c>
      <c r="G2867">
        <f>_xll.BDP("FNDD5331 Mtge","MTG_FACTOR")</f>
        <v>0.87971489999999997</v>
      </c>
      <c r="H2867">
        <f>_xll.BDP("FNDD5331 Mtge","MTG_WAL")</f>
        <v>3.1997</v>
      </c>
      <c r="I2867" t="str">
        <f>_xll.BDP("FNDD5331 Mtge","MTG_ORIG_WAL")</f>
        <v>#N/A N/A</v>
      </c>
    </row>
    <row r="2868" spans="1:9" x14ac:dyDescent="0.25">
      <c r="A2868" t="str">
        <f>_xll.BDP("FNDD5332 Mtge","ID_CUSIP")</f>
        <v>3140B54S3</v>
      </c>
      <c r="B2868" t="str">
        <f>_xll.BDP("FNDD5332 Mtge","SECURITY_NAME")</f>
        <v>FN DD5332</v>
      </c>
      <c r="C2868" t="str">
        <f>_xll.BDP("FNDD5332 Mtge","GENERIC_TICKER_VINTAGE")</f>
        <v>FNCL 6 2025</v>
      </c>
      <c r="D2868" t="str">
        <f>_xll.BDP("FNDD5332 Mtge","CRNCY")</f>
        <v>USD</v>
      </c>
      <c r="E2868">
        <v>15122200</v>
      </c>
      <c r="F2868">
        <f>_xll.BDP("FNDD5332 Mtge","CPN")</f>
        <v>6</v>
      </c>
      <c r="G2868">
        <f>_xll.BDP("FNDD5332 Mtge","MTG_FACTOR")</f>
        <v>0.86657110000000004</v>
      </c>
      <c r="H2868">
        <f>_xll.BDP("FNDD5332 Mtge","MTG_WAL")</f>
        <v>3.2044999999999999</v>
      </c>
      <c r="I2868" t="str">
        <f>_xll.BDP("FNDD5332 Mtge","MTG_ORIG_WAL")</f>
        <v>#N/A N/A</v>
      </c>
    </row>
    <row r="2869" spans="1:9" x14ac:dyDescent="0.25">
      <c r="A2869" t="str">
        <f>_xll.BDP("FNDD5343 Mtge","ID_CUSIP")</f>
        <v>3140B55D5</v>
      </c>
      <c r="B2869" t="str">
        <f>_xll.BDP("FNDD5343 Mtge","SECURITY_NAME")</f>
        <v>FN DD5343</v>
      </c>
      <c r="C2869" t="str">
        <f>_xll.BDP("FNDD5343 Mtge","GENERIC_TICKER_VINTAGE")</f>
        <v>FNCL 6 2025</v>
      </c>
      <c r="D2869" t="str">
        <f>_xll.BDP("FNDD5343 Mtge","CRNCY")</f>
        <v>USD</v>
      </c>
      <c r="E2869">
        <v>1649001</v>
      </c>
      <c r="F2869">
        <f>_xll.BDP("FNDD5343 Mtge","CPN")</f>
        <v>6</v>
      </c>
      <c r="G2869">
        <f>_xll.BDP("FNDD5343 Mtge","MTG_FACTOR")</f>
        <v>0.98947134999999997</v>
      </c>
      <c r="H2869">
        <f>_xll.BDP("FNDD5343 Mtge","MTG_WAL")</f>
        <v>3.2017000000000002</v>
      </c>
      <c r="I2869" t="str">
        <f>_xll.BDP("FNDD5343 Mtge","MTG_ORIG_WAL")</f>
        <v>#N/A N/A</v>
      </c>
    </row>
    <row r="2870" spans="1:9" x14ac:dyDescent="0.25">
      <c r="A2870" t="str">
        <f>_xll.BDP("FNDD5344 Mtge","ID_CUSIP")</f>
        <v>3140B55E3</v>
      </c>
      <c r="B2870" t="str">
        <f>_xll.BDP("FNDD5344 Mtge","SECURITY_NAME")</f>
        <v>FN DD5344</v>
      </c>
      <c r="C2870" t="str">
        <f>_xll.BDP("FNDD5344 Mtge","GENERIC_TICKER_VINTAGE")</f>
        <v>FNCL 6 2025</v>
      </c>
      <c r="D2870" t="str">
        <f>_xll.BDP("FNDD5344 Mtge","CRNCY")</f>
        <v>USD</v>
      </c>
      <c r="E2870">
        <v>2728165</v>
      </c>
      <c r="F2870">
        <f>_xll.BDP("FNDD5344 Mtge","CPN")</f>
        <v>6</v>
      </c>
      <c r="G2870">
        <f>_xll.BDP("FNDD5344 Mtge","MTG_FACTOR")</f>
        <v>0.88197906000000004</v>
      </c>
      <c r="H2870">
        <f>_xll.BDP("FNDD5344 Mtge","MTG_WAL")</f>
        <v>3.2021000000000002</v>
      </c>
      <c r="I2870" t="str">
        <f>_xll.BDP("FNDD5344 Mtge","MTG_ORIG_WAL")</f>
        <v>#N/A N/A</v>
      </c>
    </row>
    <row r="2871" spans="1:9" x14ac:dyDescent="0.25">
      <c r="A2871" t="str">
        <f>_xll.BDP("FNDD5345 Mtge","ID_CUSIP")</f>
        <v>3140B55F0</v>
      </c>
      <c r="B2871" t="str">
        <f>_xll.BDP("FNDD5345 Mtge","SECURITY_NAME")</f>
        <v>FN DD5345</v>
      </c>
      <c r="C2871" t="str">
        <f>_xll.BDP("FNDD5345 Mtge","GENERIC_TICKER_VINTAGE")</f>
        <v>FNCL 6 2025</v>
      </c>
      <c r="D2871" t="str">
        <f>_xll.BDP("FNDD5345 Mtge","CRNCY")</f>
        <v>USD</v>
      </c>
      <c r="E2871">
        <v>1126794</v>
      </c>
      <c r="F2871">
        <f>_xll.BDP("FNDD5345 Mtge","CPN")</f>
        <v>6</v>
      </c>
      <c r="G2871">
        <f>_xll.BDP("FNDD5345 Mtge","MTG_FACTOR")</f>
        <v>0.97672588000000005</v>
      </c>
      <c r="H2871">
        <f>_xll.BDP("FNDD5345 Mtge","MTG_WAL")</f>
        <v>3.1924000000000001</v>
      </c>
      <c r="I2871" t="str">
        <f>_xll.BDP("FNDD5345 Mtge","MTG_ORIG_WAL")</f>
        <v>#N/A N/A</v>
      </c>
    </row>
    <row r="2872" spans="1:9" x14ac:dyDescent="0.25">
      <c r="A2872" t="str">
        <f>_xll.BDP("FNDD5346 Mtge","ID_CUSIP")</f>
        <v>3140B55G8</v>
      </c>
      <c r="B2872" t="str">
        <f>_xll.BDP("FNDD5346 Mtge","SECURITY_NAME")</f>
        <v>FN DD5346</v>
      </c>
      <c r="C2872" t="str">
        <f>_xll.BDP("FNDD5346 Mtge","GENERIC_TICKER_VINTAGE")</f>
        <v>FNCL 6 2025</v>
      </c>
      <c r="D2872" t="str">
        <f>_xll.BDP("FNDD5346 Mtge","CRNCY")</f>
        <v>USD</v>
      </c>
      <c r="E2872">
        <v>1207250</v>
      </c>
      <c r="F2872">
        <f>_xll.BDP("FNDD5346 Mtge","CPN")</f>
        <v>6</v>
      </c>
      <c r="G2872">
        <f>_xll.BDP("FNDD5346 Mtge","MTG_FACTOR")</f>
        <v>0.98941765999999998</v>
      </c>
      <c r="H2872">
        <f>_xll.BDP("FNDD5346 Mtge","MTG_WAL")</f>
        <v>3.2048000000000001</v>
      </c>
      <c r="I2872" t="str">
        <f>_xll.BDP("FNDD5346 Mtge","MTG_ORIG_WAL")</f>
        <v>#N/A N/A</v>
      </c>
    </row>
    <row r="2873" spans="1:9" x14ac:dyDescent="0.25">
      <c r="A2873" t="str">
        <f>_xll.BDP("FNDD5368 Mtge","ID_CUSIP")</f>
        <v>3140B56E2</v>
      </c>
      <c r="B2873" t="str">
        <f>_xll.BDP("FNDD5368 Mtge","SECURITY_NAME")</f>
        <v>FN DD5368</v>
      </c>
      <c r="C2873" t="str">
        <f>_xll.BDP("FNDD5368 Mtge","GENERIC_TICKER_VINTAGE")</f>
        <v>FNCL 6 2025</v>
      </c>
      <c r="D2873" t="str">
        <f>_xll.BDP("FNDD5368 Mtge","CRNCY")</f>
        <v>USD</v>
      </c>
      <c r="E2873">
        <v>2653530</v>
      </c>
      <c r="F2873">
        <f>_xll.BDP("FNDD5368 Mtge","CPN")</f>
        <v>6</v>
      </c>
      <c r="G2873">
        <f>_xll.BDP("FNDD5368 Mtge","MTG_FACTOR")</f>
        <v>0.91697176000000002</v>
      </c>
      <c r="H2873">
        <f>_xll.BDP("FNDD5368 Mtge","MTG_WAL")</f>
        <v>3.2490999999999999</v>
      </c>
      <c r="I2873" t="str">
        <f>_xll.BDP("FNDD5368 Mtge","MTG_ORIG_WAL")</f>
        <v>#N/A N/A</v>
      </c>
    </row>
    <row r="2874" spans="1:9" x14ac:dyDescent="0.25">
      <c r="A2874" t="str">
        <f>_xll.BDP("FNDD5369 Mtge","ID_CUSIP")</f>
        <v>3140B56F9</v>
      </c>
      <c r="B2874" t="str">
        <f>_xll.BDP("FNDD5369 Mtge","SECURITY_NAME")</f>
        <v>FN DD5369</v>
      </c>
      <c r="C2874" t="str">
        <f>_xll.BDP("FNDD5369 Mtge","GENERIC_TICKER_VINTAGE")</f>
        <v>FNCL 6 2025</v>
      </c>
      <c r="D2874" t="str">
        <f>_xll.BDP("FNDD5369 Mtge","CRNCY")</f>
        <v>USD</v>
      </c>
      <c r="E2874">
        <v>6599326</v>
      </c>
      <c r="F2874">
        <f>_xll.BDP("FNDD5369 Mtge","CPN")</f>
        <v>6</v>
      </c>
      <c r="G2874">
        <f>_xll.BDP("FNDD5369 Mtge","MTG_FACTOR")</f>
        <v>0.90801122000000001</v>
      </c>
      <c r="H2874">
        <f>_xll.BDP("FNDD5369 Mtge","MTG_WAL")</f>
        <v>3.2029000000000001</v>
      </c>
      <c r="I2874" t="str">
        <f>_xll.BDP("FNDD5369 Mtge","MTG_ORIG_WAL")</f>
        <v>#N/A N/A</v>
      </c>
    </row>
    <row r="2875" spans="1:9" x14ac:dyDescent="0.25">
      <c r="A2875" t="str">
        <f>_xll.BDP("FNDD5375 Mtge","ID_CUSIP")</f>
        <v>3140B56M4</v>
      </c>
      <c r="B2875" t="str">
        <f>_xll.BDP("FNDD5375 Mtge","SECURITY_NAME")</f>
        <v>FN DD5375</v>
      </c>
      <c r="C2875" t="str">
        <f>_xll.BDP("FNDD5375 Mtge","GENERIC_TICKER_VINTAGE")</f>
        <v>FNCL 6 2025</v>
      </c>
      <c r="D2875" t="str">
        <f>_xll.BDP("FNDD5375 Mtge","CRNCY")</f>
        <v>USD</v>
      </c>
      <c r="E2875">
        <v>2208748</v>
      </c>
      <c r="F2875">
        <f>_xll.BDP("FNDD5375 Mtge","CPN")</f>
        <v>6</v>
      </c>
      <c r="G2875">
        <f>_xll.BDP("FNDD5375 Mtge","MTG_FACTOR")</f>
        <v>0.8517498</v>
      </c>
      <c r="H2875">
        <f>_xll.BDP("FNDD5375 Mtge","MTG_WAL")</f>
        <v>3.2023999999999999</v>
      </c>
      <c r="I2875" t="str">
        <f>_xll.BDP("FNDD5375 Mtge","MTG_ORIG_WAL")</f>
        <v>#N/A N/A</v>
      </c>
    </row>
    <row r="2876" spans="1:9" x14ac:dyDescent="0.25">
      <c r="A2876" t="str">
        <f>_xll.BDP("FNDD5376 Mtge","ID_CUSIP")</f>
        <v>3140B56N2</v>
      </c>
      <c r="B2876" t="str">
        <f>_xll.BDP("FNDD5376 Mtge","SECURITY_NAME")</f>
        <v>FN DD5376</v>
      </c>
      <c r="C2876" t="str">
        <f>_xll.BDP("FNDD5376 Mtge","GENERIC_TICKER_VINTAGE")</f>
        <v>FNCL 6 2025</v>
      </c>
      <c r="D2876" t="str">
        <f>_xll.BDP("FNDD5376 Mtge","CRNCY")</f>
        <v>USD</v>
      </c>
      <c r="E2876">
        <v>3384125</v>
      </c>
      <c r="F2876">
        <f>_xll.BDP("FNDD5376 Mtge","CPN")</f>
        <v>6</v>
      </c>
      <c r="G2876">
        <f>_xll.BDP("FNDD5376 Mtge","MTG_FACTOR")</f>
        <v>0.89417619999999998</v>
      </c>
      <c r="H2876">
        <f>_xll.BDP("FNDD5376 Mtge","MTG_WAL")</f>
        <v>3.1979000000000002</v>
      </c>
      <c r="I2876" t="str">
        <f>_xll.BDP("FNDD5376 Mtge","MTG_ORIG_WAL")</f>
        <v>#N/A N/A</v>
      </c>
    </row>
    <row r="2877" spans="1:9" x14ac:dyDescent="0.25">
      <c r="A2877" t="str">
        <f>_xll.BDP("FNDD5383 Mtge","ID_CUSIP")</f>
        <v>3140B56V4</v>
      </c>
      <c r="B2877" t="str">
        <f>_xll.BDP("FNDD5383 Mtge","SECURITY_NAME")</f>
        <v>FN DD5383</v>
      </c>
      <c r="C2877" t="str">
        <f>_xll.BDP("FNDD5383 Mtge","GENERIC_TICKER_VINTAGE")</f>
        <v>FNCL 6 2025</v>
      </c>
      <c r="D2877" t="str">
        <f>_xll.BDP("FNDD5383 Mtge","CRNCY")</f>
        <v>USD</v>
      </c>
      <c r="E2877">
        <v>2548301</v>
      </c>
      <c r="F2877">
        <f>_xll.BDP("FNDD5383 Mtge","CPN")</f>
        <v>6</v>
      </c>
      <c r="G2877">
        <f>_xll.BDP("FNDD5383 Mtge","MTG_FACTOR")</f>
        <v>0.98832989999999998</v>
      </c>
      <c r="H2877">
        <f>_xll.BDP("FNDD5383 Mtge","MTG_WAL")</f>
        <v>3.2479</v>
      </c>
      <c r="I2877" t="str">
        <f>_xll.BDP("FNDD5383 Mtge","MTG_ORIG_WAL")</f>
        <v>#N/A N/A</v>
      </c>
    </row>
    <row r="2878" spans="1:9" x14ac:dyDescent="0.25">
      <c r="A2878" t="str">
        <f>_xll.BDP("FNDD5384 Mtge","ID_CUSIP")</f>
        <v>3140B56W2</v>
      </c>
      <c r="B2878" t="str">
        <f>_xll.BDP("FNDD5384 Mtge","SECURITY_NAME")</f>
        <v>FN DD5384</v>
      </c>
      <c r="C2878" t="str">
        <f>_xll.BDP("FNDD5384 Mtge","GENERIC_TICKER_VINTAGE")</f>
        <v>FNCL 6 2025</v>
      </c>
      <c r="D2878" t="str">
        <f>_xll.BDP("FNDD5384 Mtge","CRNCY")</f>
        <v>USD</v>
      </c>
      <c r="E2878">
        <v>5482905</v>
      </c>
      <c r="F2878">
        <f>_xll.BDP("FNDD5384 Mtge","CPN")</f>
        <v>6</v>
      </c>
      <c r="G2878">
        <f>_xll.BDP("FNDD5384 Mtge","MTG_FACTOR")</f>
        <v>0.88968274000000003</v>
      </c>
      <c r="H2878">
        <f>_xll.BDP("FNDD5384 Mtge","MTG_WAL")</f>
        <v>3.2416</v>
      </c>
      <c r="I2878" t="str">
        <f>_xll.BDP("FNDD5384 Mtge","MTG_ORIG_WAL")</f>
        <v>#N/A N/A</v>
      </c>
    </row>
    <row r="2879" spans="1:9" x14ac:dyDescent="0.25">
      <c r="A2879" t="str">
        <f>_xll.BDP("FNDD5385 Mtge","ID_CUSIP")</f>
        <v>3140B56X0</v>
      </c>
      <c r="B2879" t="str">
        <f>_xll.BDP("FNDD5385 Mtge","SECURITY_NAME")</f>
        <v>FN DD5385</v>
      </c>
      <c r="C2879" t="str">
        <f>_xll.BDP("FNDD5385 Mtge","GENERIC_TICKER_VINTAGE")</f>
        <v>FNCL 6 2025</v>
      </c>
      <c r="D2879" t="str">
        <f>_xll.BDP("FNDD5385 Mtge","CRNCY")</f>
        <v>USD</v>
      </c>
      <c r="E2879">
        <v>8660533</v>
      </c>
      <c r="F2879">
        <f>_xll.BDP("FNDD5385 Mtge","CPN")</f>
        <v>6</v>
      </c>
      <c r="G2879">
        <f>_xll.BDP("FNDD5385 Mtge","MTG_FACTOR")</f>
        <v>0.82350944000000004</v>
      </c>
      <c r="H2879">
        <f>_xll.BDP("FNDD5385 Mtge","MTG_WAL")</f>
        <v>3.2042999999999999</v>
      </c>
      <c r="I2879" t="str">
        <f>_xll.BDP("FNDD5385 Mtge","MTG_ORIG_WAL")</f>
        <v>#N/A N/A</v>
      </c>
    </row>
    <row r="2880" spans="1:9" x14ac:dyDescent="0.25">
      <c r="A2880" t="str">
        <f>_xll.BDP("FNDD5393 Mtge","ID_CUSIP")</f>
        <v>3140B57F8</v>
      </c>
      <c r="B2880" t="str">
        <f>_xll.BDP("FNDD5393 Mtge","SECURITY_NAME")</f>
        <v>FN DD5393</v>
      </c>
      <c r="C2880" t="str">
        <f>_xll.BDP("FNDD5393 Mtge","GENERIC_TICKER_VINTAGE")</f>
        <v>FNCL 6 2025</v>
      </c>
      <c r="D2880" t="str">
        <f>_xll.BDP("FNDD5393 Mtge","CRNCY")</f>
        <v>USD</v>
      </c>
      <c r="E2880">
        <v>2618125</v>
      </c>
      <c r="F2880">
        <f>_xll.BDP("FNDD5393 Mtge","CPN")</f>
        <v>6</v>
      </c>
      <c r="G2880">
        <f>_xll.BDP("FNDD5393 Mtge","MTG_FACTOR")</f>
        <v>0.92005049000000005</v>
      </c>
      <c r="H2880">
        <f>_xll.BDP("FNDD5393 Mtge","MTG_WAL")</f>
        <v>3.2473000000000001</v>
      </c>
      <c r="I2880" t="str">
        <f>_xll.BDP("FNDD5393 Mtge","MTG_ORIG_WAL")</f>
        <v>#N/A N/A</v>
      </c>
    </row>
    <row r="2881" spans="1:9" x14ac:dyDescent="0.25">
      <c r="A2881" t="str">
        <f>_xll.BDP("FNDD5403 Mtge","ID_CUSIP")</f>
        <v>3140B6AD7</v>
      </c>
      <c r="B2881" t="str">
        <f>_xll.BDP("FNDD5403 Mtge","SECURITY_NAME")</f>
        <v>FN DD5403</v>
      </c>
      <c r="C2881" t="str">
        <f>_xll.BDP("FNDD5403 Mtge","GENERIC_TICKER_VINTAGE")</f>
        <v>FNCL 6 2025</v>
      </c>
      <c r="D2881" t="str">
        <f>_xll.BDP("FNDD5403 Mtge","CRNCY")</f>
        <v>USD</v>
      </c>
      <c r="E2881">
        <v>12389393</v>
      </c>
      <c r="F2881">
        <f>_xll.BDP("FNDD5403 Mtge","CPN")</f>
        <v>6</v>
      </c>
      <c r="G2881">
        <f>_xll.BDP("FNDD5403 Mtge","MTG_FACTOR")</f>
        <v>0.90005097000000001</v>
      </c>
      <c r="H2881">
        <f>_xll.BDP("FNDD5403 Mtge","MTG_WAL")</f>
        <v>3.2471999999999999</v>
      </c>
      <c r="I2881" t="str">
        <f>_xll.BDP("FNDD5403 Mtge","MTG_ORIG_WAL")</f>
        <v>#N/A N/A</v>
      </c>
    </row>
    <row r="2882" spans="1:9" x14ac:dyDescent="0.25">
      <c r="A2882" t="str">
        <f>_xll.BDP("FNDD5406 Mtge","ID_CUSIP")</f>
        <v>3140B6AG0</v>
      </c>
      <c r="B2882" t="str">
        <f>_xll.BDP("FNDD5406 Mtge","SECURITY_NAME")</f>
        <v>FN DD5406</v>
      </c>
      <c r="C2882" t="str">
        <f>_xll.BDP("FNDD5406 Mtge","GENERIC_TICKER_VINTAGE")</f>
        <v>FNCL 6 2025</v>
      </c>
      <c r="D2882" t="str">
        <f>_xll.BDP("FNDD5406 Mtge","CRNCY")</f>
        <v>USD</v>
      </c>
      <c r="E2882">
        <v>67513858</v>
      </c>
      <c r="F2882">
        <f>_xll.BDP("FNDD5406 Mtge","CPN")</f>
        <v>6</v>
      </c>
      <c r="G2882">
        <f>_xll.BDP("FNDD5406 Mtge","MTG_FACTOR")</f>
        <v>0.88922071000000003</v>
      </c>
      <c r="H2882">
        <f>_xll.BDP("FNDD5406 Mtge","MTG_WAL")</f>
        <v>3.2483</v>
      </c>
      <c r="I2882" t="str">
        <f>_xll.BDP("FNDD5406 Mtge","MTG_ORIG_WAL")</f>
        <v>#N/A N/A</v>
      </c>
    </row>
    <row r="2883" spans="1:9" x14ac:dyDescent="0.25">
      <c r="A2883" t="str">
        <f>_xll.BDP("FNDD5436 Mtge","ID_CUSIP")</f>
        <v>3140B6BE4</v>
      </c>
      <c r="B2883" t="str">
        <f>_xll.BDP("FNDD5436 Mtge","SECURITY_NAME")</f>
        <v>FN DD5436</v>
      </c>
      <c r="C2883" t="str">
        <f>_xll.BDP("FNDD5436 Mtge","GENERIC_TICKER_VINTAGE")</f>
        <v>FNCL 6 2025</v>
      </c>
      <c r="D2883" t="str">
        <f>_xll.BDP("FNDD5436 Mtge","CRNCY")</f>
        <v>USD</v>
      </c>
      <c r="E2883">
        <v>24322100</v>
      </c>
      <c r="F2883">
        <f>_xll.BDP("FNDD5436 Mtge","CPN")</f>
        <v>6</v>
      </c>
      <c r="G2883">
        <f>_xll.BDP("FNDD5436 Mtge","MTG_FACTOR")</f>
        <v>0.81739636000000004</v>
      </c>
      <c r="H2883">
        <f>_xll.BDP("FNDD5436 Mtge","MTG_WAL")</f>
        <v>3.2046999999999999</v>
      </c>
      <c r="I2883" t="str">
        <f>_xll.BDP("FNDD5436 Mtge","MTG_ORIG_WAL")</f>
        <v>#N/A N/A</v>
      </c>
    </row>
    <row r="2884" spans="1:9" x14ac:dyDescent="0.25">
      <c r="A2884" t="str">
        <f>_xll.BDP("FNDD5437 Mtge","ID_CUSIP")</f>
        <v>3140B6BF1</v>
      </c>
      <c r="B2884" t="str">
        <f>_xll.BDP("FNDD5437 Mtge","SECURITY_NAME")</f>
        <v>FN DD5437</v>
      </c>
      <c r="C2884" t="str">
        <f>_xll.BDP("FNDD5437 Mtge","GENERIC_TICKER_VINTAGE")</f>
        <v>FNCL 6 2025</v>
      </c>
      <c r="D2884" t="str">
        <f>_xll.BDP("FNDD5437 Mtge","CRNCY")</f>
        <v>USD</v>
      </c>
      <c r="E2884">
        <v>29453023</v>
      </c>
      <c r="F2884">
        <f>_xll.BDP("FNDD5437 Mtge","CPN")</f>
        <v>6</v>
      </c>
      <c r="G2884">
        <f>_xll.BDP("FNDD5437 Mtge","MTG_FACTOR")</f>
        <v>0.91170236000000004</v>
      </c>
      <c r="H2884">
        <f>_xll.BDP("FNDD5437 Mtge","MTG_WAL")</f>
        <v>3.2494000000000001</v>
      </c>
      <c r="I2884" t="str">
        <f>_xll.BDP("FNDD5437 Mtge","MTG_ORIG_WAL")</f>
        <v>#N/A N/A</v>
      </c>
    </row>
    <row r="2885" spans="1:9" x14ac:dyDescent="0.25">
      <c r="A2885" t="str">
        <f>_xll.BDP("FNDD5440 Mtge","ID_CUSIP")</f>
        <v>3140B6BJ3</v>
      </c>
      <c r="B2885" t="str">
        <f>_xll.BDP("FNDD5440 Mtge","SECURITY_NAME")</f>
        <v>FN DD5440</v>
      </c>
      <c r="C2885" t="str">
        <f>_xll.BDP("FNDD5440 Mtge","GENERIC_TICKER_VINTAGE")</f>
        <v>FNCL 6 2025</v>
      </c>
      <c r="D2885" t="str">
        <f>_xll.BDP("FNDD5440 Mtge","CRNCY")</f>
        <v>USD</v>
      </c>
      <c r="E2885">
        <v>4725446</v>
      </c>
      <c r="F2885">
        <f>_xll.BDP("FNDD5440 Mtge","CPN")</f>
        <v>6</v>
      </c>
      <c r="G2885">
        <f>_xll.BDP("FNDD5440 Mtge","MTG_FACTOR")</f>
        <v>0.84795370000000003</v>
      </c>
      <c r="H2885">
        <f>_xll.BDP("FNDD5440 Mtge","MTG_WAL")</f>
        <v>3.2035</v>
      </c>
      <c r="I2885" t="str">
        <f>_xll.BDP("FNDD5440 Mtge","MTG_ORIG_WAL")</f>
        <v>#N/A N/A</v>
      </c>
    </row>
    <row r="2886" spans="1:9" x14ac:dyDescent="0.25">
      <c r="A2886" t="str">
        <f>_xll.BDP("FNDD5453 Mtge","ID_CUSIP")</f>
        <v>3140B6BX2</v>
      </c>
      <c r="B2886" t="str">
        <f>_xll.BDP("FNDD5453 Mtge","SECURITY_NAME")</f>
        <v>FN DD5453</v>
      </c>
      <c r="C2886" t="str">
        <f>_xll.BDP("FNDD5453 Mtge","GENERIC_TICKER_VINTAGE")</f>
        <v>FNCL 6 2025</v>
      </c>
      <c r="D2886" t="str">
        <f>_xll.BDP("FNDD5453 Mtge","CRNCY")</f>
        <v>USD</v>
      </c>
      <c r="E2886">
        <v>2145039</v>
      </c>
      <c r="F2886">
        <f>_xll.BDP("FNDD5453 Mtge","CPN")</f>
        <v>6</v>
      </c>
      <c r="G2886">
        <f>_xll.BDP("FNDD5453 Mtge","MTG_FACTOR")</f>
        <v>0.97794369999999997</v>
      </c>
      <c r="H2886">
        <f>_xll.BDP("FNDD5453 Mtge","MTG_WAL")</f>
        <v>3.1972</v>
      </c>
      <c r="I2886" t="str">
        <f>_xll.BDP("FNDD5453 Mtge","MTG_ORIG_WAL")</f>
        <v>#N/A N/A</v>
      </c>
    </row>
    <row r="2887" spans="1:9" x14ac:dyDescent="0.25">
      <c r="A2887" t="str">
        <f>_xll.BDP("FNDD5455 Mtge","ID_CUSIP")</f>
        <v>3140B6BZ7</v>
      </c>
      <c r="B2887" t="str">
        <f>_xll.BDP("FNDD5455 Mtge","SECURITY_NAME")</f>
        <v>FN DD5455</v>
      </c>
      <c r="C2887" t="str">
        <f>_xll.BDP("FNDD5455 Mtge","GENERIC_TICKER_VINTAGE")</f>
        <v>FNCL 6 2025</v>
      </c>
      <c r="D2887" t="str">
        <f>_xll.BDP("FNDD5455 Mtge","CRNCY")</f>
        <v>USD</v>
      </c>
      <c r="E2887">
        <v>4019461</v>
      </c>
      <c r="F2887">
        <f>_xll.BDP("FNDD5455 Mtge","CPN")</f>
        <v>6</v>
      </c>
      <c r="G2887">
        <f>_xll.BDP("FNDD5455 Mtge","MTG_FACTOR")</f>
        <v>0.92722967999999995</v>
      </c>
      <c r="H2887">
        <f>_xll.BDP("FNDD5455 Mtge","MTG_WAL")</f>
        <v>3.1997</v>
      </c>
      <c r="I2887" t="str">
        <f>_xll.BDP("FNDD5455 Mtge","MTG_ORIG_WAL")</f>
        <v>#N/A N/A</v>
      </c>
    </row>
    <row r="2888" spans="1:9" x14ac:dyDescent="0.25">
      <c r="A2888" t="str">
        <f>_xll.BDP("FNDD5458 Mtge","ID_CUSIP")</f>
        <v>3140B6B46</v>
      </c>
      <c r="B2888" t="str">
        <f>_xll.BDP("FNDD5458 Mtge","SECURITY_NAME")</f>
        <v>FN DD5458</v>
      </c>
      <c r="C2888" t="str">
        <f>_xll.BDP("FNDD5458 Mtge","GENERIC_TICKER_VINTAGE")</f>
        <v>FNCL 6 2025</v>
      </c>
      <c r="D2888" t="str">
        <f>_xll.BDP("FNDD5458 Mtge","CRNCY")</f>
        <v>USD</v>
      </c>
      <c r="E2888">
        <v>5029703</v>
      </c>
      <c r="F2888">
        <f>_xll.BDP("FNDD5458 Mtge","CPN")</f>
        <v>6</v>
      </c>
      <c r="G2888">
        <f>_xll.BDP("FNDD5458 Mtge","MTG_FACTOR")</f>
        <v>0.83019180000000004</v>
      </c>
      <c r="H2888">
        <f>_xll.BDP("FNDD5458 Mtge","MTG_WAL")</f>
        <v>3.2048000000000001</v>
      </c>
      <c r="I2888" t="str">
        <f>_xll.BDP("FNDD5458 Mtge","MTG_ORIG_WAL")</f>
        <v>#N/A N/A</v>
      </c>
    </row>
    <row r="2889" spans="1:9" x14ac:dyDescent="0.25">
      <c r="A2889" t="str">
        <f>_xll.BDP("FNDD5459 Mtge","ID_CUSIP")</f>
        <v>3140B6B53</v>
      </c>
      <c r="B2889" t="str">
        <f>_xll.BDP("FNDD5459 Mtge","SECURITY_NAME")</f>
        <v>FN DD5459</v>
      </c>
      <c r="C2889" t="str">
        <f>_xll.BDP("FNDD5459 Mtge","GENERIC_TICKER_VINTAGE")</f>
        <v>FNCL 6 2025</v>
      </c>
      <c r="D2889" t="str">
        <f>_xll.BDP("FNDD5459 Mtge","CRNCY")</f>
        <v>USD</v>
      </c>
      <c r="E2889">
        <v>2284108</v>
      </c>
      <c r="F2889">
        <f>_xll.BDP("FNDD5459 Mtge","CPN")</f>
        <v>6</v>
      </c>
      <c r="G2889">
        <f>_xll.BDP("FNDD5459 Mtge","MTG_FACTOR")</f>
        <v>0.73621767000000005</v>
      </c>
      <c r="H2889">
        <f>_xll.BDP("FNDD5459 Mtge","MTG_WAL")</f>
        <v>3.2429999999999999</v>
      </c>
      <c r="I2889" t="str">
        <f>_xll.BDP("FNDD5459 Mtge","MTG_ORIG_WAL")</f>
        <v>#N/A N/A</v>
      </c>
    </row>
    <row r="2890" spans="1:9" x14ac:dyDescent="0.25">
      <c r="A2890" t="str">
        <f>_xll.BDP("FNDD5461 Mtge","ID_CUSIP")</f>
        <v>3140B6B79</v>
      </c>
      <c r="B2890" t="str">
        <f>_xll.BDP("FNDD5461 Mtge","SECURITY_NAME")</f>
        <v>FN DD5461</v>
      </c>
      <c r="C2890" t="str">
        <f>_xll.BDP("FNDD5461 Mtge","GENERIC_TICKER_VINTAGE")</f>
        <v>FNCL 6 2025</v>
      </c>
      <c r="D2890" t="str">
        <f>_xll.BDP("FNDD5461 Mtge","CRNCY")</f>
        <v>USD</v>
      </c>
      <c r="E2890">
        <v>4707483</v>
      </c>
      <c r="F2890">
        <f>_xll.BDP("FNDD5461 Mtge","CPN")</f>
        <v>6</v>
      </c>
      <c r="G2890">
        <f>_xll.BDP("FNDD5461 Mtge","MTG_FACTOR")</f>
        <v>0.85125291000000003</v>
      </c>
      <c r="H2890">
        <f>_xll.BDP("FNDD5461 Mtge","MTG_WAL")</f>
        <v>3.2006000000000001</v>
      </c>
      <c r="I2890" t="str">
        <f>_xll.BDP("FNDD5461 Mtge","MTG_ORIG_WAL")</f>
        <v>#N/A N/A</v>
      </c>
    </row>
    <row r="2891" spans="1:9" x14ac:dyDescent="0.25">
      <c r="A2891" t="str">
        <f>_xll.BDP("FNDD5463 Mtge","ID_CUSIP")</f>
        <v>3140B6B95</v>
      </c>
      <c r="B2891" t="str">
        <f>_xll.BDP("FNDD5463 Mtge","SECURITY_NAME")</f>
        <v>FN DD5463</v>
      </c>
      <c r="C2891" t="str">
        <f>_xll.BDP("FNDD5463 Mtge","GENERIC_TICKER_VINTAGE")</f>
        <v>FNCL 6 2025</v>
      </c>
      <c r="D2891" t="str">
        <f>_xll.BDP("FNDD5463 Mtge","CRNCY")</f>
        <v>USD</v>
      </c>
      <c r="E2891">
        <v>5059010</v>
      </c>
      <c r="F2891">
        <f>_xll.BDP("FNDD5463 Mtge","CPN")</f>
        <v>6</v>
      </c>
      <c r="G2891">
        <f>_xll.BDP("FNDD5463 Mtge","MTG_FACTOR")</f>
        <v>0.98740746000000001</v>
      </c>
      <c r="H2891">
        <f>_xll.BDP("FNDD5463 Mtge","MTG_WAL")</f>
        <v>3.2035</v>
      </c>
      <c r="I2891" t="str">
        <f>_xll.BDP("FNDD5463 Mtge","MTG_ORIG_WAL")</f>
        <v>#N/A N/A</v>
      </c>
    </row>
    <row r="2892" spans="1:9" x14ac:dyDescent="0.25">
      <c r="A2892" t="str">
        <f>_xll.BDP("FNDD5464 Mtge","ID_CUSIP")</f>
        <v>3140B6CA1</v>
      </c>
      <c r="B2892" t="str">
        <f>_xll.BDP("FNDD5464 Mtge","SECURITY_NAME")</f>
        <v>FN DD5464</v>
      </c>
      <c r="C2892" t="str">
        <f>_xll.BDP("FNDD5464 Mtge","GENERIC_TICKER_VINTAGE")</f>
        <v>FNCL 6 2025</v>
      </c>
      <c r="D2892" t="str">
        <f>_xll.BDP("FNDD5464 Mtge","CRNCY")</f>
        <v>USD</v>
      </c>
      <c r="E2892">
        <v>16792800</v>
      </c>
      <c r="F2892">
        <f>_xll.BDP("FNDD5464 Mtge","CPN")</f>
        <v>6</v>
      </c>
      <c r="G2892">
        <f>_xll.BDP("FNDD5464 Mtge","MTG_FACTOR")</f>
        <v>0.80536244999999995</v>
      </c>
      <c r="H2892">
        <f>_xll.BDP("FNDD5464 Mtge","MTG_WAL")</f>
        <v>3.2000999999999999</v>
      </c>
      <c r="I2892" t="str">
        <f>_xll.BDP("FNDD5464 Mtge","MTG_ORIG_WAL")</f>
        <v>#N/A N/A</v>
      </c>
    </row>
    <row r="2893" spans="1:9" x14ac:dyDescent="0.25">
      <c r="A2893" t="str">
        <f>_xll.BDP("FNDD5466 Mtge","ID_CUSIP")</f>
        <v>3140B6CC7</v>
      </c>
      <c r="B2893" t="str">
        <f>_xll.BDP("FNDD5466 Mtge","SECURITY_NAME")</f>
        <v>FN DD5466</v>
      </c>
      <c r="C2893" t="str">
        <f>_xll.BDP("FNDD5466 Mtge","GENERIC_TICKER_VINTAGE")</f>
        <v>FNCL 6 2025</v>
      </c>
      <c r="D2893" t="str">
        <f>_xll.BDP("FNDD5466 Mtge","CRNCY")</f>
        <v>USD</v>
      </c>
      <c r="E2893">
        <v>9372640</v>
      </c>
      <c r="F2893">
        <f>_xll.BDP("FNDD5466 Mtge","CPN")</f>
        <v>6</v>
      </c>
      <c r="G2893">
        <f>_xll.BDP("FNDD5466 Mtge","MTG_FACTOR")</f>
        <v>0.79244143</v>
      </c>
      <c r="H2893">
        <f>_xll.BDP("FNDD5466 Mtge","MTG_WAL")</f>
        <v>3.1878000000000002</v>
      </c>
      <c r="I2893" t="str">
        <f>_xll.BDP("FNDD5466 Mtge","MTG_ORIG_WAL")</f>
        <v>#N/A N/A</v>
      </c>
    </row>
    <row r="2894" spans="1:9" x14ac:dyDescent="0.25">
      <c r="A2894" t="str">
        <f>_xll.BDP("FNDD5474 Mtge","ID_CUSIP")</f>
        <v>3140B6CL7</v>
      </c>
      <c r="B2894" t="str">
        <f>_xll.BDP("FNDD5474 Mtge","SECURITY_NAME")</f>
        <v>FN DD5474</v>
      </c>
      <c r="C2894" t="str">
        <f>_xll.BDP("FNDD5474 Mtge","GENERIC_TICKER_VINTAGE")</f>
        <v>FNCL 6 2025</v>
      </c>
      <c r="D2894" t="str">
        <f>_xll.BDP("FNDD5474 Mtge","CRNCY")</f>
        <v>USD</v>
      </c>
      <c r="E2894">
        <v>20179788</v>
      </c>
      <c r="F2894">
        <f>_xll.BDP("FNDD5474 Mtge","CPN")</f>
        <v>6</v>
      </c>
      <c r="G2894">
        <f>_xll.BDP("FNDD5474 Mtge","MTG_FACTOR")</f>
        <v>0.92250920999999997</v>
      </c>
      <c r="H2894">
        <f>_xll.BDP("FNDD5474 Mtge","MTG_WAL")</f>
        <v>3.2871999999999999</v>
      </c>
      <c r="I2894" t="str">
        <f>_xll.BDP("FNDD5474 Mtge","MTG_ORIG_WAL")</f>
        <v>#N/A N/A</v>
      </c>
    </row>
    <row r="2895" spans="1:9" x14ac:dyDescent="0.25">
      <c r="A2895" t="str">
        <f>_xll.BDP("FNDD5475 Mtge","ID_CUSIP")</f>
        <v>3140B6CM5</v>
      </c>
      <c r="B2895" t="str">
        <f>_xll.BDP("FNDD5475 Mtge","SECURITY_NAME")</f>
        <v>FN DD5475</v>
      </c>
      <c r="C2895" t="str">
        <f>_xll.BDP("FNDD5475 Mtge","GENERIC_TICKER_VINTAGE")</f>
        <v>FNCL 6 2025</v>
      </c>
      <c r="D2895" t="str">
        <f>_xll.BDP("FNDD5475 Mtge","CRNCY")</f>
        <v>USD</v>
      </c>
      <c r="E2895">
        <v>32173738</v>
      </c>
      <c r="F2895">
        <f>_xll.BDP("FNDD5475 Mtge","CPN")</f>
        <v>6</v>
      </c>
      <c r="G2895">
        <f>_xll.BDP("FNDD5475 Mtge","MTG_FACTOR")</f>
        <v>0.88920016999999996</v>
      </c>
      <c r="H2895">
        <f>_xll.BDP("FNDD5475 Mtge","MTG_WAL")</f>
        <v>3.2437999999999998</v>
      </c>
      <c r="I2895" t="str">
        <f>_xll.BDP("FNDD5475 Mtge","MTG_ORIG_WAL")</f>
        <v>#N/A N/A</v>
      </c>
    </row>
    <row r="2896" spans="1:9" x14ac:dyDescent="0.25">
      <c r="A2896" t="str">
        <f>_xll.BDP("FNDD5486 Mtge","ID_CUSIP")</f>
        <v>3140B6CY9</v>
      </c>
      <c r="B2896" t="str">
        <f>_xll.BDP("FNDD5486 Mtge","SECURITY_NAME")</f>
        <v>FN DD5486</v>
      </c>
      <c r="C2896" t="str">
        <f>_xll.BDP("FNDD5486 Mtge","GENERIC_TICKER_VINTAGE")</f>
        <v>FNCL 6 2025</v>
      </c>
      <c r="D2896" t="str">
        <f>_xll.BDP("FNDD5486 Mtge","CRNCY")</f>
        <v>USD</v>
      </c>
      <c r="E2896">
        <v>20094460</v>
      </c>
      <c r="F2896">
        <f>_xll.BDP("FNDD5486 Mtge","CPN")</f>
        <v>6</v>
      </c>
      <c r="G2896">
        <f>_xll.BDP("FNDD5486 Mtge","MTG_FACTOR")</f>
        <v>0.94936818000000001</v>
      </c>
      <c r="H2896">
        <f>_xll.BDP("FNDD5486 Mtge","MTG_WAL")</f>
        <v>3.2959999999999998</v>
      </c>
      <c r="I2896" t="str">
        <f>_xll.BDP("FNDD5486 Mtge","MTG_ORIG_WAL")</f>
        <v>#N/A N/A</v>
      </c>
    </row>
    <row r="2897" spans="1:9" x14ac:dyDescent="0.25">
      <c r="A2897" t="str">
        <f>_xll.BDP("FNDD5488 Mtge","ID_CUSIP")</f>
        <v>3140B6C29</v>
      </c>
      <c r="B2897" t="str">
        <f>_xll.BDP("FNDD5488 Mtge","SECURITY_NAME")</f>
        <v>FN DD5488</v>
      </c>
      <c r="C2897" t="str">
        <f>_xll.BDP("FNDD5488 Mtge","GENERIC_TICKER_VINTAGE")</f>
        <v>FNCL 6 2025</v>
      </c>
      <c r="D2897" t="str">
        <f>_xll.BDP("FNDD5488 Mtge","CRNCY")</f>
        <v>USD</v>
      </c>
      <c r="E2897">
        <v>15936331</v>
      </c>
      <c r="F2897">
        <f>_xll.BDP("FNDD5488 Mtge","CPN")</f>
        <v>6</v>
      </c>
      <c r="G2897">
        <f>_xll.BDP("FNDD5488 Mtge","MTG_FACTOR")</f>
        <v>0.91580106999999999</v>
      </c>
      <c r="H2897">
        <f>_xll.BDP("FNDD5488 Mtge","MTG_WAL")</f>
        <v>3.2902</v>
      </c>
      <c r="I2897" t="str">
        <f>_xll.BDP("FNDD5488 Mtge","MTG_ORIG_WAL")</f>
        <v>#N/A N/A</v>
      </c>
    </row>
    <row r="2898" spans="1:9" x14ac:dyDescent="0.25">
      <c r="A2898" t="str">
        <f>_xll.BDP("FNDD5501 Mtge","ID_CUSIP")</f>
        <v>3140B6DF9</v>
      </c>
      <c r="B2898" t="str">
        <f>_xll.BDP("FNDD5501 Mtge","SECURITY_NAME")</f>
        <v>FN DD5501</v>
      </c>
      <c r="C2898" t="str">
        <f>_xll.BDP("FNDD5501 Mtge","GENERIC_TICKER_VINTAGE")</f>
        <v>FNCL 6 2025</v>
      </c>
      <c r="D2898" t="str">
        <f>_xll.BDP("FNDD5501 Mtge","CRNCY")</f>
        <v>USD</v>
      </c>
      <c r="E2898">
        <v>16213896</v>
      </c>
      <c r="F2898">
        <f>_xll.BDP("FNDD5501 Mtge","CPN")</f>
        <v>6</v>
      </c>
      <c r="G2898">
        <f>_xll.BDP("FNDD5501 Mtge","MTG_FACTOR")</f>
        <v>0.89942133999999996</v>
      </c>
      <c r="H2898">
        <f>_xll.BDP("FNDD5501 Mtge","MTG_WAL")</f>
        <v>3.2881999999999998</v>
      </c>
      <c r="I2898" t="str">
        <f>_xll.BDP("FNDD5501 Mtge","MTG_ORIG_WAL")</f>
        <v>#N/A N/A</v>
      </c>
    </row>
    <row r="2899" spans="1:9" x14ac:dyDescent="0.25">
      <c r="A2899" t="str">
        <f>_xll.BDP("FNDD5503 Mtge","ID_CUSIP")</f>
        <v>3140B6DH5</v>
      </c>
      <c r="B2899" t="str">
        <f>_xll.BDP("FNDD5503 Mtge","SECURITY_NAME")</f>
        <v>FN DD5503</v>
      </c>
      <c r="C2899" t="str">
        <f>_xll.BDP("FNDD5503 Mtge","GENERIC_TICKER_VINTAGE")</f>
        <v>FNCL 6 2025</v>
      </c>
      <c r="D2899" t="str">
        <f>_xll.BDP("FNDD5503 Mtge","CRNCY")</f>
        <v>USD</v>
      </c>
      <c r="E2899">
        <v>20067551</v>
      </c>
      <c r="F2899">
        <f>_xll.BDP("FNDD5503 Mtge","CPN")</f>
        <v>6</v>
      </c>
      <c r="G2899">
        <f>_xll.BDP("FNDD5503 Mtge","MTG_FACTOR")</f>
        <v>0.95934746999999998</v>
      </c>
      <c r="H2899">
        <f>_xll.BDP("FNDD5503 Mtge","MTG_WAL")</f>
        <v>3.2865000000000002</v>
      </c>
      <c r="I2899" t="str">
        <f>_xll.BDP("FNDD5503 Mtge","MTG_ORIG_WAL")</f>
        <v>#N/A N/A</v>
      </c>
    </row>
    <row r="2900" spans="1:9" x14ac:dyDescent="0.25">
      <c r="A2900" t="str">
        <f>_xll.BDP("FNDD5504 Mtge","ID_CUSIP")</f>
        <v>3140B6DJ1</v>
      </c>
      <c r="B2900" t="str">
        <f>_xll.BDP("FNDD5504 Mtge","SECURITY_NAME")</f>
        <v>FN DD5504</v>
      </c>
      <c r="C2900" t="str">
        <f>_xll.BDP("FNDD5504 Mtge","GENERIC_TICKER_VINTAGE")</f>
        <v>FNCL 6 2025</v>
      </c>
      <c r="D2900" t="str">
        <f>_xll.BDP("FNDD5504 Mtge","CRNCY")</f>
        <v>USD</v>
      </c>
      <c r="E2900">
        <v>14719941</v>
      </c>
      <c r="F2900">
        <f>_xll.BDP("FNDD5504 Mtge","CPN")</f>
        <v>6</v>
      </c>
      <c r="G2900">
        <f>_xll.BDP("FNDD5504 Mtge","MTG_FACTOR")</f>
        <v>0.85618715000000001</v>
      </c>
      <c r="H2900">
        <f>_xll.BDP("FNDD5504 Mtge","MTG_WAL")</f>
        <v>3.2829000000000002</v>
      </c>
      <c r="I2900" t="str">
        <f>_xll.BDP("FNDD5504 Mtge","MTG_ORIG_WAL")</f>
        <v>#N/A N/A</v>
      </c>
    </row>
    <row r="2901" spans="1:9" x14ac:dyDescent="0.25">
      <c r="A2901" t="str">
        <f>_xll.BDP("FNDD5505 Mtge","ID_CUSIP")</f>
        <v>3140B6DK8</v>
      </c>
      <c r="B2901" t="str">
        <f>_xll.BDP("FNDD5505 Mtge","SECURITY_NAME")</f>
        <v>FN DD5505</v>
      </c>
      <c r="C2901" t="str">
        <f>_xll.BDP("FNDD5505 Mtge","GENERIC_TICKER_VINTAGE")</f>
        <v>FNCL 6 2025</v>
      </c>
      <c r="D2901" t="str">
        <f>_xll.BDP("FNDD5505 Mtge","CRNCY")</f>
        <v>USD</v>
      </c>
      <c r="E2901">
        <v>21331755</v>
      </c>
      <c r="F2901">
        <f>_xll.BDP("FNDD5505 Mtge","CPN")</f>
        <v>6</v>
      </c>
      <c r="G2901">
        <f>_xll.BDP("FNDD5505 Mtge","MTG_FACTOR")</f>
        <v>0.87364715000000004</v>
      </c>
      <c r="H2901">
        <f>_xll.BDP("FNDD5505 Mtge","MTG_WAL")</f>
        <v>3.286</v>
      </c>
      <c r="I2901" t="str">
        <f>_xll.BDP("FNDD5505 Mtge","MTG_ORIG_WAL")</f>
        <v>#N/A N/A</v>
      </c>
    </row>
    <row r="2902" spans="1:9" x14ac:dyDescent="0.25">
      <c r="A2902" t="str">
        <f>_xll.BDP("FNDD5508 Mtge","ID_CUSIP")</f>
        <v>3140B6DN2</v>
      </c>
      <c r="B2902" t="str">
        <f>_xll.BDP("FNDD5508 Mtge","SECURITY_NAME")</f>
        <v>FN DD5508</v>
      </c>
      <c r="C2902" t="str">
        <f>_xll.BDP("FNDD5508 Mtge","GENERIC_TICKER_VINTAGE")</f>
        <v>FNCL 6 2025</v>
      </c>
      <c r="D2902" t="str">
        <f>_xll.BDP("FNDD5508 Mtge","CRNCY")</f>
        <v>USD</v>
      </c>
      <c r="E2902">
        <v>6705129</v>
      </c>
      <c r="F2902">
        <f>_xll.BDP("FNDD5508 Mtge","CPN")</f>
        <v>6</v>
      </c>
      <c r="G2902">
        <f>_xll.BDP("FNDD5508 Mtge","MTG_FACTOR")</f>
        <v>0.96475248999999996</v>
      </c>
      <c r="H2902">
        <f>_xll.BDP("FNDD5508 Mtge","MTG_WAL")</f>
        <v>3.2907999999999999</v>
      </c>
      <c r="I2902" t="str">
        <f>_xll.BDP("FNDD5508 Mtge","MTG_ORIG_WAL")</f>
        <v>#N/A N/A</v>
      </c>
    </row>
    <row r="2903" spans="1:9" x14ac:dyDescent="0.25">
      <c r="A2903" t="str">
        <f>_xll.BDP("FNDD5509 Mtge","ID_CUSIP")</f>
        <v>3140B6DP7</v>
      </c>
      <c r="B2903" t="str">
        <f>_xll.BDP("FNDD5509 Mtge","SECURITY_NAME")</f>
        <v>FN DD5509</v>
      </c>
      <c r="C2903" t="str">
        <f>_xll.BDP("FNDD5509 Mtge","GENERIC_TICKER_VINTAGE")</f>
        <v>FNCL 6 2025</v>
      </c>
      <c r="D2903" t="str">
        <f>_xll.BDP("FNDD5509 Mtge","CRNCY")</f>
        <v>USD</v>
      </c>
      <c r="E2903">
        <v>5440001</v>
      </c>
      <c r="F2903">
        <f>_xll.BDP("FNDD5509 Mtge","CPN")</f>
        <v>6</v>
      </c>
      <c r="G2903">
        <f>_xll.BDP("FNDD5509 Mtge","MTG_FACTOR")</f>
        <v>0.84465239000000003</v>
      </c>
      <c r="H2903">
        <f>_xll.BDP("FNDD5509 Mtge","MTG_WAL")</f>
        <v>3.2421000000000002</v>
      </c>
      <c r="I2903" t="str">
        <f>_xll.BDP("FNDD5509 Mtge","MTG_ORIG_WAL")</f>
        <v>#N/A N/A</v>
      </c>
    </row>
    <row r="2904" spans="1:9" x14ac:dyDescent="0.25">
      <c r="A2904" t="str">
        <f>_xll.BDP("FNDD5513 Mtge","ID_CUSIP")</f>
        <v>3140B6DT9</v>
      </c>
      <c r="B2904" t="str">
        <f>_xll.BDP("FNDD5513 Mtge","SECURITY_NAME")</f>
        <v>FN DD5513</v>
      </c>
      <c r="C2904" t="str">
        <f>_xll.BDP("FNDD5513 Mtge","GENERIC_TICKER_VINTAGE")</f>
        <v>FNCL 6 2025</v>
      </c>
      <c r="D2904" t="str">
        <f>_xll.BDP("FNDD5513 Mtge","CRNCY")</f>
        <v>USD</v>
      </c>
      <c r="E2904">
        <v>46572335</v>
      </c>
      <c r="F2904">
        <f>_xll.BDP("FNDD5513 Mtge","CPN")</f>
        <v>6</v>
      </c>
      <c r="G2904">
        <f>_xll.BDP("FNDD5513 Mtge","MTG_FACTOR")</f>
        <v>0.87247269999999999</v>
      </c>
      <c r="H2904">
        <f>_xll.BDP("FNDD5513 Mtge","MTG_WAL")</f>
        <v>3.2458</v>
      </c>
      <c r="I2904" t="str">
        <f>_xll.BDP("FNDD5513 Mtge","MTG_ORIG_WAL")</f>
        <v>#N/A N/A</v>
      </c>
    </row>
    <row r="2905" spans="1:9" x14ac:dyDescent="0.25">
      <c r="A2905" t="str">
        <f>_xll.BDP("FNDD5514 Mtge","ID_CUSIP")</f>
        <v>3140B6DU6</v>
      </c>
      <c r="B2905" t="str">
        <f>_xll.BDP("FNDD5514 Mtge","SECURITY_NAME")</f>
        <v>FN DD5514</v>
      </c>
      <c r="C2905" t="str">
        <f>_xll.BDP("FNDD5514 Mtge","GENERIC_TICKER_VINTAGE")</f>
        <v>FNCL 6 2025</v>
      </c>
      <c r="D2905" t="str">
        <f>_xll.BDP("FNDD5514 Mtge","CRNCY")</f>
        <v>USD</v>
      </c>
      <c r="E2905">
        <v>9221544</v>
      </c>
      <c r="F2905">
        <f>_xll.BDP("FNDD5514 Mtge","CPN")</f>
        <v>6</v>
      </c>
      <c r="G2905">
        <f>_xll.BDP("FNDD5514 Mtge","MTG_FACTOR")</f>
        <v>0.83515934999999997</v>
      </c>
      <c r="H2905">
        <f>_xll.BDP("FNDD5514 Mtge","MTG_WAL")</f>
        <v>3.2448000000000001</v>
      </c>
      <c r="I2905" t="str">
        <f>_xll.BDP("FNDD5514 Mtge","MTG_ORIG_WAL")</f>
        <v>#N/A N/A</v>
      </c>
    </row>
    <row r="2906" spans="1:9" x14ac:dyDescent="0.25">
      <c r="A2906" t="str">
        <f>_xll.BDP("FNDD5515 Mtge","ID_CUSIP")</f>
        <v>3140B6DV4</v>
      </c>
      <c r="B2906" t="str">
        <f>_xll.BDP("FNDD5515 Mtge","SECURITY_NAME")</f>
        <v>FN DD5515</v>
      </c>
      <c r="C2906" t="str">
        <f>_xll.BDP("FNDD5515 Mtge","GENERIC_TICKER_VINTAGE")</f>
        <v>FNCL 6 2025</v>
      </c>
      <c r="D2906" t="str">
        <f>_xll.BDP("FNDD5515 Mtge","CRNCY")</f>
        <v>USD</v>
      </c>
      <c r="E2906">
        <v>10786279</v>
      </c>
      <c r="F2906">
        <f>_xll.BDP("FNDD5515 Mtge","CPN")</f>
        <v>6</v>
      </c>
      <c r="G2906">
        <f>_xll.BDP("FNDD5515 Mtge","MTG_FACTOR")</f>
        <v>0.85679466999999998</v>
      </c>
      <c r="H2906">
        <f>_xll.BDP("FNDD5515 Mtge","MTG_WAL")</f>
        <v>3.2948</v>
      </c>
      <c r="I2906" t="str">
        <f>_xll.BDP("FNDD5515 Mtge","MTG_ORIG_WAL")</f>
        <v>#N/A N/A</v>
      </c>
    </row>
    <row r="2907" spans="1:9" x14ac:dyDescent="0.25">
      <c r="A2907" t="str">
        <f>_xll.BDP("FNDD5516 Mtge","ID_CUSIP")</f>
        <v>3140B6DW2</v>
      </c>
      <c r="B2907" t="str">
        <f>_xll.BDP("FNDD5516 Mtge","SECURITY_NAME")</f>
        <v>FN DD5516</v>
      </c>
      <c r="C2907" t="str">
        <f>_xll.BDP("FNDD5516 Mtge","GENERIC_TICKER_VINTAGE")</f>
        <v>FNCL 6 2025</v>
      </c>
      <c r="D2907" t="str">
        <f>_xll.BDP("FNDD5516 Mtge","CRNCY")</f>
        <v>USD</v>
      </c>
      <c r="E2907">
        <v>2639795</v>
      </c>
      <c r="F2907">
        <f>_xll.BDP("FNDD5516 Mtge","CPN")</f>
        <v>6</v>
      </c>
      <c r="G2907">
        <f>_xll.BDP("FNDD5516 Mtge","MTG_FACTOR")</f>
        <v>0.87088695999999999</v>
      </c>
      <c r="H2907">
        <f>_xll.BDP("FNDD5516 Mtge","MTG_WAL")</f>
        <v>3.2334999999999998</v>
      </c>
      <c r="I2907" t="str">
        <f>_xll.BDP("FNDD5516 Mtge","MTG_ORIG_WAL")</f>
        <v>#N/A N/A</v>
      </c>
    </row>
    <row r="2908" spans="1:9" x14ac:dyDescent="0.25">
      <c r="A2908" t="str">
        <f>_xll.BDP("FNDD5518 Mtge","ID_CUSIP")</f>
        <v>3140B6DY8</v>
      </c>
      <c r="B2908" t="str">
        <f>_xll.BDP("FNDD5518 Mtge","SECURITY_NAME")</f>
        <v>FN DD5518</v>
      </c>
      <c r="C2908" t="str">
        <f>_xll.BDP("FNDD5518 Mtge","GENERIC_TICKER_VINTAGE")</f>
        <v>FNCL 6 2025</v>
      </c>
      <c r="D2908" t="str">
        <f>_xll.BDP("FNDD5518 Mtge","CRNCY")</f>
        <v>USD</v>
      </c>
      <c r="E2908">
        <v>3075655</v>
      </c>
      <c r="F2908">
        <f>_xll.BDP("FNDD5518 Mtge","CPN")</f>
        <v>6</v>
      </c>
      <c r="G2908">
        <f>_xll.BDP("FNDD5518 Mtge","MTG_FACTOR")</f>
        <v>0.98615357000000003</v>
      </c>
      <c r="H2908">
        <f>_xll.BDP("FNDD5518 Mtge","MTG_WAL")</f>
        <v>3.2888000000000002</v>
      </c>
      <c r="I2908" t="str">
        <f>_xll.BDP("FNDD5518 Mtge","MTG_ORIG_WAL")</f>
        <v>#N/A N/A</v>
      </c>
    </row>
    <row r="2909" spans="1:9" x14ac:dyDescent="0.25">
      <c r="A2909" t="str">
        <f>_xll.BDP("FNDD5524 Mtge","ID_CUSIP")</f>
        <v>3140B6D69</v>
      </c>
      <c r="B2909" t="str">
        <f>_xll.BDP("FNDD5524 Mtge","SECURITY_NAME")</f>
        <v>FN DD5524</v>
      </c>
      <c r="C2909" t="str">
        <f>_xll.BDP("FNDD5524 Mtge","GENERIC_TICKER_VINTAGE")</f>
        <v>FNCL 6 2025</v>
      </c>
      <c r="D2909" t="str">
        <f>_xll.BDP("FNDD5524 Mtge","CRNCY")</f>
        <v>USD</v>
      </c>
      <c r="E2909">
        <v>4973873</v>
      </c>
      <c r="F2909">
        <f>_xll.BDP("FNDD5524 Mtge","CPN")</f>
        <v>6</v>
      </c>
      <c r="G2909">
        <f>_xll.BDP("FNDD5524 Mtge","MTG_FACTOR")</f>
        <v>0.99033243000000004</v>
      </c>
      <c r="H2909">
        <f>_xll.BDP("FNDD5524 Mtge","MTG_WAL")</f>
        <v>3.2951999999999999</v>
      </c>
      <c r="I2909" t="str">
        <f>_xll.BDP("FNDD5524 Mtge","MTG_ORIG_WAL")</f>
        <v>#N/A N/A</v>
      </c>
    </row>
    <row r="2910" spans="1:9" x14ac:dyDescent="0.25">
      <c r="A2910" t="str">
        <f>_xll.BDP("FNDD5526 Mtge","ID_CUSIP")</f>
        <v>3140B6D85</v>
      </c>
      <c r="B2910" t="str">
        <f>_xll.BDP("FNDD5526 Mtge","SECURITY_NAME")</f>
        <v>FN DD5526</v>
      </c>
      <c r="C2910" t="str">
        <f>_xll.BDP("FNDD5526 Mtge","GENERIC_TICKER_VINTAGE")</f>
        <v>FNCL 6 2025</v>
      </c>
      <c r="D2910" t="str">
        <f>_xll.BDP("FNDD5526 Mtge","CRNCY")</f>
        <v>USD</v>
      </c>
      <c r="E2910">
        <v>11267301</v>
      </c>
      <c r="F2910">
        <f>_xll.BDP("FNDD5526 Mtge","CPN")</f>
        <v>6</v>
      </c>
      <c r="G2910">
        <f>_xll.BDP("FNDD5526 Mtge","MTG_FACTOR")</f>
        <v>0.94668697000000002</v>
      </c>
      <c r="H2910">
        <f>_xll.BDP("FNDD5526 Mtge","MTG_WAL")</f>
        <v>3.2921</v>
      </c>
      <c r="I2910" t="str">
        <f>_xll.BDP("FNDD5526 Mtge","MTG_ORIG_WAL")</f>
        <v>#N/A N/A</v>
      </c>
    </row>
    <row r="2911" spans="1:9" x14ac:dyDescent="0.25">
      <c r="A2911" t="str">
        <f>_xll.BDP("FNDD5528 Mtge","ID_CUSIP")</f>
        <v>3140B6EA9</v>
      </c>
      <c r="B2911" t="str">
        <f>_xll.BDP("FNDD5528 Mtge","SECURITY_NAME")</f>
        <v>FN DD5528</v>
      </c>
      <c r="C2911" t="str">
        <f>_xll.BDP("FNDD5528 Mtge","GENERIC_TICKER_VINTAGE")</f>
        <v>FNCL 6 2025</v>
      </c>
      <c r="D2911" t="str">
        <f>_xll.BDP("FNDD5528 Mtge","CRNCY")</f>
        <v>USD</v>
      </c>
      <c r="E2911">
        <v>29872038</v>
      </c>
      <c r="F2911">
        <f>_xll.BDP("FNDD5528 Mtge","CPN")</f>
        <v>6</v>
      </c>
      <c r="G2911">
        <f>_xll.BDP("FNDD5528 Mtge","MTG_FACTOR")</f>
        <v>0.94134580000000001</v>
      </c>
      <c r="H2911">
        <f>_xll.BDP("FNDD5528 Mtge","MTG_WAL")</f>
        <v>3.2877999999999998</v>
      </c>
      <c r="I2911" t="str">
        <f>_xll.BDP("FNDD5528 Mtge","MTG_ORIG_WAL")</f>
        <v>#N/A N/A</v>
      </c>
    </row>
    <row r="2912" spans="1:9" x14ac:dyDescent="0.25">
      <c r="A2912" t="str">
        <f>_xll.BDP("FNDD5530 Mtge","ID_CUSIP")</f>
        <v>3140B6EC5</v>
      </c>
      <c r="B2912" t="str">
        <f>_xll.BDP("FNDD5530 Mtge","SECURITY_NAME")</f>
        <v>FN DD5530</v>
      </c>
      <c r="C2912" t="str">
        <f>_xll.BDP("FNDD5530 Mtge","GENERIC_TICKER_VINTAGE")</f>
        <v>FNCL 6 2025</v>
      </c>
      <c r="D2912" t="str">
        <f>_xll.BDP("FNDD5530 Mtge","CRNCY")</f>
        <v>USD</v>
      </c>
      <c r="E2912">
        <v>16687008</v>
      </c>
      <c r="F2912">
        <f>_xll.BDP("FNDD5530 Mtge","CPN")</f>
        <v>6</v>
      </c>
      <c r="G2912">
        <f>_xll.BDP("FNDD5530 Mtge","MTG_FACTOR")</f>
        <v>0.95357409999999998</v>
      </c>
      <c r="H2912">
        <f>_xll.BDP("FNDD5530 Mtge","MTG_WAL")</f>
        <v>3.2904</v>
      </c>
      <c r="I2912" t="str">
        <f>_xll.BDP("FNDD5530 Mtge","MTG_ORIG_WAL")</f>
        <v>#N/A N/A</v>
      </c>
    </row>
    <row r="2913" spans="1:9" x14ac:dyDescent="0.25">
      <c r="A2913" t="str">
        <f>_xll.BDP("FNDD5535 Mtge","ID_CUSIP")</f>
        <v>3140B6EH4</v>
      </c>
      <c r="B2913" t="str">
        <f>_xll.BDP("FNDD5535 Mtge","SECURITY_NAME")</f>
        <v>FN DD5535</v>
      </c>
      <c r="C2913" t="str">
        <f>_xll.BDP("FNDD5535 Mtge","GENERIC_TICKER_VINTAGE")</f>
        <v>FNCL 6 2025</v>
      </c>
      <c r="D2913" t="str">
        <f>_xll.BDP("FNDD5535 Mtge","CRNCY")</f>
        <v>USD</v>
      </c>
      <c r="E2913">
        <v>27335532</v>
      </c>
      <c r="F2913">
        <f>_xll.BDP("FNDD5535 Mtge","CPN")</f>
        <v>6</v>
      </c>
      <c r="G2913">
        <f>_xll.BDP("FNDD5535 Mtge","MTG_FACTOR")</f>
        <v>0.88085142000000005</v>
      </c>
      <c r="H2913">
        <f>_xll.BDP("FNDD5535 Mtge","MTG_WAL")</f>
        <v>3.2906</v>
      </c>
      <c r="I2913" t="str">
        <f>_xll.BDP("FNDD5535 Mtge","MTG_ORIG_WAL")</f>
        <v>#N/A N/A</v>
      </c>
    </row>
    <row r="2914" spans="1:9" x14ac:dyDescent="0.25">
      <c r="A2914" t="str">
        <f>_xll.BDP("FNDD5540 Mtge","ID_CUSIP")</f>
        <v>3140B6EN1</v>
      </c>
      <c r="B2914" t="str">
        <f>_xll.BDP("FNDD5540 Mtge","SECURITY_NAME")</f>
        <v>FN DD5540</v>
      </c>
      <c r="C2914" t="str">
        <f>_xll.BDP("FNDD5540 Mtge","GENERIC_TICKER_VINTAGE")</f>
        <v>FNCL 6 2025</v>
      </c>
      <c r="D2914" t="str">
        <f>_xll.BDP("FNDD5540 Mtge","CRNCY")</f>
        <v>USD</v>
      </c>
      <c r="E2914">
        <v>8423609</v>
      </c>
      <c r="F2914">
        <f>_xll.BDP("FNDD5540 Mtge","CPN")</f>
        <v>6</v>
      </c>
      <c r="G2914">
        <f>_xll.BDP("FNDD5540 Mtge","MTG_FACTOR")</f>
        <v>0.99130631000000002</v>
      </c>
      <c r="H2914">
        <f>_xll.BDP("FNDD5540 Mtge","MTG_WAL")</f>
        <v>3.2949999999999999</v>
      </c>
      <c r="I2914" t="str">
        <f>_xll.BDP("FNDD5540 Mtge","MTG_ORIG_WAL")</f>
        <v>#N/A N/A</v>
      </c>
    </row>
    <row r="2915" spans="1:9" x14ac:dyDescent="0.25">
      <c r="A2915" t="str">
        <f>_xll.BDP("FNDD5551 Mtge","ID_CUSIP")</f>
        <v>3140B6EZ4</v>
      </c>
      <c r="B2915" t="str">
        <f>_xll.BDP("FNDD5551 Mtge","SECURITY_NAME")</f>
        <v>FN DD5551</v>
      </c>
      <c r="C2915" t="str">
        <f>_xll.BDP("FNDD5551 Mtge","GENERIC_TICKER_VINTAGE")</f>
        <v>FNCL 6 2025</v>
      </c>
      <c r="D2915" t="str">
        <f>_xll.BDP("FNDD5551 Mtge","CRNCY")</f>
        <v>USD</v>
      </c>
      <c r="E2915">
        <v>9549771</v>
      </c>
      <c r="F2915">
        <f>_xll.BDP("FNDD5551 Mtge","CPN")</f>
        <v>6</v>
      </c>
      <c r="G2915">
        <f>_xll.BDP("FNDD5551 Mtge","MTG_FACTOR")</f>
        <v>0.88695692999999998</v>
      </c>
      <c r="H2915">
        <f>_xll.BDP("FNDD5551 Mtge","MTG_WAL")</f>
        <v>3.1966000000000001</v>
      </c>
      <c r="I2915" t="str">
        <f>_xll.BDP("FNDD5551 Mtge","MTG_ORIG_WAL")</f>
        <v>#N/A N/A</v>
      </c>
    </row>
    <row r="2916" spans="1:9" x14ac:dyDescent="0.25">
      <c r="A2916" t="str">
        <f>_xll.BDP("FNDD5552 Mtge","ID_CUSIP")</f>
        <v>3140B6E27</v>
      </c>
      <c r="B2916" t="str">
        <f>_xll.BDP("FNDD5552 Mtge","SECURITY_NAME")</f>
        <v>FN DD5552</v>
      </c>
      <c r="C2916" t="str">
        <f>_xll.BDP("FNDD5552 Mtge","GENERIC_TICKER_VINTAGE")</f>
        <v>FNCL 6 2025</v>
      </c>
      <c r="D2916" t="str">
        <f>_xll.BDP("FNDD5552 Mtge","CRNCY")</f>
        <v>USD</v>
      </c>
      <c r="E2916">
        <v>12492729</v>
      </c>
      <c r="F2916">
        <f>_xll.BDP("FNDD5552 Mtge","CPN")</f>
        <v>6</v>
      </c>
      <c r="G2916">
        <f>_xll.BDP("FNDD5552 Mtge","MTG_FACTOR")</f>
        <v>0.76017990000000002</v>
      </c>
      <c r="H2916">
        <f>_xll.BDP("FNDD5552 Mtge","MTG_WAL")</f>
        <v>3.1966000000000001</v>
      </c>
      <c r="I2916" t="str">
        <f>_xll.BDP("FNDD5552 Mtge","MTG_ORIG_WAL")</f>
        <v>#N/A N/A</v>
      </c>
    </row>
    <row r="2917" spans="1:9" x14ac:dyDescent="0.25">
      <c r="A2917" t="str">
        <f>_xll.BDP("FNDD5553 Mtge","ID_CUSIP")</f>
        <v>3140B6E35</v>
      </c>
      <c r="B2917" t="str">
        <f>_xll.BDP("FNDD5553 Mtge","SECURITY_NAME")</f>
        <v>FN DD5553</v>
      </c>
      <c r="C2917" t="str">
        <f>_xll.BDP("FNDD5553 Mtge","GENERIC_TICKER_VINTAGE")</f>
        <v>FNCL 6 2025</v>
      </c>
      <c r="D2917" t="str">
        <f>_xll.BDP("FNDD5553 Mtge","CRNCY")</f>
        <v>USD</v>
      </c>
      <c r="E2917">
        <v>7561718</v>
      </c>
      <c r="F2917">
        <f>_xll.BDP("FNDD5553 Mtge","CPN")</f>
        <v>6</v>
      </c>
      <c r="G2917">
        <f>_xll.BDP("FNDD5553 Mtge","MTG_FACTOR")</f>
        <v>0.96299142000000004</v>
      </c>
      <c r="H2917">
        <f>_xll.BDP("FNDD5553 Mtge","MTG_WAL")</f>
        <v>3.1532</v>
      </c>
      <c r="I2917" t="str">
        <f>_xll.BDP("FNDD5553 Mtge","MTG_ORIG_WAL")</f>
        <v>#N/A N/A</v>
      </c>
    </row>
    <row r="2918" spans="1:9" x14ac:dyDescent="0.25">
      <c r="A2918" t="str">
        <f>_xll.BDP("FNDD5554 Mtge","ID_CUSIP")</f>
        <v>3140B6E43</v>
      </c>
      <c r="B2918" t="str">
        <f>_xll.BDP("FNDD5554 Mtge","SECURITY_NAME")</f>
        <v>FN DD5554</v>
      </c>
      <c r="C2918" t="str">
        <f>_xll.BDP("FNDD5554 Mtge","GENERIC_TICKER_VINTAGE")</f>
        <v>FNCL 6 2025</v>
      </c>
      <c r="D2918" t="str">
        <f>_xll.BDP("FNDD5554 Mtge","CRNCY")</f>
        <v>USD</v>
      </c>
      <c r="E2918">
        <v>10042545</v>
      </c>
      <c r="F2918">
        <f>_xll.BDP("FNDD5554 Mtge","CPN")</f>
        <v>6</v>
      </c>
      <c r="G2918">
        <f>_xll.BDP("FNDD5554 Mtge","MTG_FACTOR")</f>
        <v>0.89075426999999996</v>
      </c>
      <c r="H2918">
        <f>_xll.BDP("FNDD5554 Mtge","MTG_WAL")</f>
        <v>3.1533000000000002</v>
      </c>
      <c r="I2918" t="str">
        <f>_xll.BDP("FNDD5554 Mtge","MTG_ORIG_WAL")</f>
        <v>#N/A N/A</v>
      </c>
    </row>
    <row r="2919" spans="1:9" x14ac:dyDescent="0.25">
      <c r="A2919" t="str">
        <f>_xll.BDP("FNDD5555 Mtge","ID_CUSIP")</f>
        <v>3140B6E50</v>
      </c>
      <c r="B2919" t="str">
        <f>_xll.BDP("FNDD5555 Mtge","SECURITY_NAME")</f>
        <v>FN DD5555</v>
      </c>
      <c r="C2919" t="str">
        <f>_xll.BDP("FNDD5555 Mtge","GENERIC_TICKER_VINTAGE")</f>
        <v>FNCL 6 2025</v>
      </c>
      <c r="D2919" t="str">
        <f>_xll.BDP("FNDD5555 Mtge","CRNCY")</f>
        <v>USD</v>
      </c>
      <c r="E2919">
        <v>4676113</v>
      </c>
      <c r="F2919">
        <f>_xll.BDP("FNDD5555 Mtge","CPN")</f>
        <v>6</v>
      </c>
      <c r="G2919">
        <f>_xll.BDP("FNDD5555 Mtge","MTG_FACTOR")</f>
        <v>0.79024998000000002</v>
      </c>
      <c r="H2919">
        <f>_xll.BDP("FNDD5555 Mtge","MTG_WAL")</f>
        <v>3.1225000000000001</v>
      </c>
      <c r="I2919" t="str">
        <f>_xll.BDP("FNDD5555 Mtge","MTG_ORIG_WAL")</f>
        <v>#N/A N/A</v>
      </c>
    </row>
    <row r="2920" spans="1:9" x14ac:dyDescent="0.25">
      <c r="A2920" t="str">
        <f>_xll.BDP("FNDD5556 Mtge","ID_CUSIP")</f>
        <v>3140B6E68</v>
      </c>
      <c r="B2920" t="str">
        <f>_xll.BDP("FNDD5556 Mtge","SECURITY_NAME")</f>
        <v>FN DD5556</v>
      </c>
      <c r="C2920" t="str">
        <f>_xll.BDP("FNDD5556 Mtge","GENERIC_TICKER_VINTAGE")</f>
        <v>FNCL 6 2025</v>
      </c>
      <c r="D2920" t="str">
        <f>_xll.BDP("FNDD5556 Mtge","CRNCY")</f>
        <v>USD</v>
      </c>
      <c r="E2920">
        <v>6992845</v>
      </c>
      <c r="F2920">
        <f>_xll.BDP("FNDD5556 Mtge","CPN")</f>
        <v>6</v>
      </c>
      <c r="G2920">
        <f>_xll.BDP("FNDD5556 Mtge","MTG_FACTOR")</f>
        <v>0.76914269999999996</v>
      </c>
      <c r="H2920">
        <f>_xll.BDP("FNDD5556 Mtge","MTG_WAL")</f>
        <v>3.1301999999999999</v>
      </c>
      <c r="I2920" t="str">
        <f>_xll.BDP("FNDD5556 Mtge","MTG_ORIG_WAL")</f>
        <v>#N/A N/A</v>
      </c>
    </row>
    <row r="2921" spans="1:9" x14ac:dyDescent="0.25">
      <c r="A2921" t="str">
        <f>_xll.BDP("FNDD5557 Mtge","ID_CUSIP")</f>
        <v>3140B6E76</v>
      </c>
      <c r="B2921" t="str">
        <f>_xll.BDP("FNDD5557 Mtge","SECURITY_NAME")</f>
        <v>FN DD5557</v>
      </c>
      <c r="C2921" t="str">
        <f>_xll.BDP("FNDD5557 Mtge","GENERIC_TICKER_VINTAGE")</f>
        <v>FNCL 6 2025</v>
      </c>
      <c r="D2921" t="str">
        <f>_xll.BDP("FNDD5557 Mtge","CRNCY")</f>
        <v>USD</v>
      </c>
      <c r="E2921">
        <v>15881418</v>
      </c>
      <c r="F2921">
        <f>_xll.BDP("FNDD5557 Mtge","CPN")</f>
        <v>6</v>
      </c>
      <c r="G2921">
        <f>_xll.BDP("FNDD5557 Mtge","MTG_FACTOR")</f>
        <v>0.76343422999999999</v>
      </c>
      <c r="H2921">
        <f>_xll.BDP("FNDD5557 Mtge","MTG_WAL")</f>
        <v>3.1551</v>
      </c>
      <c r="I2921" t="str">
        <f>_xll.BDP("FNDD5557 Mtge","MTG_ORIG_WAL")</f>
        <v>#N/A N/A</v>
      </c>
    </row>
    <row r="2922" spans="1:9" x14ac:dyDescent="0.25">
      <c r="A2922" t="str">
        <f>_xll.BDP("FNDD5558 Mtge","ID_CUSIP")</f>
        <v>3140B6E84</v>
      </c>
      <c r="B2922" t="str">
        <f>_xll.BDP("FNDD5558 Mtge","SECURITY_NAME")</f>
        <v>FN DD5558</v>
      </c>
      <c r="C2922" t="str">
        <f>_xll.BDP("FNDD5558 Mtge","GENERIC_TICKER_VINTAGE")</f>
        <v>FNCL 6 2025</v>
      </c>
      <c r="D2922" t="str">
        <f>_xll.BDP("FNDD5558 Mtge","CRNCY")</f>
        <v>USD</v>
      </c>
      <c r="E2922">
        <v>13548501</v>
      </c>
      <c r="F2922">
        <f>_xll.BDP("FNDD5558 Mtge","CPN")</f>
        <v>6</v>
      </c>
      <c r="G2922">
        <f>_xll.BDP("FNDD5558 Mtge","MTG_FACTOR")</f>
        <v>0.93322346</v>
      </c>
      <c r="H2922">
        <f>_xll.BDP("FNDD5558 Mtge","MTG_WAL")</f>
        <v>3.1576</v>
      </c>
      <c r="I2922" t="str">
        <f>_xll.BDP("FNDD5558 Mtge","MTG_ORIG_WAL")</f>
        <v>#N/A N/A</v>
      </c>
    </row>
    <row r="2923" spans="1:9" x14ac:dyDescent="0.25">
      <c r="A2923" t="str">
        <f>_xll.BDP("FNDD5561 Mtge","ID_CUSIP")</f>
        <v>3140B6FB6</v>
      </c>
      <c r="B2923" t="str">
        <f>_xll.BDP("FNDD5561 Mtge","SECURITY_NAME")</f>
        <v>FN DD5561</v>
      </c>
      <c r="C2923" t="str">
        <f>_xll.BDP("FNDD5561 Mtge","GENERIC_TICKER_VINTAGE")</f>
        <v>FNCL 6 2025</v>
      </c>
      <c r="D2923" t="str">
        <f>_xll.BDP("FNDD5561 Mtge","CRNCY")</f>
        <v>USD</v>
      </c>
      <c r="E2923">
        <v>1086971</v>
      </c>
      <c r="F2923">
        <f>_xll.BDP("FNDD5561 Mtge","CPN")</f>
        <v>6</v>
      </c>
      <c r="G2923">
        <f>_xll.BDP("FNDD5561 Mtge","MTG_FACTOR")</f>
        <v>0.45516120999999998</v>
      </c>
      <c r="H2923">
        <f>_xll.BDP("FNDD5561 Mtge","MTG_WAL")</f>
        <v>3.2040000000000002</v>
      </c>
      <c r="I2923" t="str">
        <f>_xll.BDP("FNDD5561 Mtge","MTG_ORIG_WAL")</f>
        <v>#N/A N/A</v>
      </c>
    </row>
    <row r="2924" spans="1:9" x14ac:dyDescent="0.25">
      <c r="A2924" t="str">
        <f>_xll.BDP("FNDD5562 Mtge","ID_CUSIP")</f>
        <v>3140B6FC4</v>
      </c>
      <c r="B2924" t="str">
        <f>_xll.BDP("FNDD5562 Mtge","SECURITY_NAME")</f>
        <v>FN DD5562</v>
      </c>
      <c r="C2924" t="str">
        <f>_xll.BDP("FNDD5562 Mtge","GENERIC_TICKER_VINTAGE")</f>
        <v>FNCL 6 2025</v>
      </c>
      <c r="D2924" t="str">
        <f>_xll.BDP("FNDD5562 Mtge","CRNCY")</f>
        <v>USD</v>
      </c>
      <c r="E2924">
        <v>1293364</v>
      </c>
      <c r="F2924">
        <f>_xll.BDP("FNDD5562 Mtge","CPN")</f>
        <v>6</v>
      </c>
      <c r="G2924">
        <f>_xll.BDP("FNDD5562 Mtge","MTG_FACTOR")</f>
        <v>0.70031889999999997</v>
      </c>
      <c r="H2924">
        <f>_xll.BDP("FNDD5562 Mtge","MTG_WAL")</f>
        <v>3.1507999999999998</v>
      </c>
      <c r="I2924" t="str">
        <f>_xll.BDP("FNDD5562 Mtge","MTG_ORIG_WAL")</f>
        <v>#N/A N/A</v>
      </c>
    </row>
    <row r="2925" spans="1:9" x14ac:dyDescent="0.25">
      <c r="A2925" t="str">
        <f>_xll.BDP("FNDD5563 Mtge","ID_CUSIP")</f>
        <v>3140B6FD2</v>
      </c>
      <c r="B2925" t="str">
        <f>_xll.BDP("FNDD5563 Mtge","SECURITY_NAME")</f>
        <v>FN DD5563</v>
      </c>
      <c r="C2925" t="str">
        <f>_xll.BDP("FNDD5563 Mtge","GENERIC_TICKER_VINTAGE")</f>
        <v>FNCL 6 2025</v>
      </c>
      <c r="D2925" t="str">
        <f>_xll.BDP("FNDD5563 Mtge","CRNCY")</f>
        <v>USD</v>
      </c>
      <c r="E2925">
        <v>5486700</v>
      </c>
      <c r="F2925">
        <f>_xll.BDP("FNDD5563 Mtge","CPN")</f>
        <v>6</v>
      </c>
      <c r="G2925">
        <f>_xll.BDP("FNDD5563 Mtge","MTG_FACTOR")</f>
        <v>0.54816323</v>
      </c>
      <c r="H2925">
        <f>_xll.BDP("FNDD5563 Mtge","MTG_WAL")</f>
        <v>3.2031000000000001</v>
      </c>
      <c r="I2925" t="str">
        <f>_xll.BDP("FNDD5563 Mtge","MTG_ORIG_WAL")</f>
        <v>#N/A N/A</v>
      </c>
    </row>
    <row r="2926" spans="1:9" x14ac:dyDescent="0.25">
      <c r="A2926" t="str">
        <f>_xll.BDP("FNDD5659 Mtge","ID_CUSIP")</f>
        <v>3140B6JD8</v>
      </c>
      <c r="B2926" t="str">
        <f>_xll.BDP("FNDD5659 Mtge","SECURITY_NAME")</f>
        <v>FN DD5659</v>
      </c>
      <c r="C2926" t="str">
        <f>_xll.BDP("FNDD5659 Mtge","GENERIC_TICKER_VINTAGE")</f>
        <v>FNCL 6 2025</v>
      </c>
      <c r="D2926" t="str">
        <f>_xll.BDP("FNDD5659 Mtge","CRNCY")</f>
        <v>USD</v>
      </c>
      <c r="E2926">
        <v>3725159</v>
      </c>
      <c r="F2926">
        <f>_xll.BDP("FNDD5659 Mtge","CPN")</f>
        <v>6</v>
      </c>
      <c r="G2926">
        <f>_xll.BDP("FNDD5659 Mtge","MTG_FACTOR")</f>
        <v>0.60827047999999995</v>
      </c>
      <c r="H2926">
        <f>_xll.BDP("FNDD5659 Mtge","MTG_WAL")</f>
        <v>3.2042999999999999</v>
      </c>
      <c r="I2926" t="str">
        <f>_xll.BDP("FNDD5659 Mtge","MTG_ORIG_WAL")</f>
        <v>#N/A N/A</v>
      </c>
    </row>
    <row r="2927" spans="1:9" x14ac:dyDescent="0.25">
      <c r="A2927" t="str">
        <f>_xll.BDP("FNDD5665 Mtge","ID_CUSIP")</f>
        <v>3140B6JK2</v>
      </c>
      <c r="B2927" t="str">
        <f>_xll.BDP("FNDD5665 Mtge","SECURITY_NAME")</f>
        <v>FN DD5665</v>
      </c>
      <c r="C2927" t="str">
        <f>_xll.BDP("FNDD5665 Mtge","GENERIC_TICKER_VINTAGE")</f>
        <v>FNCL 6 2025</v>
      </c>
      <c r="D2927" t="str">
        <f>_xll.BDP("FNDD5665 Mtge","CRNCY")</f>
        <v>USD</v>
      </c>
      <c r="E2927">
        <v>2833240</v>
      </c>
      <c r="F2927">
        <f>_xll.BDP("FNDD5665 Mtge","CPN")</f>
        <v>6</v>
      </c>
      <c r="G2927">
        <f>_xll.BDP("FNDD5665 Mtge","MTG_FACTOR")</f>
        <v>0.72441765000000002</v>
      </c>
      <c r="H2927">
        <f>_xll.BDP("FNDD5665 Mtge","MTG_WAL")</f>
        <v>3.2507999999999999</v>
      </c>
      <c r="I2927" t="str">
        <f>_xll.BDP("FNDD5665 Mtge","MTG_ORIG_WAL")</f>
        <v>#N/A N/A</v>
      </c>
    </row>
    <row r="2928" spans="1:9" x14ac:dyDescent="0.25">
      <c r="A2928" t="str">
        <f>_xll.BDP("FNDD5667 Mtge","ID_CUSIP")</f>
        <v>3140B6JM8</v>
      </c>
      <c r="B2928" t="str">
        <f>_xll.BDP("FNDD5667 Mtge","SECURITY_NAME")</f>
        <v>FN DD5667</v>
      </c>
      <c r="C2928" t="str">
        <f>_xll.BDP("FNDD5667 Mtge","GENERIC_TICKER_VINTAGE")</f>
        <v>FNCL 6 2025</v>
      </c>
      <c r="D2928" t="str">
        <f>_xll.BDP("FNDD5667 Mtge","CRNCY")</f>
        <v>USD</v>
      </c>
      <c r="E2928">
        <v>1037725</v>
      </c>
      <c r="F2928">
        <f>_xll.BDP("FNDD5667 Mtge","CPN")</f>
        <v>6</v>
      </c>
      <c r="G2928">
        <f>_xll.BDP("FNDD5667 Mtge","MTG_FACTOR")</f>
        <v>0.58858122000000002</v>
      </c>
      <c r="H2928">
        <f>_xll.BDP("FNDD5667 Mtge","MTG_WAL")</f>
        <v>3.2464</v>
      </c>
      <c r="I2928" t="str">
        <f>_xll.BDP("FNDD5667 Mtge","MTG_ORIG_WAL")</f>
        <v>#N/A N/A</v>
      </c>
    </row>
    <row r="2929" spans="1:9" x14ac:dyDescent="0.25">
      <c r="A2929" t="str">
        <f>_xll.BDP("FNDD5668 Mtge","ID_CUSIP")</f>
        <v>3140B6JN6</v>
      </c>
      <c r="B2929" t="str">
        <f>_xll.BDP("FNDD5668 Mtge","SECURITY_NAME")</f>
        <v>FN DD5668</v>
      </c>
      <c r="C2929" t="str">
        <f>_xll.BDP("FNDD5668 Mtge","GENERIC_TICKER_VINTAGE")</f>
        <v>FNCL 6 2025</v>
      </c>
      <c r="D2929" t="str">
        <f>_xll.BDP("FNDD5668 Mtge","CRNCY")</f>
        <v>USD</v>
      </c>
      <c r="E2929">
        <v>3200185</v>
      </c>
      <c r="F2929">
        <f>_xll.BDP("FNDD5668 Mtge","CPN")</f>
        <v>6</v>
      </c>
      <c r="G2929">
        <f>_xll.BDP("FNDD5668 Mtge","MTG_FACTOR")</f>
        <v>0.87998387</v>
      </c>
      <c r="H2929">
        <f>_xll.BDP("FNDD5668 Mtge","MTG_WAL")</f>
        <v>3.2374999999999998</v>
      </c>
      <c r="I2929" t="str">
        <f>_xll.BDP("FNDD5668 Mtge","MTG_ORIG_WAL")</f>
        <v>#N/A N/A</v>
      </c>
    </row>
    <row r="2930" spans="1:9" x14ac:dyDescent="0.25">
      <c r="A2930" t="str">
        <f>_xll.BDP("FNDD5669 Mtge","ID_CUSIP")</f>
        <v>3140B6JP1</v>
      </c>
      <c r="B2930" t="str">
        <f>_xll.BDP("FNDD5669 Mtge","SECURITY_NAME")</f>
        <v>FN DD5669</v>
      </c>
      <c r="C2930" t="str">
        <f>_xll.BDP("FNDD5669 Mtge","GENERIC_TICKER_VINTAGE")</f>
        <v>FNCL 6 2025</v>
      </c>
      <c r="D2930" t="str">
        <f>_xll.BDP("FNDD5669 Mtge","CRNCY")</f>
        <v>USD</v>
      </c>
      <c r="E2930">
        <v>2819076</v>
      </c>
      <c r="F2930">
        <f>_xll.BDP("FNDD5669 Mtge","CPN")</f>
        <v>6</v>
      </c>
      <c r="G2930">
        <f>_xll.BDP("FNDD5669 Mtge","MTG_FACTOR")</f>
        <v>0.87960769999999999</v>
      </c>
      <c r="H2930">
        <f>_xll.BDP("FNDD5669 Mtge","MTG_WAL")</f>
        <v>3.2519999999999998</v>
      </c>
      <c r="I2930" t="str">
        <f>_xll.BDP("FNDD5669 Mtge","MTG_ORIG_WAL")</f>
        <v>#N/A N/A</v>
      </c>
    </row>
    <row r="2931" spans="1:9" x14ac:dyDescent="0.25">
      <c r="A2931" t="str">
        <f>_xll.BDP("FNDD5685 Mtge","ID_CUSIP")</f>
        <v>3140B6J71</v>
      </c>
      <c r="B2931" t="str">
        <f>_xll.BDP("FNDD5685 Mtge","SECURITY_NAME")</f>
        <v>FN DD5685</v>
      </c>
      <c r="C2931" t="str">
        <f>_xll.BDP("FNDD5685 Mtge","GENERIC_TICKER_VINTAGE")</f>
        <v>FNCL 6 2025</v>
      </c>
      <c r="D2931" t="str">
        <f>_xll.BDP("FNDD5685 Mtge","CRNCY")</f>
        <v>USD</v>
      </c>
      <c r="E2931">
        <v>1434300</v>
      </c>
      <c r="F2931">
        <f>_xll.BDP("FNDD5685 Mtge","CPN")</f>
        <v>6</v>
      </c>
      <c r="G2931">
        <f>_xll.BDP("FNDD5685 Mtge","MTG_FACTOR")</f>
        <v>0.98014382</v>
      </c>
      <c r="H2931">
        <f>_xll.BDP("FNDD5685 Mtge","MTG_WAL")</f>
        <v>3.2204999999999999</v>
      </c>
      <c r="I2931" t="str">
        <f>_xll.BDP("FNDD5685 Mtge","MTG_ORIG_WAL")</f>
        <v>#N/A N/A</v>
      </c>
    </row>
    <row r="2932" spans="1:9" x14ac:dyDescent="0.25">
      <c r="A2932" t="str">
        <f>_xll.BDP("FNDD5686 Mtge","ID_CUSIP")</f>
        <v>3140B6J89</v>
      </c>
      <c r="B2932" t="str">
        <f>_xll.BDP("FNDD5686 Mtge","SECURITY_NAME")</f>
        <v>FN DD5686</v>
      </c>
      <c r="C2932" t="str">
        <f>_xll.BDP("FNDD5686 Mtge","GENERIC_TICKER_VINTAGE")</f>
        <v>FNCL 6 2025</v>
      </c>
      <c r="D2932" t="str">
        <f>_xll.BDP("FNDD5686 Mtge","CRNCY")</f>
        <v>USD</v>
      </c>
      <c r="E2932">
        <v>1581824</v>
      </c>
      <c r="F2932">
        <f>_xll.BDP("FNDD5686 Mtge","CPN")</f>
        <v>6</v>
      </c>
      <c r="G2932">
        <f>_xll.BDP("FNDD5686 Mtge","MTG_FACTOR")</f>
        <v>0.97601563999999996</v>
      </c>
      <c r="H2932">
        <f>_xll.BDP("FNDD5686 Mtge","MTG_WAL")</f>
        <v>3.2153999999999998</v>
      </c>
      <c r="I2932" t="str">
        <f>_xll.BDP("FNDD5686 Mtge","MTG_ORIG_WAL")</f>
        <v>#N/A N/A</v>
      </c>
    </row>
    <row r="2933" spans="1:9" x14ac:dyDescent="0.25">
      <c r="A2933" t="str">
        <f>_xll.BDP("FNDD5687 Mtge","ID_CUSIP")</f>
        <v>3140B6J97</v>
      </c>
      <c r="B2933" t="str">
        <f>_xll.BDP("FNDD5687 Mtge","SECURITY_NAME")</f>
        <v>FN DD5687</v>
      </c>
      <c r="C2933" t="str">
        <f>_xll.BDP("FNDD5687 Mtge","GENERIC_TICKER_VINTAGE")</f>
        <v>FNCL 6 2025</v>
      </c>
      <c r="D2933" t="str">
        <f>_xll.BDP("FNDD5687 Mtge","CRNCY")</f>
        <v>USD</v>
      </c>
      <c r="E2933">
        <v>1387273</v>
      </c>
      <c r="F2933">
        <f>_xll.BDP("FNDD5687 Mtge","CPN")</f>
        <v>6</v>
      </c>
      <c r="G2933">
        <f>_xll.BDP("FNDD5687 Mtge","MTG_FACTOR")</f>
        <v>0.98661796999999996</v>
      </c>
      <c r="H2933">
        <f>_xll.BDP("FNDD5687 Mtge","MTG_WAL")</f>
        <v>3.2465000000000002</v>
      </c>
      <c r="I2933" t="str">
        <f>_xll.BDP("FNDD5687 Mtge","MTG_ORIG_WAL")</f>
        <v>#N/A N/A</v>
      </c>
    </row>
    <row r="2934" spans="1:9" x14ac:dyDescent="0.25">
      <c r="A2934" t="str">
        <f>_xll.BDP("FNDD5691 Mtge","ID_CUSIP")</f>
        <v>3140B6KD6</v>
      </c>
      <c r="B2934" t="str">
        <f>_xll.BDP("FNDD5691 Mtge","SECURITY_NAME")</f>
        <v>FN DD5691</v>
      </c>
      <c r="C2934" t="str">
        <f>_xll.BDP("FNDD5691 Mtge","GENERIC_TICKER_VINTAGE")</f>
        <v>FNCL 6 2025</v>
      </c>
      <c r="D2934" t="str">
        <f>_xll.BDP("FNDD5691 Mtge","CRNCY")</f>
        <v>USD</v>
      </c>
      <c r="E2934">
        <v>2764695</v>
      </c>
      <c r="F2934">
        <f>_xll.BDP("FNDD5691 Mtge","CPN")</f>
        <v>6</v>
      </c>
      <c r="G2934">
        <f>_xll.BDP("FNDD5691 Mtge","MTG_FACTOR")</f>
        <v>0.99148661999999999</v>
      </c>
      <c r="H2934">
        <f>_xll.BDP("FNDD5691 Mtge","MTG_WAL")</f>
        <v>3.298</v>
      </c>
      <c r="I2934" t="str">
        <f>_xll.BDP("FNDD5691 Mtge","MTG_ORIG_WAL")</f>
        <v>#N/A N/A</v>
      </c>
    </row>
    <row r="2935" spans="1:9" x14ac:dyDescent="0.25">
      <c r="A2935" t="str">
        <f>_xll.BDP("FNDD5700 Mtge","ID_CUSIP")</f>
        <v>3140B6KN4</v>
      </c>
      <c r="B2935" t="str">
        <f>_xll.BDP("FNDD5700 Mtge","SECURITY_NAME")</f>
        <v>FN DD5700</v>
      </c>
      <c r="C2935" t="str">
        <f>_xll.BDP("FNDD5700 Mtge","GENERIC_TICKER_VINTAGE")</f>
        <v>FNCL 6 2025</v>
      </c>
      <c r="D2935" t="str">
        <f>_xll.BDP("FNDD5700 Mtge","CRNCY")</f>
        <v>USD</v>
      </c>
      <c r="E2935">
        <v>1842350</v>
      </c>
      <c r="F2935">
        <f>_xll.BDP("FNDD5700 Mtge","CPN")</f>
        <v>6</v>
      </c>
      <c r="G2935">
        <f>_xll.BDP("FNDD5700 Mtge","MTG_FACTOR")</f>
        <v>0.86103669999999999</v>
      </c>
      <c r="H2935">
        <f>_xll.BDP("FNDD5700 Mtge","MTG_WAL")</f>
        <v>3.2429000000000001</v>
      </c>
      <c r="I2935" t="str">
        <f>_xll.BDP("FNDD5700 Mtge","MTG_ORIG_WAL")</f>
        <v>#N/A N/A</v>
      </c>
    </row>
    <row r="2936" spans="1:9" x14ac:dyDescent="0.25">
      <c r="A2936" t="str">
        <f>_xll.BDP("FNDD5701 Mtge","ID_CUSIP")</f>
        <v>3140B6KP9</v>
      </c>
      <c r="B2936" t="str">
        <f>_xll.BDP("FNDD5701 Mtge","SECURITY_NAME")</f>
        <v>FN DD5701</v>
      </c>
      <c r="C2936" t="str">
        <f>_xll.BDP("FNDD5701 Mtge","GENERIC_TICKER_VINTAGE")</f>
        <v>FNCL 6 2025</v>
      </c>
      <c r="D2936" t="str">
        <f>_xll.BDP("FNDD5701 Mtge","CRNCY")</f>
        <v>USD</v>
      </c>
      <c r="E2936">
        <v>1158247</v>
      </c>
      <c r="F2936">
        <f>_xll.BDP("FNDD5701 Mtge","CPN")</f>
        <v>6</v>
      </c>
      <c r="G2936">
        <f>_xll.BDP("FNDD5701 Mtge","MTG_FACTOR")</f>
        <v>0.76120681000000001</v>
      </c>
      <c r="H2936">
        <f>_xll.BDP("FNDD5701 Mtge","MTG_WAL")</f>
        <v>3.2909000000000002</v>
      </c>
      <c r="I2936" t="str">
        <f>_xll.BDP("FNDD5701 Mtge","MTG_ORIG_WAL")</f>
        <v>#N/A N/A</v>
      </c>
    </row>
    <row r="2937" spans="1:9" x14ac:dyDescent="0.25">
      <c r="A2937" t="str">
        <f>_xll.BDP("FNDD5702 Mtge","ID_CUSIP")</f>
        <v>3140B6KQ7</v>
      </c>
      <c r="B2937" t="str">
        <f>_xll.BDP("FNDD5702 Mtge","SECURITY_NAME")</f>
        <v>FN DD5702</v>
      </c>
      <c r="C2937" t="str">
        <f>_xll.BDP("FNDD5702 Mtge","GENERIC_TICKER_VINTAGE")</f>
        <v>FNCL 6 2025</v>
      </c>
      <c r="D2937" t="str">
        <f>_xll.BDP("FNDD5702 Mtge","CRNCY")</f>
        <v>USD</v>
      </c>
      <c r="E2937">
        <v>1012296</v>
      </c>
      <c r="F2937">
        <f>_xll.BDP("FNDD5702 Mtge","CPN")</f>
        <v>6</v>
      </c>
      <c r="G2937">
        <f>_xll.BDP("FNDD5702 Mtge","MTG_FACTOR")</f>
        <v>0.98790602000000005</v>
      </c>
      <c r="H2937">
        <f>_xll.BDP("FNDD5702 Mtge","MTG_WAL")</f>
        <v>3.2690999999999999</v>
      </c>
      <c r="I2937" t="str">
        <f>_xll.BDP("FNDD5702 Mtge","MTG_ORIG_WAL")</f>
        <v>#N/A N/A</v>
      </c>
    </row>
    <row r="2938" spans="1:9" x14ac:dyDescent="0.25">
      <c r="A2938" t="str">
        <f>_xll.BDP("FNDD5703 Mtge","ID_CUSIP")</f>
        <v>3140B6KR5</v>
      </c>
      <c r="B2938" t="str">
        <f>_xll.BDP("FNDD5703 Mtge","SECURITY_NAME")</f>
        <v>FN DD5703</v>
      </c>
      <c r="C2938" t="str">
        <f>_xll.BDP("FNDD5703 Mtge","GENERIC_TICKER_VINTAGE")</f>
        <v>FNCL 6 2025</v>
      </c>
      <c r="D2938" t="str">
        <f>_xll.BDP("FNDD5703 Mtge","CRNCY")</f>
        <v>USD</v>
      </c>
      <c r="E2938">
        <v>1275997</v>
      </c>
      <c r="F2938">
        <f>_xll.BDP("FNDD5703 Mtge","CPN")</f>
        <v>6</v>
      </c>
      <c r="G2938">
        <f>_xll.BDP("FNDD5703 Mtge","MTG_FACTOR")</f>
        <v>0.87881529999999997</v>
      </c>
      <c r="H2938">
        <f>_xll.BDP("FNDD5703 Mtge","MTG_WAL")</f>
        <v>3.2645</v>
      </c>
      <c r="I2938" t="str">
        <f>_xll.BDP("FNDD5703 Mtge","MTG_ORIG_WAL")</f>
        <v>#N/A N/A</v>
      </c>
    </row>
    <row r="2939" spans="1:9" x14ac:dyDescent="0.25">
      <c r="A2939" t="str">
        <f>_xll.BDP("FNDD5714 Mtge","ID_CUSIP")</f>
        <v>3140B6K46</v>
      </c>
      <c r="B2939" t="str">
        <f>_xll.BDP("FNDD5714 Mtge","SECURITY_NAME")</f>
        <v>FN DD5714</v>
      </c>
      <c r="C2939" t="str">
        <f>_xll.BDP("FNDD5714 Mtge","GENERIC_TICKER_VINTAGE")</f>
        <v>FNCL 6 2025</v>
      </c>
      <c r="D2939" t="str">
        <f>_xll.BDP("FNDD5714 Mtge","CRNCY")</f>
        <v>USD</v>
      </c>
      <c r="E2939">
        <v>1649405</v>
      </c>
      <c r="F2939">
        <f>_xll.BDP("FNDD5714 Mtge","CPN")</f>
        <v>6</v>
      </c>
      <c r="G2939">
        <f>_xll.BDP("FNDD5714 Mtge","MTG_FACTOR")</f>
        <v>0.99057088999999998</v>
      </c>
      <c r="H2939">
        <f>_xll.BDP("FNDD5714 Mtge","MTG_WAL")</f>
        <v>3.2972000000000001</v>
      </c>
      <c r="I2939" t="str">
        <f>_xll.BDP("FNDD5714 Mtge","MTG_ORIG_WAL")</f>
        <v>#N/A N/A</v>
      </c>
    </row>
    <row r="2940" spans="1:9" x14ac:dyDescent="0.25">
      <c r="A2940" t="str">
        <f>_xll.BDP("FNDD5732 Mtge","ID_CUSIP")</f>
        <v>3140B6LN3</v>
      </c>
      <c r="B2940" t="str">
        <f>_xll.BDP("FNDD5732 Mtge","SECURITY_NAME")</f>
        <v>FN DD5732</v>
      </c>
      <c r="C2940" t="str">
        <f>_xll.BDP("FNDD5732 Mtge","GENERIC_TICKER_VINTAGE")</f>
        <v>FNCL 6 2025</v>
      </c>
      <c r="D2940" t="str">
        <f>_xll.BDP("FNDD5732 Mtge","CRNCY")</f>
        <v>USD</v>
      </c>
      <c r="E2940">
        <v>1092339</v>
      </c>
      <c r="F2940">
        <f>_xll.BDP("FNDD5732 Mtge","CPN")</f>
        <v>6</v>
      </c>
      <c r="G2940">
        <f>_xll.BDP("FNDD5732 Mtge","MTG_FACTOR")</f>
        <v>0.99072895000000005</v>
      </c>
      <c r="H2940">
        <f>_xll.BDP("FNDD5732 Mtge","MTG_WAL")</f>
        <v>3.3443999999999998</v>
      </c>
      <c r="I2940" t="str">
        <f>_xll.BDP("FNDD5732 Mtge","MTG_ORIG_WAL")</f>
        <v>#N/A N/A</v>
      </c>
    </row>
    <row r="2941" spans="1:9" x14ac:dyDescent="0.25">
      <c r="A2941" t="str">
        <f>_xll.BDP("FNDD5738 Mtge","ID_CUSIP")</f>
        <v>3140B6LU7</v>
      </c>
      <c r="B2941" t="str">
        <f>_xll.BDP("FNDD5738 Mtge","SECURITY_NAME")</f>
        <v>FN DD5738</v>
      </c>
      <c r="C2941" t="str">
        <f>_xll.BDP("FNDD5738 Mtge","GENERIC_TICKER_VINTAGE")</f>
        <v>FNCL 6 2025</v>
      </c>
      <c r="D2941" t="str">
        <f>_xll.BDP("FNDD5738 Mtge","CRNCY")</f>
        <v>USD</v>
      </c>
      <c r="E2941">
        <v>1067590</v>
      </c>
      <c r="F2941">
        <f>_xll.BDP("FNDD5738 Mtge","CPN")</f>
        <v>6</v>
      </c>
      <c r="G2941">
        <f>_xll.BDP("FNDD5738 Mtge","MTG_FACTOR")</f>
        <v>0.98975659999999999</v>
      </c>
      <c r="H2941">
        <f>_xll.BDP("FNDD5738 Mtge","MTG_WAL")</f>
        <v>3.3435999999999999</v>
      </c>
      <c r="I2941" t="str">
        <f>_xll.BDP("FNDD5738 Mtge","MTG_ORIG_WAL")</f>
        <v>#N/A N/A</v>
      </c>
    </row>
    <row r="2942" spans="1:9" x14ac:dyDescent="0.25">
      <c r="A2942" t="str">
        <f>_xll.BDP("FNDD5765 Mtge","ID_CUSIP")</f>
        <v>3140B6MP7</v>
      </c>
      <c r="B2942" t="str">
        <f>_xll.BDP("FNDD5765 Mtge","SECURITY_NAME")</f>
        <v>FN DD5765</v>
      </c>
      <c r="C2942" t="str">
        <f>_xll.BDP("FNDD5765 Mtge","GENERIC_TICKER_VINTAGE")</f>
        <v>FNCL 6 2025</v>
      </c>
      <c r="D2942" t="str">
        <f>_xll.BDP("FNDD5765 Mtge","CRNCY")</f>
        <v>USD</v>
      </c>
      <c r="E2942">
        <v>9255665</v>
      </c>
      <c r="F2942">
        <f>_xll.BDP("FNDD5765 Mtge","CPN")</f>
        <v>6</v>
      </c>
      <c r="G2942">
        <f>_xll.BDP("FNDD5765 Mtge","MTG_FACTOR")</f>
        <v>0.72359998999999997</v>
      </c>
      <c r="H2942">
        <f>_xll.BDP("FNDD5765 Mtge","MTG_WAL")</f>
        <v>3.2052</v>
      </c>
      <c r="I2942" t="str">
        <f>_xll.BDP("FNDD5765 Mtge","MTG_ORIG_WAL")</f>
        <v>#N/A N/A</v>
      </c>
    </row>
    <row r="2943" spans="1:9" x14ac:dyDescent="0.25">
      <c r="A2943" t="str">
        <f>_xll.BDP("FNDD5768 Mtge","ID_CUSIP")</f>
        <v>3140B6MS1</v>
      </c>
      <c r="B2943" t="str">
        <f>_xll.BDP("FNDD5768 Mtge","SECURITY_NAME")</f>
        <v>FN DD5768</v>
      </c>
      <c r="C2943" t="str">
        <f>_xll.BDP("FNDD5768 Mtge","GENERIC_TICKER_VINTAGE")</f>
        <v>FNCL 6 2025</v>
      </c>
      <c r="D2943" t="str">
        <f>_xll.BDP("FNDD5768 Mtge","CRNCY")</f>
        <v>USD</v>
      </c>
      <c r="E2943">
        <v>2313767</v>
      </c>
      <c r="F2943">
        <f>_xll.BDP("FNDD5768 Mtge","CPN")</f>
        <v>6</v>
      </c>
      <c r="G2943">
        <f>_xll.BDP("FNDD5768 Mtge","MTG_FACTOR")</f>
        <v>0.86292963</v>
      </c>
      <c r="H2943">
        <f>_xll.BDP("FNDD5768 Mtge","MTG_WAL")</f>
        <v>3.2050999999999998</v>
      </c>
      <c r="I2943" t="str">
        <f>_xll.BDP("FNDD5768 Mtge","MTG_ORIG_WAL")</f>
        <v>#N/A N/A</v>
      </c>
    </row>
    <row r="2944" spans="1:9" x14ac:dyDescent="0.25">
      <c r="A2944" t="str">
        <f>_xll.BDP("FNDD5778 Mtge","ID_CUSIP")</f>
        <v>3140B6M44</v>
      </c>
      <c r="B2944" t="str">
        <f>_xll.BDP("FNDD5778 Mtge","SECURITY_NAME")</f>
        <v>FN DD5778</v>
      </c>
      <c r="C2944" t="str">
        <f>_xll.BDP("FNDD5778 Mtge","GENERIC_TICKER_VINTAGE")</f>
        <v>FNCL 6 2025</v>
      </c>
      <c r="D2944" t="str">
        <f>_xll.BDP("FNDD5778 Mtge","CRNCY")</f>
        <v>USD</v>
      </c>
      <c r="E2944">
        <v>1193400</v>
      </c>
      <c r="F2944">
        <f>_xll.BDP("FNDD5778 Mtge","CPN")</f>
        <v>6</v>
      </c>
      <c r="G2944">
        <f>_xll.BDP("FNDD5778 Mtge","MTG_FACTOR")</f>
        <v>0.98844082</v>
      </c>
      <c r="H2944">
        <f>_xll.BDP("FNDD5778 Mtge","MTG_WAL")</f>
        <v>3.2037</v>
      </c>
      <c r="I2944" t="str">
        <f>_xll.BDP("FNDD5778 Mtge","MTG_ORIG_WAL")</f>
        <v>#N/A N/A</v>
      </c>
    </row>
    <row r="2945" spans="1:9" x14ac:dyDescent="0.25">
      <c r="A2945" t="str">
        <f>_xll.BDP("FNDD5783 Mtge","ID_CUSIP")</f>
        <v>3140B6M93</v>
      </c>
      <c r="B2945" t="str">
        <f>_xll.BDP("FNDD5783 Mtge","SECURITY_NAME")</f>
        <v>FN DD5783</v>
      </c>
      <c r="C2945" t="str">
        <f>_xll.BDP("FNDD5783 Mtge","GENERIC_TICKER_VINTAGE")</f>
        <v>FNCL 6 2025</v>
      </c>
      <c r="D2945" t="str">
        <f>_xll.BDP("FNDD5783 Mtge","CRNCY")</f>
        <v>USD</v>
      </c>
      <c r="E2945">
        <v>1693400</v>
      </c>
      <c r="F2945">
        <f>_xll.BDP("FNDD5783 Mtge","CPN")</f>
        <v>6</v>
      </c>
      <c r="G2945">
        <f>_xll.BDP("FNDD5783 Mtge","MTG_FACTOR")</f>
        <v>0.98979353000000003</v>
      </c>
      <c r="H2945">
        <f>_xll.BDP("FNDD5783 Mtge","MTG_WAL")</f>
        <v>3.2065000000000001</v>
      </c>
      <c r="I2945" t="str">
        <f>_xll.BDP("FNDD5783 Mtge","MTG_ORIG_WAL")</f>
        <v>#N/A N/A</v>
      </c>
    </row>
    <row r="2946" spans="1:9" x14ac:dyDescent="0.25">
      <c r="A2946" t="str">
        <f>_xll.BDP("FNDD5784 Mtge","ID_CUSIP")</f>
        <v>3140B6NA9</v>
      </c>
      <c r="B2946" t="str">
        <f>_xll.BDP("FNDD5784 Mtge","SECURITY_NAME")</f>
        <v>FN DD5784</v>
      </c>
      <c r="C2946" t="str">
        <f>_xll.BDP("FNDD5784 Mtge","GENERIC_TICKER_VINTAGE")</f>
        <v>FNCL 6 2025</v>
      </c>
      <c r="D2946" t="str">
        <f>_xll.BDP("FNDD5784 Mtge","CRNCY")</f>
        <v>USD</v>
      </c>
      <c r="E2946">
        <v>3435848</v>
      </c>
      <c r="F2946">
        <f>_xll.BDP("FNDD5784 Mtge","CPN")</f>
        <v>6</v>
      </c>
      <c r="G2946">
        <f>_xll.BDP("FNDD5784 Mtge","MTG_FACTOR")</f>
        <v>0.83379418000000005</v>
      </c>
      <c r="H2946">
        <f>_xll.BDP("FNDD5784 Mtge","MTG_WAL")</f>
        <v>3.2018</v>
      </c>
      <c r="I2946" t="str">
        <f>_xll.BDP("FNDD5784 Mtge","MTG_ORIG_WAL")</f>
        <v>#N/A N/A</v>
      </c>
    </row>
    <row r="2947" spans="1:9" x14ac:dyDescent="0.25">
      <c r="A2947" t="str">
        <f>_xll.BDP("FNDD5787 Mtge","ID_CUSIP")</f>
        <v>3140B6ND3</v>
      </c>
      <c r="B2947" t="str">
        <f>_xll.BDP("FNDD5787 Mtge","SECURITY_NAME")</f>
        <v>FN DD5787</v>
      </c>
      <c r="C2947" t="str">
        <f>_xll.BDP("FNDD5787 Mtge","GENERIC_TICKER_VINTAGE")</f>
        <v>FNCL 6 2025</v>
      </c>
      <c r="D2947" t="str">
        <f>_xll.BDP("FNDD5787 Mtge","CRNCY")</f>
        <v>USD</v>
      </c>
      <c r="E2947">
        <v>2323003</v>
      </c>
      <c r="F2947">
        <f>_xll.BDP("FNDD5787 Mtge","CPN")</f>
        <v>6</v>
      </c>
      <c r="G2947">
        <f>_xll.BDP("FNDD5787 Mtge","MTG_FACTOR")</f>
        <v>0.78450423000000002</v>
      </c>
      <c r="H2947">
        <f>_xll.BDP("FNDD5787 Mtge","MTG_WAL")</f>
        <v>3.2040999999999999</v>
      </c>
      <c r="I2947" t="str">
        <f>_xll.BDP("FNDD5787 Mtge","MTG_ORIG_WAL")</f>
        <v>#N/A N/A</v>
      </c>
    </row>
    <row r="2948" spans="1:9" x14ac:dyDescent="0.25">
      <c r="A2948" t="str">
        <f>_xll.BDP("FNDD5788 Mtge","ID_CUSIP")</f>
        <v>3140B6NE1</v>
      </c>
      <c r="B2948" t="str">
        <f>_xll.BDP("FNDD5788 Mtge","SECURITY_NAME")</f>
        <v>FN DD5788</v>
      </c>
      <c r="C2948" t="str">
        <f>_xll.BDP("FNDD5788 Mtge","GENERIC_TICKER_VINTAGE")</f>
        <v>FNCL 6 2025</v>
      </c>
      <c r="D2948" t="str">
        <f>_xll.BDP("FNDD5788 Mtge","CRNCY")</f>
        <v>USD</v>
      </c>
      <c r="E2948">
        <v>2102700</v>
      </c>
      <c r="F2948">
        <f>_xll.BDP("FNDD5788 Mtge","CPN")</f>
        <v>6</v>
      </c>
      <c r="G2948">
        <f>_xll.BDP("FNDD5788 Mtge","MTG_FACTOR")</f>
        <v>0.98296941999999998</v>
      </c>
      <c r="H2948">
        <f>_xll.BDP("FNDD5788 Mtge","MTG_WAL")</f>
        <v>3.1983000000000001</v>
      </c>
      <c r="I2948" t="str">
        <f>_xll.BDP("FNDD5788 Mtge","MTG_ORIG_WAL")</f>
        <v>#N/A N/A</v>
      </c>
    </row>
    <row r="2949" spans="1:9" x14ac:dyDescent="0.25">
      <c r="A2949" t="str">
        <f>_xll.BDP("FNDD5790 Mtge","ID_CUSIP")</f>
        <v>3140B6NG6</v>
      </c>
      <c r="B2949" t="str">
        <f>_xll.BDP("FNDD5790 Mtge","SECURITY_NAME")</f>
        <v>FN DD5790</v>
      </c>
      <c r="C2949" t="str">
        <f>_xll.BDP("FNDD5790 Mtge","GENERIC_TICKER_VINTAGE")</f>
        <v>FNCL 6 2025</v>
      </c>
      <c r="D2949" t="str">
        <f>_xll.BDP("FNDD5790 Mtge","CRNCY")</f>
        <v>USD</v>
      </c>
      <c r="E2949">
        <v>1562899</v>
      </c>
      <c r="F2949">
        <f>_xll.BDP("FNDD5790 Mtge","CPN")</f>
        <v>6</v>
      </c>
      <c r="G2949">
        <f>_xll.BDP("FNDD5790 Mtge","MTG_FACTOR")</f>
        <v>0.98990208000000002</v>
      </c>
      <c r="H2949">
        <f>_xll.BDP("FNDD5790 Mtge","MTG_WAL")</f>
        <v>3.2048000000000001</v>
      </c>
      <c r="I2949" t="str">
        <f>_xll.BDP("FNDD5790 Mtge","MTG_ORIG_WAL")</f>
        <v>#N/A N/A</v>
      </c>
    </row>
    <row r="2950" spans="1:9" x14ac:dyDescent="0.25">
      <c r="A2950" t="str">
        <f>_xll.BDP("FNDD5815 Mtge","ID_CUSIP")</f>
        <v>3140B6N92</v>
      </c>
      <c r="B2950" t="str">
        <f>_xll.BDP("FNDD5815 Mtge","SECURITY_NAME")</f>
        <v>FN DD5815</v>
      </c>
      <c r="C2950" t="str">
        <f>_xll.BDP("FNDD5815 Mtge","GENERIC_TICKER_VINTAGE")</f>
        <v>FNCL 6 2025</v>
      </c>
      <c r="D2950" t="str">
        <f>_xll.BDP("FNDD5815 Mtge","CRNCY")</f>
        <v>USD</v>
      </c>
      <c r="E2950">
        <v>7347930</v>
      </c>
      <c r="F2950">
        <f>_xll.BDP("FNDD5815 Mtge","CPN")</f>
        <v>6</v>
      </c>
      <c r="G2950">
        <f>_xll.BDP("FNDD5815 Mtge","MTG_FACTOR")</f>
        <v>0.72001506000000004</v>
      </c>
      <c r="H2950">
        <f>_xll.BDP("FNDD5815 Mtge","MTG_WAL")</f>
        <v>3.2505000000000002</v>
      </c>
      <c r="I2950" t="str">
        <f>_xll.BDP("FNDD5815 Mtge","MTG_ORIG_WAL")</f>
        <v>#N/A N/A</v>
      </c>
    </row>
    <row r="2951" spans="1:9" x14ac:dyDescent="0.25">
      <c r="A2951" t="str">
        <f>_xll.BDP("FNDD5816 Mtge","ID_CUSIP")</f>
        <v>3140B6PA7</v>
      </c>
      <c r="B2951" t="str">
        <f>_xll.BDP("FNDD5816 Mtge","SECURITY_NAME")</f>
        <v>FN DD5816</v>
      </c>
      <c r="C2951" t="str">
        <f>_xll.BDP("FNDD5816 Mtge","GENERIC_TICKER_VINTAGE")</f>
        <v>FNCL 6 2025</v>
      </c>
      <c r="D2951" t="str">
        <f>_xll.BDP("FNDD5816 Mtge","CRNCY")</f>
        <v>USD</v>
      </c>
      <c r="E2951">
        <v>1560537</v>
      </c>
      <c r="F2951">
        <f>_xll.BDP("FNDD5816 Mtge","CPN")</f>
        <v>6</v>
      </c>
      <c r="G2951">
        <f>_xll.BDP("FNDD5816 Mtge","MTG_FACTOR")</f>
        <v>0.83208557999999999</v>
      </c>
      <c r="H2951">
        <f>_xll.BDP("FNDD5816 Mtge","MTG_WAL")</f>
        <v>3.2246999999999999</v>
      </c>
      <c r="I2951" t="str">
        <f>_xll.BDP("FNDD5816 Mtge","MTG_ORIG_WAL")</f>
        <v>#N/A N/A</v>
      </c>
    </row>
    <row r="2952" spans="1:9" x14ac:dyDescent="0.25">
      <c r="A2952" t="str">
        <f>_xll.BDP("FNDD5817 Mtge","ID_CUSIP")</f>
        <v>3140B6PB5</v>
      </c>
      <c r="B2952" t="str">
        <f>_xll.BDP("FNDD5817 Mtge","SECURITY_NAME")</f>
        <v>FN DD5817</v>
      </c>
      <c r="C2952" t="str">
        <f>_xll.BDP("FNDD5817 Mtge","GENERIC_TICKER_VINTAGE")</f>
        <v>FNCL 6 2025</v>
      </c>
      <c r="D2952" t="str">
        <f>_xll.BDP("FNDD5817 Mtge","CRNCY")</f>
        <v>USD</v>
      </c>
      <c r="E2952">
        <v>2368043</v>
      </c>
      <c r="F2952">
        <f>_xll.BDP("FNDD5817 Mtge","CPN")</f>
        <v>6</v>
      </c>
      <c r="G2952">
        <f>_xll.BDP("FNDD5817 Mtge","MTG_FACTOR")</f>
        <v>0.98888957</v>
      </c>
      <c r="H2952">
        <f>_xll.BDP("FNDD5817 Mtge","MTG_WAL")</f>
        <v>3.2480000000000002</v>
      </c>
      <c r="I2952" t="str">
        <f>_xll.BDP("FNDD5817 Mtge","MTG_ORIG_WAL")</f>
        <v>#N/A N/A</v>
      </c>
    </row>
    <row r="2953" spans="1:9" x14ac:dyDescent="0.25">
      <c r="A2953" t="str">
        <f>_xll.BDP("FNDD5818 Mtge","ID_CUSIP")</f>
        <v>3140B6PC3</v>
      </c>
      <c r="B2953" t="str">
        <f>_xll.BDP("FNDD5818 Mtge","SECURITY_NAME")</f>
        <v>FN DD5818</v>
      </c>
      <c r="C2953" t="str">
        <f>_xll.BDP("FNDD5818 Mtge","GENERIC_TICKER_VINTAGE")</f>
        <v>FNCL 6 2025</v>
      </c>
      <c r="D2953" t="str">
        <f>_xll.BDP("FNDD5818 Mtge","CRNCY")</f>
        <v>USD</v>
      </c>
      <c r="E2953">
        <v>3135917</v>
      </c>
      <c r="F2953">
        <f>_xll.BDP("FNDD5818 Mtge","CPN")</f>
        <v>6</v>
      </c>
      <c r="G2953">
        <f>_xll.BDP("FNDD5818 Mtge","MTG_FACTOR")</f>
        <v>0.90989337000000003</v>
      </c>
      <c r="H2953">
        <f>_xll.BDP("FNDD5818 Mtge","MTG_WAL")</f>
        <v>3.2484999999999999</v>
      </c>
      <c r="I2953" t="str">
        <f>_xll.BDP("FNDD5818 Mtge","MTG_ORIG_WAL")</f>
        <v>#N/A N/A</v>
      </c>
    </row>
    <row r="2954" spans="1:9" x14ac:dyDescent="0.25">
      <c r="A2954" t="str">
        <f>_xll.BDP("FNDD5819 Mtge","ID_CUSIP")</f>
        <v>3140B6PD1</v>
      </c>
      <c r="B2954" t="str">
        <f>_xll.BDP("FNDD5819 Mtge","SECURITY_NAME")</f>
        <v>FN DD5819</v>
      </c>
      <c r="C2954" t="str">
        <f>_xll.BDP("FNDD5819 Mtge","GENERIC_TICKER_VINTAGE")</f>
        <v>FNCL 6 2025</v>
      </c>
      <c r="D2954" t="str">
        <f>_xll.BDP("FNDD5819 Mtge","CRNCY")</f>
        <v>USD</v>
      </c>
      <c r="E2954">
        <v>4045253</v>
      </c>
      <c r="F2954">
        <f>_xll.BDP("FNDD5819 Mtge","CPN")</f>
        <v>6</v>
      </c>
      <c r="G2954">
        <f>_xll.BDP("FNDD5819 Mtge","MTG_FACTOR")</f>
        <v>0.91871745000000005</v>
      </c>
      <c r="H2954">
        <f>_xll.BDP("FNDD5819 Mtge","MTG_WAL")</f>
        <v>3.2480000000000002</v>
      </c>
      <c r="I2954" t="str">
        <f>_xll.BDP("FNDD5819 Mtge","MTG_ORIG_WAL")</f>
        <v>#N/A N/A</v>
      </c>
    </row>
    <row r="2955" spans="1:9" x14ac:dyDescent="0.25">
      <c r="A2955" t="str">
        <f>_xll.BDP("FNDD5820 Mtge","ID_CUSIP")</f>
        <v>3140B6PE9</v>
      </c>
      <c r="B2955" t="str">
        <f>_xll.BDP("FNDD5820 Mtge","SECURITY_NAME")</f>
        <v>FN DD5820</v>
      </c>
      <c r="C2955" t="str">
        <f>_xll.BDP("FNDD5820 Mtge","GENERIC_TICKER_VINTAGE")</f>
        <v>FNCL 6 2025</v>
      </c>
      <c r="D2955" t="str">
        <f>_xll.BDP("FNDD5820 Mtge","CRNCY")</f>
        <v>USD</v>
      </c>
      <c r="E2955">
        <v>1697378</v>
      </c>
      <c r="F2955">
        <f>_xll.BDP("FNDD5820 Mtge","CPN")</f>
        <v>6</v>
      </c>
      <c r="G2955">
        <f>_xll.BDP("FNDD5820 Mtge","MTG_FACTOR")</f>
        <v>0.98921305999999998</v>
      </c>
      <c r="H2955">
        <f>_xll.BDP("FNDD5820 Mtge","MTG_WAL")</f>
        <v>3.2498999999999998</v>
      </c>
      <c r="I2955" t="str">
        <f>_xll.BDP("FNDD5820 Mtge","MTG_ORIG_WAL")</f>
        <v>#N/A N/A</v>
      </c>
    </row>
    <row r="2956" spans="1:9" x14ac:dyDescent="0.25">
      <c r="A2956" t="str">
        <f>_xll.BDP("FNDD5821 Mtge","ID_CUSIP")</f>
        <v>3140B6PF6</v>
      </c>
      <c r="B2956" t="str">
        <f>_xll.BDP("FNDD5821 Mtge","SECURITY_NAME")</f>
        <v>FN DD5821</v>
      </c>
      <c r="C2956" t="str">
        <f>_xll.BDP("FNDD5821 Mtge","GENERIC_TICKER_VINTAGE")</f>
        <v>FNCL 6 2025</v>
      </c>
      <c r="D2956" t="str">
        <f>_xll.BDP("FNDD5821 Mtge","CRNCY")</f>
        <v>USD</v>
      </c>
      <c r="E2956">
        <v>2952930</v>
      </c>
      <c r="F2956">
        <f>_xll.BDP("FNDD5821 Mtge","CPN")</f>
        <v>6</v>
      </c>
      <c r="G2956">
        <f>_xll.BDP("FNDD5821 Mtge","MTG_FACTOR")</f>
        <v>0.59776141000000005</v>
      </c>
      <c r="H2956">
        <f>_xll.BDP("FNDD5821 Mtge","MTG_WAL")</f>
        <v>3.2494000000000001</v>
      </c>
      <c r="I2956" t="str">
        <f>_xll.BDP("FNDD5821 Mtge","MTG_ORIG_WAL")</f>
        <v>#N/A N/A</v>
      </c>
    </row>
    <row r="2957" spans="1:9" x14ac:dyDescent="0.25">
      <c r="A2957" t="str">
        <f>_xll.BDP("FNDD5822 Mtge","ID_CUSIP")</f>
        <v>3140B6PG4</v>
      </c>
      <c r="B2957" t="str">
        <f>_xll.BDP("FNDD5822 Mtge","SECURITY_NAME")</f>
        <v>FN DD5822</v>
      </c>
      <c r="C2957" t="str">
        <f>_xll.BDP("FNDD5822 Mtge","GENERIC_TICKER_VINTAGE")</f>
        <v>FNCL 6 2025</v>
      </c>
      <c r="D2957" t="str">
        <f>_xll.BDP("FNDD5822 Mtge","CRNCY")</f>
        <v>USD</v>
      </c>
      <c r="E2957">
        <v>2732617</v>
      </c>
      <c r="F2957">
        <f>_xll.BDP("FNDD5822 Mtge","CPN")</f>
        <v>6</v>
      </c>
      <c r="G2957">
        <f>_xll.BDP("FNDD5822 Mtge","MTG_FACTOR")</f>
        <v>0.85172064999999997</v>
      </c>
      <c r="H2957">
        <f>_xll.BDP("FNDD5822 Mtge","MTG_WAL")</f>
        <v>3.2063999999999999</v>
      </c>
      <c r="I2957" t="str">
        <f>_xll.BDP("FNDD5822 Mtge","MTG_ORIG_WAL")</f>
        <v>#N/A N/A</v>
      </c>
    </row>
    <row r="2958" spans="1:9" x14ac:dyDescent="0.25">
      <c r="A2958" t="str">
        <f>_xll.BDP("FNDD5823 Mtge","ID_CUSIP")</f>
        <v>3140B6PH2</v>
      </c>
      <c r="B2958" t="str">
        <f>_xll.BDP("FNDD5823 Mtge","SECURITY_NAME")</f>
        <v>FN DD5823</v>
      </c>
      <c r="C2958" t="str">
        <f>_xll.BDP("FNDD5823 Mtge","GENERIC_TICKER_VINTAGE")</f>
        <v>FNCL 6 2025</v>
      </c>
      <c r="D2958" t="str">
        <f>_xll.BDP("FNDD5823 Mtge","CRNCY")</f>
        <v>USD</v>
      </c>
      <c r="E2958">
        <v>3497952</v>
      </c>
      <c r="F2958">
        <f>_xll.BDP("FNDD5823 Mtge","CPN")</f>
        <v>6</v>
      </c>
      <c r="G2958">
        <f>_xll.BDP("FNDD5823 Mtge","MTG_FACTOR")</f>
        <v>0.97932297999999995</v>
      </c>
      <c r="H2958">
        <f>_xll.BDP("FNDD5823 Mtge","MTG_WAL")</f>
        <v>3.1926999999999999</v>
      </c>
      <c r="I2958" t="str">
        <f>_xll.BDP("FNDD5823 Mtge","MTG_ORIG_WAL")</f>
        <v>#N/A N/A</v>
      </c>
    </row>
    <row r="2959" spans="1:9" x14ac:dyDescent="0.25">
      <c r="A2959" t="str">
        <f>_xll.BDP("FNDD5831 Mtge","ID_CUSIP")</f>
        <v>3140B6PR0</v>
      </c>
      <c r="B2959" t="str">
        <f>_xll.BDP("FNDD5831 Mtge","SECURITY_NAME")</f>
        <v>FN DD5831</v>
      </c>
      <c r="C2959" t="str">
        <f>_xll.BDP("FNDD5831 Mtge","GENERIC_TICKER_VINTAGE")</f>
        <v>FNCL 6 2025</v>
      </c>
      <c r="D2959" t="str">
        <f>_xll.BDP("FNDD5831 Mtge","CRNCY")</f>
        <v>USD</v>
      </c>
      <c r="E2959">
        <v>1452248</v>
      </c>
      <c r="F2959">
        <f>_xll.BDP("FNDD5831 Mtge","CPN")</f>
        <v>6</v>
      </c>
      <c r="G2959">
        <f>_xll.BDP("FNDD5831 Mtge","MTG_FACTOR")</f>
        <v>0.96072162000000005</v>
      </c>
      <c r="H2959">
        <f>_xll.BDP("FNDD5831 Mtge","MTG_WAL")</f>
        <v>3.2351999999999999</v>
      </c>
      <c r="I2959" t="str">
        <f>_xll.BDP("FNDD5831 Mtge","MTG_ORIG_WAL")</f>
        <v>#N/A N/A</v>
      </c>
    </row>
    <row r="2960" spans="1:9" x14ac:dyDescent="0.25">
      <c r="A2960" t="str">
        <f>_xll.BDP("FNDD5834 Mtge","ID_CUSIP")</f>
        <v>3140B6PU3</v>
      </c>
      <c r="B2960" t="str">
        <f>_xll.BDP("FNDD5834 Mtge","SECURITY_NAME")</f>
        <v>FN DD5834</v>
      </c>
      <c r="C2960" t="str">
        <f>_xll.BDP("FNDD5834 Mtge","GENERIC_TICKER_VINTAGE")</f>
        <v>FNCL 6 2025</v>
      </c>
      <c r="D2960" t="str">
        <f>_xll.BDP("FNDD5834 Mtge","CRNCY")</f>
        <v>USD</v>
      </c>
      <c r="E2960">
        <v>1287307</v>
      </c>
      <c r="F2960">
        <f>_xll.BDP("FNDD5834 Mtge","CPN")</f>
        <v>6</v>
      </c>
      <c r="G2960">
        <f>_xll.BDP("FNDD5834 Mtge","MTG_FACTOR")</f>
        <v>0.73619197000000003</v>
      </c>
      <c r="H2960">
        <f>_xll.BDP("FNDD5834 Mtge","MTG_WAL")</f>
        <v>3.2515000000000001</v>
      </c>
      <c r="I2960" t="str">
        <f>_xll.BDP("FNDD5834 Mtge","MTG_ORIG_WAL")</f>
        <v>#N/A N/A</v>
      </c>
    </row>
    <row r="2961" spans="1:9" x14ac:dyDescent="0.25">
      <c r="A2961" t="str">
        <f>_xll.BDP("FNDD5839 Mtge","ID_CUSIP")</f>
        <v>3140B6PZ2</v>
      </c>
      <c r="B2961" t="str">
        <f>_xll.BDP("FNDD5839 Mtge","SECURITY_NAME")</f>
        <v>FN DD5839</v>
      </c>
      <c r="C2961" t="str">
        <f>_xll.BDP("FNDD5839 Mtge","GENERIC_TICKER_VINTAGE")</f>
        <v>FNCL 6 2025</v>
      </c>
      <c r="D2961" t="str">
        <f>_xll.BDP("FNDD5839 Mtge","CRNCY")</f>
        <v>USD</v>
      </c>
      <c r="E2961">
        <v>1075618</v>
      </c>
      <c r="F2961">
        <f>_xll.BDP("FNDD5839 Mtge","CPN")</f>
        <v>6</v>
      </c>
      <c r="G2961">
        <f>_xll.BDP("FNDD5839 Mtge","MTG_FACTOR")</f>
        <v>0.98853939999999996</v>
      </c>
      <c r="H2961">
        <f>_xll.BDP("FNDD5839 Mtge","MTG_WAL")</f>
        <v>3.1608000000000001</v>
      </c>
      <c r="I2961" t="str">
        <f>_xll.BDP("FNDD5839 Mtge","MTG_ORIG_WAL")</f>
        <v>#N/A N/A</v>
      </c>
    </row>
    <row r="2962" spans="1:9" x14ac:dyDescent="0.25">
      <c r="A2962" t="str">
        <f>_xll.BDP("FNDD5845 Mtge","ID_CUSIP")</f>
        <v>3140B6P74</v>
      </c>
      <c r="B2962" t="str">
        <f>_xll.BDP("FNDD5845 Mtge","SECURITY_NAME")</f>
        <v>FN DD5845</v>
      </c>
      <c r="C2962" t="str">
        <f>_xll.BDP("FNDD5845 Mtge","GENERIC_TICKER_VINTAGE")</f>
        <v>FNCL 6 2025</v>
      </c>
      <c r="D2962" t="str">
        <f>_xll.BDP("FNDD5845 Mtge","CRNCY")</f>
        <v>USD</v>
      </c>
      <c r="E2962">
        <v>1181510</v>
      </c>
      <c r="F2962">
        <f>_xll.BDP("FNDD5845 Mtge","CPN")</f>
        <v>6</v>
      </c>
      <c r="G2962">
        <f>_xll.BDP("FNDD5845 Mtge","MTG_FACTOR")</f>
        <v>0.98828170999999998</v>
      </c>
      <c r="H2962">
        <f>_xll.BDP("FNDD5845 Mtge","MTG_WAL")</f>
        <v>3.1629</v>
      </c>
      <c r="I2962" t="str">
        <f>_xll.BDP("FNDD5845 Mtge","MTG_ORIG_WAL")</f>
        <v>#N/A N/A</v>
      </c>
    </row>
    <row r="2963" spans="1:9" x14ac:dyDescent="0.25">
      <c r="A2963" t="str">
        <f>_xll.BDP("FNDD5855 Mtge","ID_CUSIP")</f>
        <v>3140B6QH1</v>
      </c>
      <c r="B2963" t="str">
        <f>_xll.BDP("FNDD5855 Mtge","SECURITY_NAME")</f>
        <v>FN DD5855</v>
      </c>
      <c r="C2963" t="str">
        <f>_xll.BDP("FNDD5855 Mtge","GENERIC_TICKER_VINTAGE")</f>
        <v>FNCL 6 2025</v>
      </c>
      <c r="D2963" t="str">
        <f>_xll.BDP("FNDD5855 Mtge","CRNCY")</f>
        <v>USD</v>
      </c>
      <c r="E2963">
        <v>1847780</v>
      </c>
      <c r="F2963">
        <f>_xll.BDP("FNDD5855 Mtge","CPN")</f>
        <v>6</v>
      </c>
      <c r="G2963">
        <f>_xll.BDP("FNDD5855 Mtge","MTG_FACTOR")</f>
        <v>0.98645090000000002</v>
      </c>
      <c r="H2963">
        <f>_xll.BDP("FNDD5855 Mtge","MTG_WAL")</f>
        <v>3.2298</v>
      </c>
      <c r="I2963" t="str">
        <f>_xll.BDP("FNDD5855 Mtge","MTG_ORIG_WAL")</f>
        <v>#N/A N/A</v>
      </c>
    </row>
    <row r="2964" spans="1:9" x14ac:dyDescent="0.25">
      <c r="A2964" t="str">
        <f>_xll.BDP("FNDD5856 Mtge","ID_CUSIP")</f>
        <v>3140B6QJ7</v>
      </c>
      <c r="B2964" t="str">
        <f>_xll.BDP("FNDD5856 Mtge","SECURITY_NAME")</f>
        <v>FN DD5856</v>
      </c>
      <c r="C2964" t="str">
        <f>_xll.BDP("FNDD5856 Mtge","GENERIC_TICKER_VINTAGE")</f>
        <v>FNCL 6 2025</v>
      </c>
      <c r="D2964" t="str">
        <f>_xll.BDP("FNDD5856 Mtge","CRNCY")</f>
        <v>USD</v>
      </c>
      <c r="E2964">
        <v>2344937</v>
      </c>
      <c r="F2964">
        <f>_xll.BDP("FNDD5856 Mtge","CPN")</f>
        <v>6</v>
      </c>
      <c r="G2964">
        <f>_xll.BDP("FNDD5856 Mtge","MTG_FACTOR")</f>
        <v>0.80409249000000005</v>
      </c>
      <c r="H2964">
        <f>_xll.BDP("FNDD5856 Mtge","MTG_WAL")</f>
        <v>3.2366999999999999</v>
      </c>
      <c r="I2964" t="str">
        <f>_xll.BDP("FNDD5856 Mtge","MTG_ORIG_WAL")</f>
        <v>#N/A N/A</v>
      </c>
    </row>
    <row r="2965" spans="1:9" x14ac:dyDescent="0.25">
      <c r="A2965" t="str">
        <f>_xll.BDP("FNDD5857 Mtge","ID_CUSIP")</f>
        <v>3140B6QK4</v>
      </c>
      <c r="B2965" t="str">
        <f>_xll.BDP("FNDD5857 Mtge","SECURITY_NAME")</f>
        <v>FN DD5857</v>
      </c>
      <c r="C2965" t="str">
        <f>_xll.BDP("FNDD5857 Mtge","GENERIC_TICKER_VINTAGE")</f>
        <v>FNCL 6 2025</v>
      </c>
      <c r="D2965" t="str">
        <f>_xll.BDP("FNDD5857 Mtge","CRNCY")</f>
        <v>USD</v>
      </c>
      <c r="E2965">
        <v>2793322</v>
      </c>
      <c r="F2965">
        <f>_xll.BDP("FNDD5857 Mtge","CPN")</f>
        <v>6</v>
      </c>
      <c r="G2965">
        <f>_xll.BDP("FNDD5857 Mtge","MTG_FACTOR")</f>
        <v>0.89824462000000005</v>
      </c>
      <c r="H2965">
        <f>_xll.BDP("FNDD5857 Mtge","MTG_WAL")</f>
        <v>3.2471000000000001</v>
      </c>
      <c r="I2965" t="str">
        <f>_xll.BDP("FNDD5857 Mtge","MTG_ORIG_WAL")</f>
        <v>#N/A N/A</v>
      </c>
    </row>
    <row r="2966" spans="1:9" x14ac:dyDescent="0.25">
      <c r="A2966" t="str">
        <f>_xll.BDP("FNDD5858 Mtge","ID_CUSIP")</f>
        <v>3140B6QL2</v>
      </c>
      <c r="B2966" t="str">
        <f>_xll.BDP("FNDD5858 Mtge","SECURITY_NAME")</f>
        <v>FN DD5858</v>
      </c>
      <c r="C2966" t="str">
        <f>_xll.BDP("FNDD5858 Mtge","GENERIC_TICKER_VINTAGE")</f>
        <v>FNCL 6 2025</v>
      </c>
      <c r="D2966" t="str">
        <f>_xll.BDP("FNDD5858 Mtge","CRNCY")</f>
        <v>USD</v>
      </c>
      <c r="E2966">
        <v>1678575</v>
      </c>
      <c r="F2966">
        <f>_xll.BDP("FNDD5858 Mtge","CPN")</f>
        <v>6</v>
      </c>
      <c r="G2966">
        <f>_xll.BDP("FNDD5858 Mtge","MTG_FACTOR")</f>
        <v>0.98862779999999995</v>
      </c>
      <c r="H2966">
        <f>_xll.BDP("FNDD5858 Mtge","MTG_WAL")</f>
        <v>3.2479</v>
      </c>
      <c r="I2966" t="str">
        <f>_xll.BDP("FNDD5858 Mtge","MTG_ORIG_WAL")</f>
        <v>#N/A N/A</v>
      </c>
    </row>
    <row r="2967" spans="1:9" x14ac:dyDescent="0.25">
      <c r="A2967" t="str">
        <f>_xll.BDP("FNDD5859 Mtge","ID_CUSIP")</f>
        <v>3140B6QM0</v>
      </c>
      <c r="B2967" t="str">
        <f>_xll.BDP("FNDD5859 Mtge","SECURITY_NAME")</f>
        <v>FN DD5859</v>
      </c>
      <c r="C2967" t="str">
        <f>_xll.BDP("FNDD5859 Mtge","GENERIC_TICKER_VINTAGE")</f>
        <v>FNCL 6 2025</v>
      </c>
      <c r="D2967" t="str">
        <f>_xll.BDP("FNDD5859 Mtge","CRNCY")</f>
        <v>USD</v>
      </c>
      <c r="E2967">
        <v>1826580</v>
      </c>
      <c r="F2967">
        <f>_xll.BDP("FNDD5859 Mtge","CPN")</f>
        <v>6</v>
      </c>
      <c r="G2967">
        <f>_xll.BDP("FNDD5859 Mtge","MTG_FACTOR")</f>
        <v>0.70233694999999996</v>
      </c>
      <c r="H2967">
        <f>_xll.BDP("FNDD5859 Mtge","MTG_WAL")</f>
        <v>3.2469000000000001</v>
      </c>
      <c r="I2967" t="str">
        <f>_xll.BDP("FNDD5859 Mtge","MTG_ORIG_WAL")</f>
        <v>#N/A N/A</v>
      </c>
    </row>
    <row r="2968" spans="1:9" x14ac:dyDescent="0.25">
      <c r="A2968" t="str">
        <f>_xll.BDP("FNDD5861 Mtge","ID_CUSIP")</f>
        <v>3140B6QP3</v>
      </c>
      <c r="B2968" t="str">
        <f>_xll.BDP("FNDD5861 Mtge","SECURITY_NAME")</f>
        <v>FN DD5861</v>
      </c>
      <c r="C2968" t="str">
        <f>_xll.BDP("FNDD5861 Mtge","GENERIC_TICKER_VINTAGE")</f>
        <v>FNCL 6 2025</v>
      </c>
      <c r="D2968" t="str">
        <f>_xll.BDP("FNDD5861 Mtge","CRNCY")</f>
        <v>USD</v>
      </c>
      <c r="E2968">
        <v>3976493</v>
      </c>
      <c r="F2968">
        <f>_xll.BDP("FNDD5861 Mtge","CPN")</f>
        <v>6</v>
      </c>
      <c r="G2968">
        <f>_xll.BDP("FNDD5861 Mtge","MTG_FACTOR")</f>
        <v>0.66210621000000003</v>
      </c>
      <c r="H2968">
        <f>_xll.BDP("FNDD5861 Mtge","MTG_WAL")</f>
        <v>3.2071000000000001</v>
      </c>
      <c r="I2968" t="str">
        <f>_xll.BDP("FNDD5861 Mtge","MTG_ORIG_WAL")</f>
        <v>#N/A N/A</v>
      </c>
    </row>
    <row r="2969" spans="1:9" x14ac:dyDescent="0.25">
      <c r="A2969" t="str">
        <f>_xll.BDP("FNDD5867 Mtge","ID_CUSIP")</f>
        <v>3140B6QV0</v>
      </c>
      <c r="B2969" t="str">
        <f>_xll.BDP("FNDD5867 Mtge","SECURITY_NAME")</f>
        <v>FN DD5867</v>
      </c>
      <c r="C2969" t="str">
        <f>_xll.BDP("FNDD5867 Mtge","GENERIC_TICKER_VINTAGE")</f>
        <v>FNCL 6 2025</v>
      </c>
      <c r="D2969" t="str">
        <f>_xll.BDP("FNDD5867 Mtge","CRNCY")</f>
        <v>USD</v>
      </c>
      <c r="E2969">
        <v>14045561</v>
      </c>
      <c r="F2969">
        <f>_xll.BDP("FNDD5867 Mtge","CPN")</f>
        <v>6</v>
      </c>
      <c r="G2969">
        <f>_xll.BDP("FNDD5867 Mtge","MTG_FACTOR")</f>
        <v>0.96294453999999996</v>
      </c>
      <c r="H2969">
        <f>_xll.BDP("FNDD5867 Mtge","MTG_WAL")</f>
        <v>3.1996000000000002</v>
      </c>
      <c r="I2969" t="str">
        <f>_xll.BDP("FNDD5867 Mtge","MTG_ORIG_WAL")</f>
        <v>#N/A N/A</v>
      </c>
    </row>
    <row r="2970" spans="1:9" x14ac:dyDescent="0.25">
      <c r="A2970" t="str">
        <f>_xll.BDP("FNDD5881 Mtge","ID_CUSIP")</f>
        <v>3140B6RB3</v>
      </c>
      <c r="B2970" t="str">
        <f>_xll.BDP("FNDD5881 Mtge","SECURITY_NAME")</f>
        <v>FN DD5881</v>
      </c>
      <c r="C2970" t="str">
        <f>_xll.BDP("FNDD5881 Mtge","GENERIC_TICKER_VINTAGE")</f>
        <v>FNCL 6 2025</v>
      </c>
      <c r="D2970" t="str">
        <f>_xll.BDP("FNDD5881 Mtge","CRNCY")</f>
        <v>USD</v>
      </c>
      <c r="E2970">
        <v>1916269</v>
      </c>
      <c r="F2970">
        <f>_xll.BDP("FNDD5881 Mtge","CPN")</f>
        <v>6</v>
      </c>
      <c r="G2970">
        <f>_xll.BDP("FNDD5881 Mtge","MTG_FACTOR")</f>
        <v>0.98258789999999996</v>
      </c>
      <c r="H2970">
        <f>_xll.BDP("FNDD5881 Mtge","MTG_WAL")</f>
        <v>3.1970000000000001</v>
      </c>
      <c r="I2970" t="str">
        <f>_xll.BDP("FNDD5881 Mtge","MTG_ORIG_WAL")</f>
        <v>#N/A N/A</v>
      </c>
    </row>
    <row r="2971" spans="1:9" x14ac:dyDescent="0.25">
      <c r="A2971" t="str">
        <f>_xll.BDP("FNDD5884 Mtge","ID_CUSIP")</f>
        <v>3140B6RE7</v>
      </c>
      <c r="B2971" t="str">
        <f>_xll.BDP("FNDD5884 Mtge","SECURITY_NAME")</f>
        <v>FN DD5884</v>
      </c>
      <c r="C2971" t="str">
        <f>_xll.BDP("FNDD5884 Mtge","GENERIC_TICKER_VINTAGE")</f>
        <v>FNCL 6 2025</v>
      </c>
      <c r="D2971" t="str">
        <f>_xll.BDP("FNDD5884 Mtge","CRNCY")</f>
        <v>USD</v>
      </c>
      <c r="E2971">
        <v>1064276</v>
      </c>
      <c r="F2971">
        <f>_xll.BDP("FNDD5884 Mtge","CPN")</f>
        <v>6</v>
      </c>
      <c r="G2971">
        <f>_xll.BDP("FNDD5884 Mtge","MTG_FACTOR")</f>
        <v>0.98807011</v>
      </c>
      <c r="H2971">
        <f>_xll.BDP("FNDD5884 Mtge","MTG_WAL")</f>
        <v>3.1595</v>
      </c>
      <c r="I2971" t="str">
        <f>_xll.BDP("FNDD5884 Mtge","MTG_ORIG_WAL")</f>
        <v>#N/A N/A</v>
      </c>
    </row>
    <row r="2972" spans="1:9" x14ac:dyDescent="0.25">
      <c r="A2972" t="str">
        <f>_xll.BDP("FNDD5885 Mtge","ID_CUSIP")</f>
        <v>3140B6RF4</v>
      </c>
      <c r="B2972" t="str">
        <f>_xll.BDP("FNDD5885 Mtge","SECURITY_NAME")</f>
        <v>FN DD5885</v>
      </c>
      <c r="C2972" t="str">
        <f>_xll.BDP("FNDD5885 Mtge","GENERIC_TICKER_VINTAGE")</f>
        <v>FNCL 6 2025</v>
      </c>
      <c r="D2972" t="str">
        <f>_xll.BDP("FNDD5885 Mtge","CRNCY")</f>
        <v>USD</v>
      </c>
      <c r="E2972">
        <v>1730854</v>
      </c>
      <c r="F2972">
        <f>_xll.BDP("FNDD5885 Mtge","CPN")</f>
        <v>6</v>
      </c>
      <c r="G2972">
        <f>_xll.BDP("FNDD5885 Mtge","MTG_FACTOR")</f>
        <v>0.98724414999999999</v>
      </c>
      <c r="H2972">
        <f>_xll.BDP("FNDD5885 Mtge","MTG_WAL")</f>
        <v>3.1591</v>
      </c>
      <c r="I2972" t="str">
        <f>_xll.BDP("FNDD5885 Mtge","MTG_ORIG_WAL")</f>
        <v>#N/A N/A</v>
      </c>
    </row>
    <row r="2973" spans="1:9" x14ac:dyDescent="0.25">
      <c r="A2973" t="str">
        <f>_xll.BDP("FNDD5890 Mtge","ID_CUSIP")</f>
        <v>3140B6RL1</v>
      </c>
      <c r="B2973" t="str">
        <f>_xll.BDP("FNDD5890 Mtge","SECURITY_NAME")</f>
        <v>FN DD5890</v>
      </c>
      <c r="C2973" t="str">
        <f>_xll.BDP("FNDD5890 Mtge","GENERIC_TICKER_VINTAGE")</f>
        <v>FNCL 6 2025</v>
      </c>
      <c r="D2973" t="str">
        <f>_xll.BDP("FNDD5890 Mtge","CRNCY")</f>
        <v>USD</v>
      </c>
      <c r="E2973">
        <v>1455751</v>
      </c>
      <c r="F2973">
        <f>_xll.BDP("FNDD5890 Mtge","CPN")</f>
        <v>6</v>
      </c>
      <c r="G2973">
        <f>_xll.BDP("FNDD5890 Mtge","MTG_FACTOR")</f>
        <v>0.52190935999999999</v>
      </c>
      <c r="H2973">
        <f>_xll.BDP("FNDD5890 Mtge","MTG_WAL")</f>
        <v>3.2035999999999998</v>
      </c>
      <c r="I2973" t="str">
        <f>_xll.BDP("FNDD5890 Mtge","MTG_ORIG_WAL")</f>
        <v>#N/A N/A</v>
      </c>
    </row>
    <row r="2974" spans="1:9" x14ac:dyDescent="0.25">
      <c r="A2974" t="str">
        <f>_xll.BDP("FNDD5893 Mtge","ID_CUSIP")</f>
        <v>3140B6RP2</v>
      </c>
      <c r="B2974" t="str">
        <f>_xll.BDP("FNDD5893 Mtge","SECURITY_NAME")</f>
        <v>FN DD5893</v>
      </c>
      <c r="C2974" t="str">
        <f>_xll.BDP("FNDD5893 Mtge","GENERIC_TICKER_VINTAGE")</f>
        <v>FNCL 6 2025</v>
      </c>
      <c r="D2974" t="str">
        <f>_xll.BDP("FNDD5893 Mtge","CRNCY")</f>
        <v>USD</v>
      </c>
      <c r="E2974">
        <v>2627262</v>
      </c>
      <c r="F2974">
        <f>_xll.BDP("FNDD5893 Mtge","CPN")</f>
        <v>6</v>
      </c>
      <c r="G2974">
        <f>_xll.BDP("FNDD5893 Mtge","MTG_FACTOR")</f>
        <v>0.86632343999999994</v>
      </c>
      <c r="H2974">
        <f>_xll.BDP("FNDD5893 Mtge","MTG_WAL")</f>
        <v>3.1616</v>
      </c>
      <c r="I2974" t="str">
        <f>_xll.BDP("FNDD5893 Mtge","MTG_ORIG_WAL")</f>
        <v>#N/A N/A</v>
      </c>
    </row>
    <row r="2975" spans="1:9" x14ac:dyDescent="0.25">
      <c r="A2975" t="str">
        <f>_xll.BDP("FNDD5897 Mtge","ID_CUSIP")</f>
        <v>3140B6RT4</v>
      </c>
      <c r="B2975" t="str">
        <f>_xll.BDP("FNDD5897 Mtge","SECURITY_NAME")</f>
        <v>FN DD5897</v>
      </c>
      <c r="C2975" t="str">
        <f>_xll.BDP("FNDD5897 Mtge","GENERIC_TICKER_VINTAGE")</f>
        <v>FNCL 6 2025</v>
      </c>
      <c r="D2975" t="str">
        <f>_xll.BDP("FNDD5897 Mtge","CRNCY")</f>
        <v>USD</v>
      </c>
      <c r="E2975">
        <v>3450703</v>
      </c>
      <c r="F2975">
        <f>_xll.BDP("FNDD5897 Mtge","CPN")</f>
        <v>6</v>
      </c>
      <c r="G2975">
        <f>_xll.BDP("FNDD5897 Mtge","MTG_FACTOR")</f>
        <v>0.89704954000000003</v>
      </c>
      <c r="H2975">
        <f>_xll.BDP("FNDD5897 Mtge","MTG_WAL")</f>
        <v>3.2006000000000001</v>
      </c>
      <c r="I2975" t="str">
        <f>_xll.BDP("FNDD5897 Mtge","MTG_ORIG_WAL")</f>
        <v>#N/A N/A</v>
      </c>
    </row>
    <row r="2976" spans="1:9" x14ac:dyDescent="0.25">
      <c r="A2976" t="str">
        <f>_xll.BDP("FNDD5901 Mtge","ID_CUSIP")</f>
        <v>3140B6RX5</v>
      </c>
      <c r="B2976" t="str">
        <f>_xll.BDP("FNDD5901 Mtge","SECURITY_NAME")</f>
        <v>FN DD5901</v>
      </c>
      <c r="C2976" t="str">
        <f>_xll.BDP("FNDD5901 Mtge","GENERIC_TICKER_VINTAGE")</f>
        <v>FNCL 6 2025</v>
      </c>
      <c r="D2976" t="str">
        <f>_xll.BDP("FNDD5901 Mtge","CRNCY")</f>
        <v>USD</v>
      </c>
      <c r="E2976">
        <v>1446500</v>
      </c>
      <c r="F2976">
        <f>_xll.BDP("FNDD5901 Mtge","CPN")</f>
        <v>6</v>
      </c>
      <c r="G2976">
        <f>_xll.BDP("FNDD5901 Mtge","MTG_FACTOR")</f>
        <v>0.65786127999999999</v>
      </c>
      <c r="H2976">
        <f>_xll.BDP("FNDD5901 Mtge","MTG_WAL")</f>
        <v>3.2035999999999998</v>
      </c>
      <c r="I2976" t="str">
        <f>_xll.BDP("FNDD5901 Mtge","MTG_ORIG_WAL")</f>
        <v>#N/A N/A</v>
      </c>
    </row>
    <row r="2977" spans="1:9" x14ac:dyDescent="0.25">
      <c r="A2977" t="str">
        <f>_xll.BDP("FNDD5903 Mtge","ID_CUSIP")</f>
        <v>3140B6RZ0</v>
      </c>
      <c r="B2977" t="str">
        <f>_xll.BDP("FNDD5903 Mtge","SECURITY_NAME")</f>
        <v>FN DD5903</v>
      </c>
      <c r="C2977" t="str">
        <f>_xll.BDP("FNDD5903 Mtge","GENERIC_TICKER_VINTAGE")</f>
        <v>FNCL 6 2025</v>
      </c>
      <c r="D2977" t="str">
        <f>_xll.BDP("FNDD5903 Mtge","CRNCY")</f>
        <v>USD</v>
      </c>
      <c r="E2977">
        <v>1446755</v>
      </c>
      <c r="F2977">
        <f>_xll.BDP("FNDD5903 Mtge","CPN")</f>
        <v>6</v>
      </c>
      <c r="G2977">
        <f>_xll.BDP("FNDD5903 Mtge","MTG_FACTOR")</f>
        <v>0.69131732999999995</v>
      </c>
      <c r="H2977">
        <f>_xll.BDP("FNDD5903 Mtge","MTG_WAL")</f>
        <v>3.1625000000000001</v>
      </c>
      <c r="I2977" t="str">
        <f>_xll.BDP("FNDD5903 Mtge","MTG_ORIG_WAL")</f>
        <v>#N/A N/A</v>
      </c>
    </row>
    <row r="2978" spans="1:9" x14ac:dyDescent="0.25">
      <c r="A2978" t="str">
        <f>_xll.BDP("FNDD5910 Mtge","ID_CUSIP")</f>
        <v>3140B6R80</v>
      </c>
      <c r="B2978" t="str">
        <f>_xll.BDP("FNDD5910 Mtge","SECURITY_NAME")</f>
        <v>FN DD5910</v>
      </c>
      <c r="C2978" t="str">
        <f>_xll.BDP("FNDD5910 Mtge","GENERIC_TICKER_VINTAGE")</f>
        <v>FNCL 6 2025</v>
      </c>
      <c r="D2978" t="str">
        <f>_xll.BDP("FNDD5910 Mtge","CRNCY")</f>
        <v>USD</v>
      </c>
      <c r="E2978">
        <v>1186100</v>
      </c>
      <c r="F2978">
        <f>_xll.BDP("FNDD5910 Mtge","CPN")</f>
        <v>6</v>
      </c>
      <c r="G2978">
        <f>_xll.BDP("FNDD5910 Mtge","MTG_FACTOR")</f>
        <v>0.99055099000000002</v>
      </c>
      <c r="H2978">
        <f>_xll.BDP("FNDD5910 Mtge","MTG_WAL")</f>
        <v>3.2490000000000001</v>
      </c>
      <c r="I2978" t="str">
        <f>_xll.BDP("FNDD5910 Mtge","MTG_ORIG_WAL")</f>
        <v>#N/A N/A</v>
      </c>
    </row>
    <row r="2979" spans="1:9" x14ac:dyDescent="0.25">
      <c r="A2979" t="str">
        <f>_xll.BDP("FNDD5911 Mtge","ID_CUSIP")</f>
        <v>3140B6R98</v>
      </c>
      <c r="B2979" t="str">
        <f>_xll.BDP("FNDD5911 Mtge","SECURITY_NAME")</f>
        <v>FN DD5911</v>
      </c>
      <c r="C2979" t="str">
        <f>_xll.BDP("FNDD5911 Mtge","GENERIC_TICKER_VINTAGE")</f>
        <v>FNCL 6 2025</v>
      </c>
      <c r="D2979" t="str">
        <f>_xll.BDP("FNDD5911 Mtge","CRNCY")</f>
        <v>USD</v>
      </c>
      <c r="E2979">
        <v>1262400</v>
      </c>
      <c r="F2979">
        <f>_xll.BDP("FNDD5911 Mtge","CPN")</f>
        <v>6</v>
      </c>
      <c r="G2979">
        <f>_xll.BDP("FNDD5911 Mtge","MTG_FACTOR")</f>
        <v>0.98304793999999995</v>
      </c>
      <c r="H2979">
        <f>_xll.BDP("FNDD5911 Mtge","MTG_WAL")</f>
        <v>3.2414000000000001</v>
      </c>
      <c r="I2979" t="str">
        <f>_xll.BDP("FNDD5911 Mtge","MTG_ORIG_WAL")</f>
        <v>#N/A N/A</v>
      </c>
    </row>
    <row r="2980" spans="1:9" x14ac:dyDescent="0.25">
      <c r="A2980" t="str">
        <f>_xll.BDP("FNDD5915 Mtge","ID_CUSIP")</f>
        <v>3140B6SD8</v>
      </c>
      <c r="B2980" t="str">
        <f>_xll.BDP("FNDD5915 Mtge","SECURITY_NAME")</f>
        <v>FN DD5915</v>
      </c>
      <c r="C2980" t="str">
        <f>_xll.BDP("FNDD5915 Mtge","GENERIC_TICKER_VINTAGE")</f>
        <v>FNCL 6 2025</v>
      </c>
      <c r="D2980" t="str">
        <f>_xll.BDP("FNDD5915 Mtge","CRNCY")</f>
        <v>USD</v>
      </c>
      <c r="E2980">
        <v>1863973</v>
      </c>
      <c r="F2980">
        <f>_xll.BDP("FNDD5915 Mtge","CPN")</f>
        <v>6</v>
      </c>
      <c r="G2980">
        <f>_xll.BDP("FNDD5915 Mtge","MTG_FACTOR")</f>
        <v>0.99052792999999995</v>
      </c>
      <c r="H2980">
        <f>_xll.BDP("FNDD5915 Mtge","MTG_WAL")</f>
        <v>3.2486999999999999</v>
      </c>
      <c r="I2980" t="str">
        <f>_xll.BDP("FNDD5915 Mtge","MTG_ORIG_WAL")</f>
        <v>#N/A N/A</v>
      </c>
    </row>
    <row r="2981" spans="1:9" x14ac:dyDescent="0.25">
      <c r="A2981" t="str">
        <f>_xll.BDP("FNDD5916 Mtge","ID_CUSIP")</f>
        <v>3140B6SE6</v>
      </c>
      <c r="B2981" t="str">
        <f>_xll.BDP("FNDD5916 Mtge","SECURITY_NAME")</f>
        <v>FN DD5916</v>
      </c>
      <c r="C2981" t="str">
        <f>_xll.BDP("FNDD5916 Mtge","GENERIC_TICKER_VINTAGE")</f>
        <v>FNCL 6 2025</v>
      </c>
      <c r="D2981" t="str">
        <f>_xll.BDP("FNDD5916 Mtge","CRNCY")</f>
        <v>USD</v>
      </c>
      <c r="E2981">
        <v>1056215</v>
      </c>
      <c r="F2981">
        <f>_xll.BDP("FNDD5916 Mtge","CPN")</f>
        <v>6</v>
      </c>
      <c r="G2981">
        <f>_xll.BDP("FNDD5916 Mtge","MTG_FACTOR")</f>
        <v>0.74643937000000005</v>
      </c>
      <c r="H2981">
        <f>_xll.BDP("FNDD5916 Mtge","MTG_WAL")</f>
        <v>3.2483</v>
      </c>
      <c r="I2981" t="str">
        <f>_xll.BDP("FNDD5916 Mtge","MTG_ORIG_WAL")</f>
        <v>#N/A N/A</v>
      </c>
    </row>
    <row r="2982" spans="1:9" x14ac:dyDescent="0.25">
      <c r="A2982" t="str">
        <f>_xll.BDP("FNDD5917 Mtge","ID_CUSIP")</f>
        <v>3140B6SF3</v>
      </c>
      <c r="B2982" t="str">
        <f>_xll.BDP("FNDD5917 Mtge","SECURITY_NAME")</f>
        <v>FN DD5917</v>
      </c>
      <c r="C2982" t="str">
        <f>_xll.BDP("FNDD5917 Mtge","GENERIC_TICKER_VINTAGE")</f>
        <v>FNCL 6 2025</v>
      </c>
      <c r="D2982" t="str">
        <f>_xll.BDP("FNDD5917 Mtge","CRNCY")</f>
        <v>USD</v>
      </c>
      <c r="E2982">
        <v>1067240</v>
      </c>
      <c r="F2982">
        <f>_xll.BDP("FNDD5917 Mtge","CPN")</f>
        <v>6</v>
      </c>
      <c r="G2982">
        <f>_xll.BDP("FNDD5917 Mtge","MTG_FACTOR")</f>
        <v>0.98808985000000005</v>
      </c>
      <c r="H2982">
        <f>_xll.BDP("FNDD5917 Mtge","MTG_WAL")</f>
        <v>3.2440000000000002</v>
      </c>
      <c r="I2982" t="str">
        <f>_xll.BDP("FNDD5917 Mtge","MTG_ORIG_WAL")</f>
        <v>#N/A N/A</v>
      </c>
    </row>
    <row r="2983" spans="1:9" x14ac:dyDescent="0.25">
      <c r="A2983" t="str">
        <f>_xll.BDP("FNDD5924 Mtge","ID_CUSIP")</f>
        <v>3140B6SN6</v>
      </c>
      <c r="B2983" t="str">
        <f>_xll.BDP("FNDD5924 Mtge","SECURITY_NAME")</f>
        <v>FN DD5924</v>
      </c>
      <c r="C2983" t="str">
        <f>_xll.BDP("FNDD5924 Mtge","GENERIC_TICKER_VINTAGE")</f>
        <v>FNCL 6 2025</v>
      </c>
      <c r="D2983" t="str">
        <f>_xll.BDP("FNDD5924 Mtge","CRNCY")</f>
        <v>USD</v>
      </c>
      <c r="E2983">
        <v>1132077</v>
      </c>
      <c r="F2983">
        <f>_xll.BDP("FNDD5924 Mtge","CPN")</f>
        <v>6</v>
      </c>
      <c r="G2983">
        <f>_xll.BDP("FNDD5924 Mtge","MTG_FACTOR")</f>
        <v>0.99048018999999998</v>
      </c>
      <c r="H2983">
        <f>_xll.BDP("FNDD5924 Mtge","MTG_WAL")</f>
        <v>3.2484000000000002</v>
      </c>
      <c r="I2983" t="str">
        <f>_xll.BDP("FNDD5924 Mtge","MTG_ORIG_WAL")</f>
        <v>#N/A N/A</v>
      </c>
    </row>
    <row r="2984" spans="1:9" x14ac:dyDescent="0.25">
      <c r="A2984" t="str">
        <f>_xll.BDP("FNDD5925 Mtge","ID_CUSIP")</f>
        <v>3140B6SP1</v>
      </c>
      <c r="B2984" t="str">
        <f>_xll.BDP("FNDD5925 Mtge","SECURITY_NAME")</f>
        <v>FN DD5925</v>
      </c>
      <c r="C2984" t="str">
        <f>_xll.BDP("FNDD5925 Mtge","GENERIC_TICKER_VINTAGE")</f>
        <v>FNCL 6 2025</v>
      </c>
      <c r="D2984" t="str">
        <f>_xll.BDP("FNDD5925 Mtge","CRNCY")</f>
        <v>USD</v>
      </c>
      <c r="E2984">
        <v>1212750</v>
      </c>
      <c r="F2984">
        <f>_xll.BDP("FNDD5925 Mtge","CPN")</f>
        <v>6</v>
      </c>
      <c r="G2984">
        <f>_xll.BDP("FNDD5925 Mtge","MTG_FACTOR")</f>
        <v>0.70348275000000005</v>
      </c>
      <c r="H2984">
        <f>_xll.BDP("FNDD5925 Mtge","MTG_WAL")</f>
        <v>3.2448999999999999</v>
      </c>
      <c r="I2984" t="str">
        <f>_xll.BDP("FNDD5925 Mtge","MTG_ORIG_WAL")</f>
        <v>#N/A N/A</v>
      </c>
    </row>
    <row r="2985" spans="1:9" x14ac:dyDescent="0.25">
      <c r="A2985" t="str">
        <f>_xll.BDP("FNDD5926 Mtge","ID_CUSIP")</f>
        <v>3140B6SQ9</v>
      </c>
      <c r="B2985" t="str">
        <f>_xll.BDP("FNDD5926 Mtge","SECURITY_NAME")</f>
        <v>FN DD5926</v>
      </c>
      <c r="C2985" t="str">
        <f>_xll.BDP("FNDD5926 Mtge","GENERIC_TICKER_VINTAGE")</f>
        <v>FNCL 6 2025</v>
      </c>
      <c r="D2985" t="str">
        <f>_xll.BDP("FNDD5926 Mtge","CRNCY")</f>
        <v>USD</v>
      </c>
      <c r="E2985">
        <v>1440038</v>
      </c>
      <c r="F2985">
        <f>_xll.BDP("FNDD5926 Mtge","CPN")</f>
        <v>6</v>
      </c>
      <c r="G2985">
        <f>_xll.BDP("FNDD5926 Mtge","MTG_FACTOR")</f>
        <v>0.98629657999999998</v>
      </c>
      <c r="H2985">
        <f>_xll.BDP("FNDD5926 Mtge","MTG_WAL")</f>
        <v>3.2427000000000001</v>
      </c>
      <c r="I2985" t="str">
        <f>_xll.BDP("FNDD5926 Mtge","MTG_ORIG_WAL")</f>
        <v>#N/A N/A</v>
      </c>
    </row>
    <row r="2986" spans="1:9" x14ac:dyDescent="0.25">
      <c r="A2986" t="str">
        <f>_xll.BDP("FNDD5927 Mtge","ID_CUSIP")</f>
        <v>3140B6SR7</v>
      </c>
      <c r="B2986" t="str">
        <f>_xll.BDP("FNDD5927 Mtge","SECURITY_NAME")</f>
        <v>FN DD5927</v>
      </c>
      <c r="C2986" t="str">
        <f>_xll.BDP("FNDD5927 Mtge","GENERIC_TICKER_VINTAGE")</f>
        <v>FNCL 6 2025</v>
      </c>
      <c r="D2986" t="str">
        <f>_xll.BDP("FNDD5927 Mtge","CRNCY")</f>
        <v>USD</v>
      </c>
      <c r="E2986">
        <v>2315500</v>
      </c>
      <c r="F2986">
        <f>_xll.BDP("FNDD5927 Mtge","CPN")</f>
        <v>6</v>
      </c>
      <c r="G2986">
        <f>_xll.BDP("FNDD5927 Mtge","MTG_FACTOR")</f>
        <v>0.82379416000000005</v>
      </c>
      <c r="H2986">
        <f>_xll.BDP("FNDD5927 Mtge","MTG_WAL")</f>
        <v>3.2471999999999999</v>
      </c>
      <c r="I2986" t="str">
        <f>_xll.BDP("FNDD5927 Mtge","MTG_ORIG_WAL")</f>
        <v>#N/A N/A</v>
      </c>
    </row>
    <row r="2987" spans="1:9" x14ac:dyDescent="0.25">
      <c r="A2987" t="str">
        <f>_xll.BDP("FNDD5932 Mtge","ID_CUSIP")</f>
        <v>3140B6SW6</v>
      </c>
      <c r="B2987" t="str">
        <f>_xll.BDP("FNDD5932 Mtge","SECURITY_NAME")</f>
        <v>FN DD5932</v>
      </c>
      <c r="C2987" t="str">
        <f>_xll.BDP("FNDD5932 Mtge","GENERIC_TICKER_VINTAGE")</f>
        <v>FNCL 6 2025</v>
      </c>
      <c r="D2987" t="str">
        <f>_xll.BDP("FNDD5932 Mtge","CRNCY")</f>
        <v>USD</v>
      </c>
      <c r="E2987">
        <v>3348950</v>
      </c>
      <c r="F2987">
        <f>_xll.BDP("FNDD5932 Mtge","CPN")</f>
        <v>6</v>
      </c>
      <c r="G2987">
        <f>_xll.BDP("FNDD5932 Mtge","MTG_FACTOR")</f>
        <v>0.88968396999999999</v>
      </c>
      <c r="H2987">
        <f>_xll.BDP("FNDD5932 Mtge","MTG_WAL")</f>
        <v>3.2361</v>
      </c>
      <c r="I2987" t="str">
        <f>_xll.BDP("FNDD5932 Mtge","MTG_ORIG_WAL")</f>
        <v>#N/A N/A</v>
      </c>
    </row>
    <row r="2988" spans="1:9" x14ac:dyDescent="0.25">
      <c r="A2988" t="str">
        <f>_xll.BDP("FNDD5934 Mtge","ID_CUSIP")</f>
        <v>3140B6SY2</v>
      </c>
      <c r="B2988" t="str">
        <f>_xll.BDP("FNDD5934 Mtge","SECURITY_NAME")</f>
        <v>FN DD5934</v>
      </c>
      <c r="C2988" t="str">
        <f>_xll.BDP("FNDD5934 Mtge","GENERIC_TICKER_VINTAGE")</f>
        <v>FNCL 6 2025</v>
      </c>
      <c r="D2988" t="str">
        <f>_xll.BDP("FNDD5934 Mtge","CRNCY")</f>
        <v>USD</v>
      </c>
      <c r="E2988">
        <v>1153645</v>
      </c>
      <c r="F2988">
        <f>_xll.BDP("FNDD5934 Mtge","CPN")</f>
        <v>6</v>
      </c>
      <c r="G2988">
        <f>_xll.BDP("FNDD5934 Mtge","MTG_FACTOR")</f>
        <v>0.98966681999999995</v>
      </c>
      <c r="H2988">
        <f>_xll.BDP("FNDD5934 Mtge","MTG_WAL")</f>
        <v>3.2462</v>
      </c>
      <c r="I2988" t="str">
        <f>_xll.BDP("FNDD5934 Mtge","MTG_ORIG_WAL")</f>
        <v>#N/A N/A</v>
      </c>
    </row>
    <row r="2989" spans="1:9" x14ac:dyDescent="0.25">
      <c r="A2989" t="str">
        <f>_xll.BDP("FNDD5935 Mtge","ID_CUSIP")</f>
        <v>3140B6SZ9</v>
      </c>
      <c r="B2989" t="str">
        <f>_xll.BDP("FNDD5935 Mtge","SECURITY_NAME")</f>
        <v>FN DD5935</v>
      </c>
      <c r="C2989" t="str">
        <f>_xll.BDP("FNDD5935 Mtge","GENERIC_TICKER_VINTAGE")</f>
        <v>FNCL 6 2025</v>
      </c>
      <c r="D2989" t="str">
        <f>_xll.BDP("FNDD5935 Mtge","CRNCY")</f>
        <v>USD</v>
      </c>
      <c r="E2989">
        <v>1811936</v>
      </c>
      <c r="F2989">
        <f>_xll.BDP("FNDD5935 Mtge","CPN")</f>
        <v>6</v>
      </c>
      <c r="G2989">
        <f>_xll.BDP("FNDD5935 Mtge","MTG_FACTOR")</f>
        <v>0.98821378999999998</v>
      </c>
      <c r="H2989">
        <f>_xll.BDP("FNDD5935 Mtge","MTG_WAL")</f>
        <v>3.2446999999999999</v>
      </c>
      <c r="I2989" t="str">
        <f>_xll.BDP("FNDD5935 Mtge","MTG_ORIG_WAL")</f>
        <v>#N/A N/A</v>
      </c>
    </row>
    <row r="2990" spans="1:9" x14ac:dyDescent="0.25">
      <c r="A2990" t="str">
        <f>_xll.BDP("FNDD5936 Mtge","ID_CUSIP")</f>
        <v>3140B6S22</v>
      </c>
      <c r="B2990" t="str">
        <f>_xll.BDP("FNDD5936 Mtge","SECURITY_NAME")</f>
        <v>FN DD5936</v>
      </c>
      <c r="C2990" t="str">
        <f>_xll.BDP("FNDD5936 Mtge","GENERIC_TICKER_VINTAGE")</f>
        <v>FNCL 6 2025</v>
      </c>
      <c r="D2990" t="str">
        <f>_xll.BDP("FNDD5936 Mtge","CRNCY")</f>
        <v>USD</v>
      </c>
      <c r="E2990">
        <v>1357134</v>
      </c>
      <c r="F2990">
        <f>_xll.BDP("FNDD5936 Mtge","CPN")</f>
        <v>6</v>
      </c>
      <c r="G2990">
        <f>_xll.BDP("FNDD5936 Mtge","MTG_FACTOR")</f>
        <v>0.99037489000000001</v>
      </c>
      <c r="H2990">
        <f>_xll.BDP("FNDD5936 Mtge","MTG_WAL")</f>
        <v>3.2488999999999999</v>
      </c>
      <c r="I2990" t="str">
        <f>_xll.BDP("FNDD5936 Mtge","MTG_ORIG_WAL")</f>
        <v>#N/A N/A</v>
      </c>
    </row>
    <row r="2991" spans="1:9" x14ac:dyDescent="0.25">
      <c r="A2991" t="str">
        <f>_xll.BDP("FNDD5940 Mtge","ID_CUSIP")</f>
        <v>3140B6S63</v>
      </c>
      <c r="B2991" t="str">
        <f>_xll.BDP("FNDD5940 Mtge","SECURITY_NAME")</f>
        <v>FN DD5940</v>
      </c>
      <c r="C2991" t="str">
        <f>_xll.BDP("FNDD5940 Mtge","GENERIC_TICKER_VINTAGE")</f>
        <v>FNCL 6 2025</v>
      </c>
      <c r="D2991" t="str">
        <f>_xll.BDP("FNDD5940 Mtge","CRNCY")</f>
        <v>USD</v>
      </c>
      <c r="E2991">
        <v>2560500</v>
      </c>
      <c r="F2991">
        <f>_xll.BDP("FNDD5940 Mtge","CPN")</f>
        <v>6</v>
      </c>
      <c r="G2991">
        <f>_xll.BDP("FNDD5940 Mtge","MTG_FACTOR")</f>
        <v>0.70591718000000003</v>
      </c>
      <c r="H2991">
        <f>_xll.BDP("FNDD5940 Mtge","MTG_WAL")</f>
        <v>3.2463000000000002</v>
      </c>
      <c r="I2991" t="str">
        <f>_xll.BDP("FNDD5940 Mtge","MTG_ORIG_WAL")</f>
        <v>#N/A N/A</v>
      </c>
    </row>
    <row r="2992" spans="1:9" x14ac:dyDescent="0.25">
      <c r="A2992" t="str">
        <f>_xll.BDP("FNDD5949 Mtge","ID_CUSIP")</f>
        <v>3140B6TF2</v>
      </c>
      <c r="B2992" t="str">
        <f>_xll.BDP("FNDD5949 Mtge","SECURITY_NAME")</f>
        <v>FN DD5949</v>
      </c>
      <c r="C2992" t="str">
        <f>_xll.BDP("FNDD5949 Mtge","GENERIC_TICKER_VINTAGE")</f>
        <v>FNCL 6 2025</v>
      </c>
      <c r="D2992" t="str">
        <f>_xll.BDP("FNDD5949 Mtge","CRNCY")</f>
        <v>USD</v>
      </c>
      <c r="E2992">
        <v>1128000</v>
      </c>
      <c r="F2992">
        <f>_xll.BDP("FNDD5949 Mtge","CPN")</f>
        <v>6</v>
      </c>
      <c r="G2992">
        <f>_xll.BDP("FNDD5949 Mtge","MTG_FACTOR")</f>
        <v>0.97718704999999995</v>
      </c>
      <c r="H2992">
        <f>_xll.BDP("FNDD5949 Mtge","MTG_WAL")</f>
        <v>3.2381000000000002</v>
      </c>
      <c r="I2992" t="str">
        <f>_xll.BDP("FNDD5949 Mtge","MTG_ORIG_WAL")</f>
        <v>#N/A N/A</v>
      </c>
    </row>
    <row r="2993" spans="1:9" x14ac:dyDescent="0.25">
      <c r="A2993" t="str">
        <f>_xll.BDP("FNDD5950 Mtge","ID_CUSIP")</f>
        <v>3140B6TG0</v>
      </c>
      <c r="B2993" t="str">
        <f>_xll.BDP("FNDD5950 Mtge","SECURITY_NAME")</f>
        <v>FN DD5950</v>
      </c>
      <c r="C2993" t="str">
        <f>_xll.BDP("FNDD5950 Mtge","GENERIC_TICKER_VINTAGE")</f>
        <v>FNCL 6 2025</v>
      </c>
      <c r="D2993" t="str">
        <f>_xll.BDP("FNDD5950 Mtge","CRNCY")</f>
        <v>USD</v>
      </c>
      <c r="E2993">
        <v>1010495</v>
      </c>
      <c r="F2993">
        <f>_xll.BDP("FNDD5950 Mtge","CPN")</f>
        <v>6</v>
      </c>
      <c r="G2993">
        <f>_xll.BDP("FNDD5950 Mtge","MTG_FACTOR")</f>
        <v>0.85243444999999995</v>
      </c>
      <c r="H2993">
        <f>_xll.BDP("FNDD5950 Mtge","MTG_WAL")</f>
        <v>3.2439</v>
      </c>
      <c r="I2993" t="str">
        <f>_xll.BDP("FNDD5950 Mtge","MTG_ORIG_WAL")</f>
        <v>#N/A N/A</v>
      </c>
    </row>
    <row r="2994" spans="1:9" x14ac:dyDescent="0.25">
      <c r="A2994" t="str">
        <f>_xll.BDP("FNDD5951 Mtge","ID_CUSIP")</f>
        <v>3140B6TH8</v>
      </c>
      <c r="B2994" t="str">
        <f>_xll.BDP("FNDD5951 Mtge","SECURITY_NAME")</f>
        <v>FN DD5951</v>
      </c>
      <c r="C2994" t="str">
        <f>_xll.BDP("FNDD5951 Mtge","GENERIC_TICKER_VINTAGE")</f>
        <v>FNCL 6 2025</v>
      </c>
      <c r="D2994" t="str">
        <f>_xll.BDP("FNDD5951 Mtge","CRNCY")</f>
        <v>USD</v>
      </c>
      <c r="E2994">
        <v>1317722</v>
      </c>
      <c r="F2994">
        <f>_xll.BDP("FNDD5951 Mtge","CPN")</f>
        <v>6</v>
      </c>
      <c r="G2994">
        <f>_xll.BDP("FNDD5951 Mtge","MTG_FACTOR")</f>
        <v>0.98677895999999998</v>
      </c>
      <c r="H2994">
        <f>_xll.BDP("FNDD5951 Mtge","MTG_WAL")</f>
        <v>3.2446000000000002</v>
      </c>
      <c r="I2994" t="str">
        <f>_xll.BDP("FNDD5951 Mtge","MTG_ORIG_WAL")</f>
        <v>#N/A N/A</v>
      </c>
    </row>
    <row r="2995" spans="1:9" x14ac:dyDescent="0.25">
      <c r="A2995" t="str">
        <f>_xll.BDP("FNDD5952 Mtge","ID_CUSIP")</f>
        <v>3140B6TJ4</v>
      </c>
      <c r="B2995" t="str">
        <f>_xll.BDP("FNDD5952 Mtge","SECURITY_NAME")</f>
        <v>FN DD5952</v>
      </c>
      <c r="C2995" t="str">
        <f>_xll.BDP("FNDD5952 Mtge","GENERIC_TICKER_VINTAGE")</f>
        <v>FNCL 6 2025</v>
      </c>
      <c r="D2995" t="str">
        <f>_xll.BDP("FNDD5952 Mtge","CRNCY")</f>
        <v>USD</v>
      </c>
      <c r="E2995">
        <v>1864500</v>
      </c>
      <c r="F2995">
        <f>_xll.BDP("FNDD5952 Mtge","CPN")</f>
        <v>6</v>
      </c>
      <c r="G2995">
        <f>_xll.BDP("FNDD5952 Mtge","MTG_FACTOR")</f>
        <v>0.82042981999999998</v>
      </c>
      <c r="H2995">
        <f>_xll.BDP("FNDD5952 Mtge","MTG_WAL")</f>
        <v>3.2435999999999998</v>
      </c>
      <c r="I2995" t="str">
        <f>_xll.BDP("FNDD5952 Mtge","MTG_ORIG_WAL")</f>
        <v>#N/A N/A</v>
      </c>
    </row>
    <row r="2996" spans="1:9" x14ac:dyDescent="0.25">
      <c r="A2996" t="str">
        <f>_xll.BDP("FNDD5953 Mtge","ID_CUSIP")</f>
        <v>3140B6TK1</v>
      </c>
      <c r="B2996" t="str">
        <f>_xll.BDP("FNDD5953 Mtge","SECURITY_NAME")</f>
        <v>FN DD5953</v>
      </c>
      <c r="C2996" t="str">
        <f>_xll.BDP("FNDD5953 Mtge","GENERIC_TICKER_VINTAGE")</f>
        <v>FNCL 6 2025</v>
      </c>
      <c r="D2996" t="str">
        <f>_xll.BDP("FNDD5953 Mtge","CRNCY")</f>
        <v>USD</v>
      </c>
      <c r="E2996">
        <v>1031025</v>
      </c>
      <c r="F2996">
        <f>_xll.BDP("FNDD5953 Mtge","CPN")</f>
        <v>6</v>
      </c>
      <c r="G2996">
        <f>_xll.BDP("FNDD5953 Mtge","MTG_FACTOR")</f>
        <v>0.98886636999999999</v>
      </c>
      <c r="H2996">
        <f>_xll.BDP("FNDD5953 Mtge","MTG_WAL")</f>
        <v>3.2464</v>
      </c>
      <c r="I2996" t="str">
        <f>_xll.BDP("FNDD5953 Mtge","MTG_ORIG_WAL")</f>
        <v>#N/A N/A</v>
      </c>
    </row>
    <row r="2997" spans="1:9" x14ac:dyDescent="0.25">
      <c r="A2997" t="str">
        <f>_xll.BDP("FNDD5965 Mtge","ID_CUSIP")</f>
        <v>3140B6TX3</v>
      </c>
      <c r="B2997" t="str">
        <f>_xll.BDP("FNDD5965 Mtge","SECURITY_NAME")</f>
        <v>FN DD5965</v>
      </c>
      <c r="C2997" t="str">
        <f>_xll.BDP("FNDD5965 Mtge","GENERIC_TICKER_VINTAGE")</f>
        <v>FNCL 6 2025</v>
      </c>
      <c r="D2997" t="str">
        <f>_xll.BDP("FNDD5965 Mtge","CRNCY")</f>
        <v>USD</v>
      </c>
      <c r="E2997">
        <v>1134925</v>
      </c>
      <c r="F2997">
        <f>_xll.BDP("FNDD5965 Mtge","CPN")</f>
        <v>6</v>
      </c>
      <c r="G2997">
        <f>_xll.BDP("FNDD5965 Mtge","MTG_FACTOR")</f>
        <v>0.86401150000000004</v>
      </c>
      <c r="H2997">
        <f>_xll.BDP("FNDD5965 Mtge","MTG_WAL")</f>
        <v>3.2473000000000001</v>
      </c>
      <c r="I2997" t="str">
        <f>_xll.BDP("FNDD5965 Mtge","MTG_ORIG_WAL")</f>
        <v>#N/A N/A</v>
      </c>
    </row>
    <row r="2998" spans="1:9" x14ac:dyDescent="0.25">
      <c r="A2998" t="str">
        <f>_xll.BDP("FNDD5971 Mtge","ID_CUSIP")</f>
        <v>3140B6T54</v>
      </c>
      <c r="B2998" t="str">
        <f>_xll.BDP("FNDD5971 Mtge","SECURITY_NAME")</f>
        <v>FN DD5971</v>
      </c>
      <c r="C2998" t="str">
        <f>_xll.BDP("FNDD5971 Mtge","GENERIC_TICKER_VINTAGE")</f>
        <v>FNCL 6 2025</v>
      </c>
      <c r="D2998" t="str">
        <f>_xll.BDP("FNDD5971 Mtge","CRNCY")</f>
        <v>USD</v>
      </c>
      <c r="E2998">
        <v>2278285</v>
      </c>
      <c r="F2998">
        <f>_xll.BDP("FNDD5971 Mtge","CPN")</f>
        <v>6</v>
      </c>
      <c r="G2998">
        <f>_xll.BDP("FNDD5971 Mtge","MTG_FACTOR")</f>
        <v>0.93131580000000003</v>
      </c>
      <c r="H2998">
        <f>_xll.BDP("FNDD5971 Mtge","MTG_WAL")</f>
        <v>3.2448000000000001</v>
      </c>
      <c r="I2998" t="str">
        <f>_xll.BDP("FNDD5971 Mtge","MTG_ORIG_WAL")</f>
        <v>#N/A N/A</v>
      </c>
    </row>
    <row r="2999" spans="1:9" x14ac:dyDescent="0.25">
      <c r="A2999" t="str">
        <f>_xll.BDP("FNDD5972 Mtge","ID_CUSIP")</f>
        <v>3140B6T62</v>
      </c>
      <c r="B2999" t="str">
        <f>_xll.BDP("FNDD5972 Mtge","SECURITY_NAME")</f>
        <v>FN DD5972</v>
      </c>
      <c r="C2999" t="str">
        <f>_xll.BDP("FNDD5972 Mtge","GENERIC_TICKER_VINTAGE")</f>
        <v>FNCL 6 2025</v>
      </c>
      <c r="D2999" t="str">
        <f>_xll.BDP("FNDD5972 Mtge","CRNCY")</f>
        <v>USD</v>
      </c>
      <c r="E2999">
        <v>1124420</v>
      </c>
      <c r="F2999">
        <f>_xll.BDP("FNDD5972 Mtge","CPN")</f>
        <v>6</v>
      </c>
      <c r="G2999">
        <f>_xll.BDP("FNDD5972 Mtge","MTG_FACTOR")</f>
        <v>0.72933484999999998</v>
      </c>
      <c r="H2999">
        <f>_xll.BDP("FNDD5972 Mtge","MTG_WAL")</f>
        <v>3.2473999999999998</v>
      </c>
      <c r="I2999" t="str">
        <f>_xll.BDP("FNDD5972 Mtge","MTG_ORIG_WAL")</f>
        <v>#N/A N/A</v>
      </c>
    </row>
    <row r="3000" spans="1:9" x14ac:dyDescent="0.25">
      <c r="A3000" t="str">
        <f>_xll.BDP("FNDD5975 Mtge","ID_CUSIP")</f>
        <v>3140B6T96</v>
      </c>
      <c r="B3000" t="str">
        <f>_xll.BDP("FNDD5975 Mtge","SECURITY_NAME")</f>
        <v>FN DD5975</v>
      </c>
      <c r="C3000" t="str">
        <f>_xll.BDP("FNDD5975 Mtge","GENERIC_TICKER_VINTAGE")</f>
        <v>FNCL 6 2025</v>
      </c>
      <c r="D3000" t="str">
        <f>_xll.BDP("FNDD5975 Mtge","CRNCY")</f>
        <v>USD</v>
      </c>
      <c r="E3000">
        <v>1259301</v>
      </c>
      <c r="F3000">
        <f>_xll.BDP("FNDD5975 Mtge","CPN")</f>
        <v>6</v>
      </c>
      <c r="G3000">
        <f>_xll.BDP("FNDD5975 Mtge","MTG_FACTOR")</f>
        <v>0.97927452999999998</v>
      </c>
      <c r="H3000">
        <f>_xll.BDP("FNDD5975 Mtge","MTG_WAL")</f>
        <v>3.2395</v>
      </c>
      <c r="I3000" t="str">
        <f>_xll.BDP("FNDD5975 Mtge","MTG_ORIG_WAL")</f>
        <v>#N/A N/A</v>
      </c>
    </row>
    <row r="3001" spans="1:9" x14ac:dyDescent="0.25">
      <c r="A3001" t="str">
        <f>_xll.BDP("FNDD5976 Mtge","ID_CUSIP")</f>
        <v>3140B6UA1</v>
      </c>
      <c r="B3001" t="str">
        <f>_xll.BDP("FNDD5976 Mtge","SECURITY_NAME")</f>
        <v>FN DD5976</v>
      </c>
      <c r="C3001" t="str">
        <f>_xll.BDP("FNDD5976 Mtge","GENERIC_TICKER_VINTAGE")</f>
        <v>FNCL 6 2025</v>
      </c>
      <c r="D3001" t="str">
        <f>_xll.BDP("FNDD5976 Mtge","CRNCY")</f>
        <v>USD</v>
      </c>
      <c r="E3001">
        <v>1000550</v>
      </c>
      <c r="F3001">
        <f>_xll.BDP("FNDD5976 Mtge","CPN")</f>
        <v>6</v>
      </c>
      <c r="G3001">
        <f>_xll.BDP("FNDD5976 Mtge","MTG_FACTOR")</f>
        <v>0.98736113999999997</v>
      </c>
      <c r="H3001">
        <f>_xll.BDP("FNDD5976 Mtge","MTG_WAL")</f>
        <v>3.2440000000000002</v>
      </c>
      <c r="I3001" t="str">
        <f>_xll.BDP("FNDD5976 Mtge","MTG_ORIG_WAL")</f>
        <v>#N/A N/A</v>
      </c>
    </row>
    <row r="3002" spans="1:9" x14ac:dyDescent="0.25">
      <c r="A3002" t="str">
        <f>_xll.BDP("FNDD5992 Mtge","ID_CUSIP")</f>
        <v>3140B6US2</v>
      </c>
      <c r="B3002" t="str">
        <f>_xll.BDP("FNDD5992 Mtge","SECURITY_NAME")</f>
        <v>FN DD5992</v>
      </c>
      <c r="C3002" t="str">
        <f>_xll.BDP("FNDD5992 Mtge","GENERIC_TICKER_VINTAGE")</f>
        <v>FNCL 6 2025</v>
      </c>
      <c r="D3002" t="str">
        <f>_xll.BDP("FNDD5992 Mtge","CRNCY")</f>
        <v>USD</v>
      </c>
      <c r="E3002">
        <v>1250000</v>
      </c>
      <c r="F3002">
        <f>_xll.BDP("FNDD5992 Mtge","CPN")</f>
        <v>6</v>
      </c>
      <c r="G3002">
        <f>_xll.BDP("FNDD5992 Mtge","MTG_FACTOR")</f>
        <v>0.99047333999999998</v>
      </c>
      <c r="H3002">
        <f>_xll.BDP("FNDD5992 Mtge","MTG_WAL")</f>
        <v>3.2481</v>
      </c>
      <c r="I3002" t="str">
        <f>_xll.BDP("FNDD5992 Mtge","MTG_ORIG_WAL")</f>
        <v>#N/A N/A</v>
      </c>
    </row>
    <row r="3003" spans="1:9" x14ac:dyDescent="0.25">
      <c r="A3003" t="str">
        <f>_xll.BDP("FNDD5994 Mtge","ID_CUSIP")</f>
        <v>3140B6UU7</v>
      </c>
      <c r="B3003" t="str">
        <f>_xll.BDP("FNDD5994 Mtge","SECURITY_NAME")</f>
        <v>FN DD5994</v>
      </c>
      <c r="C3003" t="str">
        <f>_xll.BDP("FNDD5994 Mtge","GENERIC_TICKER_VINTAGE")</f>
        <v>FNCL 6 2025</v>
      </c>
      <c r="D3003" t="str">
        <f>_xll.BDP("FNDD5994 Mtge","CRNCY")</f>
        <v>USD</v>
      </c>
      <c r="E3003">
        <v>1689748</v>
      </c>
      <c r="F3003">
        <f>_xll.BDP("FNDD5994 Mtge","CPN")</f>
        <v>6</v>
      </c>
      <c r="G3003">
        <f>_xll.BDP("FNDD5994 Mtge","MTG_FACTOR")</f>
        <v>0.95761448000000005</v>
      </c>
      <c r="H3003">
        <f>_xll.BDP("FNDD5994 Mtge","MTG_WAL")</f>
        <v>3.2959999999999998</v>
      </c>
      <c r="I3003" t="str">
        <f>_xll.BDP("FNDD5994 Mtge","MTG_ORIG_WAL")</f>
        <v>#N/A N/A</v>
      </c>
    </row>
    <row r="3004" spans="1:9" x14ac:dyDescent="0.25">
      <c r="A3004" t="str">
        <f>_xll.BDP("FNDD5995 Mtge","ID_CUSIP")</f>
        <v>3140B6UV5</v>
      </c>
      <c r="B3004" t="str">
        <f>_xll.BDP("FNDD5995 Mtge","SECURITY_NAME")</f>
        <v>FN DD5995</v>
      </c>
      <c r="C3004" t="str">
        <f>_xll.BDP("FNDD5995 Mtge","GENERIC_TICKER_VINTAGE")</f>
        <v>FNCL 6 2025</v>
      </c>
      <c r="D3004" t="str">
        <f>_xll.BDP("FNDD5995 Mtge","CRNCY")</f>
        <v>USD</v>
      </c>
      <c r="E3004">
        <v>1167250</v>
      </c>
      <c r="F3004">
        <f>_xll.BDP("FNDD5995 Mtge","CPN")</f>
        <v>6</v>
      </c>
      <c r="G3004">
        <f>_xll.BDP("FNDD5995 Mtge","MTG_FACTOR")</f>
        <v>0.91427188999999998</v>
      </c>
      <c r="H3004">
        <f>_xll.BDP("FNDD5995 Mtge","MTG_WAL")</f>
        <v>3.2042999999999999</v>
      </c>
      <c r="I3004" t="str">
        <f>_xll.BDP("FNDD5995 Mtge","MTG_ORIG_WAL")</f>
        <v>#N/A N/A</v>
      </c>
    </row>
    <row r="3005" spans="1:9" x14ac:dyDescent="0.25">
      <c r="A3005" t="str">
        <f>_xll.BDP("FNDD6000 Mtge","ID_CUSIP")</f>
        <v>3140B6U29</v>
      </c>
      <c r="B3005" t="str">
        <f>_xll.BDP("FNDD6000 Mtge","SECURITY_NAME")</f>
        <v>FN DD6000</v>
      </c>
      <c r="C3005" t="str">
        <f>_xll.BDP("FNDD6000 Mtge","GENERIC_TICKER_VINTAGE")</f>
        <v>FNCL 6 2025</v>
      </c>
      <c r="D3005" t="str">
        <f>_xll.BDP("FNDD6000 Mtge","CRNCY")</f>
        <v>USD</v>
      </c>
      <c r="E3005">
        <v>1205055</v>
      </c>
      <c r="F3005">
        <f>_xll.BDP("FNDD6000 Mtge","CPN")</f>
        <v>6</v>
      </c>
      <c r="G3005">
        <f>_xll.BDP("FNDD6000 Mtge","MTG_FACTOR")</f>
        <v>0.98863880999999998</v>
      </c>
      <c r="H3005">
        <f>_xll.BDP("FNDD6000 Mtge","MTG_WAL")</f>
        <v>3.2423000000000002</v>
      </c>
      <c r="I3005" t="str">
        <f>_xll.BDP("FNDD6000 Mtge","MTG_ORIG_WAL")</f>
        <v>#N/A N/A</v>
      </c>
    </row>
    <row r="3006" spans="1:9" x14ac:dyDescent="0.25">
      <c r="A3006" t="str">
        <f>_xll.BDP("FNDD6001 Mtge","ID_CUSIP")</f>
        <v>3140B6U37</v>
      </c>
      <c r="B3006" t="str">
        <f>_xll.BDP("FNDD6001 Mtge","SECURITY_NAME")</f>
        <v>FN DD6001</v>
      </c>
      <c r="C3006" t="str">
        <f>_xll.BDP("FNDD6001 Mtge","GENERIC_TICKER_VINTAGE")</f>
        <v>FNCL 6 2025</v>
      </c>
      <c r="D3006" t="str">
        <f>_xll.BDP("FNDD6001 Mtge","CRNCY")</f>
        <v>USD</v>
      </c>
      <c r="E3006">
        <v>1408095</v>
      </c>
      <c r="F3006">
        <f>_xll.BDP("FNDD6001 Mtge","CPN")</f>
        <v>6</v>
      </c>
      <c r="G3006">
        <f>_xll.BDP("FNDD6001 Mtge","MTG_FACTOR")</f>
        <v>0.89340456000000001</v>
      </c>
      <c r="H3006">
        <f>_xll.BDP("FNDD6001 Mtge","MTG_WAL")</f>
        <v>3.2498999999999998</v>
      </c>
      <c r="I3006" t="str">
        <f>_xll.BDP("FNDD6001 Mtge","MTG_ORIG_WAL")</f>
        <v>#N/A N/A</v>
      </c>
    </row>
    <row r="3007" spans="1:9" x14ac:dyDescent="0.25">
      <c r="A3007" t="str">
        <f>_xll.BDP("FNDD6002 Mtge","ID_CUSIP")</f>
        <v>3140B6U45</v>
      </c>
      <c r="B3007" t="str">
        <f>_xll.BDP("FNDD6002 Mtge","SECURITY_NAME")</f>
        <v>FN DD6002</v>
      </c>
      <c r="C3007" t="str">
        <f>_xll.BDP("FNDD6002 Mtge","GENERIC_TICKER_VINTAGE")</f>
        <v>FNCL 6 2025</v>
      </c>
      <c r="D3007" t="str">
        <f>_xll.BDP("FNDD6002 Mtge","CRNCY")</f>
        <v>USD</v>
      </c>
      <c r="E3007">
        <v>2320340</v>
      </c>
      <c r="F3007">
        <f>_xll.BDP("FNDD6002 Mtge","CPN")</f>
        <v>6</v>
      </c>
      <c r="G3007">
        <f>_xll.BDP("FNDD6002 Mtge","MTG_FACTOR")</f>
        <v>0.98939916999999999</v>
      </c>
      <c r="H3007">
        <f>_xll.BDP("FNDD6002 Mtge","MTG_WAL")</f>
        <v>3.2892999999999999</v>
      </c>
      <c r="I3007" t="str">
        <f>_xll.BDP("FNDD6002 Mtge","MTG_ORIG_WAL")</f>
        <v>#N/A N/A</v>
      </c>
    </row>
    <row r="3008" spans="1:9" x14ac:dyDescent="0.25">
      <c r="A3008" t="str">
        <f>_xll.BDP("FNDD6003 Mtge","ID_CUSIP")</f>
        <v>3140B6U52</v>
      </c>
      <c r="B3008" t="str">
        <f>_xll.BDP("FNDD6003 Mtge","SECURITY_NAME")</f>
        <v>FN DD6003</v>
      </c>
      <c r="C3008" t="str">
        <f>_xll.BDP("FNDD6003 Mtge","GENERIC_TICKER_VINTAGE")</f>
        <v>FNCL 6 2025</v>
      </c>
      <c r="D3008" t="str">
        <f>_xll.BDP("FNDD6003 Mtge","CRNCY")</f>
        <v>USD</v>
      </c>
      <c r="E3008">
        <v>1312685</v>
      </c>
      <c r="F3008">
        <f>_xll.BDP("FNDD6003 Mtge","CPN")</f>
        <v>6</v>
      </c>
      <c r="G3008">
        <f>_xll.BDP("FNDD6003 Mtge","MTG_FACTOR")</f>
        <v>0.82628986000000004</v>
      </c>
      <c r="H3008">
        <f>_xll.BDP("FNDD6003 Mtge","MTG_WAL")</f>
        <v>3.1856</v>
      </c>
      <c r="I3008" t="str">
        <f>_xll.BDP("FNDD6003 Mtge","MTG_ORIG_WAL")</f>
        <v>#N/A N/A</v>
      </c>
    </row>
    <row r="3009" spans="1:9" x14ac:dyDescent="0.25">
      <c r="A3009" t="str">
        <f>_xll.BDP("FNDD6004 Mtge","ID_CUSIP")</f>
        <v>3140B6U60</v>
      </c>
      <c r="B3009" t="str">
        <f>_xll.BDP("FNDD6004 Mtge","SECURITY_NAME")</f>
        <v>FN DD6004</v>
      </c>
      <c r="C3009" t="str">
        <f>_xll.BDP("FNDD6004 Mtge","GENERIC_TICKER_VINTAGE")</f>
        <v>FNCL 6 2025</v>
      </c>
      <c r="D3009" t="str">
        <f>_xll.BDP("FNDD6004 Mtge","CRNCY")</f>
        <v>USD</v>
      </c>
      <c r="E3009">
        <v>1309550</v>
      </c>
      <c r="F3009">
        <f>_xll.BDP("FNDD6004 Mtge","CPN")</f>
        <v>6</v>
      </c>
      <c r="G3009">
        <f>_xll.BDP("FNDD6004 Mtge","MTG_FACTOR")</f>
        <v>0.80240418000000002</v>
      </c>
      <c r="H3009">
        <f>_xll.BDP("FNDD6004 Mtge","MTG_WAL")</f>
        <v>3.1865000000000001</v>
      </c>
      <c r="I3009" t="str">
        <f>_xll.BDP("FNDD6004 Mtge","MTG_ORIG_WAL")</f>
        <v>#N/A N/A</v>
      </c>
    </row>
    <row r="3010" spans="1:9" x14ac:dyDescent="0.25">
      <c r="A3010" t="str">
        <f>_xll.BDP("FNDD6005 Mtge","ID_CUSIP")</f>
        <v>3140B6U78</v>
      </c>
      <c r="B3010" t="str">
        <f>_xll.BDP("FNDD6005 Mtge","SECURITY_NAME")</f>
        <v>FN DD6005</v>
      </c>
      <c r="C3010" t="str">
        <f>_xll.BDP("FNDD6005 Mtge","GENERIC_TICKER_VINTAGE")</f>
        <v>FNCL 6 2025</v>
      </c>
      <c r="D3010" t="str">
        <f>_xll.BDP("FNDD6005 Mtge","CRNCY")</f>
        <v>USD</v>
      </c>
      <c r="E3010">
        <v>1152750</v>
      </c>
      <c r="F3010">
        <f>_xll.BDP("FNDD6005 Mtge","CPN")</f>
        <v>6</v>
      </c>
      <c r="G3010">
        <f>_xll.BDP("FNDD6005 Mtge","MTG_FACTOR")</f>
        <v>0.98952741</v>
      </c>
      <c r="H3010">
        <f>_xll.BDP("FNDD6005 Mtge","MTG_WAL")</f>
        <v>3.2065000000000001</v>
      </c>
      <c r="I3010" t="str">
        <f>_xll.BDP("FNDD6005 Mtge","MTG_ORIG_WAL")</f>
        <v>#N/A N/A</v>
      </c>
    </row>
    <row r="3011" spans="1:9" x14ac:dyDescent="0.25">
      <c r="A3011" t="str">
        <f>_xll.BDP("FNDD6006 Mtge","ID_CUSIP")</f>
        <v>3140B6U86</v>
      </c>
      <c r="B3011" t="str">
        <f>_xll.BDP("FNDD6006 Mtge","SECURITY_NAME")</f>
        <v>FN DD6006</v>
      </c>
      <c r="C3011" t="str">
        <f>_xll.BDP("FNDD6006 Mtge","GENERIC_TICKER_VINTAGE")</f>
        <v>FNCL 6 2025</v>
      </c>
      <c r="D3011" t="str">
        <f>_xll.BDP("FNDD6006 Mtge","CRNCY")</f>
        <v>USD</v>
      </c>
      <c r="E3011">
        <v>1865460</v>
      </c>
      <c r="F3011">
        <f>_xll.BDP("FNDD6006 Mtge","CPN")</f>
        <v>6</v>
      </c>
      <c r="G3011">
        <f>_xll.BDP("FNDD6006 Mtge","MTG_FACTOR")</f>
        <v>0.89826941000000005</v>
      </c>
      <c r="H3011">
        <f>_xll.BDP("FNDD6006 Mtge","MTG_WAL")</f>
        <v>3.2317999999999998</v>
      </c>
      <c r="I3011" t="str">
        <f>_xll.BDP("FNDD6006 Mtge","MTG_ORIG_WAL")</f>
        <v>#N/A N/A</v>
      </c>
    </row>
    <row r="3012" spans="1:9" x14ac:dyDescent="0.25">
      <c r="A3012" t="str">
        <f>_xll.BDP("FNDD6007 Mtge","ID_CUSIP")</f>
        <v>3140B6U94</v>
      </c>
      <c r="B3012" t="str">
        <f>_xll.BDP("FNDD6007 Mtge","SECURITY_NAME")</f>
        <v>FN DD6007</v>
      </c>
      <c r="C3012" t="str">
        <f>_xll.BDP("FNDD6007 Mtge","GENERIC_TICKER_VINTAGE")</f>
        <v>FNCL 6 2025</v>
      </c>
      <c r="D3012" t="str">
        <f>_xll.BDP("FNDD6007 Mtge","CRNCY")</f>
        <v>USD</v>
      </c>
      <c r="E3012">
        <v>1377139</v>
      </c>
      <c r="F3012">
        <f>_xll.BDP("FNDD6007 Mtge","CPN")</f>
        <v>6</v>
      </c>
      <c r="G3012">
        <f>_xll.BDP("FNDD6007 Mtge","MTG_FACTOR")</f>
        <v>0.97658447999999998</v>
      </c>
      <c r="H3012">
        <f>_xll.BDP("FNDD6007 Mtge","MTG_WAL")</f>
        <v>3.2357</v>
      </c>
      <c r="I3012" t="str">
        <f>_xll.BDP("FNDD6007 Mtge","MTG_ORIG_WAL")</f>
        <v>#N/A N/A</v>
      </c>
    </row>
    <row r="3013" spans="1:9" x14ac:dyDescent="0.25">
      <c r="A3013" t="str">
        <f>_xll.BDP("FNDD6008 Mtge","ID_CUSIP")</f>
        <v>3140B6VA0</v>
      </c>
      <c r="B3013" t="str">
        <f>_xll.BDP("FNDD6008 Mtge","SECURITY_NAME")</f>
        <v>FN DD6008</v>
      </c>
      <c r="C3013" t="str">
        <f>_xll.BDP("FNDD6008 Mtge","GENERIC_TICKER_VINTAGE")</f>
        <v>FNCL 6 2025</v>
      </c>
      <c r="D3013" t="str">
        <f>_xll.BDP("FNDD6008 Mtge","CRNCY")</f>
        <v>USD</v>
      </c>
      <c r="E3013">
        <v>2167497</v>
      </c>
      <c r="F3013">
        <f>_xll.BDP("FNDD6008 Mtge","CPN")</f>
        <v>6</v>
      </c>
      <c r="G3013">
        <f>_xll.BDP("FNDD6008 Mtge","MTG_FACTOR")</f>
        <v>0.73510441999999998</v>
      </c>
      <c r="H3013">
        <f>_xll.BDP("FNDD6008 Mtge","MTG_WAL")</f>
        <v>3.2465999999999999</v>
      </c>
      <c r="I3013" t="str">
        <f>_xll.BDP("FNDD6008 Mtge","MTG_ORIG_WAL")</f>
        <v>#N/A N/A</v>
      </c>
    </row>
    <row r="3014" spans="1:9" x14ac:dyDescent="0.25">
      <c r="A3014" t="str">
        <f>_xll.BDP("FNDD6034 Mtge","ID_CUSIP")</f>
        <v>3140B6V44</v>
      </c>
      <c r="B3014" t="str">
        <f>_xll.BDP("FNDD6034 Mtge","SECURITY_NAME")</f>
        <v>FN DD6034</v>
      </c>
      <c r="C3014" t="str">
        <f>_xll.BDP("FNDD6034 Mtge","GENERIC_TICKER_VINTAGE")</f>
        <v>FNCL 6 2025</v>
      </c>
      <c r="D3014" t="str">
        <f>_xll.BDP("FNDD6034 Mtge","CRNCY")</f>
        <v>USD</v>
      </c>
      <c r="E3014">
        <v>1719756</v>
      </c>
      <c r="F3014">
        <f>_xll.BDP("FNDD6034 Mtge","CPN")</f>
        <v>6</v>
      </c>
      <c r="G3014">
        <f>_xll.BDP("FNDD6034 Mtge","MTG_FACTOR")</f>
        <v>0.85635662000000001</v>
      </c>
      <c r="H3014">
        <f>_xll.BDP("FNDD6034 Mtge","MTG_WAL")</f>
        <v>3.1953</v>
      </c>
      <c r="I3014" t="str">
        <f>_xll.BDP("FNDD6034 Mtge","MTG_ORIG_WAL")</f>
        <v>#N/A N/A</v>
      </c>
    </row>
    <row r="3015" spans="1:9" x14ac:dyDescent="0.25">
      <c r="A3015" t="str">
        <f>_xll.BDP("FNDD6035 Mtge","ID_CUSIP")</f>
        <v>3140B6V51</v>
      </c>
      <c r="B3015" t="str">
        <f>_xll.BDP("FNDD6035 Mtge","SECURITY_NAME")</f>
        <v>FN DD6035</v>
      </c>
      <c r="C3015" t="str">
        <f>_xll.BDP("FNDD6035 Mtge","GENERIC_TICKER_VINTAGE")</f>
        <v>FNCL 6 2025</v>
      </c>
      <c r="D3015" t="str">
        <f>_xll.BDP("FNDD6035 Mtge","CRNCY")</f>
        <v>USD</v>
      </c>
      <c r="E3015">
        <v>1147065</v>
      </c>
      <c r="F3015">
        <f>_xll.BDP("FNDD6035 Mtge","CPN")</f>
        <v>6</v>
      </c>
      <c r="G3015">
        <f>_xll.BDP("FNDD6035 Mtge","MTG_FACTOR")</f>
        <v>0.98612226000000003</v>
      </c>
      <c r="H3015">
        <f>_xll.BDP("FNDD6035 Mtge","MTG_WAL")</f>
        <v>3.2018</v>
      </c>
      <c r="I3015" t="str">
        <f>_xll.BDP("FNDD6035 Mtge","MTG_ORIG_WAL")</f>
        <v>#N/A N/A</v>
      </c>
    </row>
    <row r="3016" spans="1:9" x14ac:dyDescent="0.25">
      <c r="A3016" t="str">
        <f>_xll.BDP("FNDD6036 Mtge","ID_CUSIP")</f>
        <v>3140B6V69</v>
      </c>
      <c r="B3016" t="str">
        <f>_xll.BDP("FNDD6036 Mtge","SECURITY_NAME")</f>
        <v>FN DD6036</v>
      </c>
      <c r="C3016" t="str">
        <f>_xll.BDP("FNDD6036 Mtge","GENERIC_TICKER_VINTAGE")</f>
        <v>FNCL 6 2025</v>
      </c>
      <c r="D3016" t="str">
        <f>_xll.BDP("FNDD6036 Mtge","CRNCY")</f>
        <v>USD</v>
      </c>
      <c r="E3016">
        <v>1062695</v>
      </c>
      <c r="F3016">
        <f>_xll.BDP("FNDD6036 Mtge","CPN")</f>
        <v>6</v>
      </c>
      <c r="G3016">
        <f>_xll.BDP("FNDD6036 Mtge","MTG_FACTOR")</f>
        <v>0.97103223000000005</v>
      </c>
      <c r="H3016">
        <f>_xll.BDP("FNDD6036 Mtge","MTG_WAL")</f>
        <v>3.1953</v>
      </c>
      <c r="I3016" t="str">
        <f>_xll.BDP("FNDD6036 Mtge","MTG_ORIG_WAL")</f>
        <v>#N/A N/A</v>
      </c>
    </row>
    <row r="3017" spans="1:9" x14ac:dyDescent="0.25">
      <c r="A3017" t="str">
        <f>_xll.BDP("FNDD6037 Mtge","ID_CUSIP")</f>
        <v>3140B6V77</v>
      </c>
      <c r="B3017" t="str">
        <f>_xll.BDP("FNDD6037 Mtge","SECURITY_NAME")</f>
        <v>FN DD6037</v>
      </c>
      <c r="C3017" t="str">
        <f>_xll.BDP("FNDD6037 Mtge","GENERIC_TICKER_VINTAGE")</f>
        <v>FNCL 6 2025</v>
      </c>
      <c r="D3017" t="str">
        <f>_xll.BDP("FNDD6037 Mtge","CRNCY")</f>
        <v>USD</v>
      </c>
      <c r="E3017">
        <v>1465244</v>
      </c>
      <c r="F3017">
        <f>_xll.BDP("FNDD6037 Mtge","CPN")</f>
        <v>6</v>
      </c>
      <c r="G3017">
        <f>_xll.BDP("FNDD6037 Mtge","MTG_FACTOR")</f>
        <v>0.90080386999999995</v>
      </c>
      <c r="H3017">
        <f>_xll.BDP("FNDD6037 Mtge","MTG_WAL")</f>
        <v>3.2482000000000002</v>
      </c>
      <c r="I3017" t="str">
        <f>_xll.BDP("FNDD6037 Mtge","MTG_ORIG_WAL")</f>
        <v>#N/A N/A</v>
      </c>
    </row>
    <row r="3018" spans="1:9" x14ac:dyDescent="0.25">
      <c r="A3018" t="str">
        <f>_xll.BDP("FNDD6064 Mtge","ID_CUSIP")</f>
        <v>3140B6W27</v>
      </c>
      <c r="B3018" t="str">
        <f>_xll.BDP("FNDD6064 Mtge","SECURITY_NAME")</f>
        <v>FN DD6064</v>
      </c>
      <c r="C3018" t="str">
        <f>_xll.BDP("FNDD6064 Mtge","GENERIC_TICKER_VINTAGE")</f>
        <v>FNCL 6 2025</v>
      </c>
      <c r="D3018" t="str">
        <f>_xll.BDP("FNDD6064 Mtge","CRNCY")</f>
        <v>USD</v>
      </c>
      <c r="E3018">
        <v>8437481</v>
      </c>
      <c r="F3018">
        <f>_xll.BDP("FNDD6064 Mtge","CPN")</f>
        <v>6</v>
      </c>
      <c r="G3018">
        <f>_xll.BDP("FNDD6064 Mtge","MTG_FACTOR")</f>
        <v>0.88710604000000004</v>
      </c>
      <c r="H3018">
        <f>_xll.BDP("FNDD6064 Mtge","MTG_WAL")</f>
        <v>3.1934</v>
      </c>
      <c r="I3018" t="str">
        <f>_xll.BDP("FNDD6064 Mtge","MTG_ORIG_WAL")</f>
        <v>#N/A N/A</v>
      </c>
    </row>
    <row r="3019" spans="1:9" x14ac:dyDescent="0.25">
      <c r="A3019" t="str">
        <f>_xll.BDP("FNDD6065 Mtge","ID_CUSIP")</f>
        <v>3140B6W35</v>
      </c>
      <c r="B3019" t="str">
        <f>_xll.BDP("FNDD6065 Mtge","SECURITY_NAME")</f>
        <v>FN DD6065</v>
      </c>
      <c r="C3019" t="str">
        <f>_xll.BDP("FNDD6065 Mtge","GENERIC_TICKER_VINTAGE")</f>
        <v>FNCL 6 2025</v>
      </c>
      <c r="D3019" t="str">
        <f>_xll.BDP("FNDD6065 Mtge","CRNCY")</f>
        <v>USD</v>
      </c>
      <c r="E3019">
        <v>2943540</v>
      </c>
      <c r="F3019">
        <f>_xll.BDP("FNDD6065 Mtge","CPN")</f>
        <v>6</v>
      </c>
      <c r="G3019">
        <f>_xll.BDP("FNDD6065 Mtge","MTG_FACTOR")</f>
        <v>0.86373151000000004</v>
      </c>
      <c r="H3019">
        <f>_xll.BDP("FNDD6065 Mtge","MTG_WAL")</f>
        <v>3.1934</v>
      </c>
      <c r="I3019" t="str">
        <f>_xll.BDP("FNDD6065 Mtge","MTG_ORIG_WAL")</f>
        <v>#N/A N/A</v>
      </c>
    </row>
    <row r="3020" spans="1:9" x14ac:dyDescent="0.25">
      <c r="A3020" t="str">
        <f>_xll.BDP("FNDD6067 Mtge","ID_CUSIP")</f>
        <v>3140B6W50</v>
      </c>
      <c r="B3020" t="str">
        <f>_xll.BDP("FNDD6067 Mtge","SECURITY_NAME")</f>
        <v>FN DD6067</v>
      </c>
      <c r="C3020" t="str">
        <f>_xll.BDP("FNDD6067 Mtge","GENERIC_TICKER_VINTAGE")</f>
        <v>FNCL 6 2025</v>
      </c>
      <c r="D3020" t="str">
        <f>_xll.BDP("FNDD6067 Mtge","CRNCY")</f>
        <v>USD</v>
      </c>
      <c r="E3020">
        <v>3152265</v>
      </c>
      <c r="F3020">
        <f>_xll.BDP("FNDD6067 Mtge","CPN")</f>
        <v>6</v>
      </c>
      <c r="G3020">
        <f>_xll.BDP("FNDD6067 Mtge","MTG_FACTOR")</f>
        <v>0.89332453999999994</v>
      </c>
      <c r="H3020">
        <f>_xll.BDP("FNDD6067 Mtge","MTG_WAL")</f>
        <v>3.2016</v>
      </c>
      <c r="I3020" t="str">
        <f>_xll.BDP("FNDD6067 Mtge","MTG_ORIG_WAL")</f>
        <v>#N/A N/A</v>
      </c>
    </row>
    <row r="3021" spans="1:9" x14ac:dyDescent="0.25">
      <c r="A3021" t="str">
        <f>_xll.BDP("FNDD6069 Mtge","ID_CUSIP")</f>
        <v>3140B6W76</v>
      </c>
      <c r="B3021" t="str">
        <f>_xll.BDP("FNDD6069 Mtge","SECURITY_NAME")</f>
        <v>FN DD6069</v>
      </c>
      <c r="C3021" t="str">
        <f>_xll.BDP("FNDD6069 Mtge","GENERIC_TICKER_VINTAGE")</f>
        <v>FNCL 6 2025</v>
      </c>
      <c r="D3021" t="str">
        <f>_xll.BDP("FNDD6069 Mtge","CRNCY")</f>
        <v>USD</v>
      </c>
      <c r="E3021">
        <v>5695200</v>
      </c>
      <c r="F3021">
        <f>_xll.BDP("FNDD6069 Mtge","CPN")</f>
        <v>6</v>
      </c>
      <c r="G3021">
        <f>_xll.BDP("FNDD6069 Mtge","MTG_FACTOR")</f>
        <v>0.89867441000000003</v>
      </c>
      <c r="H3021">
        <f>_xll.BDP("FNDD6069 Mtge","MTG_WAL")</f>
        <v>3.1941000000000002</v>
      </c>
      <c r="I3021" t="str">
        <f>_xll.BDP("FNDD6069 Mtge","MTG_ORIG_WAL")</f>
        <v>#N/A N/A</v>
      </c>
    </row>
    <row r="3022" spans="1:9" x14ac:dyDescent="0.25">
      <c r="A3022" t="str">
        <f>_xll.BDP("FNDD6070 Mtge","ID_CUSIP")</f>
        <v>3140B6W84</v>
      </c>
      <c r="B3022" t="str">
        <f>_xll.BDP("FNDD6070 Mtge","SECURITY_NAME")</f>
        <v>FN DD6070</v>
      </c>
      <c r="C3022" t="str">
        <f>_xll.BDP("FNDD6070 Mtge","GENERIC_TICKER_VINTAGE")</f>
        <v>FNCL 6 2025</v>
      </c>
      <c r="D3022" t="str">
        <f>_xll.BDP("FNDD6070 Mtge","CRNCY")</f>
        <v>USD</v>
      </c>
      <c r="E3022">
        <v>3614640</v>
      </c>
      <c r="F3022">
        <f>_xll.BDP("FNDD6070 Mtge","CPN")</f>
        <v>6</v>
      </c>
      <c r="G3022">
        <f>_xll.BDP("FNDD6070 Mtge","MTG_FACTOR")</f>
        <v>0.81227956000000001</v>
      </c>
      <c r="H3022">
        <f>_xll.BDP("FNDD6070 Mtge","MTG_WAL")</f>
        <v>3.2425999999999999</v>
      </c>
      <c r="I3022" t="str">
        <f>_xll.BDP("FNDD6070 Mtge","MTG_ORIG_WAL")</f>
        <v>#N/A N/A</v>
      </c>
    </row>
    <row r="3023" spans="1:9" x14ac:dyDescent="0.25">
      <c r="A3023" t="str">
        <f>_xll.BDP("FNDD6071 Mtge","ID_CUSIP")</f>
        <v>3140B6W92</v>
      </c>
      <c r="B3023" t="str">
        <f>_xll.BDP("FNDD6071 Mtge","SECURITY_NAME")</f>
        <v>FN DD6071</v>
      </c>
      <c r="C3023" t="str">
        <f>_xll.BDP("FNDD6071 Mtge","GENERIC_TICKER_VINTAGE")</f>
        <v>FNCL 6 2025</v>
      </c>
      <c r="D3023" t="str">
        <f>_xll.BDP("FNDD6071 Mtge","CRNCY")</f>
        <v>USD</v>
      </c>
      <c r="E3023">
        <v>3203830</v>
      </c>
      <c r="F3023">
        <f>_xll.BDP("FNDD6071 Mtge","CPN")</f>
        <v>6</v>
      </c>
      <c r="G3023">
        <f>_xll.BDP("FNDD6071 Mtge","MTG_FACTOR")</f>
        <v>0.99009636000000001</v>
      </c>
      <c r="H3023">
        <f>_xll.BDP("FNDD6071 Mtge","MTG_WAL")</f>
        <v>3.2473000000000001</v>
      </c>
      <c r="I3023" t="str">
        <f>_xll.BDP("FNDD6071 Mtge","MTG_ORIG_WAL")</f>
        <v>#N/A N/A</v>
      </c>
    </row>
    <row r="3024" spans="1:9" x14ac:dyDescent="0.25">
      <c r="A3024" t="str">
        <f>_xll.BDP("FNDD6076 Mtge","ID_CUSIP")</f>
        <v>3140B6XE0</v>
      </c>
      <c r="B3024" t="str">
        <f>_xll.BDP("FNDD6076 Mtge","SECURITY_NAME")</f>
        <v>FN DD6076</v>
      </c>
      <c r="C3024" t="str">
        <f>_xll.BDP("FNDD6076 Mtge","GENERIC_TICKER_VINTAGE")</f>
        <v>FNCL 6 2025</v>
      </c>
      <c r="D3024" t="str">
        <f>_xll.BDP("FNDD6076 Mtge","CRNCY")</f>
        <v>USD</v>
      </c>
      <c r="E3024">
        <v>1571246</v>
      </c>
      <c r="F3024">
        <f>_xll.BDP("FNDD6076 Mtge","CPN")</f>
        <v>6</v>
      </c>
      <c r="G3024">
        <f>_xll.BDP("FNDD6076 Mtge","MTG_FACTOR")</f>
        <v>0.86073133999999996</v>
      </c>
      <c r="H3024">
        <f>_xll.BDP("FNDD6076 Mtge","MTG_WAL")</f>
        <v>3.2244999999999999</v>
      </c>
      <c r="I3024" t="str">
        <f>_xll.BDP("FNDD6076 Mtge","MTG_ORIG_WAL")</f>
        <v>#N/A N/A</v>
      </c>
    </row>
    <row r="3025" spans="1:9" x14ac:dyDescent="0.25">
      <c r="A3025" t="str">
        <f>_xll.BDP("FNDD6077 Mtge","ID_CUSIP")</f>
        <v>3140B6XF7</v>
      </c>
      <c r="B3025" t="str">
        <f>_xll.BDP("FNDD6077 Mtge","SECURITY_NAME")</f>
        <v>FN DD6077</v>
      </c>
      <c r="C3025" t="str">
        <f>_xll.BDP("FNDD6077 Mtge","GENERIC_TICKER_VINTAGE")</f>
        <v>FNCL 6 2025</v>
      </c>
      <c r="D3025" t="str">
        <f>_xll.BDP("FNDD6077 Mtge","CRNCY")</f>
        <v>USD</v>
      </c>
      <c r="E3025">
        <v>8280737</v>
      </c>
      <c r="F3025">
        <f>_xll.BDP("FNDD6077 Mtge","CPN")</f>
        <v>6</v>
      </c>
      <c r="G3025">
        <f>_xll.BDP("FNDD6077 Mtge","MTG_FACTOR")</f>
        <v>0.90504353999999998</v>
      </c>
      <c r="H3025">
        <f>_xll.BDP("FNDD6077 Mtge","MTG_WAL")</f>
        <v>3.2435</v>
      </c>
      <c r="I3025" t="str">
        <f>_xll.BDP("FNDD6077 Mtge","MTG_ORIG_WAL")</f>
        <v>#N/A N/A</v>
      </c>
    </row>
    <row r="3026" spans="1:9" x14ac:dyDescent="0.25">
      <c r="A3026" t="str">
        <f>_xll.BDP("FNDD6079 Mtge","ID_CUSIP")</f>
        <v>3140B6XH3</v>
      </c>
      <c r="B3026" t="str">
        <f>_xll.BDP("FNDD6079 Mtge","SECURITY_NAME")</f>
        <v>FN DD6079</v>
      </c>
      <c r="C3026" t="str">
        <f>_xll.BDP("FNDD6079 Mtge","GENERIC_TICKER_VINTAGE")</f>
        <v>FNCL 6 2025</v>
      </c>
      <c r="D3026" t="str">
        <f>_xll.BDP("FNDD6079 Mtge","CRNCY")</f>
        <v>USD</v>
      </c>
      <c r="E3026">
        <v>1749078</v>
      </c>
      <c r="F3026">
        <f>_xll.BDP("FNDD6079 Mtge","CPN")</f>
        <v>6</v>
      </c>
      <c r="G3026">
        <f>_xll.BDP("FNDD6079 Mtge","MTG_FACTOR")</f>
        <v>0.99096388000000002</v>
      </c>
      <c r="H3026">
        <f>_xll.BDP("FNDD6079 Mtge","MTG_WAL")</f>
        <v>3.2949000000000002</v>
      </c>
      <c r="I3026" t="str">
        <f>_xll.BDP("FNDD6079 Mtge","MTG_ORIG_WAL")</f>
        <v>#N/A N/A</v>
      </c>
    </row>
    <row r="3027" spans="1:9" x14ac:dyDescent="0.25">
      <c r="A3027" t="str">
        <f>_xll.BDP("FNDD6084 Mtge","ID_CUSIP")</f>
        <v>3140B6XN0</v>
      </c>
      <c r="B3027" t="str">
        <f>_xll.BDP("FNDD6084 Mtge","SECURITY_NAME")</f>
        <v>FN DD6084</v>
      </c>
      <c r="C3027" t="str">
        <f>_xll.BDP("FNDD6084 Mtge","GENERIC_TICKER_VINTAGE")</f>
        <v>FNCL 6 2025</v>
      </c>
      <c r="D3027" t="str">
        <f>_xll.BDP("FNDD6084 Mtge","CRNCY")</f>
        <v>USD</v>
      </c>
      <c r="E3027">
        <v>1098084</v>
      </c>
      <c r="F3027">
        <f>_xll.BDP("FNDD6084 Mtge","CPN")</f>
        <v>6</v>
      </c>
      <c r="G3027">
        <f>_xll.BDP("FNDD6084 Mtge","MTG_FACTOR")</f>
        <v>0.98751655000000005</v>
      </c>
      <c r="H3027">
        <f>_xll.BDP("FNDD6084 Mtge","MTG_WAL")</f>
        <v>3.2450000000000001</v>
      </c>
      <c r="I3027" t="str">
        <f>_xll.BDP("FNDD6084 Mtge","MTG_ORIG_WAL")</f>
        <v>#N/A N/A</v>
      </c>
    </row>
    <row r="3028" spans="1:9" x14ac:dyDescent="0.25">
      <c r="A3028" t="str">
        <f>_xll.BDP("FNDD6091 Mtge","ID_CUSIP")</f>
        <v>3140B6XV2</v>
      </c>
      <c r="B3028" t="str">
        <f>_xll.BDP("FNDD6091 Mtge","SECURITY_NAME")</f>
        <v>FN DD6091</v>
      </c>
      <c r="C3028" t="str">
        <f>_xll.BDP("FNDD6091 Mtge","GENERIC_TICKER_VINTAGE")</f>
        <v>FNCL 6 2025</v>
      </c>
      <c r="D3028" t="str">
        <f>_xll.BDP("FNDD6091 Mtge","CRNCY")</f>
        <v>USD</v>
      </c>
      <c r="E3028">
        <v>1909411</v>
      </c>
      <c r="F3028">
        <f>_xll.BDP("FNDD6091 Mtge","CPN")</f>
        <v>6</v>
      </c>
      <c r="G3028">
        <f>_xll.BDP("FNDD6091 Mtge","MTG_FACTOR")</f>
        <v>0.99090137</v>
      </c>
      <c r="H3028">
        <f>_xll.BDP("FNDD6091 Mtge","MTG_WAL")</f>
        <v>3.2496</v>
      </c>
      <c r="I3028" t="str">
        <f>_xll.BDP("FNDD6091 Mtge","MTG_ORIG_WAL")</f>
        <v>#N/A N/A</v>
      </c>
    </row>
    <row r="3029" spans="1:9" x14ac:dyDescent="0.25">
      <c r="A3029" t="str">
        <f>_xll.BDP("FNDD6100 Mtge","ID_CUSIP")</f>
        <v>3140B6X67</v>
      </c>
      <c r="B3029" t="str">
        <f>_xll.BDP("FNDD6100 Mtge","SECURITY_NAME")</f>
        <v>FN DD6100</v>
      </c>
      <c r="C3029" t="str">
        <f>_xll.BDP("FNDD6100 Mtge","GENERIC_TICKER_VINTAGE")</f>
        <v>FNCL 6 2025</v>
      </c>
      <c r="D3029" t="str">
        <f>_xll.BDP("FNDD6100 Mtge","CRNCY")</f>
        <v>USD</v>
      </c>
      <c r="E3029">
        <v>3756674</v>
      </c>
      <c r="F3029">
        <f>_xll.BDP("FNDD6100 Mtge","CPN")</f>
        <v>6</v>
      </c>
      <c r="G3029">
        <f>_xll.BDP("FNDD6100 Mtge","MTG_FACTOR")</f>
        <v>0.90465028000000003</v>
      </c>
      <c r="H3029">
        <f>_xll.BDP("FNDD6100 Mtge","MTG_WAL")</f>
        <v>3.2469000000000001</v>
      </c>
      <c r="I3029" t="str">
        <f>_xll.BDP("FNDD6100 Mtge","MTG_ORIG_WAL")</f>
        <v>#N/A N/A</v>
      </c>
    </row>
    <row r="3030" spans="1:9" x14ac:dyDescent="0.25">
      <c r="A3030" t="str">
        <f>_xll.BDP("FNDD6105 Mtge","ID_CUSIP")</f>
        <v>3140B6YB5</v>
      </c>
      <c r="B3030" t="str">
        <f>_xll.BDP("FNDD6105 Mtge","SECURITY_NAME")</f>
        <v>FN DD6105</v>
      </c>
      <c r="C3030" t="str">
        <f>_xll.BDP("FNDD6105 Mtge","GENERIC_TICKER_VINTAGE")</f>
        <v>FNCL 6 2025</v>
      </c>
      <c r="D3030" t="str">
        <f>_xll.BDP("FNDD6105 Mtge","CRNCY")</f>
        <v>USD</v>
      </c>
      <c r="E3030">
        <v>2213157</v>
      </c>
      <c r="F3030">
        <f>_xll.BDP("FNDD6105 Mtge","CPN")</f>
        <v>6</v>
      </c>
      <c r="G3030">
        <f>_xll.BDP("FNDD6105 Mtge","MTG_FACTOR")</f>
        <v>0.99187802000000003</v>
      </c>
      <c r="H3030">
        <f>_xll.BDP("FNDD6105 Mtge","MTG_WAL")</f>
        <v>3.2909000000000002</v>
      </c>
      <c r="I3030" t="str">
        <f>_xll.BDP("FNDD6105 Mtge","MTG_ORIG_WAL")</f>
        <v>#N/A N/A</v>
      </c>
    </row>
    <row r="3031" spans="1:9" x14ac:dyDescent="0.25">
      <c r="A3031" t="str">
        <f>_xll.BDP("FNDD6113 Mtge","ID_CUSIP")</f>
        <v>3140B6YK5</v>
      </c>
      <c r="B3031" t="str">
        <f>_xll.BDP("FNDD6113 Mtge","SECURITY_NAME")</f>
        <v>FN DD6113</v>
      </c>
      <c r="C3031" t="str">
        <f>_xll.BDP("FNDD6113 Mtge","GENERIC_TICKER_VINTAGE")</f>
        <v>FNCL 6 2025</v>
      </c>
      <c r="D3031" t="str">
        <f>_xll.BDP("FNDD6113 Mtge","CRNCY")</f>
        <v>USD</v>
      </c>
      <c r="E3031">
        <v>1106637</v>
      </c>
      <c r="F3031">
        <f>_xll.BDP("FNDD6113 Mtge","CPN")</f>
        <v>6</v>
      </c>
      <c r="G3031">
        <f>_xll.BDP("FNDD6113 Mtge","MTG_FACTOR")</f>
        <v>0.99093761999999996</v>
      </c>
      <c r="H3031">
        <f>_xll.BDP("FNDD6113 Mtge","MTG_WAL")</f>
        <v>3.3441999999999998</v>
      </c>
      <c r="I3031" t="str">
        <f>_xll.BDP("FNDD6113 Mtge","MTG_ORIG_WAL")</f>
        <v>#N/A N/A</v>
      </c>
    </row>
    <row r="3032" spans="1:9" x14ac:dyDescent="0.25">
      <c r="A3032" t="str">
        <f>_xll.BDP("FNDD6127 Mtge","ID_CUSIP")</f>
        <v>3140B6YZ2</v>
      </c>
      <c r="B3032" t="str">
        <f>_xll.BDP("FNDD6127 Mtge","SECURITY_NAME")</f>
        <v>FN DD6127</v>
      </c>
      <c r="C3032" t="str">
        <f>_xll.BDP("FNDD6127 Mtge","GENERIC_TICKER_VINTAGE")</f>
        <v>FNCL 6 2025</v>
      </c>
      <c r="D3032" t="str">
        <f>_xll.BDP("FNDD6127 Mtge","CRNCY")</f>
        <v>USD</v>
      </c>
      <c r="E3032">
        <v>3232458</v>
      </c>
      <c r="F3032">
        <f>_xll.BDP("FNDD6127 Mtge","CPN")</f>
        <v>6</v>
      </c>
      <c r="G3032">
        <f>_xll.BDP("FNDD6127 Mtge","MTG_FACTOR")</f>
        <v>0.92679109000000004</v>
      </c>
      <c r="H3032">
        <f>_xll.BDP("FNDD6127 Mtge","MTG_WAL")</f>
        <v>3.1909999999999998</v>
      </c>
      <c r="I3032" t="str">
        <f>_xll.BDP("FNDD6127 Mtge","MTG_ORIG_WAL")</f>
        <v>#N/A N/A</v>
      </c>
    </row>
    <row r="3033" spans="1:9" x14ac:dyDescent="0.25">
      <c r="A3033" t="str">
        <f>_xll.BDP("FNDD6129 Mtge","ID_CUSIP")</f>
        <v>3140B6Y33</v>
      </c>
      <c r="B3033" t="str">
        <f>_xll.BDP("FNDD6129 Mtge","SECURITY_NAME")</f>
        <v>FN DD6129</v>
      </c>
      <c r="C3033" t="str">
        <f>_xll.BDP("FNDD6129 Mtge","GENERIC_TICKER_VINTAGE")</f>
        <v>FNCL 6 2025</v>
      </c>
      <c r="D3033" t="str">
        <f>_xll.BDP("FNDD6129 Mtge","CRNCY")</f>
        <v>USD</v>
      </c>
      <c r="E3033">
        <v>2980020</v>
      </c>
      <c r="F3033">
        <f>_xll.BDP("FNDD6129 Mtge","CPN")</f>
        <v>6</v>
      </c>
      <c r="G3033">
        <f>_xll.BDP("FNDD6129 Mtge","MTG_FACTOR")</f>
        <v>0.89365468999999997</v>
      </c>
      <c r="H3033">
        <f>_xll.BDP("FNDD6129 Mtge","MTG_WAL")</f>
        <v>3.2010999999999998</v>
      </c>
      <c r="I3033" t="str">
        <f>_xll.BDP("FNDD6129 Mtge","MTG_ORIG_WAL")</f>
        <v>#N/A N/A</v>
      </c>
    </row>
    <row r="3034" spans="1:9" x14ac:dyDescent="0.25">
      <c r="A3034" t="str">
        <f>_xll.BDP("FNDD6131 Mtge","ID_CUSIP")</f>
        <v>3140B6Y58</v>
      </c>
      <c r="B3034" t="str">
        <f>_xll.BDP("FNDD6131 Mtge","SECURITY_NAME")</f>
        <v>FN DD6131</v>
      </c>
      <c r="C3034" t="str">
        <f>_xll.BDP("FNDD6131 Mtge","GENERIC_TICKER_VINTAGE")</f>
        <v>FNCL 6 2025</v>
      </c>
      <c r="D3034" t="str">
        <f>_xll.BDP("FNDD6131 Mtge","CRNCY")</f>
        <v>USD</v>
      </c>
      <c r="E3034">
        <v>2796450</v>
      </c>
      <c r="F3034">
        <f>_xll.BDP("FNDD6131 Mtge","CPN")</f>
        <v>6</v>
      </c>
      <c r="G3034">
        <f>_xll.BDP("FNDD6131 Mtge","MTG_FACTOR")</f>
        <v>0.69473348000000001</v>
      </c>
      <c r="H3034">
        <f>_xll.BDP("FNDD6131 Mtge","MTG_WAL")</f>
        <v>3.2050999999999998</v>
      </c>
      <c r="I3034" t="str">
        <f>_xll.BDP("FNDD6131 Mtge","MTG_ORIG_WAL")</f>
        <v>#N/A N/A</v>
      </c>
    </row>
    <row r="3035" spans="1:9" x14ac:dyDescent="0.25">
      <c r="A3035" t="str">
        <f>_xll.BDP("FNDD6139 Mtge","ID_CUSIP")</f>
        <v>3140B6ZD0</v>
      </c>
      <c r="B3035" t="str">
        <f>_xll.BDP("FNDD6139 Mtge","SECURITY_NAME")</f>
        <v>FN DD6139</v>
      </c>
      <c r="C3035" t="str">
        <f>_xll.BDP("FNDD6139 Mtge","GENERIC_TICKER_VINTAGE")</f>
        <v>FNCL 6 2025</v>
      </c>
      <c r="D3035" t="str">
        <f>_xll.BDP("FNDD6139 Mtge","CRNCY")</f>
        <v>USD</v>
      </c>
      <c r="E3035">
        <v>2191133</v>
      </c>
      <c r="F3035">
        <f>_xll.BDP("FNDD6139 Mtge","CPN")</f>
        <v>6</v>
      </c>
      <c r="G3035">
        <f>_xll.BDP("FNDD6139 Mtge","MTG_FACTOR")</f>
        <v>0.98979846999999999</v>
      </c>
      <c r="H3035">
        <f>_xll.BDP("FNDD6139 Mtge","MTG_WAL")</f>
        <v>3.2057000000000002</v>
      </c>
      <c r="I3035" t="str">
        <f>_xll.BDP("FNDD6139 Mtge","MTG_ORIG_WAL")</f>
        <v>#N/A N/A</v>
      </c>
    </row>
    <row r="3036" spans="1:9" x14ac:dyDescent="0.25">
      <c r="A3036" t="str">
        <f>_xll.BDP("FNDD6140 Mtge","ID_CUSIP")</f>
        <v>3140B6ZE8</v>
      </c>
      <c r="B3036" t="str">
        <f>_xll.BDP("FNDD6140 Mtge","SECURITY_NAME")</f>
        <v>FN DD6140</v>
      </c>
      <c r="C3036" t="str">
        <f>_xll.BDP("FNDD6140 Mtge","GENERIC_TICKER_VINTAGE")</f>
        <v>FNCL 6 2025</v>
      </c>
      <c r="D3036" t="str">
        <f>_xll.BDP("FNDD6140 Mtge","CRNCY")</f>
        <v>USD</v>
      </c>
      <c r="E3036">
        <v>2100661</v>
      </c>
      <c r="F3036">
        <f>_xll.BDP("FNDD6140 Mtge","CPN")</f>
        <v>6</v>
      </c>
      <c r="G3036">
        <f>_xll.BDP("FNDD6140 Mtge","MTG_FACTOR")</f>
        <v>0.98103322000000004</v>
      </c>
      <c r="H3036">
        <f>_xll.BDP("FNDD6140 Mtge","MTG_WAL")</f>
        <v>3.2002999999999999</v>
      </c>
      <c r="I3036" t="str">
        <f>_xll.BDP("FNDD6140 Mtge","MTG_ORIG_WAL")</f>
        <v>#N/A N/A</v>
      </c>
    </row>
    <row r="3037" spans="1:9" x14ac:dyDescent="0.25">
      <c r="A3037" t="str">
        <f>_xll.BDP("FNDD6145 Mtge","ID_CUSIP")</f>
        <v>3140B6ZK4</v>
      </c>
      <c r="B3037" t="str">
        <f>_xll.BDP("FNDD6145 Mtge","SECURITY_NAME")</f>
        <v>FN DD6145</v>
      </c>
      <c r="C3037" t="str">
        <f>_xll.BDP("FNDD6145 Mtge","GENERIC_TICKER_VINTAGE")</f>
        <v>FNCL 6 2025</v>
      </c>
      <c r="D3037" t="str">
        <f>_xll.BDP("FNDD6145 Mtge","CRNCY")</f>
        <v>USD</v>
      </c>
      <c r="E3037">
        <v>1456650</v>
      </c>
      <c r="F3037">
        <f>_xll.BDP("FNDD6145 Mtge","CPN")</f>
        <v>6</v>
      </c>
      <c r="G3037">
        <f>_xll.BDP("FNDD6145 Mtge","MTG_FACTOR")</f>
        <v>0.98886189000000002</v>
      </c>
      <c r="H3037">
        <f>_xll.BDP("FNDD6145 Mtge","MTG_WAL")</f>
        <v>3.2042999999999999</v>
      </c>
      <c r="I3037" t="str">
        <f>_xll.BDP("FNDD6145 Mtge","MTG_ORIG_WAL")</f>
        <v>#N/A N/A</v>
      </c>
    </row>
    <row r="3038" spans="1:9" x14ac:dyDescent="0.25">
      <c r="A3038" t="str">
        <f>_xll.BDP("FNDD6159 Mtge","ID_CUSIP")</f>
        <v>3140B6ZZ1</v>
      </c>
      <c r="B3038" t="str">
        <f>_xll.BDP("FNDD6159 Mtge","SECURITY_NAME")</f>
        <v>FN DD6159</v>
      </c>
      <c r="C3038" t="str">
        <f>_xll.BDP("FNDD6159 Mtge","GENERIC_TICKER_VINTAGE")</f>
        <v>FNCL 6 2025</v>
      </c>
      <c r="D3038" t="str">
        <f>_xll.BDP("FNDD6159 Mtge","CRNCY")</f>
        <v>USD</v>
      </c>
      <c r="E3038">
        <v>25539219</v>
      </c>
      <c r="F3038">
        <f>_xll.BDP("FNDD6159 Mtge","CPN")</f>
        <v>6</v>
      </c>
      <c r="G3038">
        <f>_xll.BDP("FNDD6159 Mtge","MTG_FACTOR")</f>
        <v>0.77393902000000003</v>
      </c>
      <c r="H3038">
        <f>_xll.BDP("FNDD6159 Mtge","MTG_WAL")</f>
        <v>3.2469000000000001</v>
      </c>
      <c r="I3038" t="str">
        <f>_xll.BDP("FNDD6159 Mtge","MTG_ORIG_WAL")</f>
        <v>#N/A N/A</v>
      </c>
    </row>
    <row r="3039" spans="1:9" x14ac:dyDescent="0.25">
      <c r="A3039" t="str">
        <f>_xll.BDP("FNDD6162 Mtge","ID_CUSIP")</f>
        <v>3140B6Z40</v>
      </c>
      <c r="B3039" t="str">
        <f>_xll.BDP("FNDD6162 Mtge","SECURITY_NAME")</f>
        <v>FN DD6162</v>
      </c>
      <c r="C3039" t="str">
        <f>_xll.BDP("FNDD6162 Mtge","GENERIC_TICKER_VINTAGE")</f>
        <v>FNCL 6 2025</v>
      </c>
      <c r="D3039" t="str">
        <f>_xll.BDP("FNDD6162 Mtge","CRNCY")</f>
        <v>USD</v>
      </c>
      <c r="E3039">
        <v>10104370</v>
      </c>
      <c r="F3039">
        <f>_xll.BDP("FNDD6162 Mtge","CPN")</f>
        <v>6</v>
      </c>
      <c r="G3039">
        <f>_xll.BDP("FNDD6162 Mtge","MTG_FACTOR")</f>
        <v>0.89359531999999997</v>
      </c>
      <c r="H3039">
        <f>_xll.BDP("FNDD6162 Mtge","MTG_WAL")</f>
        <v>3.2450999999999999</v>
      </c>
      <c r="I3039" t="str">
        <f>_xll.BDP("FNDD6162 Mtge","MTG_ORIG_WAL")</f>
        <v>#N/A N/A</v>
      </c>
    </row>
    <row r="3040" spans="1:9" x14ac:dyDescent="0.25">
      <c r="A3040" t="str">
        <f>_xll.BDP("FNDD6167 Mtge","ID_CUSIP")</f>
        <v>3140B6Z99</v>
      </c>
      <c r="B3040" t="str">
        <f>_xll.BDP("FNDD6167 Mtge","SECURITY_NAME")</f>
        <v>FN DD6167</v>
      </c>
      <c r="C3040" t="str">
        <f>_xll.BDP("FNDD6167 Mtge","GENERIC_TICKER_VINTAGE")</f>
        <v>FNCL 6 2025</v>
      </c>
      <c r="D3040" t="str">
        <f>_xll.BDP("FNDD6167 Mtge","CRNCY")</f>
        <v>USD</v>
      </c>
      <c r="E3040">
        <v>1123519</v>
      </c>
      <c r="F3040">
        <f>_xll.BDP("FNDD6167 Mtge","CPN")</f>
        <v>6</v>
      </c>
      <c r="G3040">
        <f>_xll.BDP("FNDD6167 Mtge","MTG_FACTOR")</f>
        <v>0.88194888999999999</v>
      </c>
      <c r="H3040">
        <f>_xll.BDP("FNDD6167 Mtge","MTG_WAL")</f>
        <v>3.2206000000000001</v>
      </c>
      <c r="I3040" t="str">
        <f>_xll.BDP("FNDD6167 Mtge","MTG_ORIG_WAL")</f>
        <v>#N/A N/A</v>
      </c>
    </row>
    <row r="3041" spans="1:9" x14ac:dyDescent="0.25">
      <c r="A3041" t="str">
        <f>_xll.BDP("FNDD6170 Mtge","ID_CUSIP")</f>
        <v>3140B62C8</v>
      </c>
      <c r="B3041" t="str">
        <f>_xll.BDP("FNDD6170 Mtge","SECURITY_NAME")</f>
        <v>FN DD6170</v>
      </c>
      <c r="C3041" t="str">
        <f>_xll.BDP("FNDD6170 Mtge","GENERIC_TICKER_VINTAGE")</f>
        <v>FNCL 6 2025</v>
      </c>
      <c r="D3041" t="str">
        <f>_xll.BDP("FNDD6170 Mtge","CRNCY")</f>
        <v>USD</v>
      </c>
      <c r="E3041">
        <v>15161450</v>
      </c>
      <c r="F3041">
        <f>_xll.BDP("FNDD6170 Mtge","CPN")</f>
        <v>6</v>
      </c>
      <c r="G3041">
        <f>_xll.BDP("FNDD6170 Mtge","MTG_FACTOR")</f>
        <v>0.89016340000000005</v>
      </c>
      <c r="H3041">
        <f>_xll.BDP("FNDD6170 Mtge","MTG_WAL")</f>
        <v>3.1972999999999998</v>
      </c>
      <c r="I3041" t="str">
        <f>_xll.BDP("FNDD6170 Mtge","MTG_ORIG_WAL")</f>
        <v>#N/A N/A</v>
      </c>
    </row>
    <row r="3042" spans="1:9" x14ac:dyDescent="0.25">
      <c r="A3042" t="str">
        <f>_xll.BDP("FNDD6173 Mtge","ID_CUSIP")</f>
        <v>3140B62F1</v>
      </c>
      <c r="B3042" t="str">
        <f>_xll.BDP("FNDD6173 Mtge","SECURITY_NAME")</f>
        <v>FN DD6173</v>
      </c>
      <c r="C3042" t="str">
        <f>_xll.BDP("FNDD6173 Mtge","GENERIC_TICKER_VINTAGE")</f>
        <v>FNCL 6 2025</v>
      </c>
      <c r="D3042" t="str">
        <f>_xll.BDP("FNDD6173 Mtge","CRNCY")</f>
        <v>USD</v>
      </c>
      <c r="E3042">
        <v>7082300</v>
      </c>
      <c r="F3042">
        <f>_xll.BDP("FNDD6173 Mtge","CPN")</f>
        <v>6</v>
      </c>
      <c r="G3042">
        <f>_xll.BDP("FNDD6173 Mtge","MTG_FACTOR")</f>
        <v>0.98730731000000005</v>
      </c>
      <c r="H3042">
        <f>_xll.BDP("FNDD6173 Mtge","MTG_WAL")</f>
        <v>3.2461000000000002</v>
      </c>
      <c r="I3042" t="str">
        <f>_xll.BDP("FNDD6173 Mtge","MTG_ORIG_WAL")</f>
        <v>#N/A N/A</v>
      </c>
    </row>
    <row r="3043" spans="1:9" x14ac:dyDescent="0.25">
      <c r="A3043" t="str">
        <f>_xll.BDP("FNDD6177 Mtge","ID_CUSIP")</f>
        <v>3140B62K0</v>
      </c>
      <c r="B3043" t="str">
        <f>_xll.BDP("FNDD6177 Mtge","SECURITY_NAME")</f>
        <v>FN DD6177</v>
      </c>
      <c r="C3043" t="str">
        <f>_xll.BDP("FNDD6177 Mtge","GENERIC_TICKER_VINTAGE")</f>
        <v>FNCL 6 2025</v>
      </c>
      <c r="D3043" t="str">
        <f>_xll.BDP("FNDD6177 Mtge","CRNCY")</f>
        <v>USD</v>
      </c>
      <c r="E3043">
        <v>3501602</v>
      </c>
      <c r="F3043">
        <f>_xll.BDP("FNDD6177 Mtge","CPN")</f>
        <v>6</v>
      </c>
      <c r="G3043">
        <f>_xll.BDP("FNDD6177 Mtge","MTG_FACTOR")</f>
        <v>0.91072341000000001</v>
      </c>
      <c r="H3043">
        <f>_xll.BDP("FNDD6177 Mtge","MTG_WAL")</f>
        <v>3.2050000000000001</v>
      </c>
      <c r="I3043" t="str">
        <f>_xll.BDP("FNDD6177 Mtge","MTG_ORIG_WAL")</f>
        <v>#N/A N/A</v>
      </c>
    </row>
    <row r="3044" spans="1:9" x14ac:dyDescent="0.25">
      <c r="A3044" t="str">
        <f>_xll.BDP("FNDD6178 Mtge","ID_CUSIP")</f>
        <v>3140B62L8</v>
      </c>
      <c r="B3044" t="str">
        <f>_xll.BDP("FNDD6178 Mtge","SECURITY_NAME")</f>
        <v>FN DD6178</v>
      </c>
      <c r="C3044" t="str">
        <f>_xll.BDP("FNDD6178 Mtge","GENERIC_TICKER_VINTAGE")</f>
        <v>FNCL 6 2025</v>
      </c>
      <c r="D3044" t="str">
        <f>_xll.BDP("FNDD6178 Mtge","CRNCY")</f>
        <v>USD</v>
      </c>
      <c r="E3044">
        <v>15184935</v>
      </c>
      <c r="F3044">
        <f>_xll.BDP("FNDD6178 Mtge","CPN")</f>
        <v>6</v>
      </c>
      <c r="G3044">
        <f>_xll.BDP("FNDD6178 Mtge","MTG_FACTOR")</f>
        <v>0.92130825000000005</v>
      </c>
      <c r="H3044">
        <f>_xll.BDP("FNDD6178 Mtge","MTG_WAL")</f>
        <v>3.2031999999999998</v>
      </c>
      <c r="I3044" t="str">
        <f>_xll.BDP("FNDD6178 Mtge","MTG_ORIG_WAL")</f>
        <v>#N/A N/A</v>
      </c>
    </row>
    <row r="3045" spans="1:9" x14ac:dyDescent="0.25">
      <c r="A3045" t="str">
        <f>_xll.BDP("FNDD6179 Mtge","ID_CUSIP")</f>
        <v>3140B62M6</v>
      </c>
      <c r="B3045" t="str">
        <f>_xll.BDP("FNDD6179 Mtge","SECURITY_NAME")</f>
        <v>FN DD6179</v>
      </c>
      <c r="C3045" t="str">
        <f>_xll.BDP("FNDD6179 Mtge","GENERIC_TICKER_VINTAGE")</f>
        <v>FNCL 6 2025</v>
      </c>
      <c r="D3045" t="str">
        <f>_xll.BDP("FNDD6179 Mtge","CRNCY")</f>
        <v>USD</v>
      </c>
      <c r="E3045">
        <v>15264392</v>
      </c>
      <c r="F3045">
        <f>_xll.BDP("FNDD6179 Mtge","CPN")</f>
        <v>6</v>
      </c>
      <c r="G3045">
        <f>_xll.BDP("FNDD6179 Mtge","MTG_FACTOR")</f>
        <v>0.85257687999999998</v>
      </c>
      <c r="H3045">
        <f>_xll.BDP("FNDD6179 Mtge","MTG_WAL")</f>
        <v>3.2454999999999998</v>
      </c>
      <c r="I3045" t="str">
        <f>_xll.BDP("FNDD6179 Mtge","MTG_ORIG_WAL")</f>
        <v>#N/A N/A</v>
      </c>
    </row>
    <row r="3046" spans="1:9" x14ac:dyDescent="0.25">
      <c r="A3046" t="str">
        <f>_xll.BDP("FNDD6180 Mtge","ID_CUSIP")</f>
        <v>3140B62N4</v>
      </c>
      <c r="B3046" t="str">
        <f>_xll.BDP("FNDD6180 Mtge","SECURITY_NAME")</f>
        <v>FN DD6180</v>
      </c>
      <c r="C3046" t="str">
        <f>_xll.BDP("FNDD6180 Mtge","GENERIC_TICKER_VINTAGE")</f>
        <v>FNCL 6 2025</v>
      </c>
      <c r="D3046" t="str">
        <f>_xll.BDP("FNDD6180 Mtge","CRNCY")</f>
        <v>USD</v>
      </c>
      <c r="E3046">
        <v>14621625</v>
      </c>
      <c r="F3046">
        <f>_xll.BDP("FNDD6180 Mtge","CPN")</f>
        <v>6</v>
      </c>
      <c r="G3046">
        <f>_xll.BDP("FNDD6180 Mtge","MTG_FACTOR")</f>
        <v>0.92495556999999995</v>
      </c>
      <c r="H3046">
        <f>_xll.BDP("FNDD6180 Mtge","MTG_WAL")</f>
        <v>3.2014999999999998</v>
      </c>
      <c r="I3046" t="str">
        <f>_xll.BDP("FNDD6180 Mtge","MTG_ORIG_WAL")</f>
        <v>#N/A N/A</v>
      </c>
    </row>
    <row r="3047" spans="1:9" x14ac:dyDescent="0.25">
      <c r="A3047" t="str">
        <f>_xll.BDP("FNDD6183 Mtge","ID_CUSIP")</f>
        <v>3140B62R5</v>
      </c>
      <c r="B3047" t="str">
        <f>_xll.BDP("FNDD6183 Mtge","SECURITY_NAME")</f>
        <v>FN DD6183</v>
      </c>
      <c r="C3047" t="str">
        <f>_xll.BDP("FNDD6183 Mtge","GENERIC_TICKER_VINTAGE")</f>
        <v>FNCL 6 2025</v>
      </c>
      <c r="D3047" t="str">
        <f>_xll.BDP("FNDD6183 Mtge","CRNCY")</f>
        <v>USD</v>
      </c>
      <c r="E3047">
        <v>1650843</v>
      </c>
      <c r="F3047">
        <f>_xll.BDP("FNDD6183 Mtge","CPN")</f>
        <v>6</v>
      </c>
      <c r="G3047">
        <f>_xll.BDP("FNDD6183 Mtge","MTG_FACTOR")</f>
        <v>0.95196654999999997</v>
      </c>
      <c r="H3047">
        <f>_xll.BDP("FNDD6183 Mtge","MTG_WAL")</f>
        <v>3.2179000000000002</v>
      </c>
      <c r="I3047" t="str">
        <f>_xll.BDP("FNDD6183 Mtge","MTG_ORIG_WAL")</f>
        <v>#N/A N/A</v>
      </c>
    </row>
    <row r="3048" spans="1:9" x14ac:dyDescent="0.25">
      <c r="A3048" t="str">
        <f>_xll.BDP("FNDD6184 Mtge","ID_CUSIP")</f>
        <v>3140B62S3</v>
      </c>
      <c r="B3048" t="str">
        <f>_xll.BDP("FNDD6184 Mtge","SECURITY_NAME")</f>
        <v>FN DD6184</v>
      </c>
      <c r="C3048" t="str">
        <f>_xll.BDP("FNDD6184 Mtge","GENERIC_TICKER_VINTAGE")</f>
        <v>FNCL 6 2025</v>
      </c>
      <c r="D3048" t="str">
        <f>_xll.BDP("FNDD6184 Mtge","CRNCY")</f>
        <v>USD</v>
      </c>
      <c r="E3048">
        <v>1613225</v>
      </c>
      <c r="F3048">
        <f>_xll.BDP("FNDD6184 Mtge","CPN")</f>
        <v>6</v>
      </c>
      <c r="G3048">
        <f>_xll.BDP("FNDD6184 Mtge","MTG_FACTOR")</f>
        <v>0.97399294000000003</v>
      </c>
      <c r="H3048">
        <f>_xll.BDP("FNDD6184 Mtge","MTG_WAL")</f>
        <v>3.1905000000000001</v>
      </c>
      <c r="I3048" t="str">
        <f>_xll.BDP("FNDD6184 Mtge","MTG_ORIG_WAL")</f>
        <v>#N/A N/A</v>
      </c>
    </row>
    <row r="3049" spans="1:9" x14ac:dyDescent="0.25">
      <c r="A3049" t="str">
        <f>_xll.BDP("FNDD6185 Mtge","ID_CUSIP")</f>
        <v>3140B62T1</v>
      </c>
      <c r="B3049" t="str">
        <f>_xll.BDP("FNDD6185 Mtge","SECURITY_NAME")</f>
        <v>FN DD6185</v>
      </c>
      <c r="C3049" t="str">
        <f>_xll.BDP("FNDD6185 Mtge","GENERIC_TICKER_VINTAGE")</f>
        <v>FNCL 6 2025</v>
      </c>
      <c r="D3049" t="str">
        <f>_xll.BDP("FNDD6185 Mtge","CRNCY")</f>
        <v>USD</v>
      </c>
      <c r="E3049">
        <v>1653143</v>
      </c>
      <c r="F3049">
        <f>_xll.BDP("FNDD6185 Mtge","CPN")</f>
        <v>6</v>
      </c>
      <c r="G3049">
        <f>_xll.BDP("FNDD6185 Mtge","MTG_FACTOR")</f>
        <v>0.99038760999999997</v>
      </c>
      <c r="H3049">
        <f>_xll.BDP("FNDD6185 Mtge","MTG_WAL")</f>
        <v>3.2035999999999998</v>
      </c>
      <c r="I3049" t="str">
        <f>_xll.BDP("FNDD6185 Mtge","MTG_ORIG_WAL")</f>
        <v>#N/A N/A</v>
      </c>
    </row>
    <row r="3050" spans="1:9" x14ac:dyDescent="0.25">
      <c r="A3050" t="str">
        <f>_xll.BDP("FNDD6188 Mtge","ID_CUSIP")</f>
        <v>3140B62W4</v>
      </c>
      <c r="B3050" t="str">
        <f>_xll.BDP("FNDD6188 Mtge","SECURITY_NAME")</f>
        <v>FN DD6188</v>
      </c>
      <c r="C3050" t="str">
        <f>_xll.BDP("FNDD6188 Mtge","GENERIC_TICKER_VINTAGE")</f>
        <v>FNCL 6 2025</v>
      </c>
      <c r="D3050" t="str">
        <f>_xll.BDP("FNDD6188 Mtge","CRNCY")</f>
        <v>USD</v>
      </c>
      <c r="E3050">
        <v>20139192</v>
      </c>
      <c r="F3050">
        <f>_xll.BDP("FNDD6188 Mtge","CPN")</f>
        <v>6</v>
      </c>
      <c r="G3050">
        <f>_xll.BDP("FNDD6188 Mtge","MTG_FACTOR")</f>
        <v>0.92314092000000003</v>
      </c>
      <c r="H3050">
        <f>_xll.BDP("FNDD6188 Mtge","MTG_WAL")</f>
        <v>3.2412000000000001</v>
      </c>
      <c r="I3050" t="str">
        <f>_xll.BDP("FNDD6188 Mtge","MTG_ORIG_WAL")</f>
        <v>#N/A N/A</v>
      </c>
    </row>
    <row r="3051" spans="1:9" x14ac:dyDescent="0.25">
      <c r="A3051" t="str">
        <f>_xll.BDP("FNDD6197 Mtge","ID_CUSIP")</f>
        <v>3140B63F0</v>
      </c>
      <c r="B3051" t="str">
        <f>_xll.BDP("FNDD6197 Mtge","SECURITY_NAME")</f>
        <v>FN DD6197</v>
      </c>
      <c r="C3051" t="str">
        <f>_xll.BDP("FNDD6197 Mtge","GENERIC_TICKER_VINTAGE")</f>
        <v>FNCL 6 2025</v>
      </c>
      <c r="D3051" t="str">
        <f>_xll.BDP("FNDD6197 Mtge","CRNCY")</f>
        <v>USD</v>
      </c>
      <c r="E3051">
        <v>28796254</v>
      </c>
      <c r="F3051">
        <f>_xll.BDP("FNDD6197 Mtge","CPN")</f>
        <v>6</v>
      </c>
      <c r="G3051">
        <f>_xll.BDP("FNDD6197 Mtge","MTG_FACTOR")</f>
        <v>0.84756911000000001</v>
      </c>
      <c r="H3051">
        <f>_xll.BDP("FNDD6197 Mtge","MTG_WAL")</f>
        <v>3.2490000000000001</v>
      </c>
      <c r="I3051" t="str">
        <f>_xll.BDP("FNDD6197 Mtge","MTG_ORIG_WAL")</f>
        <v>#N/A N/A</v>
      </c>
    </row>
    <row r="3052" spans="1:9" x14ac:dyDescent="0.25">
      <c r="A3052" t="str">
        <f>_xll.BDP("FNDD6199 Mtge","ID_CUSIP")</f>
        <v>3140B63H6</v>
      </c>
      <c r="B3052" t="str">
        <f>_xll.BDP("FNDD6199 Mtge","SECURITY_NAME")</f>
        <v>FN DD6199</v>
      </c>
      <c r="C3052" t="str">
        <f>_xll.BDP("FNDD6199 Mtge","GENERIC_TICKER_VINTAGE")</f>
        <v>FNCL 6 2025</v>
      </c>
      <c r="D3052" t="str">
        <f>_xll.BDP("FNDD6199 Mtge","CRNCY")</f>
        <v>USD</v>
      </c>
      <c r="E3052">
        <v>1077117</v>
      </c>
      <c r="F3052">
        <f>_xll.BDP("FNDD6199 Mtge","CPN")</f>
        <v>6</v>
      </c>
      <c r="G3052">
        <f>_xll.BDP("FNDD6199 Mtge","MTG_FACTOR")</f>
        <v>0.93584975999999997</v>
      </c>
      <c r="H3052">
        <f>_xll.BDP("FNDD6199 Mtge","MTG_WAL")</f>
        <v>3.1785999999999999</v>
      </c>
      <c r="I3052" t="str">
        <f>_xll.BDP("FNDD6199 Mtge","MTG_ORIG_WAL")</f>
        <v>#N/A N/A</v>
      </c>
    </row>
    <row r="3053" spans="1:9" x14ac:dyDescent="0.25">
      <c r="A3053" t="str">
        <f>_xll.BDP("FNDD6210 Mtge","ID_CUSIP")</f>
        <v>3140B63U7</v>
      </c>
      <c r="B3053" t="str">
        <f>_xll.BDP("FNDD6210 Mtge","SECURITY_NAME")</f>
        <v>FN DD6210</v>
      </c>
      <c r="C3053" t="str">
        <f>_xll.BDP("FNDD6210 Mtge","GENERIC_TICKER_VINTAGE")</f>
        <v>FNCL 6 2025</v>
      </c>
      <c r="D3053" t="str">
        <f>_xll.BDP("FNDD6210 Mtge","CRNCY")</f>
        <v>USD</v>
      </c>
      <c r="E3053">
        <v>1021792</v>
      </c>
      <c r="F3053">
        <f>_xll.BDP("FNDD6210 Mtge","CPN")</f>
        <v>6</v>
      </c>
      <c r="G3053">
        <f>_xll.BDP("FNDD6210 Mtge","MTG_FACTOR")</f>
        <v>0.98335455000000005</v>
      </c>
      <c r="H3053">
        <f>_xll.BDP("FNDD6210 Mtge","MTG_WAL")</f>
        <v>3.1968000000000001</v>
      </c>
      <c r="I3053" t="str">
        <f>_xll.BDP("FNDD6210 Mtge","MTG_ORIG_WAL")</f>
        <v>#N/A N/A</v>
      </c>
    </row>
    <row r="3054" spans="1:9" x14ac:dyDescent="0.25">
      <c r="A3054" t="str">
        <f>_xll.BDP("FNDD6211 Mtge","ID_CUSIP")</f>
        <v>3140B63V5</v>
      </c>
      <c r="B3054" t="str">
        <f>_xll.BDP("FNDD6211 Mtge","SECURITY_NAME")</f>
        <v>FN DD6211</v>
      </c>
      <c r="C3054" t="str">
        <f>_xll.BDP("FNDD6211 Mtge","GENERIC_TICKER_VINTAGE")</f>
        <v>FNCL 6 2025</v>
      </c>
      <c r="D3054" t="str">
        <f>_xll.BDP("FNDD6211 Mtge","CRNCY")</f>
        <v>USD</v>
      </c>
      <c r="E3054">
        <v>1701873</v>
      </c>
      <c r="F3054">
        <f>_xll.BDP("FNDD6211 Mtge","CPN")</f>
        <v>6</v>
      </c>
      <c r="G3054">
        <f>_xll.BDP("FNDD6211 Mtge","MTG_FACTOR")</f>
        <v>0.98745886000000005</v>
      </c>
      <c r="H3054">
        <f>_xll.BDP("FNDD6211 Mtge","MTG_WAL")</f>
        <v>3.2456999999999998</v>
      </c>
      <c r="I3054" t="str">
        <f>_xll.BDP("FNDD6211 Mtge","MTG_ORIG_WAL")</f>
        <v>#N/A N/A</v>
      </c>
    </row>
    <row r="3055" spans="1:9" x14ac:dyDescent="0.25">
      <c r="A3055" t="str">
        <f>_xll.BDP("FNDD6213 Mtge","ID_CUSIP")</f>
        <v>3140B63X1</v>
      </c>
      <c r="B3055" t="str">
        <f>_xll.BDP("FNDD6213 Mtge","SECURITY_NAME")</f>
        <v>FN DD6213</v>
      </c>
      <c r="C3055" t="str">
        <f>_xll.BDP("FNDD6213 Mtge","GENERIC_TICKER_VINTAGE")</f>
        <v>FNCL 6 2025</v>
      </c>
      <c r="D3055" t="str">
        <f>_xll.BDP("FNDD6213 Mtge","CRNCY")</f>
        <v>USD</v>
      </c>
      <c r="E3055">
        <v>7248971</v>
      </c>
      <c r="F3055">
        <f>_xll.BDP("FNDD6213 Mtge","CPN")</f>
        <v>6</v>
      </c>
      <c r="G3055">
        <f>_xll.BDP("FNDD6213 Mtge","MTG_FACTOR")</f>
        <v>0.88060455999999998</v>
      </c>
      <c r="H3055">
        <f>_xll.BDP("FNDD6213 Mtge","MTG_WAL")</f>
        <v>3.2444000000000002</v>
      </c>
      <c r="I3055" t="str">
        <f>_xll.BDP("FNDD6213 Mtge","MTG_ORIG_WAL")</f>
        <v>#N/A N/A</v>
      </c>
    </row>
    <row r="3056" spans="1:9" x14ac:dyDescent="0.25">
      <c r="A3056" t="str">
        <f>_xll.BDP("FNDD6216 Mtge","ID_CUSIP")</f>
        <v>3140B64A0</v>
      </c>
      <c r="B3056" t="str">
        <f>_xll.BDP("FNDD6216 Mtge","SECURITY_NAME")</f>
        <v>FN DD6216</v>
      </c>
      <c r="C3056" t="str">
        <f>_xll.BDP("FNDD6216 Mtge","GENERIC_TICKER_VINTAGE")</f>
        <v>FNCL 6 2025</v>
      </c>
      <c r="D3056" t="str">
        <f>_xll.BDP("FNDD6216 Mtge","CRNCY")</f>
        <v>USD</v>
      </c>
      <c r="E3056">
        <v>1492391</v>
      </c>
      <c r="F3056">
        <f>_xll.BDP("FNDD6216 Mtge","CPN")</f>
        <v>6</v>
      </c>
      <c r="G3056">
        <f>_xll.BDP("FNDD6216 Mtge","MTG_FACTOR")</f>
        <v>0.98819250000000003</v>
      </c>
      <c r="H3056">
        <f>_xll.BDP("FNDD6216 Mtge","MTG_WAL")</f>
        <v>3.2458999999999998</v>
      </c>
      <c r="I3056" t="str">
        <f>_xll.BDP("FNDD6216 Mtge","MTG_ORIG_WAL")</f>
        <v>#N/A N/A</v>
      </c>
    </row>
    <row r="3057" spans="1:9" x14ac:dyDescent="0.25">
      <c r="A3057" t="str">
        <f>_xll.BDP("FNDD6217 Mtge","ID_CUSIP")</f>
        <v>3140B64B8</v>
      </c>
      <c r="B3057" t="str">
        <f>_xll.BDP("FNDD6217 Mtge","SECURITY_NAME")</f>
        <v>FN DD6217</v>
      </c>
      <c r="C3057" t="str">
        <f>_xll.BDP("FNDD6217 Mtge","GENERIC_TICKER_VINTAGE")</f>
        <v>FNCL 6 2025</v>
      </c>
      <c r="D3057" t="str">
        <f>_xll.BDP("FNDD6217 Mtge","CRNCY")</f>
        <v>USD</v>
      </c>
      <c r="E3057">
        <v>8794830</v>
      </c>
      <c r="F3057">
        <f>_xll.BDP("FNDD6217 Mtge","CPN")</f>
        <v>6</v>
      </c>
      <c r="G3057">
        <f>_xll.BDP("FNDD6217 Mtge","MTG_FACTOR")</f>
        <v>0.99005071</v>
      </c>
      <c r="H3057">
        <f>_xll.BDP("FNDD6217 Mtge","MTG_WAL")</f>
        <v>3.2490000000000001</v>
      </c>
      <c r="I3057" t="str">
        <f>_xll.BDP("FNDD6217 Mtge","MTG_ORIG_WAL")</f>
        <v>#N/A N/A</v>
      </c>
    </row>
    <row r="3058" spans="1:9" x14ac:dyDescent="0.25">
      <c r="A3058" t="str">
        <f>_xll.BDP("FNDD6223 Mtge","ID_CUSIP")</f>
        <v>3140B64H5</v>
      </c>
      <c r="B3058" t="str">
        <f>_xll.BDP("FNDD6223 Mtge","SECURITY_NAME")</f>
        <v>FN DD6223</v>
      </c>
      <c r="C3058" t="str">
        <f>_xll.BDP("FNDD6223 Mtge","GENERIC_TICKER_VINTAGE")</f>
        <v>FNCL 6 2025</v>
      </c>
      <c r="D3058" t="str">
        <f>_xll.BDP("FNDD6223 Mtge","CRNCY")</f>
        <v>USD</v>
      </c>
      <c r="E3058">
        <v>6925138</v>
      </c>
      <c r="F3058">
        <f>_xll.BDP("FNDD6223 Mtge","CPN")</f>
        <v>6</v>
      </c>
      <c r="G3058">
        <f>_xll.BDP("FNDD6223 Mtge","MTG_FACTOR")</f>
        <v>0.87837993999999997</v>
      </c>
      <c r="H3058">
        <f>_xll.BDP("FNDD6223 Mtge","MTG_WAL")</f>
        <v>3.2421000000000002</v>
      </c>
      <c r="I3058" t="str">
        <f>_xll.BDP("FNDD6223 Mtge","MTG_ORIG_WAL")</f>
        <v>#N/A N/A</v>
      </c>
    </row>
    <row r="3059" spans="1:9" x14ac:dyDescent="0.25">
      <c r="A3059" t="str">
        <f>_xll.BDP("FNDD6227 Mtge","ID_CUSIP")</f>
        <v>3140B64M4</v>
      </c>
      <c r="B3059" t="str">
        <f>_xll.BDP("FNDD6227 Mtge","SECURITY_NAME")</f>
        <v>FN DD6227</v>
      </c>
      <c r="C3059" t="str">
        <f>_xll.BDP("FNDD6227 Mtge","GENERIC_TICKER_VINTAGE")</f>
        <v>FNCL 6 2025</v>
      </c>
      <c r="D3059" t="str">
        <f>_xll.BDP("FNDD6227 Mtge","CRNCY")</f>
        <v>USD</v>
      </c>
      <c r="E3059">
        <v>2659532</v>
      </c>
      <c r="F3059">
        <f>_xll.BDP("FNDD6227 Mtge","CPN")</f>
        <v>6</v>
      </c>
      <c r="G3059">
        <f>_xll.BDP("FNDD6227 Mtge","MTG_FACTOR")</f>
        <v>0.98977722000000001</v>
      </c>
      <c r="H3059">
        <f>_xll.BDP("FNDD6227 Mtge","MTG_WAL")</f>
        <v>3.2486000000000002</v>
      </c>
      <c r="I3059" t="str">
        <f>_xll.BDP("FNDD6227 Mtge","MTG_ORIG_WAL")</f>
        <v>#N/A N/A</v>
      </c>
    </row>
    <row r="3060" spans="1:9" x14ac:dyDescent="0.25">
      <c r="A3060" t="str">
        <f>_xll.BDP("FNDD6228 Mtge","ID_CUSIP")</f>
        <v>3140B64N2</v>
      </c>
      <c r="B3060" t="str">
        <f>_xll.BDP("FNDD6228 Mtge","SECURITY_NAME")</f>
        <v>FN DD6228</v>
      </c>
      <c r="C3060" t="str">
        <f>_xll.BDP("FNDD6228 Mtge","GENERIC_TICKER_VINTAGE")</f>
        <v>FNCL 6 2025</v>
      </c>
      <c r="D3060" t="str">
        <f>_xll.BDP("FNDD6228 Mtge","CRNCY")</f>
        <v>USD</v>
      </c>
      <c r="E3060">
        <v>6416908</v>
      </c>
      <c r="F3060">
        <f>_xll.BDP("FNDD6228 Mtge","CPN")</f>
        <v>6</v>
      </c>
      <c r="G3060">
        <f>_xll.BDP("FNDD6228 Mtge","MTG_FACTOR")</f>
        <v>0.84854299</v>
      </c>
      <c r="H3060">
        <f>_xll.BDP("FNDD6228 Mtge","MTG_WAL")</f>
        <v>3.2395999999999998</v>
      </c>
      <c r="I3060" t="str">
        <f>_xll.BDP("FNDD6228 Mtge","MTG_ORIG_WAL")</f>
        <v>#N/A N/A</v>
      </c>
    </row>
    <row r="3061" spans="1:9" x14ac:dyDescent="0.25">
      <c r="A3061" t="str">
        <f>_xll.BDP("FNDD6229 Mtge","ID_CUSIP")</f>
        <v>3140B64P7</v>
      </c>
      <c r="B3061" t="str">
        <f>_xll.BDP("FNDD6229 Mtge","SECURITY_NAME")</f>
        <v>FN DD6229</v>
      </c>
      <c r="C3061" t="str">
        <f>_xll.BDP("FNDD6229 Mtge","GENERIC_TICKER_VINTAGE")</f>
        <v>FNCL 6 2025</v>
      </c>
      <c r="D3061" t="str">
        <f>_xll.BDP("FNDD6229 Mtge","CRNCY")</f>
        <v>USD</v>
      </c>
      <c r="E3061">
        <v>7806246</v>
      </c>
      <c r="F3061">
        <f>_xll.BDP("FNDD6229 Mtge","CPN")</f>
        <v>6</v>
      </c>
      <c r="G3061">
        <f>_xll.BDP("FNDD6229 Mtge","MTG_FACTOR")</f>
        <v>0.86018693000000002</v>
      </c>
      <c r="H3061">
        <f>_xll.BDP("FNDD6229 Mtge","MTG_WAL")</f>
        <v>3.2467999999999999</v>
      </c>
      <c r="I3061" t="str">
        <f>_xll.BDP("FNDD6229 Mtge","MTG_ORIG_WAL")</f>
        <v>#N/A N/A</v>
      </c>
    </row>
    <row r="3062" spans="1:9" x14ac:dyDescent="0.25">
      <c r="A3062" t="str">
        <f>_xll.BDP("FNDD6238 Mtge","ID_CUSIP")</f>
        <v>3140B64Y8</v>
      </c>
      <c r="B3062" t="str">
        <f>_xll.BDP("FNDD6238 Mtge","SECURITY_NAME")</f>
        <v>FN DD6238</v>
      </c>
      <c r="C3062" t="str">
        <f>_xll.BDP("FNDD6238 Mtge","GENERIC_TICKER_VINTAGE")</f>
        <v>FNCL 6 2025</v>
      </c>
      <c r="D3062" t="str">
        <f>_xll.BDP("FNDD6238 Mtge","CRNCY")</f>
        <v>USD</v>
      </c>
      <c r="E3062">
        <v>2431644</v>
      </c>
      <c r="F3062">
        <f>_xll.BDP("FNDD6238 Mtge","CPN")</f>
        <v>6</v>
      </c>
      <c r="G3062">
        <f>_xll.BDP("FNDD6238 Mtge","MTG_FACTOR")</f>
        <v>0.88858196</v>
      </c>
      <c r="H3062">
        <f>_xll.BDP("FNDD6238 Mtge","MTG_WAL")</f>
        <v>3.2446000000000002</v>
      </c>
      <c r="I3062" t="str">
        <f>_xll.BDP("FNDD6238 Mtge","MTG_ORIG_WAL")</f>
        <v>#N/A N/A</v>
      </c>
    </row>
    <row r="3063" spans="1:9" x14ac:dyDescent="0.25">
      <c r="A3063" t="str">
        <f>_xll.BDP("FNDD6240 Mtge","ID_CUSIP")</f>
        <v>3140B65A9</v>
      </c>
      <c r="B3063" t="str">
        <f>_xll.BDP("FNDD6240 Mtge","SECURITY_NAME")</f>
        <v>FN DD6240</v>
      </c>
      <c r="C3063" t="str">
        <f>_xll.BDP("FNDD6240 Mtge","GENERIC_TICKER_VINTAGE")</f>
        <v>FNCL 6 2025</v>
      </c>
      <c r="D3063" t="str">
        <f>_xll.BDP("FNDD6240 Mtge","CRNCY")</f>
        <v>USD</v>
      </c>
      <c r="E3063">
        <v>5466125</v>
      </c>
      <c r="F3063">
        <f>_xll.BDP("FNDD6240 Mtge","CPN")</f>
        <v>6</v>
      </c>
      <c r="G3063">
        <f>_xll.BDP("FNDD6240 Mtge","MTG_FACTOR")</f>
        <v>0.74498056000000001</v>
      </c>
      <c r="H3063">
        <f>_xll.BDP("FNDD6240 Mtge","MTG_WAL")</f>
        <v>3.2494999999999998</v>
      </c>
      <c r="I3063" t="str">
        <f>_xll.BDP("FNDD6240 Mtge","MTG_ORIG_WAL")</f>
        <v>#N/A N/A</v>
      </c>
    </row>
    <row r="3064" spans="1:9" x14ac:dyDescent="0.25">
      <c r="A3064" t="str">
        <f>_xll.BDP("FNDD6242 Mtge","ID_CUSIP")</f>
        <v>3140B65C5</v>
      </c>
      <c r="B3064" t="str">
        <f>_xll.BDP("FNDD6242 Mtge","SECURITY_NAME")</f>
        <v>FN DD6242</v>
      </c>
      <c r="C3064" t="str">
        <f>_xll.BDP("FNDD6242 Mtge","GENERIC_TICKER_VINTAGE")</f>
        <v>FNCL 6 2025</v>
      </c>
      <c r="D3064" t="str">
        <f>_xll.BDP("FNDD6242 Mtge","CRNCY")</f>
        <v>USD</v>
      </c>
      <c r="E3064">
        <v>5014918</v>
      </c>
      <c r="F3064">
        <f>_xll.BDP("FNDD6242 Mtge","CPN")</f>
        <v>6</v>
      </c>
      <c r="G3064">
        <f>_xll.BDP("FNDD6242 Mtge","MTG_FACTOR")</f>
        <v>0.91200097000000002</v>
      </c>
      <c r="H3064">
        <f>_xll.BDP("FNDD6242 Mtge","MTG_WAL")</f>
        <v>3.2484999999999999</v>
      </c>
      <c r="I3064" t="str">
        <f>_xll.BDP("FNDD6242 Mtge","MTG_ORIG_WAL")</f>
        <v>#N/A N/A</v>
      </c>
    </row>
    <row r="3065" spans="1:9" x14ac:dyDescent="0.25">
      <c r="A3065" t="str">
        <f>_xll.BDP("FNDD6245 Mtge","ID_CUSIP")</f>
        <v>3140B65F8</v>
      </c>
      <c r="B3065" t="str">
        <f>_xll.BDP("FNDD6245 Mtge","SECURITY_NAME")</f>
        <v>FN DD6245</v>
      </c>
      <c r="C3065" t="str">
        <f>_xll.BDP("FNDD6245 Mtge","GENERIC_TICKER_VINTAGE")</f>
        <v>FNCL 6 2025</v>
      </c>
      <c r="D3065" t="str">
        <f>_xll.BDP("FNDD6245 Mtge","CRNCY")</f>
        <v>USD</v>
      </c>
      <c r="E3065">
        <v>1234932</v>
      </c>
      <c r="F3065">
        <f>_xll.BDP("FNDD6245 Mtge","CPN")</f>
        <v>6</v>
      </c>
      <c r="G3065">
        <f>_xll.BDP("FNDD6245 Mtge","MTG_FACTOR")</f>
        <v>0.98795597999999996</v>
      </c>
      <c r="H3065">
        <f>_xll.BDP("FNDD6245 Mtge","MTG_WAL")</f>
        <v>3.2368000000000001</v>
      </c>
      <c r="I3065" t="str">
        <f>_xll.BDP("FNDD6245 Mtge","MTG_ORIG_WAL")</f>
        <v>#N/A N/A</v>
      </c>
    </row>
    <row r="3066" spans="1:9" x14ac:dyDescent="0.25">
      <c r="A3066" t="str">
        <f>_xll.BDP("FNDD6246 Mtge","ID_CUSIP")</f>
        <v>3140B65G6</v>
      </c>
      <c r="B3066" t="str">
        <f>_xll.BDP("FNDD6246 Mtge","SECURITY_NAME")</f>
        <v>FN DD6246</v>
      </c>
      <c r="C3066" t="str">
        <f>_xll.BDP("FNDD6246 Mtge","GENERIC_TICKER_VINTAGE")</f>
        <v>FNCL 6 2025</v>
      </c>
      <c r="D3066" t="str">
        <f>_xll.BDP("FNDD6246 Mtge","CRNCY")</f>
        <v>USD</v>
      </c>
      <c r="E3066">
        <v>1097499</v>
      </c>
      <c r="F3066">
        <f>_xll.BDP("FNDD6246 Mtge","CPN")</f>
        <v>6</v>
      </c>
      <c r="G3066">
        <f>_xll.BDP("FNDD6246 Mtge","MTG_FACTOR")</f>
        <v>0.98999488000000002</v>
      </c>
      <c r="H3066">
        <f>_xll.BDP("FNDD6246 Mtge","MTG_WAL")</f>
        <v>3.2014999999999998</v>
      </c>
      <c r="I3066" t="str">
        <f>_xll.BDP("FNDD6246 Mtge","MTG_ORIG_WAL")</f>
        <v>#N/A N/A</v>
      </c>
    </row>
    <row r="3067" spans="1:9" x14ac:dyDescent="0.25">
      <c r="A3067" t="str">
        <f>_xll.BDP("FNDD6257 Mtge","ID_CUSIP")</f>
        <v>3140B65T8</v>
      </c>
      <c r="B3067" t="str">
        <f>_xll.BDP("FNDD6257 Mtge","SECURITY_NAME")</f>
        <v>FN DD6257</v>
      </c>
      <c r="C3067" t="str">
        <f>_xll.BDP("FNDD6257 Mtge","GENERIC_TICKER_VINTAGE")</f>
        <v>FNCL 6 2025</v>
      </c>
      <c r="D3067" t="str">
        <f>_xll.BDP("FNDD6257 Mtge","CRNCY")</f>
        <v>USD</v>
      </c>
      <c r="E3067">
        <v>1718730</v>
      </c>
      <c r="F3067">
        <f>_xll.BDP("FNDD6257 Mtge","CPN")</f>
        <v>6</v>
      </c>
      <c r="G3067">
        <f>_xll.BDP("FNDD6257 Mtge","MTG_FACTOR")</f>
        <v>0.98979558999999995</v>
      </c>
      <c r="H3067">
        <f>_xll.BDP("FNDD6257 Mtge","MTG_WAL")</f>
        <v>3.2058</v>
      </c>
      <c r="I3067" t="str">
        <f>_xll.BDP("FNDD6257 Mtge","MTG_ORIG_WAL")</f>
        <v>#N/A N/A</v>
      </c>
    </row>
    <row r="3068" spans="1:9" x14ac:dyDescent="0.25">
      <c r="A3068" t="str">
        <f>_xll.BDP("FNDD6263 Mtge","ID_CUSIP")</f>
        <v>3140B65Z4</v>
      </c>
      <c r="B3068" t="str">
        <f>_xll.BDP("FNDD6263 Mtge","SECURITY_NAME")</f>
        <v>FN DD6263</v>
      </c>
      <c r="C3068" t="str">
        <f>_xll.BDP("FNDD6263 Mtge","GENERIC_TICKER_VINTAGE")</f>
        <v>FNCL 6 2025</v>
      </c>
      <c r="D3068" t="str">
        <f>_xll.BDP("FNDD6263 Mtge","CRNCY")</f>
        <v>USD</v>
      </c>
      <c r="E3068">
        <v>11336200</v>
      </c>
      <c r="F3068">
        <f>_xll.BDP("FNDD6263 Mtge","CPN")</f>
        <v>6</v>
      </c>
      <c r="G3068">
        <f>_xll.BDP("FNDD6263 Mtge","MTG_FACTOR")</f>
        <v>0.82695255000000001</v>
      </c>
      <c r="H3068">
        <f>_xll.BDP("FNDD6263 Mtge","MTG_WAL")</f>
        <v>3.2490999999999999</v>
      </c>
      <c r="I3068" t="str">
        <f>_xll.BDP("FNDD6263 Mtge","MTG_ORIG_WAL")</f>
        <v>#N/A N/A</v>
      </c>
    </row>
    <row r="3069" spans="1:9" x14ac:dyDescent="0.25">
      <c r="A3069" t="str">
        <f>_xll.BDP("FNDD6271 Mtge","ID_CUSIP")</f>
        <v>3140B66H3</v>
      </c>
      <c r="B3069" t="str">
        <f>_xll.BDP("FNDD6271 Mtge","SECURITY_NAME")</f>
        <v>FN DD6271</v>
      </c>
      <c r="C3069" t="str">
        <f>_xll.BDP("FNDD6271 Mtge","GENERIC_TICKER_VINTAGE")</f>
        <v>FNCL 6 2025</v>
      </c>
      <c r="D3069" t="str">
        <f>_xll.BDP("FNDD6271 Mtge","CRNCY")</f>
        <v>USD</v>
      </c>
      <c r="E3069">
        <v>5408375</v>
      </c>
      <c r="F3069">
        <f>_xll.BDP("FNDD6271 Mtge","CPN")</f>
        <v>6</v>
      </c>
      <c r="G3069">
        <f>_xll.BDP("FNDD6271 Mtge","MTG_FACTOR")</f>
        <v>0.74079393999999998</v>
      </c>
      <c r="H3069">
        <f>_xll.BDP("FNDD6271 Mtge","MTG_WAL")</f>
        <v>3.2479</v>
      </c>
      <c r="I3069" t="str">
        <f>_xll.BDP("FNDD6271 Mtge","MTG_ORIG_WAL")</f>
        <v>#N/A N/A</v>
      </c>
    </row>
    <row r="3070" spans="1:9" x14ac:dyDescent="0.25">
      <c r="A3070" t="str">
        <f>_xll.BDP("FNDD6272 Mtge","ID_CUSIP")</f>
        <v>3140B66J9</v>
      </c>
      <c r="B3070" t="str">
        <f>_xll.BDP("FNDD6272 Mtge","SECURITY_NAME")</f>
        <v>FN DD6272</v>
      </c>
      <c r="C3070" t="str">
        <f>_xll.BDP("FNDD6272 Mtge","GENERIC_TICKER_VINTAGE")</f>
        <v>FNCL 6 2025</v>
      </c>
      <c r="D3070" t="str">
        <f>_xll.BDP("FNDD6272 Mtge","CRNCY")</f>
        <v>USD</v>
      </c>
      <c r="E3070">
        <v>10853643</v>
      </c>
      <c r="F3070">
        <f>_xll.BDP("FNDD6272 Mtge","CPN")</f>
        <v>6</v>
      </c>
      <c r="G3070">
        <f>_xll.BDP("FNDD6272 Mtge","MTG_FACTOR")</f>
        <v>0.87833127</v>
      </c>
      <c r="H3070">
        <f>_xll.BDP("FNDD6272 Mtge","MTG_WAL")</f>
        <v>3.2490999999999999</v>
      </c>
      <c r="I3070" t="str">
        <f>_xll.BDP("FNDD6272 Mtge","MTG_ORIG_WAL")</f>
        <v>#N/A N/A</v>
      </c>
    </row>
    <row r="3071" spans="1:9" x14ac:dyDescent="0.25">
      <c r="A3071" t="str">
        <f>_xll.BDP("FNDD6282 Mtge","ID_CUSIP")</f>
        <v>3140B66U4</v>
      </c>
      <c r="B3071" t="str">
        <f>_xll.BDP("FNDD6282 Mtge","SECURITY_NAME")</f>
        <v>FN DD6282</v>
      </c>
      <c r="C3071" t="str">
        <f>_xll.BDP("FNDD6282 Mtge","GENERIC_TICKER_VINTAGE")</f>
        <v>FNCL 6 2025</v>
      </c>
      <c r="D3071" t="str">
        <f>_xll.BDP("FNDD6282 Mtge","CRNCY")</f>
        <v>USD</v>
      </c>
      <c r="E3071">
        <v>3409569</v>
      </c>
      <c r="F3071">
        <f>_xll.BDP("FNDD6282 Mtge","CPN")</f>
        <v>6</v>
      </c>
      <c r="G3071">
        <f>_xll.BDP("FNDD6282 Mtge","MTG_FACTOR")</f>
        <v>0.99013898</v>
      </c>
      <c r="H3071">
        <f>_xll.BDP("FNDD6282 Mtge","MTG_WAL")</f>
        <v>3.2492999999999999</v>
      </c>
      <c r="I3071" t="str">
        <f>_xll.BDP("FNDD6282 Mtge","MTG_ORIG_WAL")</f>
        <v>#N/A N/A</v>
      </c>
    </row>
    <row r="3072" spans="1:9" x14ac:dyDescent="0.25">
      <c r="A3072" t="str">
        <f>_xll.BDP("FNDD6288 Mtge","ID_CUSIP")</f>
        <v>3140B67A7</v>
      </c>
      <c r="B3072" t="str">
        <f>_xll.BDP("FNDD6288 Mtge","SECURITY_NAME")</f>
        <v>FN DD6288</v>
      </c>
      <c r="C3072" t="str">
        <f>_xll.BDP("FNDD6288 Mtge","GENERIC_TICKER_VINTAGE")</f>
        <v>FNCL 6 2025</v>
      </c>
      <c r="D3072" t="str">
        <f>_xll.BDP("FNDD6288 Mtge","CRNCY")</f>
        <v>USD</v>
      </c>
      <c r="E3072">
        <v>3746119</v>
      </c>
      <c r="F3072">
        <f>_xll.BDP("FNDD6288 Mtge","CPN")</f>
        <v>6</v>
      </c>
      <c r="G3072">
        <f>_xll.BDP("FNDD6288 Mtge","MTG_FACTOR")</f>
        <v>0.91560107999999996</v>
      </c>
      <c r="H3072">
        <f>_xll.BDP("FNDD6288 Mtge","MTG_WAL")</f>
        <v>3.2496999999999998</v>
      </c>
      <c r="I3072" t="str">
        <f>_xll.BDP("FNDD6288 Mtge","MTG_ORIG_WAL")</f>
        <v>#N/A N/A</v>
      </c>
    </row>
    <row r="3073" spans="1:9" x14ac:dyDescent="0.25">
      <c r="A3073" t="str">
        <f>_xll.BDP("FNDD6291 Mtge","ID_CUSIP")</f>
        <v>3140B67D1</v>
      </c>
      <c r="B3073" t="str">
        <f>_xll.BDP("FNDD6291 Mtge","SECURITY_NAME")</f>
        <v>FN DD6291</v>
      </c>
      <c r="C3073" t="str">
        <f>_xll.BDP("FNDD6291 Mtge","GENERIC_TICKER_VINTAGE")</f>
        <v>FNCL 6 2025</v>
      </c>
      <c r="D3073" t="str">
        <f>_xll.BDP("FNDD6291 Mtge","CRNCY")</f>
        <v>USD</v>
      </c>
      <c r="E3073">
        <v>2353740</v>
      </c>
      <c r="F3073">
        <f>_xll.BDP("FNDD6291 Mtge","CPN")</f>
        <v>6</v>
      </c>
      <c r="G3073">
        <f>_xll.BDP("FNDD6291 Mtge","MTG_FACTOR")</f>
        <v>0.80230818999999998</v>
      </c>
      <c r="H3073">
        <f>_xll.BDP("FNDD6291 Mtge","MTG_WAL")</f>
        <v>3.2440000000000002</v>
      </c>
      <c r="I3073" t="str">
        <f>_xll.BDP("FNDD6291 Mtge","MTG_ORIG_WAL")</f>
        <v>#N/A N/A</v>
      </c>
    </row>
    <row r="3074" spans="1:9" x14ac:dyDescent="0.25">
      <c r="A3074" t="str">
        <f>_xll.BDP("FNDD6294 Mtge","ID_CUSIP")</f>
        <v>3140B67G4</v>
      </c>
      <c r="B3074" t="str">
        <f>_xll.BDP("FNDD6294 Mtge","SECURITY_NAME")</f>
        <v>FN DD6294</v>
      </c>
      <c r="C3074" t="str">
        <f>_xll.BDP("FNDD6294 Mtge","GENERIC_TICKER_VINTAGE")</f>
        <v>FNCL 6 2025</v>
      </c>
      <c r="D3074" t="str">
        <f>_xll.BDP("FNDD6294 Mtge","CRNCY")</f>
        <v>USD</v>
      </c>
      <c r="E3074">
        <v>30077239</v>
      </c>
      <c r="F3074">
        <f>_xll.BDP("FNDD6294 Mtge","CPN")</f>
        <v>6</v>
      </c>
      <c r="G3074">
        <f>_xll.BDP("FNDD6294 Mtge","MTG_FACTOR")</f>
        <v>0.84586815000000004</v>
      </c>
      <c r="H3074">
        <f>_xll.BDP("FNDD6294 Mtge","MTG_WAL")</f>
        <v>3.2492999999999999</v>
      </c>
      <c r="I3074" t="str">
        <f>_xll.BDP("FNDD6294 Mtge","MTG_ORIG_WAL")</f>
        <v>#N/A N/A</v>
      </c>
    </row>
    <row r="3075" spans="1:9" x14ac:dyDescent="0.25">
      <c r="A3075" t="str">
        <f>_xll.BDP("FNDD6300 Mtge","ID_CUSIP")</f>
        <v>3140B7AA1</v>
      </c>
      <c r="B3075" t="str">
        <f>_xll.BDP("FNDD6300 Mtge","SECURITY_NAME")</f>
        <v>FN DD6300</v>
      </c>
      <c r="C3075" t="str">
        <f>_xll.BDP("FNDD6300 Mtge","GENERIC_TICKER_VINTAGE")</f>
        <v>FNCL 6 2025</v>
      </c>
      <c r="D3075" t="str">
        <f>_xll.BDP("FNDD6300 Mtge","CRNCY")</f>
        <v>USD</v>
      </c>
      <c r="E3075">
        <v>32404588</v>
      </c>
      <c r="F3075">
        <f>_xll.BDP("FNDD6300 Mtge","CPN")</f>
        <v>6</v>
      </c>
      <c r="G3075">
        <f>_xll.BDP("FNDD6300 Mtge","MTG_FACTOR")</f>
        <v>0.83880425999999997</v>
      </c>
      <c r="H3075">
        <f>_xll.BDP("FNDD6300 Mtge","MTG_WAL")</f>
        <v>3.2477999999999998</v>
      </c>
      <c r="I3075" t="str">
        <f>_xll.BDP("FNDD6300 Mtge","MTG_ORIG_WAL")</f>
        <v>#N/A N/A</v>
      </c>
    </row>
    <row r="3076" spans="1:9" x14ac:dyDescent="0.25">
      <c r="A3076" t="str">
        <f>_xll.BDP("FNDD6310 Mtge","ID_CUSIP")</f>
        <v>3140B7AL7</v>
      </c>
      <c r="B3076" t="str">
        <f>_xll.BDP("FNDD6310 Mtge","SECURITY_NAME")</f>
        <v>FN DD6310</v>
      </c>
      <c r="C3076" t="str">
        <f>_xll.BDP("FNDD6310 Mtge","GENERIC_TICKER_VINTAGE")</f>
        <v>FNCL 6 2025</v>
      </c>
      <c r="D3076" t="str">
        <f>_xll.BDP("FNDD6310 Mtge","CRNCY")</f>
        <v>USD</v>
      </c>
      <c r="E3076">
        <v>3568778</v>
      </c>
      <c r="F3076">
        <f>_xll.BDP("FNDD6310 Mtge","CPN")</f>
        <v>6</v>
      </c>
      <c r="G3076">
        <f>_xll.BDP("FNDD6310 Mtge","MTG_FACTOR")</f>
        <v>0.83884259999999999</v>
      </c>
      <c r="H3076">
        <f>_xll.BDP("FNDD6310 Mtge","MTG_WAL")</f>
        <v>3.2385000000000002</v>
      </c>
      <c r="I3076" t="str">
        <f>_xll.BDP("FNDD6310 Mtge","MTG_ORIG_WAL")</f>
        <v>#N/A N/A</v>
      </c>
    </row>
    <row r="3077" spans="1:9" x14ac:dyDescent="0.25">
      <c r="A3077" t="str">
        <f>_xll.BDP("FNDD6311 Mtge","ID_CUSIP")</f>
        <v>3140B7AM5</v>
      </c>
      <c r="B3077" t="str">
        <f>_xll.BDP("FNDD6311 Mtge","SECURITY_NAME")</f>
        <v>FN DD6311</v>
      </c>
      <c r="C3077" t="str">
        <f>_xll.BDP("FNDD6311 Mtge","GENERIC_TICKER_VINTAGE")</f>
        <v>FNCL 6 2025</v>
      </c>
      <c r="D3077" t="str">
        <f>_xll.BDP("FNDD6311 Mtge","CRNCY")</f>
        <v>USD</v>
      </c>
      <c r="E3077">
        <v>12438839</v>
      </c>
      <c r="F3077">
        <f>_xll.BDP("FNDD6311 Mtge","CPN")</f>
        <v>6</v>
      </c>
      <c r="G3077">
        <f>_xll.BDP("FNDD6311 Mtge","MTG_FACTOR")</f>
        <v>0.81365182999999996</v>
      </c>
      <c r="H3077">
        <f>_xll.BDP("FNDD6311 Mtge","MTG_WAL")</f>
        <v>3.2467000000000001</v>
      </c>
      <c r="I3077" t="str">
        <f>_xll.BDP("FNDD6311 Mtge","MTG_ORIG_WAL")</f>
        <v>#N/A N/A</v>
      </c>
    </row>
    <row r="3078" spans="1:9" x14ac:dyDescent="0.25">
      <c r="A3078" t="str">
        <f>_xll.BDP("FNDD6338 Mtge","ID_CUSIP")</f>
        <v>3140B7BG7</v>
      </c>
      <c r="B3078" t="str">
        <f>_xll.BDP("FNDD6338 Mtge","SECURITY_NAME")</f>
        <v>FN DD6338</v>
      </c>
      <c r="C3078" t="str">
        <f>_xll.BDP("FNDD6338 Mtge","GENERIC_TICKER_VINTAGE")</f>
        <v>FNCL 6 2025</v>
      </c>
      <c r="D3078" t="str">
        <f>_xll.BDP("FNDD6338 Mtge","CRNCY")</f>
        <v>USD</v>
      </c>
      <c r="E3078">
        <v>2953771</v>
      </c>
      <c r="F3078">
        <f>_xll.BDP("FNDD6338 Mtge","CPN")</f>
        <v>6</v>
      </c>
      <c r="G3078">
        <f>_xll.BDP("FNDD6338 Mtge","MTG_FACTOR")</f>
        <v>0.93462042999999995</v>
      </c>
      <c r="H3078">
        <f>_xll.BDP("FNDD6338 Mtge","MTG_WAL")</f>
        <v>3.2462</v>
      </c>
      <c r="I3078" t="str">
        <f>_xll.BDP("FNDD6338 Mtge","MTG_ORIG_WAL")</f>
        <v>#N/A N/A</v>
      </c>
    </row>
    <row r="3079" spans="1:9" x14ac:dyDescent="0.25">
      <c r="A3079" t="str">
        <f>_xll.BDP("FNDD6339 Mtge","ID_CUSIP")</f>
        <v>3140B7BH5</v>
      </c>
      <c r="B3079" t="str">
        <f>_xll.BDP("FNDD6339 Mtge","SECURITY_NAME")</f>
        <v>FN DD6339</v>
      </c>
      <c r="C3079" t="str">
        <f>_xll.BDP("FNDD6339 Mtge","GENERIC_TICKER_VINTAGE")</f>
        <v>FNCL 6 2025</v>
      </c>
      <c r="D3079" t="str">
        <f>_xll.BDP("FNDD6339 Mtge","CRNCY")</f>
        <v>USD</v>
      </c>
      <c r="E3079">
        <v>3802470</v>
      </c>
      <c r="F3079">
        <f>_xll.BDP("FNDD6339 Mtge","CPN")</f>
        <v>6</v>
      </c>
      <c r="G3079">
        <f>_xll.BDP("FNDD6339 Mtge","MTG_FACTOR")</f>
        <v>0.93131602000000002</v>
      </c>
      <c r="H3079">
        <f>_xll.BDP("FNDD6339 Mtge","MTG_WAL")</f>
        <v>3.2458999999999998</v>
      </c>
      <c r="I3079" t="str">
        <f>_xll.BDP("FNDD6339 Mtge","MTG_ORIG_WAL")</f>
        <v>#N/A N/A</v>
      </c>
    </row>
    <row r="3080" spans="1:9" x14ac:dyDescent="0.25">
      <c r="A3080" t="str">
        <f>_xll.BDP("FNDD6340 Mtge","ID_CUSIP")</f>
        <v>3140B7BJ1</v>
      </c>
      <c r="B3080" t="str">
        <f>_xll.BDP("FNDD6340 Mtge","SECURITY_NAME")</f>
        <v>FN DD6340</v>
      </c>
      <c r="C3080" t="str">
        <f>_xll.BDP("FNDD6340 Mtge","GENERIC_TICKER_VINTAGE")</f>
        <v>FNCL 6 2025</v>
      </c>
      <c r="D3080" t="str">
        <f>_xll.BDP("FNDD6340 Mtge","CRNCY")</f>
        <v>USD</v>
      </c>
      <c r="E3080">
        <v>3147405</v>
      </c>
      <c r="F3080">
        <f>_xll.BDP("FNDD6340 Mtge","CPN")</f>
        <v>6</v>
      </c>
      <c r="G3080">
        <f>_xll.BDP("FNDD6340 Mtge","MTG_FACTOR")</f>
        <v>0.83233025000000005</v>
      </c>
      <c r="H3080">
        <f>_xll.BDP("FNDD6340 Mtge","MTG_WAL")</f>
        <v>3.2456</v>
      </c>
      <c r="I3080" t="str">
        <f>_xll.BDP("FNDD6340 Mtge","MTG_ORIG_WAL")</f>
        <v>#N/A N/A</v>
      </c>
    </row>
    <row r="3081" spans="1:9" x14ac:dyDescent="0.25">
      <c r="A3081" t="str">
        <f>_xll.BDP("FNDD6350 Mtge","ID_CUSIP")</f>
        <v>3140B7BU6</v>
      </c>
      <c r="B3081" t="str">
        <f>_xll.BDP("FNDD6350 Mtge","SECURITY_NAME")</f>
        <v>FN DD6350</v>
      </c>
      <c r="C3081" t="str">
        <f>_xll.BDP("FNDD6350 Mtge","GENERIC_TICKER_VINTAGE")</f>
        <v>FNCL 6 2025</v>
      </c>
      <c r="D3081" t="str">
        <f>_xll.BDP("FNDD6350 Mtge","CRNCY")</f>
        <v>USD</v>
      </c>
      <c r="E3081">
        <v>4741291</v>
      </c>
      <c r="F3081">
        <f>_xll.BDP("FNDD6350 Mtge","CPN")</f>
        <v>6</v>
      </c>
      <c r="G3081">
        <f>_xll.BDP("FNDD6350 Mtge","MTG_FACTOR")</f>
        <v>0.92426255999999996</v>
      </c>
      <c r="H3081">
        <f>_xll.BDP("FNDD6350 Mtge","MTG_WAL")</f>
        <v>3.2416999999999998</v>
      </c>
      <c r="I3081" t="str">
        <f>_xll.BDP("FNDD6350 Mtge","MTG_ORIG_WAL")</f>
        <v>#N/A N/A</v>
      </c>
    </row>
    <row r="3082" spans="1:9" x14ac:dyDescent="0.25">
      <c r="A3082" t="str">
        <f>_xll.BDP("FNDD6352 Mtge","ID_CUSIP")</f>
        <v>3140B7BW2</v>
      </c>
      <c r="B3082" t="str">
        <f>_xll.BDP("FNDD6352 Mtge","SECURITY_NAME")</f>
        <v>FN DD6352</v>
      </c>
      <c r="C3082" t="str">
        <f>_xll.BDP("FNDD6352 Mtge","GENERIC_TICKER_VINTAGE")</f>
        <v>FNCL 6 2025</v>
      </c>
      <c r="D3082" t="str">
        <f>_xll.BDP("FNDD6352 Mtge","CRNCY")</f>
        <v>USD</v>
      </c>
      <c r="E3082">
        <v>15482981</v>
      </c>
      <c r="F3082">
        <f>_xll.BDP("FNDD6352 Mtge","CPN")</f>
        <v>6</v>
      </c>
      <c r="G3082">
        <f>_xll.BDP("FNDD6352 Mtge","MTG_FACTOR")</f>
        <v>0.88742695999999999</v>
      </c>
      <c r="H3082">
        <f>_xll.BDP("FNDD6352 Mtge","MTG_WAL")</f>
        <v>3.2461000000000002</v>
      </c>
      <c r="I3082" t="str">
        <f>_xll.BDP("FNDD6352 Mtge","MTG_ORIG_WAL")</f>
        <v>#N/A N/A</v>
      </c>
    </row>
    <row r="3083" spans="1:9" x14ac:dyDescent="0.25">
      <c r="A3083" t="str">
        <f>_xll.BDP("FNDD6353 Mtge","ID_CUSIP")</f>
        <v>3140B7BX0</v>
      </c>
      <c r="B3083" t="str">
        <f>_xll.BDP("FNDD6353 Mtge","SECURITY_NAME")</f>
        <v>FN DD6353</v>
      </c>
      <c r="C3083" t="str">
        <f>_xll.BDP("FNDD6353 Mtge","GENERIC_TICKER_VINTAGE")</f>
        <v>FNCL 6 2025</v>
      </c>
      <c r="D3083" t="str">
        <f>_xll.BDP("FNDD6353 Mtge","CRNCY")</f>
        <v>USD</v>
      </c>
      <c r="E3083">
        <v>6875470</v>
      </c>
      <c r="F3083">
        <f>_xll.BDP("FNDD6353 Mtge","CPN")</f>
        <v>6</v>
      </c>
      <c r="G3083">
        <f>_xll.BDP("FNDD6353 Mtge","MTG_FACTOR")</f>
        <v>0.98958093000000003</v>
      </c>
      <c r="H3083">
        <f>_xll.BDP("FNDD6353 Mtge","MTG_WAL")</f>
        <v>3.2494000000000001</v>
      </c>
      <c r="I3083" t="str">
        <f>_xll.BDP("FNDD6353 Mtge","MTG_ORIG_WAL")</f>
        <v>#N/A N/A</v>
      </c>
    </row>
    <row r="3084" spans="1:9" x14ac:dyDescent="0.25">
      <c r="A3084" t="str">
        <f>_xll.BDP("FNDD6358 Mtge","ID_CUSIP")</f>
        <v>3140B7B44</v>
      </c>
      <c r="B3084" t="str">
        <f>_xll.BDP("FNDD6358 Mtge","SECURITY_NAME")</f>
        <v>FN DD6358</v>
      </c>
      <c r="C3084" t="str">
        <f>_xll.BDP("FNDD6358 Mtge","GENERIC_TICKER_VINTAGE")</f>
        <v>FNCL 6 2025</v>
      </c>
      <c r="D3084" t="str">
        <f>_xll.BDP("FNDD6358 Mtge","CRNCY")</f>
        <v>USD</v>
      </c>
      <c r="E3084">
        <v>2001297</v>
      </c>
      <c r="F3084">
        <f>_xll.BDP("FNDD6358 Mtge","CPN")</f>
        <v>6</v>
      </c>
      <c r="G3084">
        <f>_xll.BDP("FNDD6358 Mtge","MTG_FACTOR")</f>
        <v>0.98838554000000001</v>
      </c>
      <c r="H3084">
        <f>_xll.BDP("FNDD6358 Mtge","MTG_WAL")</f>
        <v>3.2479</v>
      </c>
      <c r="I3084" t="str">
        <f>_xll.BDP("FNDD6358 Mtge","MTG_ORIG_WAL")</f>
        <v>#N/A N/A</v>
      </c>
    </row>
    <row r="3085" spans="1:9" x14ac:dyDescent="0.25">
      <c r="A3085" t="str">
        <f>_xll.BDP("FNDD6386 Mtge","ID_CUSIP")</f>
        <v>3140B7CY7</v>
      </c>
      <c r="B3085" t="str">
        <f>_xll.BDP("FNDD6386 Mtge","SECURITY_NAME")</f>
        <v>FN DD6386</v>
      </c>
      <c r="C3085" t="str">
        <f>_xll.BDP("FNDD6386 Mtge","GENERIC_TICKER_VINTAGE")</f>
        <v>FNCL 6 2025</v>
      </c>
      <c r="D3085" t="str">
        <f>_xll.BDP("FNDD6386 Mtge","CRNCY")</f>
        <v>USD</v>
      </c>
      <c r="E3085">
        <v>6037885</v>
      </c>
      <c r="F3085">
        <f>_xll.BDP("FNDD6386 Mtge","CPN")</f>
        <v>6</v>
      </c>
      <c r="G3085">
        <f>_xll.BDP("FNDD6386 Mtge","MTG_FACTOR")</f>
        <v>0.8120908</v>
      </c>
      <c r="H3085">
        <f>_xll.BDP("FNDD6386 Mtge","MTG_WAL")</f>
        <v>3.1974999999999998</v>
      </c>
      <c r="I3085" t="str">
        <f>_xll.BDP("FNDD6386 Mtge","MTG_ORIG_WAL")</f>
        <v>#N/A N/A</v>
      </c>
    </row>
    <row r="3086" spans="1:9" x14ac:dyDescent="0.25">
      <c r="A3086" t="str">
        <f>_xll.BDP("FNDD6388 Mtge","ID_CUSIP")</f>
        <v>3140B7C27</v>
      </c>
      <c r="B3086" t="str">
        <f>_xll.BDP("FNDD6388 Mtge","SECURITY_NAME")</f>
        <v>FN DD6388</v>
      </c>
      <c r="C3086" t="str">
        <f>_xll.BDP("FNDD6388 Mtge","GENERIC_TICKER_VINTAGE")</f>
        <v>FNCL 6 2025</v>
      </c>
      <c r="D3086" t="str">
        <f>_xll.BDP("FNDD6388 Mtge","CRNCY")</f>
        <v>USD</v>
      </c>
      <c r="E3086">
        <v>6588799</v>
      </c>
      <c r="F3086">
        <f>_xll.BDP("FNDD6388 Mtge","CPN")</f>
        <v>6</v>
      </c>
      <c r="G3086">
        <f>_xll.BDP("FNDD6388 Mtge","MTG_FACTOR")</f>
        <v>0.90948848000000004</v>
      </c>
      <c r="H3086">
        <f>_xll.BDP("FNDD6388 Mtge","MTG_WAL")</f>
        <v>3.1983999999999999</v>
      </c>
      <c r="I3086" t="str">
        <f>_xll.BDP("FNDD6388 Mtge","MTG_ORIG_WAL")</f>
        <v>#N/A N/A</v>
      </c>
    </row>
    <row r="3087" spans="1:9" x14ac:dyDescent="0.25">
      <c r="A3087" t="str">
        <f>_xll.BDP("FNDD6389 Mtge","ID_CUSIP")</f>
        <v>3140B7C35</v>
      </c>
      <c r="B3087" t="str">
        <f>_xll.BDP("FNDD6389 Mtge","SECURITY_NAME")</f>
        <v>FN DD6389</v>
      </c>
      <c r="C3087" t="str">
        <f>_xll.BDP("FNDD6389 Mtge","GENERIC_TICKER_VINTAGE")</f>
        <v>FNCL 6 2025</v>
      </c>
      <c r="D3087" t="str">
        <f>_xll.BDP("FNDD6389 Mtge","CRNCY")</f>
        <v>USD</v>
      </c>
      <c r="E3087">
        <v>10742527</v>
      </c>
      <c r="F3087">
        <f>_xll.BDP("FNDD6389 Mtge","CPN")</f>
        <v>6</v>
      </c>
      <c r="G3087">
        <f>_xll.BDP("FNDD6389 Mtge","MTG_FACTOR")</f>
        <v>0.83019005000000001</v>
      </c>
      <c r="H3087">
        <f>_xll.BDP("FNDD6389 Mtge","MTG_WAL")</f>
        <v>3.2025999999999999</v>
      </c>
      <c r="I3087" t="str">
        <f>_xll.BDP("FNDD6389 Mtge","MTG_ORIG_WAL")</f>
        <v>#N/A N/A</v>
      </c>
    </row>
    <row r="3088" spans="1:9" x14ac:dyDescent="0.25">
      <c r="A3088" t="str">
        <f>_xll.BDP("FNDD6390 Mtge","ID_CUSIP")</f>
        <v>3140B7C43</v>
      </c>
      <c r="B3088" t="str">
        <f>_xll.BDP("FNDD6390 Mtge","SECURITY_NAME")</f>
        <v>FN DD6390</v>
      </c>
      <c r="C3088" t="str">
        <f>_xll.BDP("FNDD6390 Mtge","GENERIC_TICKER_VINTAGE")</f>
        <v>FNCL 6 2025</v>
      </c>
      <c r="D3088" t="str">
        <f>_xll.BDP("FNDD6390 Mtge","CRNCY")</f>
        <v>USD</v>
      </c>
      <c r="E3088">
        <v>16083554</v>
      </c>
      <c r="F3088">
        <f>_xll.BDP("FNDD6390 Mtge","CPN")</f>
        <v>6</v>
      </c>
      <c r="G3088">
        <f>_xll.BDP("FNDD6390 Mtge","MTG_FACTOR")</f>
        <v>0.84811057000000001</v>
      </c>
      <c r="H3088">
        <f>_xll.BDP("FNDD6390 Mtge","MTG_WAL")</f>
        <v>3.1968999999999999</v>
      </c>
      <c r="I3088" t="str">
        <f>_xll.BDP("FNDD6390 Mtge","MTG_ORIG_WAL")</f>
        <v>#N/A N/A</v>
      </c>
    </row>
    <row r="3089" spans="1:9" x14ac:dyDescent="0.25">
      <c r="A3089" t="str">
        <f>_xll.BDP("FNDD6392 Mtge","ID_CUSIP")</f>
        <v>3140B7C68</v>
      </c>
      <c r="B3089" t="str">
        <f>_xll.BDP("FNDD6392 Mtge","SECURITY_NAME")</f>
        <v>FN DD6392</v>
      </c>
      <c r="C3089" t="str">
        <f>_xll.BDP("FNDD6392 Mtge","GENERIC_TICKER_VINTAGE")</f>
        <v>FNCL 6 2025</v>
      </c>
      <c r="D3089" t="str">
        <f>_xll.BDP("FNDD6392 Mtge","CRNCY")</f>
        <v>USD</v>
      </c>
      <c r="E3089">
        <v>7151855</v>
      </c>
      <c r="F3089">
        <f>_xll.BDP("FNDD6392 Mtge","CPN")</f>
        <v>6</v>
      </c>
      <c r="G3089">
        <f>_xll.BDP("FNDD6392 Mtge","MTG_FACTOR")</f>
        <v>0.83773204999999995</v>
      </c>
      <c r="H3089">
        <f>_xll.BDP("FNDD6392 Mtge","MTG_WAL")</f>
        <v>3.1972999999999998</v>
      </c>
      <c r="I3089" t="str">
        <f>_xll.BDP("FNDD6392 Mtge","MTG_ORIG_WAL")</f>
        <v>#N/A N/A</v>
      </c>
    </row>
    <row r="3090" spans="1:9" x14ac:dyDescent="0.25">
      <c r="A3090" t="str">
        <f>_xll.BDP("FNDD6393 Mtge","ID_CUSIP")</f>
        <v>3140B7C76</v>
      </c>
      <c r="B3090" t="str">
        <f>_xll.BDP("FNDD6393 Mtge","SECURITY_NAME")</f>
        <v>FN DD6393</v>
      </c>
      <c r="C3090" t="str">
        <f>_xll.BDP("FNDD6393 Mtge","GENERIC_TICKER_VINTAGE")</f>
        <v>FNCL 6 2025</v>
      </c>
      <c r="D3090" t="str">
        <f>_xll.BDP("FNDD6393 Mtge","CRNCY")</f>
        <v>USD</v>
      </c>
      <c r="E3090">
        <v>16043253</v>
      </c>
      <c r="F3090">
        <f>_xll.BDP("FNDD6393 Mtge","CPN")</f>
        <v>6</v>
      </c>
      <c r="G3090">
        <f>_xll.BDP("FNDD6393 Mtge","MTG_FACTOR")</f>
        <v>0.76517343999999998</v>
      </c>
      <c r="H3090">
        <f>_xll.BDP("FNDD6393 Mtge","MTG_WAL")</f>
        <v>3.1997</v>
      </c>
      <c r="I3090" t="str">
        <f>_xll.BDP("FNDD6393 Mtge","MTG_ORIG_WAL")</f>
        <v>#N/A N/A</v>
      </c>
    </row>
    <row r="3091" spans="1:9" x14ac:dyDescent="0.25">
      <c r="A3091" t="str">
        <f>_xll.BDP("FNDD6394 Mtge","ID_CUSIP")</f>
        <v>3140B7C84</v>
      </c>
      <c r="B3091" t="str">
        <f>_xll.BDP("FNDD6394 Mtge","SECURITY_NAME")</f>
        <v>FN DD6394</v>
      </c>
      <c r="C3091" t="str">
        <f>_xll.BDP("FNDD6394 Mtge","GENERIC_TICKER_VINTAGE")</f>
        <v>FNCL 6 2025</v>
      </c>
      <c r="D3091" t="str">
        <f>_xll.BDP("FNDD6394 Mtge","CRNCY")</f>
        <v>USD</v>
      </c>
      <c r="E3091">
        <v>55310525</v>
      </c>
      <c r="F3091">
        <f>_xll.BDP("FNDD6394 Mtge","CPN")</f>
        <v>6</v>
      </c>
      <c r="G3091">
        <f>_xll.BDP("FNDD6394 Mtge","MTG_FACTOR")</f>
        <v>0.82989981999999995</v>
      </c>
      <c r="H3091">
        <f>_xll.BDP("FNDD6394 Mtge","MTG_WAL")</f>
        <v>3.2000999999999999</v>
      </c>
      <c r="I3091" t="str">
        <f>_xll.BDP("FNDD6394 Mtge","MTG_ORIG_WAL")</f>
        <v>#N/A N/A</v>
      </c>
    </row>
    <row r="3092" spans="1:9" x14ac:dyDescent="0.25">
      <c r="A3092" t="str">
        <f>_xll.BDP("FNDD6395 Mtge","ID_CUSIP")</f>
        <v>3140B7C92</v>
      </c>
      <c r="B3092" t="str">
        <f>_xll.BDP("FNDD6395 Mtge","SECURITY_NAME")</f>
        <v>FN DD6395</v>
      </c>
      <c r="C3092" t="str">
        <f>_xll.BDP("FNDD6395 Mtge","GENERIC_TICKER_VINTAGE")</f>
        <v>FNCL 6 2025</v>
      </c>
      <c r="D3092" t="str">
        <f>_xll.BDP("FNDD6395 Mtge","CRNCY")</f>
        <v>USD</v>
      </c>
      <c r="E3092">
        <v>3238676</v>
      </c>
      <c r="F3092">
        <f>_xll.BDP("FNDD6395 Mtge","CPN")</f>
        <v>6</v>
      </c>
      <c r="G3092">
        <f>_xll.BDP("FNDD6395 Mtge","MTG_FACTOR")</f>
        <v>0.98964669999999999</v>
      </c>
      <c r="H3092">
        <f>_xll.BDP("FNDD6395 Mtge","MTG_WAL")</f>
        <v>3.2048999999999999</v>
      </c>
      <c r="I3092" t="str">
        <f>_xll.BDP("FNDD6395 Mtge","MTG_ORIG_WAL")</f>
        <v>#N/A N/A</v>
      </c>
    </row>
    <row r="3093" spans="1:9" x14ac:dyDescent="0.25">
      <c r="A3093" t="str">
        <f>_xll.BDP("FNDD6396 Mtge","ID_CUSIP")</f>
        <v>3140B7DA8</v>
      </c>
      <c r="B3093" t="str">
        <f>_xll.BDP("FNDD6396 Mtge","SECURITY_NAME")</f>
        <v>FN DD6396</v>
      </c>
      <c r="C3093" t="str">
        <f>_xll.BDP("FNDD6396 Mtge","GENERIC_TICKER_VINTAGE")</f>
        <v>FNCL 6 2025</v>
      </c>
      <c r="D3093" t="str">
        <f>_xll.BDP("FNDD6396 Mtge","CRNCY")</f>
        <v>USD</v>
      </c>
      <c r="E3093">
        <v>39659121</v>
      </c>
      <c r="F3093">
        <f>_xll.BDP("FNDD6396 Mtge","CPN")</f>
        <v>6</v>
      </c>
      <c r="G3093">
        <f>_xll.BDP("FNDD6396 Mtge","MTG_FACTOR")</f>
        <v>0.82344072000000001</v>
      </c>
      <c r="H3093">
        <f>_xll.BDP("FNDD6396 Mtge","MTG_WAL")</f>
        <v>3.2016</v>
      </c>
      <c r="I3093" t="str">
        <f>_xll.BDP("FNDD6396 Mtge","MTG_ORIG_WAL")</f>
        <v>#N/A N/A</v>
      </c>
    </row>
    <row r="3094" spans="1:9" x14ac:dyDescent="0.25">
      <c r="A3094" t="str">
        <f>_xll.BDP("FNDD6398 Mtge","ID_CUSIP")</f>
        <v>3140B7DC4</v>
      </c>
      <c r="B3094" t="str">
        <f>_xll.BDP("FNDD6398 Mtge","SECURITY_NAME")</f>
        <v>FN DD6398</v>
      </c>
      <c r="C3094" t="str">
        <f>_xll.BDP("FNDD6398 Mtge","GENERIC_TICKER_VINTAGE")</f>
        <v>FNCL 6 2025</v>
      </c>
      <c r="D3094" t="str">
        <f>_xll.BDP("FNDD6398 Mtge","CRNCY")</f>
        <v>USD</v>
      </c>
      <c r="E3094">
        <v>11712048</v>
      </c>
      <c r="F3094">
        <f>_xll.BDP("FNDD6398 Mtge","CPN")</f>
        <v>6</v>
      </c>
      <c r="G3094">
        <f>_xll.BDP("FNDD6398 Mtge","MTG_FACTOR")</f>
        <v>0.81790350999999994</v>
      </c>
      <c r="H3094">
        <f>_xll.BDP("FNDD6398 Mtge","MTG_WAL")</f>
        <v>3.1987999999999999</v>
      </c>
      <c r="I3094" t="str">
        <f>_xll.BDP("FNDD6398 Mtge","MTG_ORIG_WAL")</f>
        <v>#N/A N/A</v>
      </c>
    </row>
    <row r="3095" spans="1:9" x14ac:dyDescent="0.25">
      <c r="A3095" t="str">
        <f>_xll.BDP("FNDD6399 Mtge","ID_CUSIP")</f>
        <v>3140B7DD2</v>
      </c>
      <c r="B3095" t="str">
        <f>_xll.BDP("FNDD6399 Mtge","SECURITY_NAME")</f>
        <v>FN DD6399</v>
      </c>
      <c r="C3095" t="str">
        <f>_xll.BDP("FNDD6399 Mtge","GENERIC_TICKER_VINTAGE")</f>
        <v>FNCL 6 2025</v>
      </c>
      <c r="D3095" t="str">
        <f>_xll.BDP("FNDD6399 Mtge","CRNCY")</f>
        <v>USD</v>
      </c>
      <c r="E3095">
        <v>7338426</v>
      </c>
      <c r="F3095">
        <f>_xll.BDP("FNDD6399 Mtge","CPN")</f>
        <v>6</v>
      </c>
      <c r="G3095">
        <f>_xll.BDP("FNDD6399 Mtge","MTG_FACTOR")</f>
        <v>0.80909558999999998</v>
      </c>
      <c r="H3095">
        <f>_xll.BDP("FNDD6399 Mtge","MTG_WAL")</f>
        <v>3.1936</v>
      </c>
      <c r="I3095" t="str">
        <f>_xll.BDP("FNDD6399 Mtge","MTG_ORIG_WAL")</f>
        <v>#N/A N/A</v>
      </c>
    </row>
    <row r="3096" spans="1:9" x14ac:dyDescent="0.25">
      <c r="A3096" t="str">
        <f>_xll.BDP("FNDD6400 Mtge","ID_CUSIP")</f>
        <v>3140B7DE0</v>
      </c>
      <c r="B3096" t="str">
        <f>_xll.BDP("FNDD6400 Mtge","SECURITY_NAME")</f>
        <v>FN DD6400</v>
      </c>
      <c r="C3096" t="str">
        <f>_xll.BDP("FNDD6400 Mtge","GENERIC_TICKER_VINTAGE")</f>
        <v>FNCL 6 2025</v>
      </c>
      <c r="D3096" t="str">
        <f>_xll.BDP("FNDD6400 Mtge","CRNCY")</f>
        <v>USD</v>
      </c>
      <c r="E3096">
        <v>7091181</v>
      </c>
      <c r="F3096">
        <f>_xll.BDP("FNDD6400 Mtge","CPN")</f>
        <v>6</v>
      </c>
      <c r="G3096">
        <f>_xll.BDP("FNDD6400 Mtge","MTG_FACTOR")</f>
        <v>0.85490717000000005</v>
      </c>
      <c r="H3096">
        <f>_xll.BDP("FNDD6400 Mtge","MTG_WAL")</f>
        <v>3.2029000000000001</v>
      </c>
      <c r="I3096" t="str">
        <f>_xll.BDP("FNDD6400 Mtge","MTG_ORIG_WAL")</f>
        <v>#N/A N/A</v>
      </c>
    </row>
    <row r="3097" spans="1:9" x14ac:dyDescent="0.25">
      <c r="A3097" t="str">
        <f>_xll.BDP("FNDD6402 Mtge","ID_CUSIP")</f>
        <v>3140B7DG5</v>
      </c>
      <c r="B3097" t="str">
        <f>_xll.BDP("FNDD6402 Mtge","SECURITY_NAME")</f>
        <v>FN DD6402</v>
      </c>
      <c r="C3097" t="str">
        <f>_xll.BDP("FNDD6402 Mtge","GENERIC_TICKER_VINTAGE")</f>
        <v>FNCL 6 2025</v>
      </c>
      <c r="D3097" t="str">
        <f>_xll.BDP("FNDD6402 Mtge","CRNCY")</f>
        <v>USD</v>
      </c>
      <c r="E3097">
        <v>8088981</v>
      </c>
      <c r="F3097">
        <f>_xll.BDP("FNDD6402 Mtge","CPN")</f>
        <v>6</v>
      </c>
      <c r="G3097">
        <f>_xll.BDP("FNDD6402 Mtge","MTG_FACTOR")</f>
        <v>0.78937082999999997</v>
      </c>
      <c r="H3097">
        <f>_xll.BDP("FNDD6402 Mtge","MTG_WAL")</f>
        <v>3.1964000000000001</v>
      </c>
      <c r="I3097" t="str">
        <f>_xll.BDP("FNDD6402 Mtge","MTG_ORIG_WAL")</f>
        <v>#N/A N/A</v>
      </c>
    </row>
    <row r="3098" spans="1:9" x14ac:dyDescent="0.25">
      <c r="A3098" t="str">
        <f>_xll.BDP("FNDD6403 Mtge","ID_CUSIP")</f>
        <v>3140B7DH3</v>
      </c>
      <c r="B3098" t="str">
        <f>_xll.BDP("FNDD6403 Mtge","SECURITY_NAME")</f>
        <v>FN DD6403</v>
      </c>
      <c r="C3098" t="str">
        <f>_xll.BDP("FNDD6403 Mtge","GENERIC_TICKER_VINTAGE")</f>
        <v>FNCL 6 2025</v>
      </c>
      <c r="D3098" t="str">
        <f>_xll.BDP("FNDD6403 Mtge","CRNCY")</f>
        <v>USD</v>
      </c>
      <c r="E3098">
        <v>2559003</v>
      </c>
      <c r="F3098">
        <f>_xll.BDP("FNDD6403 Mtge","CPN")</f>
        <v>6</v>
      </c>
      <c r="G3098">
        <f>_xll.BDP("FNDD6403 Mtge","MTG_FACTOR")</f>
        <v>0.98530910000000005</v>
      </c>
      <c r="H3098">
        <f>_xll.BDP("FNDD6403 Mtge","MTG_WAL")</f>
        <v>3.2004000000000001</v>
      </c>
      <c r="I3098" t="str">
        <f>_xll.BDP("FNDD6403 Mtge","MTG_ORIG_WAL")</f>
        <v>#N/A N/A</v>
      </c>
    </row>
    <row r="3099" spans="1:9" x14ac:dyDescent="0.25">
      <c r="A3099" t="str">
        <f>_xll.BDP("FNDD6404 Mtge","ID_CUSIP")</f>
        <v>3140B7DJ9</v>
      </c>
      <c r="B3099" t="str">
        <f>_xll.BDP("FNDD6404 Mtge","SECURITY_NAME")</f>
        <v>FN DD6404</v>
      </c>
      <c r="C3099" t="str">
        <f>_xll.BDP("FNDD6404 Mtge","GENERIC_TICKER_VINTAGE")</f>
        <v>FNCL 6 2025</v>
      </c>
      <c r="D3099" t="str">
        <f>_xll.BDP("FNDD6404 Mtge","CRNCY")</f>
        <v>USD</v>
      </c>
      <c r="E3099">
        <v>1900243</v>
      </c>
      <c r="F3099">
        <f>_xll.BDP("FNDD6404 Mtge","CPN")</f>
        <v>6</v>
      </c>
      <c r="G3099">
        <f>_xll.BDP("FNDD6404 Mtge","MTG_FACTOR")</f>
        <v>0.68845456000000005</v>
      </c>
      <c r="H3099">
        <f>_xll.BDP("FNDD6404 Mtge","MTG_WAL")</f>
        <v>3.2008000000000001</v>
      </c>
      <c r="I3099" t="str">
        <f>_xll.BDP("FNDD6404 Mtge","MTG_ORIG_WAL")</f>
        <v>#N/A N/A</v>
      </c>
    </row>
    <row r="3100" spans="1:9" x14ac:dyDescent="0.25">
      <c r="A3100" t="str">
        <f>_xll.BDP("FNDD6405 Mtge","ID_CUSIP")</f>
        <v>3140B7DK6</v>
      </c>
      <c r="B3100" t="str">
        <f>_xll.BDP("FNDD6405 Mtge","SECURITY_NAME")</f>
        <v>FN DD6405</v>
      </c>
      <c r="C3100" t="str">
        <f>_xll.BDP("FNDD6405 Mtge","GENERIC_TICKER_VINTAGE")</f>
        <v>FNCL 6 2025</v>
      </c>
      <c r="D3100" t="str">
        <f>_xll.BDP("FNDD6405 Mtge","CRNCY")</f>
        <v>USD</v>
      </c>
      <c r="E3100">
        <v>9637947</v>
      </c>
      <c r="F3100">
        <f>_xll.BDP("FNDD6405 Mtge","CPN")</f>
        <v>6</v>
      </c>
      <c r="G3100">
        <f>_xll.BDP("FNDD6405 Mtge","MTG_FACTOR")</f>
        <v>0.86740382000000005</v>
      </c>
      <c r="H3100">
        <f>_xll.BDP("FNDD6405 Mtge","MTG_WAL")</f>
        <v>3.1981999999999999</v>
      </c>
      <c r="I3100" t="str">
        <f>_xll.BDP("FNDD6405 Mtge","MTG_ORIG_WAL")</f>
        <v>#N/A N/A</v>
      </c>
    </row>
    <row r="3101" spans="1:9" x14ac:dyDescent="0.25">
      <c r="A3101" t="str">
        <f>_xll.BDP("FNDD6454 Mtge","ID_CUSIP")</f>
        <v>3140B7E41</v>
      </c>
      <c r="B3101" t="str">
        <f>_xll.BDP("FNDD6454 Mtge","SECURITY_NAME")</f>
        <v>FN DD6454</v>
      </c>
      <c r="C3101" t="str">
        <f>_xll.BDP("FNDD6454 Mtge","GENERIC_TICKER_VINTAGE")</f>
        <v>FNCL 6 2025</v>
      </c>
      <c r="D3101" t="str">
        <f>_xll.BDP("FNDD6454 Mtge","CRNCY")</f>
        <v>USD</v>
      </c>
      <c r="E3101">
        <v>1624008</v>
      </c>
      <c r="F3101">
        <f>_xll.BDP("FNDD6454 Mtge","CPN")</f>
        <v>6</v>
      </c>
      <c r="G3101">
        <f>_xll.BDP("FNDD6454 Mtge","MTG_FACTOR")</f>
        <v>0.82685843999999997</v>
      </c>
      <c r="H3101">
        <f>_xll.BDP("FNDD6454 Mtge","MTG_WAL")</f>
        <v>3.2473999999999998</v>
      </c>
      <c r="I3101" t="str">
        <f>_xll.BDP("FNDD6454 Mtge","MTG_ORIG_WAL")</f>
        <v>#N/A N/A</v>
      </c>
    </row>
    <row r="3102" spans="1:9" x14ac:dyDescent="0.25">
      <c r="A3102" t="str">
        <f>_xll.BDP("FNDD6455 Mtge","ID_CUSIP")</f>
        <v>3140B7E58</v>
      </c>
      <c r="B3102" t="str">
        <f>_xll.BDP("FNDD6455 Mtge","SECURITY_NAME")</f>
        <v>FN DD6455</v>
      </c>
      <c r="C3102" t="str">
        <f>_xll.BDP("FNDD6455 Mtge","GENERIC_TICKER_VINTAGE")</f>
        <v>FNCL 6 2025</v>
      </c>
      <c r="D3102" t="str">
        <f>_xll.BDP("FNDD6455 Mtge","CRNCY")</f>
        <v>USD</v>
      </c>
      <c r="E3102">
        <v>1949731</v>
      </c>
      <c r="F3102">
        <f>_xll.BDP("FNDD6455 Mtge","CPN")</f>
        <v>6</v>
      </c>
      <c r="G3102">
        <f>_xll.BDP("FNDD6455 Mtge","MTG_FACTOR")</f>
        <v>0.98790343000000003</v>
      </c>
      <c r="H3102">
        <f>_xll.BDP("FNDD6455 Mtge","MTG_WAL")</f>
        <v>3.2031999999999998</v>
      </c>
      <c r="I3102" t="str">
        <f>_xll.BDP("FNDD6455 Mtge","MTG_ORIG_WAL")</f>
        <v>#N/A N/A</v>
      </c>
    </row>
    <row r="3103" spans="1:9" x14ac:dyDescent="0.25">
      <c r="A3103" t="str">
        <f>_xll.BDP("FNDD6456 Mtge","ID_CUSIP")</f>
        <v>3140B7E66</v>
      </c>
      <c r="B3103" t="str">
        <f>_xll.BDP("FNDD6456 Mtge","SECURITY_NAME")</f>
        <v>FN DD6456</v>
      </c>
      <c r="C3103" t="str">
        <f>_xll.BDP("FNDD6456 Mtge","GENERIC_TICKER_VINTAGE")</f>
        <v>FNCL 6 2025</v>
      </c>
      <c r="D3103" t="str">
        <f>_xll.BDP("FNDD6456 Mtge","CRNCY")</f>
        <v>USD</v>
      </c>
      <c r="E3103">
        <v>1726279</v>
      </c>
      <c r="F3103">
        <f>_xll.BDP("FNDD6456 Mtge","CPN")</f>
        <v>6</v>
      </c>
      <c r="G3103">
        <f>_xll.BDP("FNDD6456 Mtge","MTG_FACTOR")</f>
        <v>0.98118574000000003</v>
      </c>
      <c r="H3103">
        <f>_xll.BDP("FNDD6456 Mtge","MTG_WAL")</f>
        <v>3.2418999999999998</v>
      </c>
      <c r="I3103" t="str">
        <f>_xll.BDP("FNDD6456 Mtge","MTG_ORIG_WAL")</f>
        <v>#N/A N/A</v>
      </c>
    </row>
    <row r="3104" spans="1:9" x14ac:dyDescent="0.25">
      <c r="A3104" t="str">
        <f>_xll.BDP("FNDD6457 Mtge","ID_CUSIP")</f>
        <v>3140B7E74</v>
      </c>
      <c r="B3104" t="str">
        <f>_xll.BDP("FNDD6457 Mtge","SECURITY_NAME")</f>
        <v>FN DD6457</v>
      </c>
      <c r="C3104" t="str">
        <f>_xll.BDP("FNDD6457 Mtge","GENERIC_TICKER_VINTAGE")</f>
        <v>FNCL 6 2025</v>
      </c>
      <c r="D3104" t="str">
        <f>_xll.BDP("FNDD6457 Mtge","CRNCY")</f>
        <v>USD</v>
      </c>
      <c r="E3104">
        <v>1054789</v>
      </c>
      <c r="F3104">
        <f>_xll.BDP("FNDD6457 Mtge","CPN")</f>
        <v>6</v>
      </c>
      <c r="G3104">
        <f>_xll.BDP("FNDD6457 Mtge","MTG_FACTOR")</f>
        <v>0.98958290999999998</v>
      </c>
      <c r="H3104">
        <f>_xll.BDP("FNDD6457 Mtge","MTG_WAL")</f>
        <v>3.2488999999999999</v>
      </c>
      <c r="I3104" t="str">
        <f>_xll.BDP("FNDD6457 Mtge","MTG_ORIG_WAL")</f>
        <v>#N/A N/A</v>
      </c>
    </row>
    <row r="3105" spans="1:9" x14ac:dyDescent="0.25">
      <c r="A3105" t="str">
        <f>_xll.BDP("FNDD6458 Mtge","ID_CUSIP")</f>
        <v>3140B7E82</v>
      </c>
      <c r="B3105" t="str">
        <f>_xll.BDP("FNDD6458 Mtge","SECURITY_NAME")</f>
        <v>FN DD6458</v>
      </c>
      <c r="C3105" t="str">
        <f>_xll.BDP("FNDD6458 Mtge","GENERIC_TICKER_VINTAGE")</f>
        <v>FNCL 6 2025</v>
      </c>
      <c r="D3105" t="str">
        <f>_xll.BDP("FNDD6458 Mtge","CRNCY")</f>
        <v>USD</v>
      </c>
      <c r="E3105">
        <v>1816460</v>
      </c>
      <c r="F3105">
        <f>_xll.BDP("FNDD6458 Mtge","CPN")</f>
        <v>6</v>
      </c>
      <c r="G3105">
        <f>_xll.BDP("FNDD6458 Mtge","MTG_FACTOR")</f>
        <v>0.83951098000000002</v>
      </c>
      <c r="H3105">
        <f>_xll.BDP("FNDD6458 Mtge","MTG_WAL")</f>
        <v>3.2454999999999998</v>
      </c>
      <c r="I3105" t="str">
        <f>_xll.BDP("FNDD6458 Mtge","MTG_ORIG_WAL")</f>
        <v>#N/A N/A</v>
      </c>
    </row>
    <row r="3106" spans="1:9" x14ac:dyDescent="0.25">
      <c r="A3106" t="str">
        <f>_xll.BDP("FNDD6459 Mtge","ID_CUSIP")</f>
        <v>3140B7E90</v>
      </c>
      <c r="B3106" t="str">
        <f>_xll.BDP("FNDD6459 Mtge","SECURITY_NAME")</f>
        <v>FN DD6459</v>
      </c>
      <c r="C3106" t="str">
        <f>_xll.BDP("FNDD6459 Mtge","GENERIC_TICKER_VINTAGE")</f>
        <v>FNCL 6 2025</v>
      </c>
      <c r="D3106" t="str">
        <f>_xll.BDP("FNDD6459 Mtge","CRNCY")</f>
        <v>USD</v>
      </c>
      <c r="E3106">
        <v>3905259</v>
      </c>
      <c r="F3106">
        <f>_xll.BDP("FNDD6459 Mtge","CPN")</f>
        <v>6</v>
      </c>
      <c r="G3106">
        <f>_xll.BDP("FNDD6459 Mtge","MTG_FACTOR")</f>
        <v>0.98807853000000001</v>
      </c>
      <c r="H3106">
        <f>_xll.BDP("FNDD6459 Mtge","MTG_WAL")</f>
        <v>3.2471000000000001</v>
      </c>
      <c r="I3106" t="str">
        <f>_xll.BDP("FNDD6459 Mtge","MTG_ORIG_WAL")</f>
        <v>#N/A N/A</v>
      </c>
    </row>
    <row r="3107" spans="1:9" x14ac:dyDescent="0.25">
      <c r="A3107" t="str">
        <f>_xll.BDP("FNDD6461 Mtge","ID_CUSIP")</f>
        <v>3140B7FB4</v>
      </c>
      <c r="B3107" t="str">
        <f>_xll.BDP("FNDD6461 Mtge","SECURITY_NAME")</f>
        <v>FN DD6461</v>
      </c>
      <c r="C3107" t="str">
        <f>_xll.BDP("FNDD6461 Mtge","GENERIC_TICKER_VINTAGE")</f>
        <v>FNCL 6 2025</v>
      </c>
      <c r="D3107" t="str">
        <f>_xll.BDP("FNDD6461 Mtge","CRNCY")</f>
        <v>USD</v>
      </c>
      <c r="E3107">
        <v>2482249</v>
      </c>
      <c r="F3107">
        <f>_xll.BDP("FNDD6461 Mtge","CPN")</f>
        <v>6</v>
      </c>
      <c r="G3107">
        <f>_xll.BDP("FNDD6461 Mtge","MTG_FACTOR")</f>
        <v>0.72049991000000002</v>
      </c>
      <c r="H3107">
        <f>_xll.BDP("FNDD6461 Mtge","MTG_WAL")</f>
        <v>3.2477999999999998</v>
      </c>
      <c r="I3107" t="str">
        <f>_xll.BDP("FNDD6461 Mtge","MTG_ORIG_WAL")</f>
        <v>#N/A N/A</v>
      </c>
    </row>
    <row r="3108" spans="1:9" x14ac:dyDescent="0.25">
      <c r="A3108" t="str">
        <f>_xll.BDP("FNDD6462 Mtge","ID_CUSIP")</f>
        <v>3140B7FC2</v>
      </c>
      <c r="B3108" t="str">
        <f>_xll.BDP("FNDD6462 Mtge","SECURITY_NAME")</f>
        <v>FN DD6462</v>
      </c>
      <c r="C3108" t="str">
        <f>_xll.BDP("FNDD6462 Mtge","GENERIC_TICKER_VINTAGE")</f>
        <v>FNCL 6 2025</v>
      </c>
      <c r="D3108" t="str">
        <f>_xll.BDP("FNDD6462 Mtge","CRNCY")</f>
        <v>USD</v>
      </c>
      <c r="E3108">
        <v>1667759</v>
      </c>
      <c r="F3108">
        <f>_xll.BDP("FNDD6462 Mtge","CPN")</f>
        <v>6</v>
      </c>
      <c r="G3108">
        <f>_xll.BDP("FNDD6462 Mtge","MTG_FACTOR")</f>
        <v>0.90947036000000003</v>
      </c>
      <c r="H3108">
        <f>_xll.BDP("FNDD6462 Mtge","MTG_WAL")</f>
        <v>3.2469000000000001</v>
      </c>
      <c r="I3108" t="str">
        <f>_xll.BDP("FNDD6462 Mtge","MTG_ORIG_WAL")</f>
        <v>#N/A N/A</v>
      </c>
    </row>
    <row r="3109" spans="1:9" x14ac:dyDescent="0.25">
      <c r="A3109" t="str">
        <f>_xll.BDP("FNDD6463 Mtge","ID_CUSIP")</f>
        <v>3140B7FD0</v>
      </c>
      <c r="B3109" t="str">
        <f>_xll.BDP("FNDD6463 Mtge","SECURITY_NAME")</f>
        <v>FN DD6463</v>
      </c>
      <c r="C3109" t="str">
        <f>_xll.BDP("FNDD6463 Mtge","GENERIC_TICKER_VINTAGE")</f>
        <v>FNCL 6 2025</v>
      </c>
      <c r="D3109" t="str">
        <f>_xll.BDP("FNDD6463 Mtge","CRNCY")</f>
        <v>USD</v>
      </c>
      <c r="E3109">
        <v>4370136</v>
      </c>
      <c r="F3109">
        <f>_xll.BDP("FNDD6463 Mtge","CPN")</f>
        <v>6</v>
      </c>
      <c r="G3109">
        <f>_xll.BDP("FNDD6463 Mtge","MTG_FACTOR")</f>
        <v>0.88798067000000003</v>
      </c>
      <c r="H3109">
        <f>_xll.BDP("FNDD6463 Mtge","MTG_WAL")</f>
        <v>3.2023000000000001</v>
      </c>
      <c r="I3109" t="str">
        <f>_xll.BDP("FNDD6463 Mtge","MTG_ORIG_WAL")</f>
        <v>#N/A N/A</v>
      </c>
    </row>
    <row r="3110" spans="1:9" x14ac:dyDescent="0.25">
      <c r="A3110" t="str">
        <f>_xll.BDP("FNDD6465 Mtge","ID_CUSIP")</f>
        <v>3140B7FF5</v>
      </c>
      <c r="B3110" t="str">
        <f>_xll.BDP("FNDD6465 Mtge","SECURITY_NAME")</f>
        <v>FN DD6465</v>
      </c>
      <c r="C3110" t="str">
        <f>_xll.BDP("FNDD6465 Mtge","GENERIC_TICKER_VINTAGE")</f>
        <v>FNCL 6 2025</v>
      </c>
      <c r="D3110" t="str">
        <f>_xll.BDP("FNDD6465 Mtge","CRNCY")</f>
        <v>USD</v>
      </c>
      <c r="E3110">
        <v>1037088</v>
      </c>
      <c r="F3110">
        <f>_xll.BDP("FNDD6465 Mtge","CPN")</f>
        <v>6</v>
      </c>
      <c r="G3110">
        <f>_xll.BDP("FNDD6465 Mtge","MTG_FACTOR")</f>
        <v>0.98194269999999995</v>
      </c>
      <c r="H3110">
        <f>_xll.BDP("FNDD6465 Mtge","MTG_WAL")</f>
        <v>3.1953999999999998</v>
      </c>
      <c r="I3110" t="str">
        <f>_xll.BDP("FNDD6465 Mtge","MTG_ORIG_WAL")</f>
        <v>#N/A N/A</v>
      </c>
    </row>
    <row r="3111" spans="1:9" x14ac:dyDescent="0.25">
      <c r="A3111" t="str">
        <f>_xll.BDP("FNDD6469 Mtge","ID_CUSIP")</f>
        <v>3140B7FK4</v>
      </c>
      <c r="B3111" t="str">
        <f>_xll.BDP("FNDD6469 Mtge","SECURITY_NAME")</f>
        <v>FN DD6469</v>
      </c>
      <c r="C3111" t="str">
        <f>_xll.BDP("FNDD6469 Mtge","GENERIC_TICKER_VINTAGE")</f>
        <v>FNCL 6 2025</v>
      </c>
      <c r="D3111" t="str">
        <f>_xll.BDP("FNDD6469 Mtge","CRNCY")</f>
        <v>USD</v>
      </c>
      <c r="E3111">
        <v>1001600</v>
      </c>
      <c r="F3111">
        <f>_xll.BDP("FNDD6469 Mtge","CPN")</f>
        <v>6</v>
      </c>
      <c r="G3111">
        <f>_xll.BDP("FNDD6469 Mtge","MTG_FACTOR")</f>
        <v>0.98720366999999998</v>
      </c>
      <c r="H3111">
        <f>_xll.BDP("FNDD6469 Mtge","MTG_WAL")</f>
        <v>3.2042000000000002</v>
      </c>
      <c r="I3111" t="str">
        <f>_xll.BDP("FNDD6469 Mtge","MTG_ORIG_WAL")</f>
        <v>#N/A N/A</v>
      </c>
    </row>
    <row r="3112" spans="1:9" x14ac:dyDescent="0.25">
      <c r="A3112" t="str">
        <f>_xll.BDP("FNDD6481 Mtge","ID_CUSIP")</f>
        <v>3140B7FX6</v>
      </c>
      <c r="B3112" t="str">
        <f>_xll.BDP("FNDD6481 Mtge","SECURITY_NAME")</f>
        <v>FN DD6481</v>
      </c>
      <c r="C3112" t="str">
        <f>_xll.BDP("FNDD6481 Mtge","GENERIC_TICKER_VINTAGE")</f>
        <v>FNCL 6 2025</v>
      </c>
      <c r="D3112" t="str">
        <f>_xll.BDP("FNDD6481 Mtge","CRNCY")</f>
        <v>USD</v>
      </c>
      <c r="E3112">
        <v>3793873</v>
      </c>
      <c r="F3112">
        <f>_xll.BDP("FNDD6481 Mtge","CPN")</f>
        <v>6</v>
      </c>
      <c r="G3112">
        <f>_xll.BDP("FNDD6481 Mtge","MTG_FACTOR")</f>
        <v>0.99006771999999998</v>
      </c>
      <c r="H3112">
        <f>_xll.BDP("FNDD6481 Mtge","MTG_WAL")</f>
        <v>3.2040000000000002</v>
      </c>
      <c r="I3112" t="str">
        <f>_xll.BDP("FNDD6481 Mtge","MTG_ORIG_WAL")</f>
        <v>#N/A N/A</v>
      </c>
    </row>
    <row r="3113" spans="1:9" x14ac:dyDescent="0.25">
      <c r="A3113" t="str">
        <f>_xll.BDP("FNDD6516 Mtge","ID_CUSIP")</f>
        <v>3140B7G23</v>
      </c>
      <c r="B3113" t="str">
        <f>_xll.BDP("FNDD6516 Mtge","SECURITY_NAME")</f>
        <v>FN DD6516</v>
      </c>
      <c r="C3113" t="str">
        <f>_xll.BDP("FNDD6516 Mtge","GENERIC_TICKER_VINTAGE")</f>
        <v>FNCL 6 2025</v>
      </c>
      <c r="D3113" t="str">
        <f>_xll.BDP("FNDD6516 Mtge","CRNCY")</f>
        <v>USD</v>
      </c>
      <c r="E3113">
        <v>4375702</v>
      </c>
      <c r="F3113">
        <f>_xll.BDP("FNDD6516 Mtge","CPN")</f>
        <v>6</v>
      </c>
      <c r="G3113">
        <f>_xll.BDP("FNDD6516 Mtge","MTG_FACTOR")</f>
        <v>0.73991335999999996</v>
      </c>
      <c r="H3113">
        <f>_xll.BDP("FNDD6516 Mtge","MTG_WAL")</f>
        <v>3.2488000000000001</v>
      </c>
      <c r="I3113" t="str">
        <f>_xll.BDP("FNDD6516 Mtge","MTG_ORIG_WAL")</f>
        <v>#N/A N/A</v>
      </c>
    </row>
    <row r="3114" spans="1:9" x14ac:dyDescent="0.25">
      <c r="A3114" t="str">
        <f>_xll.BDP("FNDD6525 Mtge","ID_CUSIP")</f>
        <v>3140B7HB2</v>
      </c>
      <c r="B3114" t="str">
        <f>_xll.BDP("FNDD6525 Mtge","SECURITY_NAME")</f>
        <v>FN DD6525</v>
      </c>
      <c r="C3114" t="str">
        <f>_xll.BDP("FNDD6525 Mtge","GENERIC_TICKER_VINTAGE")</f>
        <v>FNCL 6 2025</v>
      </c>
      <c r="D3114" t="str">
        <f>_xll.BDP("FNDD6525 Mtge","CRNCY")</f>
        <v>USD</v>
      </c>
      <c r="E3114">
        <v>10413399</v>
      </c>
      <c r="F3114">
        <f>_xll.BDP("FNDD6525 Mtge","CPN")</f>
        <v>6</v>
      </c>
      <c r="G3114">
        <f>_xll.BDP("FNDD6525 Mtge","MTG_FACTOR")</f>
        <v>0.71269241999999999</v>
      </c>
      <c r="H3114">
        <f>_xll.BDP("FNDD6525 Mtge","MTG_WAL")</f>
        <v>3.2031000000000001</v>
      </c>
      <c r="I3114" t="str">
        <f>_xll.BDP("FNDD6525 Mtge","MTG_ORIG_WAL")</f>
        <v>#N/A N/A</v>
      </c>
    </row>
    <row r="3115" spans="1:9" x14ac:dyDescent="0.25">
      <c r="A3115" t="str">
        <f>_xll.BDP("FNDD6526 Mtge","ID_CUSIP")</f>
        <v>3140B7HC0</v>
      </c>
      <c r="B3115" t="str">
        <f>_xll.BDP("FNDD6526 Mtge","SECURITY_NAME")</f>
        <v>FN DD6526</v>
      </c>
      <c r="C3115" t="str">
        <f>_xll.BDP("FNDD6526 Mtge","GENERIC_TICKER_VINTAGE")</f>
        <v>FNCL 6 2025</v>
      </c>
      <c r="D3115" t="str">
        <f>_xll.BDP("FNDD6526 Mtge","CRNCY")</f>
        <v>USD</v>
      </c>
      <c r="E3115">
        <v>1243348</v>
      </c>
      <c r="F3115">
        <f>_xll.BDP("FNDD6526 Mtge","CPN")</f>
        <v>6</v>
      </c>
      <c r="G3115">
        <f>_xll.BDP("FNDD6526 Mtge","MTG_FACTOR")</f>
        <v>0.61064974999999999</v>
      </c>
      <c r="H3115">
        <f>_xll.BDP("FNDD6526 Mtge","MTG_WAL")</f>
        <v>3.2017000000000002</v>
      </c>
      <c r="I3115" t="str">
        <f>_xll.BDP("FNDD6526 Mtge","MTG_ORIG_WAL")</f>
        <v>#N/A N/A</v>
      </c>
    </row>
    <row r="3116" spans="1:9" x14ac:dyDescent="0.25">
      <c r="A3116" t="str">
        <f>_xll.BDP("FNDD6535 Mtge","ID_CUSIP")</f>
        <v>3140B7HM8</v>
      </c>
      <c r="B3116" t="str">
        <f>_xll.BDP("FNDD6535 Mtge","SECURITY_NAME")</f>
        <v>FN DD6535</v>
      </c>
      <c r="C3116" t="str">
        <f>_xll.BDP("FNDD6535 Mtge","GENERIC_TICKER_VINTAGE")</f>
        <v>FNCL 6 2025</v>
      </c>
      <c r="D3116" t="str">
        <f>_xll.BDP("FNDD6535 Mtge","CRNCY")</f>
        <v>USD</v>
      </c>
      <c r="E3116">
        <v>13524940</v>
      </c>
      <c r="F3116">
        <f>_xll.BDP("FNDD6535 Mtge","CPN")</f>
        <v>6</v>
      </c>
      <c r="G3116">
        <f>_xll.BDP("FNDD6535 Mtge","MTG_FACTOR")</f>
        <v>0.69351220999999996</v>
      </c>
      <c r="H3116">
        <f>_xll.BDP("FNDD6535 Mtge","MTG_WAL")</f>
        <v>3.2429999999999999</v>
      </c>
      <c r="I3116" t="str">
        <f>_xll.BDP("FNDD6535 Mtge","MTG_ORIG_WAL")</f>
        <v>#N/A N/A</v>
      </c>
    </row>
    <row r="3117" spans="1:9" x14ac:dyDescent="0.25">
      <c r="A3117" t="str">
        <f>_xll.BDP("FNDD6544 Mtge","ID_CUSIP")</f>
        <v>3140B7HW6</v>
      </c>
      <c r="B3117" t="str">
        <f>_xll.BDP("FNDD6544 Mtge","SECURITY_NAME")</f>
        <v>FN DD6544</v>
      </c>
      <c r="C3117" t="str">
        <f>_xll.BDP("FNDD6544 Mtge","GENERIC_TICKER_VINTAGE")</f>
        <v>FNCL 6 2025</v>
      </c>
      <c r="D3117" t="str">
        <f>_xll.BDP("FNDD6544 Mtge","CRNCY")</f>
        <v>USD</v>
      </c>
      <c r="E3117">
        <v>2857113</v>
      </c>
      <c r="F3117">
        <f>_xll.BDP("FNDD6544 Mtge","CPN")</f>
        <v>6</v>
      </c>
      <c r="G3117">
        <f>_xll.BDP("FNDD6544 Mtge","MTG_FACTOR")</f>
        <v>0.98367618999999995</v>
      </c>
      <c r="H3117">
        <f>_xll.BDP("FNDD6544 Mtge","MTG_WAL")</f>
        <v>3.2433000000000001</v>
      </c>
      <c r="I3117" t="str">
        <f>_xll.BDP("FNDD6544 Mtge","MTG_ORIG_WAL")</f>
        <v>#N/A N/A</v>
      </c>
    </row>
    <row r="3118" spans="1:9" x14ac:dyDescent="0.25">
      <c r="A3118" t="str">
        <f>_xll.BDP("FNDD6545 Mtge","ID_CUSIP")</f>
        <v>3140B7HX4</v>
      </c>
      <c r="B3118" t="str">
        <f>_xll.BDP("FNDD6545 Mtge","SECURITY_NAME")</f>
        <v>FN DD6545</v>
      </c>
      <c r="C3118" t="str">
        <f>_xll.BDP("FNDD6545 Mtge","GENERIC_TICKER_VINTAGE")</f>
        <v>FNCL 6 2025</v>
      </c>
      <c r="D3118" t="str">
        <f>_xll.BDP("FNDD6545 Mtge","CRNCY")</f>
        <v>USD</v>
      </c>
      <c r="E3118">
        <v>3593508</v>
      </c>
      <c r="F3118">
        <f>_xll.BDP("FNDD6545 Mtge","CPN")</f>
        <v>6</v>
      </c>
      <c r="G3118">
        <f>_xll.BDP("FNDD6545 Mtge","MTG_FACTOR")</f>
        <v>0.93262626999999998</v>
      </c>
      <c r="H3118">
        <f>_xll.BDP("FNDD6545 Mtge","MTG_WAL")</f>
        <v>3.2406000000000001</v>
      </c>
      <c r="I3118" t="str">
        <f>_xll.BDP("FNDD6545 Mtge","MTG_ORIG_WAL")</f>
        <v>#N/A N/A</v>
      </c>
    </row>
    <row r="3119" spans="1:9" x14ac:dyDescent="0.25">
      <c r="A3119" t="str">
        <f>_xll.BDP("FNDD6547 Mtge","ID_CUSIP")</f>
        <v>3140B7HZ9</v>
      </c>
      <c r="B3119" t="str">
        <f>_xll.BDP("FNDD6547 Mtge","SECURITY_NAME")</f>
        <v>FN DD6547</v>
      </c>
      <c r="C3119" t="str">
        <f>_xll.BDP("FNDD6547 Mtge","GENERIC_TICKER_VINTAGE")</f>
        <v>FNCL 6 2025</v>
      </c>
      <c r="D3119" t="str">
        <f>_xll.BDP("FNDD6547 Mtge","CRNCY")</f>
        <v>USD</v>
      </c>
      <c r="E3119">
        <v>4163526</v>
      </c>
      <c r="F3119">
        <f>_xll.BDP("FNDD6547 Mtge","CPN")</f>
        <v>6</v>
      </c>
      <c r="G3119">
        <f>_xll.BDP("FNDD6547 Mtge","MTG_FACTOR")</f>
        <v>0.92385536999999995</v>
      </c>
      <c r="H3119">
        <f>_xll.BDP("FNDD6547 Mtge","MTG_WAL")</f>
        <v>3.2320000000000002</v>
      </c>
      <c r="I3119" t="str">
        <f>_xll.BDP("FNDD6547 Mtge","MTG_ORIG_WAL")</f>
        <v>#N/A N/A</v>
      </c>
    </row>
    <row r="3120" spans="1:9" x14ac:dyDescent="0.25">
      <c r="A3120" t="str">
        <f>_xll.BDP("FNDD6548 Mtge","ID_CUSIP")</f>
        <v>3140B7H22</v>
      </c>
      <c r="B3120" t="str">
        <f>_xll.BDP("FNDD6548 Mtge","SECURITY_NAME")</f>
        <v>FN DD6548</v>
      </c>
      <c r="C3120" t="str">
        <f>_xll.BDP("FNDD6548 Mtge","GENERIC_TICKER_VINTAGE")</f>
        <v>FNCL 6 2025</v>
      </c>
      <c r="D3120" t="str">
        <f>_xll.BDP("FNDD6548 Mtge","CRNCY")</f>
        <v>USD</v>
      </c>
      <c r="E3120">
        <v>3842316</v>
      </c>
      <c r="F3120">
        <f>_xll.BDP("FNDD6548 Mtge","CPN")</f>
        <v>6</v>
      </c>
      <c r="G3120">
        <f>_xll.BDP("FNDD6548 Mtge","MTG_FACTOR")</f>
        <v>0.94824638000000006</v>
      </c>
      <c r="H3120">
        <f>_xll.BDP("FNDD6548 Mtge","MTG_WAL")</f>
        <v>3.2006000000000001</v>
      </c>
      <c r="I3120" t="str">
        <f>_xll.BDP("FNDD6548 Mtge","MTG_ORIG_WAL")</f>
        <v>#N/A N/A</v>
      </c>
    </row>
    <row r="3121" spans="1:9" x14ac:dyDescent="0.25">
      <c r="A3121" t="str">
        <f>_xll.BDP("FNDD6562 Mtge","ID_CUSIP")</f>
        <v>3140B7JG9</v>
      </c>
      <c r="B3121" t="str">
        <f>_xll.BDP("FNDD6562 Mtge","SECURITY_NAME")</f>
        <v>FN DD6562</v>
      </c>
      <c r="C3121" t="str">
        <f>_xll.BDP("FNDD6562 Mtge","GENERIC_TICKER_VINTAGE")</f>
        <v>FNCL 6 2025</v>
      </c>
      <c r="D3121" t="str">
        <f>_xll.BDP("FNDD6562 Mtge","CRNCY")</f>
        <v>USD</v>
      </c>
      <c r="E3121">
        <v>4222201</v>
      </c>
      <c r="F3121">
        <f>_xll.BDP("FNDD6562 Mtge","CPN")</f>
        <v>6</v>
      </c>
      <c r="G3121">
        <f>_xll.BDP("FNDD6562 Mtge","MTG_FACTOR")</f>
        <v>0.92777465000000003</v>
      </c>
      <c r="H3121">
        <f>_xll.BDP("FNDD6562 Mtge","MTG_WAL")</f>
        <v>3.2967</v>
      </c>
      <c r="I3121" t="str">
        <f>_xll.BDP("FNDD6562 Mtge","MTG_ORIG_WAL")</f>
        <v>#N/A N/A</v>
      </c>
    </row>
    <row r="3122" spans="1:9" x14ac:dyDescent="0.25">
      <c r="A3122" t="str">
        <f>_xll.BDP("FNDD6578 Mtge","ID_CUSIP")</f>
        <v>3140B7JY0</v>
      </c>
      <c r="B3122" t="str">
        <f>_xll.BDP("FNDD6578 Mtge","SECURITY_NAME")</f>
        <v>FN DD6578</v>
      </c>
      <c r="C3122" t="str">
        <f>_xll.BDP("FNDD6578 Mtge","GENERIC_TICKER_VINTAGE")</f>
        <v>FNCL 6 2025</v>
      </c>
      <c r="D3122" t="str">
        <f>_xll.BDP("FNDD6578 Mtge","CRNCY")</f>
        <v>USD</v>
      </c>
      <c r="E3122">
        <v>3474115</v>
      </c>
      <c r="F3122">
        <f>_xll.BDP("FNDD6578 Mtge","CPN")</f>
        <v>6</v>
      </c>
      <c r="G3122">
        <f>_xll.BDP("FNDD6578 Mtge","MTG_FACTOR")</f>
        <v>0.99004320000000001</v>
      </c>
      <c r="H3122">
        <f>_xll.BDP("FNDD6578 Mtge","MTG_WAL")</f>
        <v>3.2938999999999998</v>
      </c>
      <c r="I3122" t="str">
        <f>_xll.BDP("FNDD6578 Mtge","MTG_ORIG_WAL")</f>
        <v>#N/A N/A</v>
      </c>
    </row>
    <row r="3123" spans="1:9" x14ac:dyDescent="0.25">
      <c r="A3123" t="str">
        <f>_xll.BDP("FNDD6579 Mtge","ID_CUSIP")</f>
        <v>3140B7JZ7</v>
      </c>
      <c r="B3123" t="str">
        <f>_xll.BDP("FNDD6579 Mtge","SECURITY_NAME")</f>
        <v>FN DD6579</v>
      </c>
      <c r="C3123" t="str">
        <f>_xll.BDP("FNDD6579 Mtge","GENERIC_TICKER_VINTAGE")</f>
        <v>FNCL 6 2025</v>
      </c>
      <c r="D3123" t="str">
        <f>_xll.BDP("FNDD6579 Mtge","CRNCY")</f>
        <v>USD</v>
      </c>
      <c r="E3123">
        <v>2828378</v>
      </c>
      <c r="F3123">
        <f>_xll.BDP("FNDD6579 Mtge","CPN")</f>
        <v>6</v>
      </c>
      <c r="G3123">
        <f>_xll.BDP("FNDD6579 Mtge","MTG_FACTOR")</f>
        <v>0.78220224000000005</v>
      </c>
      <c r="H3123">
        <f>_xll.BDP("FNDD6579 Mtge","MTG_WAL")</f>
        <v>3.29</v>
      </c>
      <c r="I3123" t="str">
        <f>_xll.BDP("FNDD6579 Mtge","MTG_ORIG_WAL")</f>
        <v>#N/A N/A</v>
      </c>
    </row>
    <row r="3124" spans="1:9" x14ac:dyDescent="0.25">
      <c r="A3124" t="str">
        <f>_xll.BDP("FNDD6580 Mtge","ID_CUSIP")</f>
        <v>3140B7J20</v>
      </c>
      <c r="B3124" t="str">
        <f>_xll.BDP("FNDD6580 Mtge","SECURITY_NAME")</f>
        <v>FN DD6580</v>
      </c>
      <c r="C3124" t="str">
        <f>_xll.BDP("FNDD6580 Mtge","GENERIC_TICKER_VINTAGE")</f>
        <v>FNCL 6 2025</v>
      </c>
      <c r="D3124" t="str">
        <f>_xll.BDP("FNDD6580 Mtge","CRNCY")</f>
        <v>USD</v>
      </c>
      <c r="E3124">
        <v>3049976</v>
      </c>
      <c r="F3124">
        <f>_xll.BDP("FNDD6580 Mtge","CPN")</f>
        <v>6</v>
      </c>
      <c r="G3124">
        <f>_xll.BDP("FNDD6580 Mtge","MTG_FACTOR")</f>
        <v>0.83060460999999997</v>
      </c>
      <c r="H3124">
        <f>_xll.BDP("FNDD6580 Mtge","MTG_WAL")</f>
        <v>3.2803</v>
      </c>
      <c r="I3124" t="str">
        <f>_xll.BDP("FNDD6580 Mtge","MTG_ORIG_WAL")</f>
        <v>#N/A N/A</v>
      </c>
    </row>
    <row r="3125" spans="1:9" x14ac:dyDescent="0.25">
      <c r="A3125" t="str">
        <f>_xll.BDP("FNDD6581 Mtge","ID_CUSIP")</f>
        <v>3140B7J38</v>
      </c>
      <c r="B3125" t="str">
        <f>_xll.BDP("FNDD6581 Mtge","SECURITY_NAME")</f>
        <v>FN DD6581</v>
      </c>
      <c r="C3125" t="str">
        <f>_xll.BDP("FNDD6581 Mtge","GENERIC_TICKER_VINTAGE")</f>
        <v>FNCL 6 2025</v>
      </c>
      <c r="D3125" t="str">
        <f>_xll.BDP("FNDD6581 Mtge","CRNCY")</f>
        <v>USD</v>
      </c>
      <c r="E3125">
        <v>6307821</v>
      </c>
      <c r="F3125">
        <f>_xll.BDP("FNDD6581 Mtge","CPN")</f>
        <v>6</v>
      </c>
      <c r="G3125">
        <f>_xll.BDP("FNDD6581 Mtge","MTG_FACTOR")</f>
        <v>0.98992972999999995</v>
      </c>
      <c r="H3125">
        <f>_xll.BDP("FNDD6581 Mtge","MTG_WAL")</f>
        <v>3.2494999999999998</v>
      </c>
      <c r="I3125" t="str">
        <f>_xll.BDP("FNDD6581 Mtge","MTG_ORIG_WAL")</f>
        <v>#N/A N/A</v>
      </c>
    </row>
    <row r="3126" spans="1:9" x14ac:dyDescent="0.25">
      <c r="A3126" t="str">
        <f>_xll.BDP("FNDD6583 Mtge","ID_CUSIP")</f>
        <v>3140B7J53</v>
      </c>
      <c r="B3126" t="str">
        <f>_xll.BDP("FNDD6583 Mtge","SECURITY_NAME")</f>
        <v>FN DD6583</v>
      </c>
      <c r="C3126" t="str">
        <f>_xll.BDP("FNDD6583 Mtge","GENERIC_TICKER_VINTAGE")</f>
        <v>FNCL 6 2025</v>
      </c>
      <c r="D3126" t="str">
        <f>_xll.BDP("FNDD6583 Mtge","CRNCY")</f>
        <v>USD</v>
      </c>
      <c r="E3126">
        <v>5665935</v>
      </c>
      <c r="F3126">
        <f>_xll.BDP("FNDD6583 Mtge","CPN")</f>
        <v>6</v>
      </c>
      <c r="G3126">
        <f>_xll.BDP("FNDD6583 Mtge","MTG_FACTOR")</f>
        <v>0.77859109999999998</v>
      </c>
      <c r="H3126">
        <f>_xll.BDP("FNDD6583 Mtge","MTG_WAL")</f>
        <v>3.2942999999999998</v>
      </c>
      <c r="I3126" t="str">
        <f>_xll.BDP("FNDD6583 Mtge","MTG_ORIG_WAL")</f>
        <v>#N/A N/A</v>
      </c>
    </row>
    <row r="3127" spans="1:9" x14ac:dyDescent="0.25">
      <c r="A3127" t="str">
        <f>_xll.BDP("FNDD6593 Mtge","ID_CUSIP")</f>
        <v>3140B7KF9</v>
      </c>
      <c r="B3127" t="str">
        <f>_xll.BDP("FNDD6593 Mtge","SECURITY_NAME")</f>
        <v>FN DD6593</v>
      </c>
      <c r="C3127" t="str">
        <f>_xll.BDP("FNDD6593 Mtge","GENERIC_TICKER_VINTAGE")</f>
        <v>FNCL 6 2025</v>
      </c>
      <c r="D3127" t="str">
        <f>_xll.BDP("FNDD6593 Mtge","CRNCY")</f>
        <v>USD</v>
      </c>
      <c r="E3127">
        <v>17627936</v>
      </c>
      <c r="F3127">
        <f>_xll.BDP("FNDD6593 Mtge","CPN")</f>
        <v>6</v>
      </c>
      <c r="G3127">
        <f>_xll.BDP("FNDD6593 Mtge","MTG_FACTOR")</f>
        <v>0.87397612000000002</v>
      </c>
      <c r="H3127">
        <f>_xll.BDP("FNDD6593 Mtge","MTG_WAL")</f>
        <v>3.2925</v>
      </c>
      <c r="I3127" t="str">
        <f>_xll.BDP("FNDD6593 Mtge","MTG_ORIG_WAL")</f>
        <v>#N/A N/A</v>
      </c>
    </row>
    <row r="3128" spans="1:9" x14ac:dyDescent="0.25">
      <c r="A3128" t="str">
        <f>_xll.BDP("FNDD6602 Mtge","ID_CUSIP")</f>
        <v>3140B7KQ5</v>
      </c>
      <c r="B3128" t="str">
        <f>_xll.BDP("FNDD6602 Mtge","SECURITY_NAME")</f>
        <v>FN DD6602</v>
      </c>
      <c r="C3128" t="str">
        <f>_xll.BDP("FNDD6602 Mtge","GENERIC_TICKER_VINTAGE")</f>
        <v>FNCL 6 2025</v>
      </c>
      <c r="D3128" t="str">
        <f>_xll.BDP("FNDD6602 Mtge","CRNCY")</f>
        <v>USD</v>
      </c>
      <c r="E3128">
        <v>9207714</v>
      </c>
      <c r="F3128">
        <f>_xll.BDP("FNDD6602 Mtge","CPN")</f>
        <v>6</v>
      </c>
      <c r="G3128">
        <f>_xll.BDP("FNDD6602 Mtge","MTG_FACTOR")</f>
        <v>0.73774110999999998</v>
      </c>
      <c r="H3128">
        <f>_xll.BDP("FNDD6602 Mtge","MTG_WAL")</f>
        <v>3.2488999999999999</v>
      </c>
      <c r="I3128" t="str">
        <f>_xll.BDP("FNDD6602 Mtge","MTG_ORIG_WAL")</f>
        <v>#N/A N/A</v>
      </c>
    </row>
    <row r="3129" spans="1:9" x14ac:dyDescent="0.25">
      <c r="A3129" t="str">
        <f>_xll.BDP("FNDD6603 Mtge","ID_CUSIP")</f>
        <v>3140B7KR3</v>
      </c>
      <c r="B3129" t="str">
        <f>_xll.BDP("FNDD6603 Mtge","SECURITY_NAME")</f>
        <v>FN DD6603</v>
      </c>
      <c r="C3129" t="str">
        <f>_xll.BDP("FNDD6603 Mtge","GENERIC_TICKER_VINTAGE")</f>
        <v>FNCL 6 2025</v>
      </c>
      <c r="D3129" t="str">
        <f>_xll.BDP("FNDD6603 Mtge","CRNCY")</f>
        <v>USD</v>
      </c>
      <c r="E3129">
        <v>5523225</v>
      </c>
      <c r="F3129">
        <f>_xll.BDP("FNDD6603 Mtge","CPN")</f>
        <v>6</v>
      </c>
      <c r="G3129">
        <f>_xll.BDP("FNDD6603 Mtge","MTG_FACTOR")</f>
        <v>0.89520997999999996</v>
      </c>
      <c r="H3129">
        <f>_xll.BDP("FNDD6603 Mtge","MTG_WAL")</f>
        <v>3.2928999999999999</v>
      </c>
      <c r="I3129" t="str">
        <f>_xll.BDP("FNDD6603 Mtge","MTG_ORIG_WAL")</f>
        <v>#N/A N/A</v>
      </c>
    </row>
    <row r="3130" spans="1:9" x14ac:dyDescent="0.25">
      <c r="A3130" t="str">
        <f>_xll.BDP("FNDD6605 Mtge","ID_CUSIP")</f>
        <v>3140B7KT9</v>
      </c>
      <c r="B3130" t="str">
        <f>_xll.BDP("FNDD6605 Mtge","SECURITY_NAME")</f>
        <v>FN DD6605</v>
      </c>
      <c r="C3130" t="str">
        <f>_xll.BDP("FNDD6605 Mtge","GENERIC_TICKER_VINTAGE")</f>
        <v>FNCL 6 2025</v>
      </c>
      <c r="D3130" t="str">
        <f>_xll.BDP("FNDD6605 Mtge","CRNCY")</f>
        <v>USD</v>
      </c>
      <c r="E3130">
        <v>5484087</v>
      </c>
      <c r="F3130">
        <f>_xll.BDP("FNDD6605 Mtge","CPN")</f>
        <v>6</v>
      </c>
      <c r="G3130">
        <f>_xll.BDP("FNDD6605 Mtge","MTG_FACTOR")</f>
        <v>0.99151537000000001</v>
      </c>
      <c r="H3130">
        <f>_xll.BDP("FNDD6605 Mtge","MTG_WAL")</f>
        <v>3.2942</v>
      </c>
      <c r="I3130" t="str">
        <f>_xll.BDP("FNDD6605 Mtge","MTG_ORIG_WAL")</f>
        <v>#N/A N/A</v>
      </c>
    </row>
    <row r="3131" spans="1:9" x14ac:dyDescent="0.25">
      <c r="A3131" t="str">
        <f>_xll.BDP("FNDD6607 Mtge","ID_CUSIP")</f>
        <v>3140B7KV4</v>
      </c>
      <c r="B3131" t="str">
        <f>_xll.BDP("FNDD6607 Mtge","SECURITY_NAME")</f>
        <v>FN DD6607</v>
      </c>
      <c r="C3131" t="str">
        <f>_xll.BDP("FNDD6607 Mtge","GENERIC_TICKER_VINTAGE")</f>
        <v>FNCL 6 2025</v>
      </c>
      <c r="D3131" t="str">
        <f>_xll.BDP("FNDD6607 Mtge","CRNCY")</f>
        <v>USD</v>
      </c>
      <c r="E3131">
        <v>7895852</v>
      </c>
      <c r="F3131">
        <f>_xll.BDP("FNDD6607 Mtge","CPN")</f>
        <v>6</v>
      </c>
      <c r="G3131">
        <f>_xll.BDP("FNDD6607 Mtge","MTG_FACTOR")</f>
        <v>0.86846778000000002</v>
      </c>
      <c r="H3131">
        <f>_xll.BDP("FNDD6607 Mtge","MTG_WAL")</f>
        <v>3.2860999999999998</v>
      </c>
      <c r="I3131" t="str">
        <f>_xll.BDP("FNDD6607 Mtge","MTG_ORIG_WAL")</f>
        <v>#N/A N/A</v>
      </c>
    </row>
    <row r="3132" spans="1:9" x14ac:dyDescent="0.25">
      <c r="A3132" t="str">
        <f>_xll.BDP("FNDD6643 Mtge","ID_CUSIP")</f>
        <v>3140B7LZ4</v>
      </c>
      <c r="B3132" t="str">
        <f>_xll.BDP("FNDD6643 Mtge","SECURITY_NAME")</f>
        <v>FN DD6643</v>
      </c>
      <c r="C3132" t="str">
        <f>_xll.BDP("FNDD6643 Mtge","GENERIC_TICKER_VINTAGE")</f>
        <v>FNCL 6 2025</v>
      </c>
      <c r="D3132" t="str">
        <f>_xll.BDP("FNDD6643 Mtge","CRNCY")</f>
        <v>USD</v>
      </c>
      <c r="E3132">
        <v>4285971</v>
      </c>
      <c r="F3132">
        <f>_xll.BDP("FNDD6643 Mtge","CPN")</f>
        <v>6</v>
      </c>
      <c r="G3132">
        <f>_xll.BDP("FNDD6643 Mtge","MTG_FACTOR")</f>
        <v>0.94534744999999998</v>
      </c>
      <c r="H3132">
        <f>_xll.BDP("FNDD6643 Mtge","MTG_WAL")</f>
        <v>3.3468</v>
      </c>
      <c r="I3132" t="str">
        <f>_xll.BDP("FNDD6643 Mtge","MTG_ORIG_WAL")</f>
        <v>#N/A N/A</v>
      </c>
    </row>
    <row r="3133" spans="1:9" x14ac:dyDescent="0.25">
      <c r="A3133" t="str">
        <f>_xll.BDP("FNDD6651 Mtge","ID_CUSIP")</f>
        <v>3140B7L92</v>
      </c>
      <c r="B3133" t="str">
        <f>_xll.BDP("FNDD6651 Mtge","SECURITY_NAME")</f>
        <v>FN DD6651</v>
      </c>
      <c r="C3133" t="str">
        <f>_xll.BDP("FNDD6651 Mtge","GENERIC_TICKER_VINTAGE")</f>
        <v>FNCL 6 2025</v>
      </c>
      <c r="D3133" t="str">
        <f>_xll.BDP("FNDD6651 Mtge","CRNCY")</f>
        <v>USD</v>
      </c>
      <c r="E3133">
        <v>2699061</v>
      </c>
      <c r="F3133">
        <f>_xll.BDP("FNDD6651 Mtge","CPN")</f>
        <v>6</v>
      </c>
      <c r="G3133">
        <f>_xll.BDP("FNDD6651 Mtge","MTG_FACTOR")</f>
        <v>0.97029045999999997</v>
      </c>
      <c r="H3133">
        <f>_xll.BDP("FNDD6651 Mtge","MTG_WAL")</f>
        <v>3.3931</v>
      </c>
      <c r="I3133" t="str">
        <f>_xll.BDP("FNDD6651 Mtge","MTG_ORIG_WAL")</f>
        <v>#N/A N/A</v>
      </c>
    </row>
    <row r="3134" spans="1:9" x14ac:dyDescent="0.25">
      <c r="A3134" t="str">
        <f>_xll.BDP("FNDD6654 Mtge","ID_CUSIP")</f>
        <v>3140B7MC4</v>
      </c>
      <c r="B3134" t="str">
        <f>_xll.BDP("FNDD6654 Mtge","SECURITY_NAME")</f>
        <v>FN DD6654</v>
      </c>
      <c r="C3134" t="str">
        <f>_xll.BDP("FNDD6654 Mtge","GENERIC_TICKER_VINTAGE")</f>
        <v>FNCL 6 2025</v>
      </c>
      <c r="D3134" t="str">
        <f>_xll.BDP("FNDD6654 Mtge","CRNCY")</f>
        <v>USD</v>
      </c>
      <c r="E3134">
        <v>1136444</v>
      </c>
      <c r="F3134">
        <f>_xll.BDP("FNDD6654 Mtge","CPN")</f>
        <v>6</v>
      </c>
      <c r="G3134">
        <f>_xll.BDP("FNDD6654 Mtge","MTG_FACTOR")</f>
        <v>0.99069368999999996</v>
      </c>
      <c r="H3134">
        <f>_xll.BDP("FNDD6654 Mtge","MTG_WAL")</f>
        <v>3.2854000000000001</v>
      </c>
      <c r="I3134" t="str">
        <f>_xll.BDP("FNDD6654 Mtge","MTG_ORIG_WAL")</f>
        <v>#N/A N/A</v>
      </c>
    </row>
    <row r="3135" spans="1:9" x14ac:dyDescent="0.25">
      <c r="A3135" t="str">
        <f>_xll.BDP("FNDD6668 Mtge","ID_CUSIP")</f>
        <v>3140B7MS9</v>
      </c>
      <c r="B3135" t="str">
        <f>_xll.BDP("FNDD6668 Mtge","SECURITY_NAME")</f>
        <v>FN DD6668</v>
      </c>
      <c r="C3135" t="str">
        <f>_xll.BDP("FNDD6668 Mtge","GENERIC_TICKER_VINTAGE")</f>
        <v>FNCL 6 2025</v>
      </c>
      <c r="D3135" t="str">
        <f>_xll.BDP("FNDD6668 Mtge","CRNCY")</f>
        <v>USD</v>
      </c>
      <c r="E3135">
        <v>8729392</v>
      </c>
      <c r="F3135">
        <f>_xll.BDP("FNDD6668 Mtge","CPN")</f>
        <v>6</v>
      </c>
      <c r="G3135">
        <f>_xll.BDP("FNDD6668 Mtge","MTG_FACTOR")</f>
        <v>0.96403159000000005</v>
      </c>
      <c r="H3135">
        <f>_xll.BDP("FNDD6668 Mtge","MTG_WAL")</f>
        <v>3.2953999999999999</v>
      </c>
      <c r="I3135" t="str">
        <f>_xll.BDP("FNDD6668 Mtge","MTG_ORIG_WAL")</f>
        <v>#N/A N/A</v>
      </c>
    </row>
    <row r="3136" spans="1:9" x14ac:dyDescent="0.25">
      <c r="A3136" t="str">
        <f>_xll.BDP("FNDD6670 Mtge","ID_CUSIP")</f>
        <v>3140B7MU4</v>
      </c>
      <c r="B3136" t="str">
        <f>_xll.BDP("FNDD6670 Mtge","SECURITY_NAME")</f>
        <v>FN DD6670</v>
      </c>
      <c r="C3136" t="str">
        <f>_xll.BDP("FNDD6670 Mtge","GENERIC_TICKER_VINTAGE")</f>
        <v>FNCL 6 2025</v>
      </c>
      <c r="D3136" t="str">
        <f>_xll.BDP("FNDD6670 Mtge","CRNCY")</f>
        <v>USD</v>
      </c>
      <c r="E3136">
        <v>4008353</v>
      </c>
      <c r="F3136">
        <f>_xll.BDP("FNDD6670 Mtge","CPN")</f>
        <v>6</v>
      </c>
      <c r="G3136">
        <f>_xll.BDP("FNDD6670 Mtge","MTG_FACTOR")</f>
        <v>0.99226188999999998</v>
      </c>
      <c r="H3136">
        <f>_xll.BDP("FNDD6670 Mtge","MTG_WAL")</f>
        <v>3.2970000000000002</v>
      </c>
      <c r="I3136" t="str">
        <f>_xll.BDP("FNDD6670 Mtge","MTG_ORIG_WAL")</f>
        <v>#N/A N/A</v>
      </c>
    </row>
    <row r="3137" spans="1:9" x14ac:dyDescent="0.25">
      <c r="A3137" t="str">
        <f>_xll.BDP("FNDD6673 Mtge","ID_CUSIP")</f>
        <v>3140B7MX8</v>
      </c>
      <c r="B3137" t="str">
        <f>_xll.BDP("FNDD6673 Mtge","SECURITY_NAME")</f>
        <v>FN DD6673</v>
      </c>
      <c r="C3137" t="str">
        <f>_xll.BDP("FNDD6673 Mtge","GENERIC_TICKER_VINTAGE")</f>
        <v>FNCL 6 2025</v>
      </c>
      <c r="D3137" t="str">
        <f>_xll.BDP("FNDD6673 Mtge","CRNCY")</f>
        <v>USD</v>
      </c>
      <c r="E3137">
        <v>3108486</v>
      </c>
      <c r="F3137">
        <f>_xll.BDP("FNDD6673 Mtge","CPN")</f>
        <v>6</v>
      </c>
      <c r="G3137">
        <f>_xll.BDP("FNDD6673 Mtge","MTG_FACTOR")</f>
        <v>0.96886373000000003</v>
      </c>
      <c r="H3137">
        <f>_xll.BDP("FNDD6673 Mtge","MTG_WAL")</f>
        <v>3.3422999999999998</v>
      </c>
      <c r="I3137" t="str">
        <f>_xll.BDP("FNDD6673 Mtge","MTG_ORIG_WAL")</f>
        <v>#N/A N/A</v>
      </c>
    </row>
    <row r="3138" spans="1:9" x14ac:dyDescent="0.25">
      <c r="A3138" t="str">
        <f>_xll.BDP("FNDD6690 Mtge","ID_CUSIP")</f>
        <v>3140B7NG4</v>
      </c>
      <c r="B3138" t="str">
        <f>_xll.BDP("FNDD6690 Mtge","SECURITY_NAME")</f>
        <v>FN DD6690</v>
      </c>
      <c r="C3138" t="str">
        <f>_xll.BDP("FNDD6690 Mtge","GENERIC_TICKER_VINTAGE")</f>
        <v>FNCL 6 2025</v>
      </c>
      <c r="D3138" t="str">
        <f>_xll.BDP("FNDD6690 Mtge","CRNCY")</f>
        <v>USD</v>
      </c>
      <c r="E3138">
        <v>5791674</v>
      </c>
      <c r="F3138">
        <f>_xll.BDP("FNDD6690 Mtge","CPN")</f>
        <v>6</v>
      </c>
      <c r="G3138">
        <f>_xll.BDP("FNDD6690 Mtge","MTG_FACTOR")</f>
        <v>0.92561448000000002</v>
      </c>
      <c r="H3138">
        <f>_xll.BDP("FNDD6690 Mtge","MTG_WAL")</f>
        <v>3.2469000000000001</v>
      </c>
      <c r="I3138" t="str">
        <f>_xll.BDP("FNDD6690 Mtge","MTG_ORIG_WAL")</f>
        <v>#N/A N/A</v>
      </c>
    </row>
    <row r="3139" spans="1:9" x14ac:dyDescent="0.25">
      <c r="A3139" t="str">
        <f>_xll.BDP("FNDD6692 Mtge","ID_CUSIP")</f>
        <v>3140B7NJ8</v>
      </c>
      <c r="B3139" t="str">
        <f>_xll.BDP("FNDD6692 Mtge","SECURITY_NAME")</f>
        <v>FN DD6692</v>
      </c>
      <c r="C3139" t="str">
        <f>_xll.BDP("FNDD6692 Mtge","GENERIC_TICKER_VINTAGE")</f>
        <v>FNCL 6 2025</v>
      </c>
      <c r="D3139" t="str">
        <f>_xll.BDP("FNDD6692 Mtge","CRNCY")</f>
        <v>USD</v>
      </c>
      <c r="E3139">
        <v>18034089</v>
      </c>
      <c r="F3139">
        <f>_xll.BDP("FNDD6692 Mtge","CPN")</f>
        <v>6</v>
      </c>
      <c r="G3139">
        <f>_xll.BDP("FNDD6692 Mtge","MTG_FACTOR")</f>
        <v>0.88717926999999996</v>
      </c>
      <c r="H3139">
        <f>_xll.BDP("FNDD6692 Mtge","MTG_WAL")</f>
        <v>3.2410000000000001</v>
      </c>
      <c r="I3139" t="str">
        <f>_xll.BDP("FNDD6692 Mtge","MTG_ORIG_WAL")</f>
        <v>#N/A N/A</v>
      </c>
    </row>
    <row r="3140" spans="1:9" x14ac:dyDescent="0.25">
      <c r="A3140" t="str">
        <f>_xll.BDP("FNDD6693 Mtge","ID_CUSIP")</f>
        <v>3140B7NK5</v>
      </c>
      <c r="B3140" t="str">
        <f>_xll.BDP("FNDD6693 Mtge","SECURITY_NAME")</f>
        <v>FN DD6693</v>
      </c>
      <c r="C3140" t="str">
        <f>_xll.BDP("FNDD6693 Mtge","GENERIC_TICKER_VINTAGE")</f>
        <v>FNCL 6 2025</v>
      </c>
      <c r="D3140" t="str">
        <f>_xll.BDP("FNDD6693 Mtge","CRNCY")</f>
        <v>USD</v>
      </c>
      <c r="E3140">
        <v>7414602</v>
      </c>
      <c r="F3140">
        <f>_xll.BDP("FNDD6693 Mtge","CPN")</f>
        <v>6</v>
      </c>
      <c r="G3140">
        <f>_xll.BDP("FNDD6693 Mtge","MTG_FACTOR")</f>
        <v>0.70550904999999997</v>
      </c>
      <c r="H3140">
        <f>_xll.BDP("FNDD6693 Mtge","MTG_WAL")</f>
        <v>3.2479</v>
      </c>
      <c r="I3140" t="str">
        <f>_xll.BDP("FNDD6693 Mtge","MTG_ORIG_WAL")</f>
        <v>#N/A N/A</v>
      </c>
    </row>
    <row r="3141" spans="1:9" x14ac:dyDescent="0.25">
      <c r="A3141" t="str">
        <f>_xll.BDP("FNDD6715 Mtge","ID_CUSIP")</f>
        <v>3140B7N90</v>
      </c>
      <c r="B3141" t="str">
        <f>_xll.BDP("FNDD6715 Mtge","SECURITY_NAME")</f>
        <v>FN DD6715</v>
      </c>
      <c r="C3141" t="str">
        <f>_xll.BDP("FNDD6715 Mtge","GENERIC_TICKER_VINTAGE")</f>
        <v>FNCL 6 2025</v>
      </c>
      <c r="D3141" t="str">
        <f>_xll.BDP("FNDD6715 Mtge","CRNCY")</f>
        <v>USD</v>
      </c>
      <c r="E3141">
        <v>8135150</v>
      </c>
      <c r="F3141">
        <f>_xll.BDP("FNDD6715 Mtge","CPN")</f>
        <v>6</v>
      </c>
      <c r="G3141">
        <f>_xll.BDP("FNDD6715 Mtge","MTG_FACTOR")</f>
        <v>0.90789861999999999</v>
      </c>
      <c r="H3141">
        <f>_xll.BDP("FNDD6715 Mtge","MTG_WAL")</f>
        <v>3.2484999999999999</v>
      </c>
      <c r="I3141" t="str">
        <f>_xll.BDP("FNDD6715 Mtge","MTG_ORIG_WAL")</f>
        <v>#N/A N/A</v>
      </c>
    </row>
    <row r="3142" spans="1:9" x14ac:dyDescent="0.25">
      <c r="A3142" t="str">
        <f>_xll.BDP("FNDD6720 Mtge","ID_CUSIP")</f>
        <v>3140B7PE7</v>
      </c>
      <c r="B3142" t="str">
        <f>_xll.BDP("FNDD6720 Mtge","SECURITY_NAME")</f>
        <v>FN DD6720</v>
      </c>
      <c r="C3142" t="str">
        <f>_xll.BDP("FNDD6720 Mtge","GENERIC_TICKER_VINTAGE")</f>
        <v>FNCL 6 2025</v>
      </c>
      <c r="D3142" t="str">
        <f>_xll.BDP("FNDD6720 Mtge","CRNCY")</f>
        <v>USD</v>
      </c>
      <c r="E3142">
        <v>31375094</v>
      </c>
      <c r="F3142">
        <f>_xll.BDP("FNDD6720 Mtge","CPN")</f>
        <v>6</v>
      </c>
      <c r="G3142">
        <f>_xll.BDP("FNDD6720 Mtge","MTG_FACTOR")</f>
        <v>0.86703819999999998</v>
      </c>
      <c r="H3142">
        <f>_xll.BDP("FNDD6720 Mtge","MTG_WAL")</f>
        <v>3.1962999999999999</v>
      </c>
      <c r="I3142" t="str">
        <f>_xll.BDP("FNDD6720 Mtge","MTG_ORIG_WAL")</f>
        <v>#N/A N/A</v>
      </c>
    </row>
    <row r="3143" spans="1:9" x14ac:dyDescent="0.25">
      <c r="A3143" t="str">
        <f>_xll.BDP("FNDD6726 Mtge","ID_CUSIP")</f>
        <v>3140B7PL1</v>
      </c>
      <c r="B3143" t="str">
        <f>_xll.BDP("FNDD6726 Mtge","SECURITY_NAME")</f>
        <v>FN DD6726</v>
      </c>
      <c r="C3143" t="str">
        <f>_xll.BDP("FNDD6726 Mtge","GENERIC_TICKER_VINTAGE")</f>
        <v>FNCL 6 2025</v>
      </c>
      <c r="D3143" t="str">
        <f>_xll.BDP("FNDD6726 Mtge","CRNCY")</f>
        <v>USD</v>
      </c>
      <c r="E3143">
        <v>2509174</v>
      </c>
      <c r="F3143">
        <f>_xll.BDP("FNDD6726 Mtge","CPN")</f>
        <v>6</v>
      </c>
      <c r="G3143">
        <f>_xll.BDP("FNDD6726 Mtge","MTG_FACTOR")</f>
        <v>0.98305620999999999</v>
      </c>
      <c r="H3143">
        <f>_xll.BDP("FNDD6726 Mtge","MTG_WAL")</f>
        <v>3.2441</v>
      </c>
      <c r="I3143" t="str">
        <f>_xll.BDP("FNDD6726 Mtge","MTG_ORIG_WAL")</f>
        <v>#N/A N/A</v>
      </c>
    </row>
    <row r="3144" spans="1:9" x14ac:dyDescent="0.25">
      <c r="A3144" t="str">
        <f>_xll.BDP("FNDD6738 Mtge","ID_CUSIP")</f>
        <v>3140B7PY3</v>
      </c>
      <c r="B3144" t="str">
        <f>_xll.BDP("FNDD6738 Mtge","SECURITY_NAME")</f>
        <v>FN DD6738</v>
      </c>
      <c r="C3144" t="str">
        <f>_xll.BDP("FNDD6738 Mtge","GENERIC_TICKER_VINTAGE")</f>
        <v>FNCL 6 2025</v>
      </c>
      <c r="D3144" t="str">
        <f>_xll.BDP("FNDD6738 Mtge","CRNCY")</f>
        <v>USD</v>
      </c>
      <c r="E3144">
        <v>3194521</v>
      </c>
      <c r="F3144">
        <f>_xll.BDP("FNDD6738 Mtge","CPN")</f>
        <v>6</v>
      </c>
      <c r="G3144">
        <f>_xll.BDP("FNDD6738 Mtge","MTG_FACTOR")</f>
        <v>0.90150076999999995</v>
      </c>
      <c r="H3144">
        <f>_xll.BDP("FNDD6738 Mtge","MTG_WAL")</f>
        <v>3.2355</v>
      </c>
      <c r="I3144" t="str">
        <f>_xll.BDP("FNDD6738 Mtge","MTG_ORIG_WAL")</f>
        <v>#N/A N/A</v>
      </c>
    </row>
    <row r="3145" spans="1:9" x14ac:dyDescent="0.25">
      <c r="A3145" t="str">
        <f>_xll.BDP("FNDD6739 Mtge","ID_CUSIP")</f>
        <v>3140B7PZ0</v>
      </c>
      <c r="B3145" t="str">
        <f>_xll.BDP("FNDD6739 Mtge","SECURITY_NAME")</f>
        <v>FN DD6739</v>
      </c>
      <c r="C3145" t="str">
        <f>_xll.BDP("FNDD6739 Mtge","GENERIC_TICKER_VINTAGE")</f>
        <v>FNCL 6 2025</v>
      </c>
      <c r="D3145" t="str">
        <f>_xll.BDP("FNDD6739 Mtge","CRNCY")</f>
        <v>USD</v>
      </c>
      <c r="E3145">
        <v>2492879</v>
      </c>
      <c r="F3145">
        <f>_xll.BDP("FNDD6739 Mtge","CPN")</f>
        <v>6</v>
      </c>
      <c r="G3145">
        <f>_xll.BDP("FNDD6739 Mtge","MTG_FACTOR")</f>
        <v>0.87852403999999995</v>
      </c>
      <c r="H3145">
        <f>_xll.BDP("FNDD6739 Mtge","MTG_WAL")</f>
        <v>3.25</v>
      </c>
      <c r="I3145" t="str">
        <f>_xll.BDP("FNDD6739 Mtge","MTG_ORIG_WAL")</f>
        <v>#N/A N/A</v>
      </c>
    </row>
    <row r="3146" spans="1:9" x14ac:dyDescent="0.25">
      <c r="A3146" t="str">
        <f>_xll.BDP("FNDD6744 Mtge","ID_CUSIP")</f>
        <v>3140B7P64</v>
      </c>
      <c r="B3146" t="str">
        <f>_xll.BDP("FNDD6744 Mtge","SECURITY_NAME")</f>
        <v>FN DD6744</v>
      </c>
      <c r="C3146" t="str">
        <f>_xll.BDP("FNDD6744 Mtge","GENERIC_TICKER_VINTAGE")</f>
        <v>FNCL 6 2025</v>
      </c>
      <c r="D3146" t="str">
        <f>_xll.BDP("FNDD6744 Mtge","CRNCY")</f>
        <v>USD</v>
      </c>
      <c r="E3146">
        <v>10503735</v>
      </c>
      <c r="F3146">
        <f>_xll.BDP("FNDD6744 Mtge","CPN")</f>
        <v>6</v>
      </c>
      <c r="G3146">
        <f>_xll.BDP("FNDD6744 Mtge","MTG_FACTOR")</f>
        <v>0.85031188000000002</v>
      </c>
      <c r="H3146">
        <f>_xll.BDP("FNDD6744 Mtge","MTG_WAL")</f>
        <v>3.2368000000000001</v>
      </c>
      <c r="I3146" t="str">
        <f>_xll.BDP("FNDD6744 Mtge","MTG_ORIG_WAL")</f>
        <v>#N/A N/A</v>
      </c>
    </row>
    <row r="3147" spans="1:9" x14ac:dyDescent="0.25">
      <c r="A3147" t="str">
        <f>_xll.BDP("FNDD6752 Mtge","ID_CUSIP")</f>
        <v>3140B7QE6</v>
      </c>
      <c r="B3147" t="str">
        <f>_xll.BDP("FNDD6752 Mtge","SECURITY_NAME")</f>
        <v>FN DD6752</v>
      </c>
      <c r="C3147" t="str">
        <f>_xll.BDP("FNDD6752 Mtge","GENERIC_TICKER_VINTAGE")</f>
        <v>FNCL 6 2025</v>
      </c>
      <c r="D3147" t="str">
        <f>_xll.BDP("FNDD6752 Mtge","CRNCY")</f>
        <v>USD</v>
      </c>
      <c r="E3147">
        <v>3043359</v>
      </c>
      <c r="F3147">
        <f>_xll.BDP("FNDD6752 Mtge","CPN")</f>
        <v>6</v>
      </c>
      <c r="G3147">
        <f>_xll.BDP("FNDD6752 Mtge","MTG_FACTOR")</f>
        <v>0.91557182999999998</v>
      </c>
      <c r="H3147">
        <f>_xll.BDP("FNDD6752 Mtge","MTG_WAL")</f>
        <v>3.2925</v>
      </c>
      <c r="I3147" t="str">
        <f>_xll.BDP("FNDD6752 Mtge","MTG_ORIG_WAL")</f>
        <v>#N/A N/A</v>
      </c>
    </row>
    <row r="3148" spans="1:9" x14ac:dyDescent="0.25">
      <c r="A3148" t="str">
        <f>_xll.BDP("FNDD6755 Mtge","ID_CUSIP")</f>
        <v>3140B7QH9</v>
      </c>
      <c r="B3148" t="str">
        <f>_xll.BDP("FNDD6755 Mtge","SECURITY_NAME")</f>
        <v>FN DD6755</v>
      </c>
      <c r="C3148" t="str">
        <f>_xll.BDP("FNDD6755 Mtge","GENERIC_TICKER_VINTAGE")</f>
        <v>FNCL 6 2025</v>
      </c>
      <c r="D3148" t="str">
        <f>_xll.BDP("FNDD6755 Mtge","CRNCY")</f>
        <v>USD</v>
      </c>
      <c r="E3148">
        <v>3609996</v>
      </c>
      <c r="F3148">
        <f>_xll.BDP("FNDD6755 Mtge","CPN")</f>
        <v>6</v>
      </c>
      <c r="G3148">
        <f>_xll.BDP("FNDD6755 Mtge","MTG_FACTOR")</f>
        <v>0.92141607999999997</v>
      </c>
      <c r="H3148">
        <f>_xll.BDP("FNDD6755 Mtge","MTG_WAL")</f>
        <v>3.2471000000000001</v>
      </c>
      <c r="I3148" t="str">
        <f>_xll.BDP("FNDD6755 Mtge","MTG_ORIG_WAL")</f>
        <v>#N/A N/A</v>
      </c>
    </row>
    <row r="3149" spans="1:9" x14ac:dyDescent="0.25">
      <c r="A3149" t="str">
        <f>_xll.BDP("FNDD6758 Mtge","ID_CUSIP")</f>
        <v>3140B7QL0</v>
      </c>
      <c r="B3149" t="str">
        <f>_xll.BDP("FNDD6758 Mtge","SECURITY_NAME")</f>
        <v>FN DD6758</v>
      </c>
      <c r="C3149" t="str">
        <f>_xll.BDP("FNDD6758 Mtge","GENERIC_TICKER_VINTAGE")</f>
        <v>FNCL 6 2025</v>
      </c>
      <c r="D3149" t="str">
        <f>_xll.BDP("FNDD6758 Mtge","CRNCY")</f>
        <v>USD</v>
      </c>
      <c r="E3149">
        <v>4402798</v>
      </c>
      <c r="F3149">
        <f>_xll.BDP("FNDD6758 Mtge","CPN")</f>
        <v>6</v>
      </c>
      <c r="G3149">
        <f>_xll.BDP("FNDD6758 Mtge","MTG_FACTOR")</f>
        <v>0.87669121000000005</v>
      </c>
      <c r="H3149">
        <f>_xll.BDP("FNDD6758 Mtge","MTG_WAL")</f>
        <v>3.2477</v>
      </c>
      <c r="I3149" t="str">
        <f>_xll.BDP("FNDD6758 Mtge","MTG_ORIG_WAL")</f>
        <v>#N/A N/A</v>
      </c>
    </row>
    <row r="3150" spans="1:9" x14ac:dyDescent="0.25">
      <c r="A3150" t="str">
        <f>_xll.BDP("FNDD6764 Mtge","ID_CUSIP")</f>
        <v>3140B7QS5</v>
      </c>
      <c r="B3150" t="str">
        <f>_xll.BDP("FNDD6764 Mtge","SECURITY_NAME")</f>
        <v>FN DD6764</v>
      </c>
      <c r="C3150" t="str">
        <f>_xll.BDP("FNDD6764 Mtge","GENERIC_TICKER_VINTAGE")</f>
        <v>FNCL 6 2025</v>
      </c>
      <c r="D3150" t="str">
        <f>_xll.BDP("FNDD6764 Mtge","CRNCY")</f>
        <v>USD</v>
      </c>
      <c r="E3150">
        <v>2859035</v>
      </c>
      <c r="F3150">
        <f>_xll.BDP("FNDD6764 Mtge","CPN")</f>
        <v>6</v>
      </c>
      <c r="G3150">
        <f>_xll.BDP("FNDD6764 Mtge","MTG_FACTOR")</f>
        <v>0.87381193999999995</v>
      </c>
      <c r="H3150">
        <f>_xll.BDP("FNDD6764 Mtge","MTG_WAL")</f>
        <v>3.2437999999999998</v>
      </c>
      <c r="I3150" t="str">
        <f>_xll.BDP("FNDD6764 Mtge","MTG_ORIG_WAL")</f>
        <v>#N/A N/A</v>
      </c>
    </row>
    <row r="3151" spans="1:9" x14ac:dyDescent="0.25">
      <c r="A3151" t="str">
        <f>_xll.BDP("FNDD6765 Mtge","ID_CUSIP")</f>
        <v>3140B7QT3</v>
      </c>
      <c r="B3151" t="str">
        <f>_xll.BDP("FNDD6765 Mtge","SECURITY_NAME")</f>
        <v>FN DD6765</v>
      </c>
      <c r="C3151" t="str">
        <f>_xll.BDP("FNDD6765 Mtge","GENERIC_TICKER_VINTAGE")</f>
        <v>FNCL 6 2025</v>
      </c>
      <c r="D3151" t="str">
        <f>_xll.BDP("FNDD6765 Mtge","CRNCY")</f>
        <v>USD</v>
      </c>
      <c r="E3151">
        <v>2363186</v>
      </c>
      <c r="F3151">
        <f>_xll.BDP("FNDD6765 Mtge","CPN")</f>
        <v>6</v>
      </c>
      <c r="G3151">
        <f>_xll.BDP("FNDD6765 Mtge","MTG_FACTOR")</f>
        <v>0.99119672999999997</v>
      </c>
      <c r="H3151">
        <f>_xll.BDP("FNDD6765 Mtge","MTG_WAL")</f>
        <v>3.2953000000000001</v>
      </c>
      <c r="I3151" t="str">
        <f>_xll.BDP("FNDD6765 Mtge","MTG_ORIG_WAL")</f>
        <v>#N/A N/A</v>
      </c>
    </row>
    <row r="3152" spans="1:9" x14ac:dyDescent="0.25">
      <c r="A3152" t="str">
        <f>_xll.BDP("FNDD6767 Mtge","ID_CUSIP")</f>
        <v>3140B7QV8</v>
      </c>
      <c r="B3152" t="str">
        <f>_xll.BDP("FNDD6767 Mtge","SECURITY_NAME")</f>
        <v>FN DD6767</v>
      </c>
      <c r="C3152" t="str">
        <f>_xll.BDP("FNDD6767 Mtge","GENERIC_TICKER_VINTAGE")</f>
        <v>FNCL 6 2025</v>
      </c>
      <c r="D3152" t="str">
        <f>_xll.BDP("FNDD6767 Mtge","CRNCY")</f>
        <v>USD</v>
      </c>
      <c r="E3152">
        <v>4405727</v>
      </c>
      <c r="F3152">
        <f>_xll.BDP("FNDD6767 Mtge","CPN")</f>
        <v>6</v>
      </c>
      <c r="G3152">
        <f>_xll.BDP("FNDD6767 Mtge","MTG_FACTOR")</f>
        <v>0.89557456000000002</v>
      </c>
      <c r="H3152">
        <f>_xll.BDP("FNDD6767 Mtge","MTG_WAL")</f>
        <v>3.2974000000000001</v>
      </c>
      <c r="I3152" t="str">
        <f>_xll.BDP("FNDD6767 Mtge","MTG_ORIG_WAL")</f>
        <v>#N/A N/A</v>
      </c>
    </row>
    <row r="3153" spans="1:9" x14ac:dyDescent="0.25">
      <c r="A3153" t="str">
        <f>_xll.BDP("FNDD6771 Mtge","ID_CUSIP")</f>
        <v>3140B7QZ9</v>
      </c>
      <c r="B3153" t="str">
        <f>_xll.BDP("FNDD6771 Mtge","SECURITY_NAME")</f>
        <v>FN DD6771</v>
      </c>
      <c r="C3153" t="str">
        <f>_xll.BDP("FNDD6771 Mtge","GENERIC_TICKER_VINTAGE")</f>
        <v>FNCL 6 2025</v>
      </c>
      <c r="D3153" t="str">
        <f>_xll.BDP("FNDD6771 Mtge","CRNCY")</f>
        <v>USD</v>
      </c>
      <c r="E3153">
        <v>27902099</v>
      </c>
      <c r="F3153">
        <f>_xll.BDP("FNDD6771 Mtge","CPN")</f>
        <v>6</v>
      </c>
      <c r="G3153">
        <f>_xll.BDP("FNDD6771 Mtge","MTG_FACTOR")</f>
        <v>0.96052068000000002</v>
      </c>
      <c r="H3153">
        <f>_xll.BDP("FNDD6771 Mtge","MTG_WAL")</f>
        <v>3.2896999999999998</v>
      </c>
      <c r="I3153" t="str">
        <f>_xll.BDP("FNDD6771 Mtge","MTG_ORIG_WAL")</f>
        <v>#N/A N/A</v>
      </c>
    </row>
    <row r="3154" spans="1:9" x14ac:dyDescent="0.25">
      <c r="A3154" t="str">
        <f>_xll.BDP("FNDD6795 Mtge","ID_CUSIP")</f>
        <v>3140B7RR6</v>
      </c>
      <c r="B3154" t="str">
        <f>_xll.BDP("FNDD6795 Mtge","SECURITY_NAME")</f>
        <v>FN DD6795</v>
      </c>
      <c r="C3154" t="str">
        <f>_xll.BDP("FNDD6795 Mtge","GENERIC_TICKER_VINTAGE")</f>
        <v>FNCL 6 2025</v>
      </c>
      <c r="D3154" t="str">
        <f>_xll.BDP("FNDD6795 Mtge","CRNCY")</f>
        <v>USD</v>
      </c>
      <c r="E3154">
        <v>1339451</v>
      </c>
      <c r="F3154">
        <f>_xll.BDP("FNDD6795 Mtge","CPN")</f>
        <v>6</v>
      </c>
      <c r="G3154">
        <f>_xll.BDP("FNDD6795 Mtge","MTG_FACTOR")</f>
        <v>0.99068416000000004</v>
      </c>
      <c r="H3154">
        <f>_xll.BDP("FNDD6795 Mtge","MTG_WAL")</f>
        <v>3.2494000000000001</v>
      </c>
      <c r="I3154" t="str">
        <f>_xll.BDP("FNDD6795 Mtge","MTG_ORIG_WAL")</f>
        <v>#N/A N/A</v>
      </c>
    </row>
    <row r="3155" spans="1:9" x14ac:dyDescent="0.25">
      <c r="A3155" t="str">
        <f>_xll.BDP("FNDD6797 Mtge","ID_CUSIP")</f>
        <v>3140B7RT2</v>
      </c>
      <c r="B3155" t="str">
        <f>_xll.BDP("FNDD6797 Mtge","SECURITY_NAME")</f>
        <v>FN DD6797</v>
      </c>
      <c r="C3155" t="str">
        <f>_xll.BDP("FNDD6797 Mtge","GENERIC_TICKER_VINTAGE")</f>
        <v>FNCL 6 2025</v>
      </c>
      <c r="D3155" t="str">
        <f>_xll.BDP("FNDD6797 Mtge","CRNCY")</f>
        <v>USD</v>
      </c>
      <c r="E3155">
        <v>21986370</v>
      </c>
      <c r="F3155">
        <f>_xll.BDP("FNDD6797 Mtge","CPN")</f>
        <v>6</v>
      </c>
      <c r="G3155">
        <f>_xll.BDP("FNDD6797 Mtge","MTG_FACTOR")</f>
        <v>0.96306274000000003</v>
      </c>
      <c r="H3155">
        <f>_xll.BDP("FNDD6797 Mtge","MTG_WAL")</f>
        <v>3.2833000000000001</v>
      </c>
      <c r="I3155" t="str">
        <f>_xll.BDP("FNDD6797 Mtge","MTG_ORIG_WAL")</f>
        <v>#N/A N/A</v>
      </c>
    </row>
    <row r="3156" spans="1:9" x14ac:dyDescent="0.25">
      <c r="A3156" t="str">
        <f>_xll.BDP("FNDD6806 Mtge","ID_CUSIP")</f>
        <v>3140B7R47</v>
      </c>
      <c r="B3156" t="str">
        <f>_xll.BDP("FNDD6806 Mtge","SECURITY_NAME")</f>
        <v>FN DD6806</v>
      </c>
      <c r="C3156" t="str">
        <f>_xll.BDP("FNDD6806 Mtge","GENERIC_TICKER_VINTAGE")</f>
        <v>FNCL 6 2025</v>
      </c>
      <c r="D3156" t="str">
        <f>_xll.BDP("FNDD6806 Mtge","CRNCY")</f>
        <v>USD</v>
      </c>
      <c r="E3156">
        <v>4014770</v>
      </c>
      <c r="F3156">
        <f>_xll.BDP("FNDD6806 Mtge","CPN")</f>
        <v>6</v>
      </c>
      <c r="G3156">
        <f>_xll.BDP("FNDD6806 Mtge","MTG_FACTOR")</f>
        <v>0.96857875999999998</v>
      </c>
      <c r="H3156">
        <f>_xll.BDP("FNDD6806 Mtge","MTG_WAL")</f>
        <v>3.3308</v>
      </c>
      <c r="I3156" t="str">
        <f>_xll.BDP("FNDD6806 Mtge","MTG_ORIG_WAL")</f>
        <v>#N/A N/A</v>
      </c>
    </row>
    <row r="3157" spans="1:9" x14ac:dyDescent="0.25">
      <c r="A3157" t="str">
        <f>_xll.BDP("FNDD6810 Mtge","ID_CUSIP")</f>
        <v>3140B7R88</v>
      </c>
      <c r="B3157" t="str">
        <f>_xll.BDP("FNDD6810 Mtge","SECURITY_NAME")</f>
        <v>FN DD6810</v>
      </c>
      <c r="C3157" t="str">
        <f>_xll.BDP("FNDD6810 Mtge","GENERIC_TICKER_VINTAGE")</f>
        <v>FNCL 6 2025</v>
      </c>
      <c r="D3157" t="str">
        <f>_xll.BDP("FNDD6810 Mtge","CRNCY")</f>
        <v>USD</v>
      </c>
      <c r="E3157">
        <v>1057154</v>
      </c>
      <c r="F3157">
        <f>_xll.BDP("FNDD6810 Mtge","CPN")</f>
        <v>6</v>
      </c>
      <c r="G3157">
        <f>_xll.BDP("FNDD6810 Mtge","MTG_FACTOR")</f>
        <v>0.88938105999999995</v>
      </c>
      <c r="H3157">
        <f>_xll.BDP("FNDD6810 Mtge","MTG_WAL")</f>
        <v>3.2435999999999998</v>
      </c>
      <c r="I3157" t="str">
        <f>_xll.BDP("FNDD6810 Mtge","MTG_ORIG_WAL")</f>
        <v>#N/A N/A</v>
      </c>
    </row>
    <row r="3158" spans="1:9" x14ac:dyDescent="0.25">
      <c r="A3158" t="str">
        <f>_xll.BDP("FNDD6812 Mtge","ID_CUSIP")</f>
        <v>3140B7SA2</v>
      </c>
      <c r="B3158" t="str">
        <f>_xll.BDP("FNDD6812 Mtge","SECURITY_NAME")</f>
        <v>FN DD6812</v>
      </c>
      <c r="C3158" t="str">
        <f>_xll.BDP("FNDD6812 Mtge","GENERIC_TICKER_VINTAGE")</f>
        <v>FNCL 6 2025</v>
      </c>
      <c r="D3158" t="str">
        <f>_xll.BDP("FNDD6812 Mtge","CRNCY")</f>
        <v>USD</v>
      </c>
      <c r="E3158">
        <v>2587138</v>
      </c>
      <c r="F3158">
        <f>_xll.BDP("FNDD6812 Mtge","CPN")</f>
        <v>6</v>
      </c>
      <c r="G3158">
        <f>_xll.BDP("FNDD6812 Mtge","MTG_FACTOR")</f>
        <v>0.98897254000000001</v>
      </c>
      <c r="H3158">
        <f>_xll.BDP("FNDD6812 Mtge","MTG_WAL")</f>
        <v>3.2486999999999999</v>
      </c>
      <c r="I3158" t="str">
        <f>_xll.BDP("FNDD6812 Mtge","MTG_ORIG_WAL")</f>
        <v>#N/A N/A</v>
      </c>
    </row>
    <row r="3159" spans="1:9" x14ac:dyDescent="0.25">
      <c r="A3159" t="str">
        <f>_xll.BDP("FNDD6813 Mtge","ID_CUSIP")</f>
        <v>3140B7SB0</v>
      </c>
      <c r="B3159" t="str">
        <f>_xll.BDP("FNDD6813 Mtge","SECURITY_NAME")</f>
        <v>FN DD6813</v>
      </c>
      <c r="C3159" t="str">
        <f>_xll.BDP("FNDD6813 Mtge","GENERIC_TICKER_VINTAGE")</f>
        <v>FNCL 6 2025</v>
      </c>
      <c r="D3159" t="str">
        <f>_xll.BDP("FNDD6813 Mtge","CRNCY")</f>
        <v>USD</v>
      </c>
      <c r="E3159">
        <v>1371573</v>
      </c>
      <c r="F3159">
        <f>_xll.BDP("FNDD6813 Mtge","CPN")</f>
        <v>6</v>
      </c>
      <c r="G3159">
        <f>_xll.BDP("FNDD6813 Mtge","MTG_FACTOR")</f>
        <v>0.98628603999999997</v>
      </c>
      <c r="H3159">
        <f>_xll.BDP("FNDD6813 Mtge","MTG_WAL")</f>
        <v>3.2458999999999998</v>
      </c>
      <c r="I3159" t="str">
        <f>_xll.BDP("FNDD6813 Mtge","MTG_ORIG_WAL")</f>
        <v>#N/A N/A</v>
      </c>
    </row>
    <row r="3160" spans="1:9" x14ac:dyDescent="0.25">
      <c r="A3160" t="str">
        <f>_xll.BDP("FNDD6814 Mtge","ID_CUSIP")</f>
        <v>3140B7SC8</v>
      </c>
      <c r="B3160" t="str">
        <f>_xll.BDP("FNDD6814 Mtge","SECURITY_NAME")</f>
        <v>FN DD6814</v>
      </c>
      <c r="C3160" t="str">
        <f>_xll.BDP("FNDD6814 Mtge","GENERIC_TICKER_VINTAGE")</f>
        <v>FNCL 6 2025</v>
      </c>
      <c r="D3160" t="str">
        <f>_xll.BDP("FNDD6814 Mtge","CRNCY")</f>
        <v>USD</v>
      </c>
      <c r="E3160">
        <v>1745505</v>
      </c>
      <c r="F3160">
        <f>_xll.BDP("FNDD6814 Mtge","CPN")</f>
        <v>6</v>
      </c>
      <c r="G3160">
        <f>_xll.BDP("FNDD6814 Mtge","MTG_FACTOR")</f>
        <v>0.98995801999999999</v>
      </c>
      <c r="H3160">
        <f>_xll.BDP("FNDD6814 Mtge","MTG_WAL")</f>
        <v>3.2481</v>
      </c>
      <c r="I3160" t="str">
        <f>_xll.BDP("FNDD6814 Mtge","MTG_ORIG_WAL")</f>
        <v>#N/A N/A</v>
      </c>
    </row>
    <row r="3161" spans="1:9" x14ac:dyDescent="0.25">
      <c r="A3161" t="str">
        <f>_xll.BDP("FNDD6823 Mtge","ID_CUSIP")</f>
        <v>3140B7SM6</v>
      </c>
      <c r="B3161" t="str">
        <f>_xll.BDP("FNDD6823 Mtge","SECURITY_NAME")</f>
        <v>FN DD6823</v>
      </c>
      <c r="C3161" t="str">
        <f>_xll.BDP("FNDD6823 Mtge","GENERIC_TICKER_VINTAGE")</f>
        <v>FNCL 6 2025</v>
      </c>
      <c r="D3161" t="str">
        <f>_xll.BDP("FNDD6823 Mtge","CRNCY")</f>
        <v>USD</v>
      </c>
      <c r="E3161">
        <v>1477309</v>
      </c>
      <c r="F3161">
        <f>_xll.BDP("FNDD6823 Mtge","CPN")</f>
        <v>6</v>
      </c>
      <c r="G3161">
        <f>_xll.BDP("FNDD6823 Mtge","MTG_FACTOR")</f>
        <v>0.83419286999999998</v>
      </c>
      <c r="H3161">
        <f>_xll.BDP("FNDD6823 Mtge","MTG_WAL")</f>
        <v>3.2323</v>
      </c>
      <c r="I3161" t="str">
        <f>_xll.BDP("FNDD6823 Mtge","MTG_ORIG_WAL")</f>
        <v>#N/A N/A</v>
      </c>
    </row>
    <row r="3162" spans="1:9" x14ac:dyDescent="0.25">
      <c r="A3162" t="str">
        <f>_xll.BDP("FNDD6824 Mtge","ID_CUSIP")</f>
        <v>3140B7SN4</v>
      </c>
      <c r="B3162" t="str">
        <f>_xll.BDP("FNDD6824 Mtge","SECURITY_NAME")</f>
        <v>FN DD6824</v>
      </c>
      <c r="C3162" t="str">
        <f>_xll.BDP("FNDD6824 Mtge","GENERIC_TICKER_VINTAGE")</f>
        <v>FNCL 6 2025</v>
      </c>
      <c r="D3162" t="str">
        <f>_xll.BDP("FNDD6824 Mtge","CRNCY")</f>
        <v>USD</v>
      </c>
      <c r="E3162">
        <v>2687995</v>
      </c>
      <c r="F3162">
        <f>_xll.BDP("FNDD6824 Mtge","CPN")</f>
        <v>6</v>
      </c>
      <c r="G3162">
        <f>_xll.BDP("FNDD6824 Mtge","MTG_FACTOR")</f>
        <v>0.87110600999999999</v>
      </c>
      <c r="H3162">
        <f>_xll.BDP("FNDD6824 Mtge","MTG_WAL")</f>
        <v>3.2412999999999998</v>
      </c>
      <c r="I3162" t="str">
        <f>_xll.BDP("FNDD6824 Mtge","MTG_ORIG_WAL")</f>
        <v>#N/A N/A</v>
      </c>
    </row>
    <row r="3163" spans="1:9" x14ac:dyDescent="0.25">
      <c r="A3163" t="str">
        <f>_xll.BDP("FNDD6825 Mtge","ID_CUSIP")</f>
        <v>3140B7SP9</v>
      </c>
      <c r="B3163" t="str">
        <f>_xll.BDP("FNDD6825 Mtge","SECURITY_NAME")</f>
        <v>FN DD6825</v>
      </c>
      <c r="C3163" t="str">
        <f>_xll.BDP("FNDD6825 Mtge","GENERIC_TICKER_VINTAGE")</f>
        <v>FNCL 6 2025</v>
      </c>
      <c r="D3163" t="str">
        <f>_xll.BDP("FNDD6825 Mtge","CRNCY")</f>
        <v>USD</v>
      </c>
      <c r="E3163">
        <v>3707626</v>
      </c>
      <c r="F3163">
        <f>_xll.BDP("FNDD6825 Mtge","CPN")</f>
        <v>6</v>
      </c>
      <c r="G3163">
        <f>_xll.BDP("FNDD6825 Mtge","MTG_FACTOR")</f>
        <v>0.98835174000000003</v>
      </c>
      <c r="H3163">
        <f>_xll.BDP("FNDD6825 Mtge","MTG_WAL")</f>
        <v>3.2469000000000001</v>
      </c>
      <c r="I3163" t="str">
        <f>_xll.BDP("FNDD6825 Mtge","MTG_ORIG_WAL")</f>
        <v>#N/A N/A</v>
      </c>
    </row>
    <row r="3164" spans="1:9" x14ac:dyDescent="0.25">
      <c r="A3164" t="str">
        <f>_xll.BDP("FNDD6826 Mtge","ID_CUSIP")</f>
        <v>3140B7SQ7</v>
      </c>
      <c r="B3164" t="str">
        <f>_xll.BDP("FNDD6826 Mtge","SECURITY_NAME")</f>
        <v>FN DD6826</v>
      </c>
      <c r="C3164" t="str">
        <f>_xll.BDP("FNDD6826 Mtge","GENERIC_TICKER_VINTAGE")</f>
        <v>FNCL 6 2025</v>
      </c>
      <c r="D3164" t="str">
        <f>_xll.BDP("FNDD6826 Mtge","CRNCY")</f>
        <v>USD</v>
      </c>
      <c r="E3164">
        <v>2592198</v>
      </c>
      <c r="F3164">
        <f>_xll.BDP("FNDD6826 Mtge","CPN")</f>
        <v>6</v>
      </c>
      <c r="G3164">
        <f>_xll.BDP("FNDD6826 Mtge","MTG_FACTOR")</f>
        <v>0.90325032000000005</v>
      </c>
      <c r="H3164">
        <f>_xll.BDP("FNDD6826 Mtge","MTG_WAL")</f>
        <v>3.2484999999999999</v>
      </c>
      <c r="I3164" t="str">
        <f>_xll.BDP("FNDD6826 Mtge","MTG_ORIG_WAL")</f>
        <v>#N/A N/A</v>
      </c>
    </row>
    <row r="3165" spans="1:9" x14ac:dyDescent="0.25">
      <c r="A3165" t="str">
        <f>_xll.BDP("FNDD6828 Mtge","ID_CUSIP")</f>
        <v>3140B7SS3</v>
      </c>
      <c r="B3165" t="str">
        <f>_xll.BDP("FNDD6828 Mtge","SECURITY_NAME")</f>
        <v>FN DD6828</v>
      </c>
      <c r="C3165" t="str">
        <f>_xll.BDP("FNDD6828 Mtge","GENERIC_TICKER_VINTAGE")</f>
        <v>FNCL 6 2025</v>
      </c>
      <c r="D3165" t="str">
        <f>_xll.BDP("FNDD6828 Mtge","CRNCY")</f>
        <v>USD</v>
      </c>
      <c r="E3165">
        <v>5787312</v>
      </c>
      <c r="F3165">
        <f>_xll.BDP("FNDD6828 Mtge","CPN")</f>
        <v>6</v>
      </c>
      <c r="G3165">
        <f>_xll.BDP("FNDD6828 Mtge","MTG_FACTOR")</f>
        <v>0.83943330000000005</v>
      </c>
      <c r="H3165">
        <f>_xll.BDP("FNDD6828 Mtge","MTG_WAL")</f>
        <v>3.2477999999999998</v>
      </c>
      <c r="I3165" t="str">
        <f>_xll.BDP("FNDD6828 Mtge","MTG_ORIG_WAL")</f>
        <v>#N/A N/A</v>
      </c>
    </row>
    <row r="3166" spans="1:9" x14ac:dyDescent="0.25">
      <c r="A3166" t="str">
        <f>_xll.BDP("FNDD6829 Mtge","ID_CUSIP")</f>
        <v>3140B7ST1</v>
      </c>
      <c r="B3166" t="str">
        <f>_xll.BDP("FNDD6829 Mtge","SECURITY_NAME")</f>
        <v>FN DD6829</v>
      </c>
      <c r="C3166" t="str">
        <f>_xll.BDP("FNDD6829 Mtge","GENERIC_TICKER_VINTAGE")</f>
        <v>FNCL 6 2025</v>
      </c>
      <c r="D3166" t="str">
        <f>_xll.BDP("FNDD6829 Mtge","CRNCY")</f>
        <v>USD</v>
      </c>
      <c r="E3166">
        <v>1576830</v>
      </c>
      <c r="F3166">
        <f>_xll.BDP("FNDD6829 Mtge","CPN")</f>
        <v>6</v>
      </c>
      <c r="G3166">
        <f>_xll.BDP("FNDD6829 Mtge","MTG_FACTOR")</f>
        <v>0.98703295999999996</v>
      </c>
      <c r="H3166">
        <f>_xll.BDP("FNDD6829 Mtge","MTG_WAL")</f>
        <v>3.2467000000000001</v>
      </c>
      <c r="I3166" t="str">
        <f>_xll.BDP("FNDD6829 Mtge","MTG_ORIG_WAL")</f>
        <v>#N/A N/A</v>
      </c>
    </row>
    <row r="3167" spans="1:9" x14ac:dyDescent="0.25">
      <c r="A3167" t="str">
        <f>_xll.BDP("FNDD6830 Mtge","ID_CUSIP")</f>
        <v>3140B7SU8</v>
      </c>
      <c r="B3167" t="str">
        <f>_xll.BDP("FNDD6830 Mtge","SECURITY_NAME")</f>
        <v>FN DD6830</v>
      </c>
      <c r="C3167" t="str">
        <f>_xll.BDP("FNDD6830 Mtge","GENERIC_TICKER_VINTAGE")</f>
        <v>FNCL 6 2025</v>
      </c>
      <c r="D3167" t="str">
        <f>_xll.BDP("FNDD6830 Mtge","CRNCY")</f>
        <v>USD</v>
      </c>
      <c r="E3167">
        <v>2370025</v>
      </c>
      <c r="F3167">
        <f>_xll.BDP("FNDD6830 Mtge","CPN")</f>
        <v>6</v>
      </c>
      <c r="G3167">
        <f>_xll.BDP("FNDD6830 Mtge","MTG_FACTOR")</f>
        <v>0.98992018000000004</v>
      </c>
      <c r="H3167">
        <f>_xll.BDP("FNDD6830 Mtge","MTG_WAL")</f>
        <v>3.2498</v>
      </c>
      <c r="I3167" t="str">
        <f>_xll.BDP("FNDD6830 Mtge","MTG_ORIG_WAL")</f>
        <v>#N/A N/A</v>
      </c>
    </row>
    <row r="3168" spans="1:9" x14ac:dyDescent="0.25">
      <c r="A3168" t="str">
        <f>_xll.BDP("FNDD6831 Mtge","ID_CUSIP")</f>
        <v>3140B7SV6</v>
      </c>
      <c r="B3168" t="str">
        <f>_xll.BDP("FNDD6831 Mtge","SECURITY_NAME")</f>
        <v>FN DD6831</v>
      </c>
      <c r="C3168" t="str">
        <f>_xll.BDP("FNDD6831 Mtge","GENERIC_TICKER_VINTAGE")</f>
        <v>FNCL 6 2025</v>
      </c>
      <c r="D3168" t="str">
        <f>_xll.BDP("FNDD6831 Mtge","CRNCY")</f>
        <v>USD</v>
      </c>
      <c r="E3168">
        <v>3009636</v>
      </c>
      <c r="F3168">
        <f>_xll.BDP("FNDD6831 Mtge","CPN")</f>
        <v>6</v>
      </c>
      <c r="G3168">
        <f>_xll.BDP("FNDD6831 Mtge","MTG_FACTOR")</f>
        <v>0.77107842000000004</v>
      </c>
      <c r="H3168">
        <f>_xll.BDP("FNDD6831 Mtge","MTG_WAL")</f>
        <v>3.2505000000000002</v>
      </c>
      <c r="I3168" t="str">
        <f>_xll.BDP("FNDD6831 Mtge","MTG_ORIG_WAL")</f>
        <v>#N/A N/A</v>
      </c>
    </row>
    <row r="3169" spans="1:9" x14ac:dyDescent="0.25">
      <c r="A3169" t="str">
        <f>_xll.BDP("FNDD6832 Mtge","ID_CUSIP")</f>
        <v>3140B7SW4</v>
      </c>
      <c r="B3169" t="str">
        <f>_xll.BDP("FNDD6832 Mtge","SECURITY_NAME")</f>
        <v>FN DD6832</v>
      </c>
      <c r="C3169" t="str">
        <f>_xll.BDP("FNDD6832 Mtge","GENERIC_TICKER_VINTAGE")</f>
        <v>FNCL 6 2025</v>
      </c>
      <c r="D3169" t="str">
        <f>_xll.BDP("FNDD6832 Mtge","CRNCY")</f>
        <v>USD</v>
      </c>
      <c r="E3169">
        <v>3494430</v>
      </c>
      <c r="F3169">
        <f>_xll.BDP("FNDD6832 Mtge","CPN")</f>
        <v>6</v>
      </c>
      <c r="G3169">
        <f>_xll.BDP("FNDD6832 Mtge","MTG_FACTOR")</f>
        <v>0.80924728000000001</v>
      </c>
      <c r="H3169">
        <f>_xll.BDP("FNDD6832 Mtge","MTG_WAL")</f>
        <v>3.2496999999999998</v>
      </c>
      <c r="I3169" t="str">
        <f>_xll.BDP("FNDD6832 Mtge","MTG_ORIG_WAL")</f>
        <v>#N/A N/A</v>
      </c>
    </row>
    <row r="3170" spans="1:9" x14ac:dyDescent="0.25">
      <c r="A3170" t="str">
        <f>_xll.BDP("FNDD6838 Mtge","ID_CUSIP")</f>
        <v>3140B7S46</v>
      </c>
      <c r="B3170" t="str">
        <f>_xll.BDP("FNDD6838 Mtge","SECURITY_NAME")</f>
        <v>FN DD6838</v>
      </c>
      <c r="C3170" t="str">
        <f>_xll.BDP("FNDD6838 Mtge","GENERIC_TICKER_VINTAGE")</f>
        <v>FNCL 6 2025</v>
      </c>
      <c r="D3170" t="str">
        <f>_xll.BDP("FNDD6838 Mtge","CRNCY")</f>
        <v>USD</v>
      </c>
      <c r="E3170">
        <v>4414645</v>
      </c>
      <c r="F3170">
        <f>_xll.BDP("FNDD6838 Mtge","CPN")</f>
        <v>6</v>
      </c>
      <c r="G3170">
        <f>_xll.BDP("FNDD6838 Mtge","MTG_FACTOR")</f>
        <v>0.76384503000000004</v>
      </c>
      <c r="H3170">
        <f>_xll.BDP("FNDD6838 Mtge","MTG_WAL")</f>
        <v>3.2486999999999999</v>
      </c>
      <c r="I3170" t="str">
        <f>_xll.BDP("FNDD6838 Mtge","MTG_ORIG_WAL")</f>
        <v>#N/A N/A</v>
      </c>
    </row>
    <row r="3171" spans="1:9" x14ac:dyDescent="0.25">
      <c r="A3171" t="str">
        <f>_xll.BDP("FNDD6839 Mtge","ID_CUSIP")</f>
        <v>3140B7S53</v>
      </c>
      <c r="B3171" t="str">
        <f>_xll.BDP("FNDD6839 Mtge","SECURITY_NAME")</f>
        <v>FN DD6839</v>
      </c>
      <c r="C3171" t="str">
        <f>_xll.BDP("FNDD6839 Mtge","GENERIC_TICKER_VINTAGE")</f>
        <v>FNCL 6 2025</v>
      </c>
      <c r="D3171" t="str">
        <f>_xll.BDP("FNDD6839 Mtge","CRNCY")</f>
        <v>USD</v>
      </c>
      <c r="E3171">
        <v>3245459</v>
      </c>
      <c r="F3171">
        <f>_xll.BDP("FNDD6839 Mtge","CPN")</f>
        <v>6</v>
      </c>
      <c r="G3171">
        <f>_xll.BDP("FNDD6839 Mtge","MTG_FACTOR")</f>
        <v>0.88081218999999999</v>
      </c>
      <c r="H3171">
        <f>_xll.BDP("FNDD6839 Mtge","MTG_WAL")</f>
        <v>3.2471000000000001</v>
      </c>
      <c r="I3171" t="str">
        <f>_xll.BDP("FNDD6839 Mtge","MTG_ORIG_WAL")</f>
        <v>#N/A N/A</v>
      </c>
    </row>
    <row r="3172" spans="1:9" x14ac:dyDescent="0.25">
      <c r="A3172" t="str">
        <f>_xll.BDP("FNDD6842 Mtge","ID_CUSIP")</f>
        <v>3140B7S87</v>
      </c>
      <c r="B3172" t="str">
        <f>_xll.BDP("FNDD6842 Mtge","SECURITY_NAME")</f>
        <v>FN DD6842</v>
      </c>
      <c r="C3172" t="str">
        <f>_xll.BDP("FNDD6842 Mtge","GENERIC_TICKER_VINTAGE")</f>
        <v>FNCL 6 2025</v>
      </c>
      <c r="D3172" t="str">
        <f>_xll.BDP("FNDD6842 Mtge","CRNCY")</f>
        <v>USD</v>
      </c>
      <c r="E3172">
        <v>5545735</v>
      </c>
      <c r="F3172">
        <f>_xll.BDP("FNDD6842 Mtge","CPN")</f>
        <v>6</v>
      </c>
      <c r="G3172">
        <f>_xll.BDP("FNDD6842 Mtge","MTG_FACTOR")</f>
        <v>0.90932789999999997</v>
      </c>
      <c r="H3172">
        <f>_xll.BDP("FNDD6842 Mtge","MTG_WAL")</f>
        <v>3.2456</v>
      </c>
      <c r="I3172" t="str">
        <f>_xll.BDP("FNDD6842 Mtge","MTG_ORIG_WAL")</f>
        <v>#N/A N/A</v>
      </c>
    </row>
    <row r="3173" spans="1:9" x14ac:dyDescent="0.25">
      <c r="A3173" t="str">
        <f>_xll.BDP("FNDD6882 Mtge","ID_CUSIP")</f>
        <v>3140B7UG6</v>
      </c>
      <c r="B3173" t="str">
        <f>_xll.BDP("FNDD6882 Mtge","SECURITY_NAME")</f>
        <v>FN DD6882</v>
      </c>
      <c r="C3173" t="str">
        <f>_xll.BDP("FNDD6882 Mtge","GENERIC_TICKER_VINTAGE")</f>
        <v>FNCL 6 2025</v>
      </c>
      <c r="D3173" t="str">
        <f>_xll.BDP("FNDD6882 Mtge","CRNCY")</f>
        <v>USD</v>
      </c>
      <c r="E3173">
        <v>508162</v>
      </c>
      <c r="F3173">
        <f>_xll.BDP("FNDD6882 Mtge","CPN")</f>
        <v>5.875</v>
      </c>
      <c r="G3173">
        <f>_xll.BDP("FNDD6882 Mtge","MTG_FACTOR")</f>
        <v>0.98907977999999996</v>
      </c>
      <c r="H3173">
        <f>_xll.BDP("FNDD6882 Mtge","MTG_WAL")</f>
        <v>3.1977000000000002</v>
      </c>
      <c r="I3173" t="str">
        <f>_xll.BDP("FNDD6882 Mtge","MTG_ORIG_WAL")</f>
        <v>#N/A N/A</v>
      </c>
    </row>
    <row r="3174" spans="1:9" x14ac:dyDescent="0.25">
      <c r="A3174" t="str">
        <f>_xll.BDP("FNDD6887 Mtge","ID_CUSIP")</f>
        <v>3140B7UM3</v>
      </c>
      <c r="B3174" t="str">
        <f>_xll.BDP("FNDD6887 Mtge","SECURITY_NAME")</f>
        <v>FN DD6887</v>
      </c>
      <c r="C3174" t="str">
        <f>_xll.BDP("FNDD6887 Mtge","GENERIC_TICKER_VINTAGE")</f>
        <v>FNCL 6 2025</v>
      </c>
      <c r="D3174" t="str">
        <f>_xll.BDP("FNDD6887 Mtge","CRNCY")</f>
        <v>USD</v>
      </c>
      <c r="E3174">
        <v>203300</v>
      </c>
      <c r="F3174">
        <f>_xll.BDP("FNDD6887 Mtge","CPN")</f>
        <v>5.875</v>
      </c>
      <c r="G3174">
        <f>_xll.BDP("FNDD6887 Mtge","MTG_FACTOR")</f>
        <v>0.99002272999999996</v>
      </c>
      <c r="H3174">
        <f>_xll.BDP("FNDD6887 Mtge","MTG_WAL")</f>
        <v>3.2431999999999999</v>
      </c>
      <c r="I3174" t="str">
        <f>_xll.BDP("FNDD6887 Mtge","MTG_ORIG_WAL")</f>
        <v>#N/A N/A</v>
      </c>
    </row>
    <row r="3175" spans="1:9" x14ac:dyDescent="0.25">
      <c r="A3175" t="str">
        <f>_xll.BDP("FNDD6903 Mtge","ID_CUSIP")</f>
        <v>3140B7U50</v>
      </c>
      <c r="B3175" t="str">
        <f>_xll.BDP("FNDD6903 Mtge","SECURITY_NAME")</f>
        <v>FN DD6903</v>
      </c>
      <c r="C3175" t="str">
        <f>_xll.BDP("FNDD6903 Mtge","GENERIC_TICKER_VINTAGE")</f>
        <v>FNCL 6 2025</v>
      </c>
      <c r="D3175" t="str">
        <f>_xll.BDP("FNDD6903 Mtge","CRNCY")</f>
        <v>USD</v>
      </c>
      <c r="E3175">
        <v>479665</v>
      </c>
      <c r="F3175">
        <f>_xll.BDP("FNDD6903 Mtge","CPN")</f>
        <v>5.875</v>
      </c>
      <c r="G3175">
        <f>_xll.BDP("FNDD6903 Mtge","MTG_FACTOR")</f>
        <v>0.99002248999999998</v>
      </c>
      <c r="H3175">
        <f>_xll.BDP("FNDD6903 Mtge","MTG_WAL")</f>
        <v>3.2431999999999999</v>
      </c>
      <c r="I3175" t="str">
        <f>_xll.BDP("FNDD6903 Mtge","MTG_ORIG_WAL")</f>
        <v>#N/A N/A</v>
      </c>
    </row>
    <row r="3176" spans="1:9" x14ac:dyDescent="0.25">
      <c r="A3176" t="str">
        <f>_xll.BDP("FNDD6904 Mtge","ID_CUSIP")</f>
        <v>3140B7U68</v>
      </c>
      <c r="B3176" t="str">
        <f>_xll.BDP("FNDD6904 Mtge","SECURITY_NAME")</f>
        <v>FN DD6904</v>
      </c>
      <c r="C3176" t="str">
        <f>_xll.BDP("FNDD6904 Mtge","GENERIC_TICKER_VINTAGE")</f>
        <v>FNCL 6 2025</v>
      </c>
      <c r="D3176" t="str">
        <f>_xll.BDP("FNDD6904 Mtge","CRNCY")</f>
        <v>USD</v>
      </c>
      <c r="E3176">
        <v>209630</v>
      </c>
      <c r="F3176">
        <f>_xll.BDP("FNDD6904 Mtge","CPN")</f>
        <v>6</v>
      </c>
      <c r="G3176">
        <f>_xll.BDP("FNDD6904 Mtge","MTG_FACTOR")</f>
        <v>0.99018638000000003</v>
      </c>
      <c r="H3176">
        <f>_xll.BDP("FNDD6904 Mtge","MTG_WAL")</f>
        <v>3.2458</v>
      </c>
      <c r="I3176" t="str">
        <f>_xll.BDP("FNDD6904 Mtge","MTG_ORIG_WAL")</f>
        <v>#N/A N/A</v>
      </c>
    </row>
    <row r="3177" spans="1:9" x14ac:dyDescent="0.25">
      <c r="A3177" t="str">
        <f>_xll.BDP("FNDD6931 Mtge","ID_CUSIP")</f>
        <v>3140B7VZ3</v>
      </c>
      <c r="B3177" t="str">
        <f>_xll.BDP("FNDD6931 Mtge","SECURITY_NAME")</f>
        <v>FN DD6931</v>
      </c>
      <c r="C3177" t="str">
        <f>_xll.BDP("FNDD6931 Mtge","GENERIC_TICKER_VINTAGE")</f>
        <v>FNCL 6 2025</v>
      </c>
      <c r="D3177" t="str">
        <f>_xll.BDP("FNDD6931 Mtge","CRNCY")</f>
        <v>USD</v>
      </c>
      <c r="E3177">
        <v>314002</v>
      </c>
      <c r="F3177">
        <f>_xll.BDP("FNDD6931 Mtge","CPN")</f>
        <v>5.875</v>
      </c>
      <c r="G3177">
        <f>_xll.BDP("FNDD6931 Mtge","MTG_FACTOR")</f>
        <v>0.98958767999999997</v>
      </c>
      <c r="H3177">
        <f>_xll.BDP("FNDD6931 Mtge","MTG_WAL")</f>
        <v>3.2423000000000002</v>
      </c>
      <c r="I3177" t="str">
        <f>_xll.BDP("FNDD6931 Mtge","MTG_ORIG_WAL")</f>
        <v>#N/A N/A</v>
      </c>
    </row>
    <row r="3178" spans="1:9" x14ac:dyDescent="0.25">
      <c r="A3178" t="str">
        <f>_xll.BDP("FNDD6947 Mtge","ID_CUSIP")</f>
        <v>3140B7WH2</v>
      </c>
      <c r="B3178" t="str">
        <f>_xll.BDP("FNDD6947 Mtge","SECURITY_NAME")</f>
        <v>FN DD6947</v>
      </c>
      <c r="C3178" t="str">
        <f>_xll.BDP("FNDD6947 Mtge","GENERIC_TICKER_VINTAGE")</f>
        <v>FNCL 6 2025</v>
      </c>
      <c r="D3178" t="str">
        <f>_xll.BDP("FNDD6947 Mtge","CRNCY")</f>
        <v>USD</v>
      </c>
      <c r="E3178">
        <v>2900132</v>
      </c>
      <c r="F3178">
        <f>_xll.BDP("FNDD6947 Mtge","CPN")</f>
        <v>6</v>
      </c>
      <c r="G3178">
        <f>_xll.BDP("FNDD6947 Mtge","MTG_FACTOR")</f>
        <v>0.92856399000000001</v>
      </c>
      <c r="H3178">
        <f>_xll.BDP("FNDD6947 Mtge","MTG_WAL")</f>
        <v>3.2471999999999999</v>
      </c>
      <c r="I3178" t="str">
        <f>_xll.BDP("FNDD6947 Mtge","MTG_ORIG_WAL")</f>
        <v>#N/A N/A</v>
      </c>
    </row>
    <row r="3179" spans="1:9" x14ac:dyDescent="0.25">
      <c r="A3179" t="str">
        <f>_xll.BDP("FNDD6948 Mtge","ID_CUSIP")</f>
        <v>3140B7WJ8</v>
      </c>
      <c r="B3179" t="str">
        <f>_xll.BDP("FNDD6948 Mtge","SECURITY_NAME")</f>
        <v>FN DD6948</v>
      </c>
      <c r="C3179" t="str">
        <f>_xll.BDP("FNDD6948 Mtge","GENERIC_TICKER_VINTAGE")</f>
        <v>FNCL 6 2025</v>
      </c>
      <c r="D3179" t="str">
        <f>_xll.BDP("FNDD6948 Mtge","CRNCY")</f>
        <v>USD</v>
      </c>
      <c r="E3179">
        <v>7317347</v>
      </c>
      <c r="F3179">
        <f>_xll.BDP("FNDD6948 Mtge","CPN")</f>
        <v>6</v>
      </c>
      <c r="G3179">
        <f>_xll.BDP("FNDD6948 Mtge","MTG_FACTOR")</f>
        <v>0.96397104</v>
      </c>
      <c r="H3179">
        <f>_xll.BDP("FNDD6948 Mtge","MTG_WAL")</f>
        <v>3.2042000000000002</v>
      </c>
      <c r="I3179" t="str">
        <f>_xll.BDP("FNDD6948 Mtge","MTG_ORIG_WAL")</f>
        <v>#N/A N/A</v>
      </c>
    </row>
    <row r="3180" spans="1:9" x14ac:dyDescent="0.25">
      <c r="A3180" t="str">
        <f>_xll.BDP("FNDD6949 Mtge","ID_CUSIP")</f>
        <v>3140B7WK5</v>
      </c>
      <c r="B3180" t="str">
        <f>_xll.BDP("FNDD6949 Mtge","SECURITY_NAME")</f>
        <v>FN DD6949</v>
      </c>
      <c r="C3180" t="str">
        <f>_xll.BDP("FNDD6949 Mtge","GENERIC_TICKER_VINTAGE")</f>
        <v>FNCL 6 2025</v>
      </c>
      <c r="D3180" t="str">
        <f>_xll.BDP("FNDD6949 Mtge","CRNCY")</f>
        <v>USD</v>
      </c>
      <c r="E3180">
        <v>4716527</v>
      </c>
      <c r="F3180">
        <f>_xll.BDP("FNDD6949 Mtge","CPN")</f>
        <v>6</v>
      </c>
      <c r="G3180">
        <f>_xll.BDP("FNDD6949 Mtge","MTG_FACTOR")</f>
        <v>0.94412207000000004</v>
      </c>
      <c r="H3180">
        <f>_xll.BDP("FNDD6949 Mtge","MTG_WAL")</f>
        <v>3.2492000000000001</v>
      </c>
      <c r="I3180" t="str">
        <f>_xll.BDP("FNDD6949 Mtge","MTG_ORIG_WAL")</f>
        <v>#N/A N/A</v>
      </c>
    </row>
    <row r="3181" spans="1:9" x14ac:dyDescent="0.25">
      <c r="A3181" t="str">
        <f>_xll.BDP("FNDD6951 Mtge","ID_CUSIP")</f>
        <v>3140B7WM1</v>
      </c>
      <c r="B3181" t="str">
        <f>_xll.BDP("FNDD6951 Mtge","SECURITY_NAME")</f>
        <v>FN DD6951</v>
      </c>
      <c r="C3181" t="str">
        <f>_xll.BDP("FNDD6951 Mtge","GENERIC_TICKER_VINTAGE")</f>
        <v>FNCL 6 2025</v>
      </c>
      <c r="D3181" t="str">
        <f>_xll.BDP("FNDD6951 Mtge","CRNCY")</f>
        <v>USD</v>
      </c>
      <c r="E3181">
        <v>3081484</v>
      </c>
      <c r="F3181">
        <f>_xll.BDP("FNDD6951 Mtge","CPN")</f>
        <v>6</v>
      </c>
      <c r="G3181">
        <f>_xll.BDP("FNDD6951 Mtge","MTG_FACTOR")</f>
        <v>0.97805412999999997</v>
      </c>
      <c r="H3181">
        <f>_xll.BDP("FNDD6951 Mtge","MTG_WAL")</f>
        <v>3.2393000000000001</v>
      </c>
      <c r="I3181" t="str">
        <f>_xll.BDP("FNDD6951 Mtge","MTG_ORIG_WAL")</f>
        <v>#N/A N/A</v>
      </c>
    </row>
    <row r="3182" spans="1:9" x14ac:dyDescent="0.25">
      <c r="A3182" t="str">
        <f>_xll.BDP("FNDD6953 Mtge","ID_CUSIP")</f>
        <v>3140B7WP4</v>
      </c>
      <c r="B3182" t="str">
        <f>_xll.BDP("FNDD6953 Mtge","SECURITY_NAME")</f>
        <v>FN DD6953</v>
      </c>
      <c r="C3182" t="str">
        <f>_xll.BDP("FNDD6953 Mtge","GENERIC_TICKER_VINTAGE")</f>
        <v>FNCL 6 2025</v>
      </c>
      <c r="D3182" t="str">
        <f>_xll.BDP("FNDD6953 Mtge","CRNCY")</f>
        <v>USD</v>
      </c>
      <c r="E3182">
        <v>5566225</v>
      </c>
      <c r="F3182">
        <f>_xll.BDP("FNDD6953 Mtge","CPN")</f>
        <v>6</v>
      </c>
      <c r="G3182">
        <f>_xll.BDP("FNDD6953 Mtge","MTG_FACTOR")</f>
        <v>0.82045104999999996</v>
      </c>
      <c r="H3182">
        <f>_xll.BDP("FNDD6953 Mtge","MTG_WAL")</f>
        <v>3.2421000000000002</v>
      </c>
      <c r="I3182" t="str">
        <f>_xll.BDP("FNDD6953 Mtge","MTG_ORIG_WAL")</f>
        <v>#N/A N/A</v>
      </c>
    </row>
    <row r="3183" spans="1:9" x14ac:dyDescent="0.25">
      <c r="A3183" t="str">
        <f>_xll.BDP("FNDD6954 Mtge","ID_CUSIP")</f>
        <v>3140B7WQ2</v>
      </c>
      <c r="B3183" t="str">
        <f>_xll.BDP("FNDD6954 Mtge","SECURITY_NAME")</f>
        <v>FN DD6954</v>
      </c>
      <c r="C3183" t="str">
        <f>_xll.BDP("FNDD6954 Mtge","GENERIC_TICKER_VINTAGE")</f>
        <v>FNCL 6 2025</v>
      </c>
      <c r="D3183" t="str">
        <f>_xll.BDP("FNDD6954 Mtge","CRNCY")</f>
        <v>USD</v>
      </c>
      <c r="E3183">
        <v>3749837</v>
      </c>
      <c r="F3183">
        <f>_xll.BDP("FNDD6954 Mtge","CPN")</f>
        <v>6</v>
      </c>
      <c r="G3183">
        <f>_xll.BDP("FNDD6954 Mtge","MTG_FACTOR")</f>
        <v>0.90799072999999997</v>
      </c>
      <c r="H3183">
        <f>_xll.BDP("FNDD6954 Mtge","MTG_WAL")</f>
        <v>3.2490999999999999</v>
      </c>
      <c r="I3183" t="str">
        <f>_xll.BDP("FNDD6954 Mtge","MTG_ORIG_WAL")</f>
        <v>#N/A N/A</v>
      </c>
    </row>
    <row r="3184" spans="1:9" x14ac:dyDescent="0.25">
      <c r="A3184" t="str">
        <f>_xll.BDP("FNDD6996 Mtge","ID_CUSIP")</f>
        <v>3140B7X24</v>
      </c>
      <c r="B3184" t="str">
        <f>_xll.BDP("FNDD6996 Mtge","SECURITY_NAME")</f>
        <v>FN DD6996</v>
      </c>
      <c r="C3184" t="str">
        <f>_xll.BDP("FNDD6996 Mtge","GENERIC_TICKER_VINTAGE")</f>
        <v>FNCL 6 2025</v>
      </c>
      <c r="D3184" t="str">
        <f>_xll.BDP("FNDD6996 Mtge","CRNCY")</f>
        <v>USD</v>
      </c>
      <c r="E3184">
        <v>5137059</v>
      </c>
      <c r="F3184">
        <f>_xll.BDP("FNDD6996 Mtge","CPN")</f>
        <v>6</v>
      </c>
      <c r="G3184">
        <f>_xll.BDP("FNDD6996 Mtge","MTG_FACTOR")</f>
        <v>0.83244161000000005</v>
      </c>
      <c r="H3184">
        <f>_xll.BDP("FNDD6996 Mtge","MTG_WAL")</f>
        <v>3.2202999999999999</v>
      </c>
      <c r="I3184" t="str">
        <f>_xll.BDP("FNDD6996 Mtge","MTG_ORIG_WAL")</f>
        <v>#N/A N/A</v>
      </c>
    </row>
    <row r="3185" spans="1:9" x14ac:dyDescent="0.25">
      <c r="A3185" t="str">
        <f>_xll.BDP("FNDD6999 Mtge","ID_CUSIP")</f>
        <v>3140B7X57</v>
      </c>
      <c r="B3185" t="str">
        <f>_xll.BDP("FNDD6999 Mtge","SECURITY_NAME")</f>
        <v>FN DD6999</v>
      </c>
      <c r="C3185" t="str">
        <f>_xll.BDP("FNDD6999 Mtge","GENERIC_TICKER_VINTAGE")</f>
        <v>FNCL 6 2025</v>
      </c>
      <c r="D3185" t="str">
        <f>_xll.BDP("FNDD6999 Mtge","CRNCY")</f>
        <v>USD</v>
      </c>
      <c r="E3185">
        <v>1272401</v>
      </c>
      <c r="F3185">
        <f>_xll.BDP("FNDD6999 Mtge","CPN")</f>
        <v>6</v>
      </c>
      <c r="G3185">
        <f>_xll.BDP("FNDD6999 Mtge","MTG_FACTOR")</f>
        <v>0.79500945999999995</v>
      </c>
      <c r="H3185">
        <f>_xll.BDP("FNDD6999 Mtge","MTG_WAL")</f>
        <v>3.2465000000000002</v>
      </c>
      <c r="I3185" t="str">
        <f>_xll.BDP("FNDD6999 Mtge","MTG_ORIG_WAL")</f>
        <v>#N/A N/A</v>
      </c>
    </row>
    <row r="3186" spans="1:9" x14ac:dyDescent="0.25">
      <c r="A3186" t="str">
        <f>_xll.BDP("FNDD7001 Mtge","ID_CUSIP")</f>
        <v>3140B7X73</v>
      </c>
      <c r="B3186" t="str">
        <f>_xll.BDP("FNDD7001 Mtge","SECURITY_NAME")</f>
        <v>FN DD7001</v>
      </c>
      <c r="C3186" t="str">
        <f>_xll.BDP("FNDD7001 Mtge","GENERIC_TICKER_VINTAGE")</f>
        <v>FNCL 6 2025</v>
      </c>
      <c r="D3186" t="str">
        <f>_xll.BDP("FNDD7001 Mtge","CRNCY")</f>
        <v>USD</v>
      </c>
      <c r="E3186">
        <v>2291784</v>
      </c>
      <c r="F3186">
        <f>_xll.BDP("FNDD7001 Mtge","CPN")</f>
        <v>6</v>
      </c>
      <c r="G3186">
        <f>_xll.BDP("FNDD7001 Mtge","MTG_FACTOR")</f>
        <v>0.99065846999999996</v>
      </c>
      <c r="H3186">
        <f>_xll.BDP("FNDD7001 Mtge","MTG_WAL")</f>
        <v>3.2509000000000001</v>
      </c>
      <c r="I3186" t="str">
        <f>_xll.BDP("FNDD7001 Mtge","MTG_ORIG_WAL")</f>
        <v>#N/A N/A</v>
      </c>
    </row>
    <row r="3187" spans="1:9" x14ac:dyDescent="0.25">
      <c r="A3187" t="str">
        <f>_xll.BDP("FNDD7004 Mtge","ID_CUSIP")</f>
        <v>3140B7YA5</v>
      </c>
      <c r="B3187" t="str">
        <f>_xll.BDP("FNDD7004 Mtge","SECURITY_NAME")</f>
        <v>FN DD7004</v>
      </c>
      <c r="C3187" t="str">
        <f>_xll.BDP("FNDD7004 Mtge","GENERIC_TICKER_VINTAGE")</f>
        <v>FNCL 6 2025</v>
      </c>
      <c r="D3187" t="str">
        <f>_xll.BDP("FNDD7004 Mtge","CRNCY")</f>
        <v>USD</v>
      </c>
      <c r="E3187">
        <v>1125652</v>
      </c>
      <c r="F3187">
        <f>_xll.BDP("FNDD7004 Mtge","CPN")</f>
        <v>6</v>
      </c>
      <c r="G3187">
        <f>_xll.BDP("FNDD7004 Mtge","MTG_FACTOR")</f>
        <v>0.98716990000000004</v>
      </c>
      <c r="H3187">
        <f>_xll.BDP("FNDD7004 Mtge","MTG_WAL")</f>
        <v>3.2463000000000002</v>
      </c>
      <c r="I3187" t="str">
        <f>_xll.BDP("FNDD7004 Mtge","MTG_ORIG_WAL")</f>
        <v>#N/A N/A</v>
      </c>
    </row>
    <row r="3188" spans="1:9" x14ac:dyDescent="0.25">
      <c r="A3188" t="str">
        <f>_xll.BDP("FNDD7010 Mtge","ID_CUSIP")</f>
        <v>3140B7YG2</v>
      </c>
      <c r="B3188" t="str">
        <f>_xll.BDP("FNDD7010 Mtge","SECURITY_NAME")</f>
        <v>FN DD7010</v>
      </c>
      <c r="C3188" t="str">
        <f>_xll.BDP("FNDD7010 Mtge","GENERIC_TICKER_VINTAGE")</f>
        <v>FNCL 6 2025</v>
      </c>
      <c r="D3188" t="str">
        <f>_xll.BDP("FNDD7010 Mtge","CRNCY")</f>
        <v>USD</v>
      </c>
      <c r="E3188">
        <v>5093677</v>
      </c>
      <c r="F3188">
        <f>_xll.BDP("FNDD7010 Mtge","CPN")</f>
        <v>6</v>
      </c>
      <c r="G3188">
        <f>_xll.BDP("FNDD7010 Mtge","MTG_FACTOR")</f>
        <v>0.87048851000000005</v>
      </c>
      <c r="H3188">
        <f>_xll.BDP("FNDD7010 Mtge","MTG_WAL")</f>
        <v>3.2494999999999998</v>
      </c>
      <c r="I3188" t="str">
        <f>_xll.BDP("FNDD7010 Mtge","MTG_ORIG_WAL")</f>
        <v>#N/A N/A</v>
      </c>
    </row>
    <row r="3189" spans="1:9" x14ac:dyDescent="0.25">
      <c r="A3189" t="str">
        <f>_xll.BDP("FNDD7016 Mtge","ID_CUSIP")</f>
        <v>3140B7YN7</v>
      </c>
      <c r="B3189" t="str">
        <f>_xll.BDP("FNDD7016 Mtge","SECURITY_NAME")</f>
        <v>FN DD7016</v>
      </c>
      <c r="C3189" t="str">
        <f>_xll.BDP("FNDD7016 Mtge","GENERIC_TICKER_VINTAGE")</f>
        <v>FNCL 6 2025</v>
      </c>
      <c r="D3189" t="str">
        <f>_xll.BDP("FNDD7016 Mtge","CRNCY")</f>
        <v>USD</v>
      </c>
      <c r="E3189">
        <v>4141068</v>
      </c>
      <c r="F3189">
        <f>_xll.BDP("FNDD7016 Mtge","CPN")</f>
        <v>6</v>
      </c>
      <c r="G3189">
        <f>_xll.BDP("FNDD7016 Mtge","MTG_FACTOR")</f>
        <v>0.64979302999999999</v>
      </c>
      <c r="H3189">
        <f>_xll.BDP("FNDD7016 Mtge","MTG_WAL")</f>
        <v>3.2475000000000001</v>
      </c>
      <c r="I3189" t="str">
        <f>_xll.BDP("FNDD7016 Mtge","MTG_ORIG_WAL")</f>
        <v>#N/A N/A</v>
      </c>
    </row>
    <row r="3190" spans="1:9" x14ac:dyDescent="0.25">
      <c r="A3190" t="str">
        <f>_xll.BDP("FNDD7019 Mtge","ID_CUSIP")</f>
        <v>3140B7YR8</v>
      </c>
      <c r="B3190" t="str">
        <f>_xll.BDP("FNDD7019 Mtge","SECURITY_NAME")</f>
        <v>FN DD7019</v>
      </c>
      <c r="C3190" t="str">
        <f>_xll.BDP("FNDD7019 Mtge","GENERIC_TICKER_VINTAGE")</f>
        <v>FNCL 6 2025</v>
      </c>
      <c r="D3190" t="str">
        <f>_xll.BDP("FNDD7019 Mtge","CRNCY")</f>
        <v>USD</v>
      </c>
      <c r="E3190">
        <v>1105490</v>
      </c>
      <c r="F3190">
        <f>_xll.BDP("FNDD7019 Mtge","CPN")</f>
        <v>6</v>
      </c>
      <c r="G3190">
        <f>_xll.BDP("FNDD7019 Mtge","MTG_FACTOR")</f>
        <v>0.98896302000000003</v>
      </c>
      <c r="H3190">
        <f>_xll.BDP("FNDD7019 Mtge","MTG_WAL")</f>
        <v>3.2486000000000002</v>
      </c>
      <c r="I3190" t="str">
        <f>_xll.BDP("FNDD7019 Mtge","MTG_ORIG_WAL")</f>
        <v>#N/A N/A</v>
      </c>
    </row>
    <row r="3191" spans="1:9" x14ac:dyDescent="0.25">
      <c r="A3191" t="str">
        <f>_xll.BDP("FNDD7020 Mtge","ID_CUSIP")</f>
        <v>3140B7YS6</v>
      </c>
      <c r="B3191" t="str">
        <f>_xll.BDP("FNDD7020 Mtge","SECURITY_NAME")</f>
        <v>FN DD7020</v>
      </c>
      <c r="C3191" t="str">
        <f>_xll.BDP("FNDD7020 Mtge","GENERIC_TICKER_VINTAGE")</f>
        <v>FNCL 6 2025</v>
      </c>
      <c r="D3191" t="str">
        <f>_xll.BDP("FNDD7020 Mtge","CRNCY")</f>
        <v>USD</v>
      </c>
      <c r="E3191">
        <v>1083082</v>
      </c>
      <c r="F3191">
        <f>_xll.BDP("FNDD7020 Mtge","CPN")</f>
        <v>6</v>
      </c>
      <c r="G3191">
        <f>_xll.BDP("FNDD7020 Mtge","MTG_FACTOR")</f>
        <v>0.59945356999999999</v>
      </c>
      <c r="H3191">
        <f>_xll.BDP("FNDD7020 Mtge","MTG_WAL")</f>
        <v>3.2059000000000002</v>
      </c>
      <c r="I3191" t="str">
        <f>_xll.BDP("FNDD7020 Mtge","MTG_ORIG_WAL")</f>
        <v>#N/A N/A</v>
      </c>
    </row>
    <row r="3192" spans="1:9" x14ac:dyDescent="0.25">
      <c r="A3192" t="str">
        <f>_xll.BDP("FNDD7024 Mtge","ID_CUSIP")</f>
        <v>3140B7YW7</v>
      </c>
      <c r="B3192" t="str">
        <f>_xll.BDP("FNDD7024 Mtge","SECURITY_NAME")</f>
        <v>FN DD7024</v>
      </c>
      <c r="C3192" t="str">
        <f>_xll.BDP("FNDD7024 Mtge","GENERIC_TICKER_VINTAGE")</f>
        <v>FNCL 6 2025</v>
      </c>
      <c r="D3192" t="str">
        <f>_xll.BDP("FNDD7024 Mtge","CRNCY")</f>
        <v>USD</v>
      </c>
      <c r="E3192">
        <v>24471498</v>
      </c>
      <c r="F3192">
        <f>_xll.BDP("FNDD7024 Mtge","CPN")</f>
        <v>6</v>
      </c>
      <c r="G3192">
        <f>_xll.BDP("FNDD7024 Mtge","MTG_FACTOR")</f>
        <v>0.71002213000000003</v>
      </c>
      <c r="H3192">
        <f>_xll.BDP("FNDD7024 Mtge","MTG_WAL")</f>
        <v>3.2353000000000001</v>
      </c>
      <c r="I3192" t="str">
        <f>_xll.BDP("FNDD7024 Mtge","MTG_ORIG_WAL")</f>
        <v>#N/A N/A</v>
      </c>
    </row>
    <row r="3193" spans="1:9" x14ac:dyDescent="0.25">
      <c r="A3193" t="str">
        <f>_xll.BDP("FNDD7025 Mtge","ID_CUSIP")</f>
        <v>3140B7YX5</v>
      </c>
      <c r="B3193" t="str">
        <f>_xll.BDP("FNDD7025 Mtge","SECURITY_NAME")</f>
        <v>FN DD7025</v>
      </c>
      <c r="C3193" t="str">
        <f>_xll.BDP("FNDD7025 Mtge","GENERIC_TICKER_VINTAGE")</f>
        <v>FNCL 6 2025</v>
      </c>
      <c r="D3193" t="str">
        <f>_xll.BDP("FNDD7025 Mtge","CRNCY")</f>
        <v>USD</v>
      </c>
      <c r="E3193">
        <v>4340689</v>
      </c>
      <c r="F3193">
        <f>_xll.BDP("FNDD7025 Mtge","CPN")</f>
        <v>6</v>
      </c>
      <c r="G3193">
        <f>_xll.BDP("FNDD7025 Mtge","MTG_FACTOR")</f>
        <v>0.97810695000000003</v>
      </c>
      <c r="H3193">
        <f>_xll.BDP("FNDD7025 Mtge","MTG_WAL")</f>
        <v>3.1943999999999999</v>
      </c>
      <c r="I3193" t="str">
        <f>_xll.BDP("FNDD7025 Mtge","MTG_ORIG_WAL")</f>
        <v>#N/A N/A</v>
      </c>
    </row>
    <row r="3194" spans="1:9" x14ac:dyDescent="0.25">
      <c r="A3194" t="str">
        <f>_xll.BDP("FNDD7027 Mtge","ID_CUSIP")</f>
        <v>3140B7YZ0</v>
      </c>
      <c r="B3194" t="str">
        <f>_xll.BDP("FNDD7027 Mtge","SECURITY_NAME")</f>
        <v>FN DD7027</v>
      </c>
      <c r="C3194" t="str">
        <f>_xll.BDP("FNDD7027 Mtge","GENERIC_TICKER_VINTAGE")</f>
        <v>FNCL 6 2025</v>
      </c>
      <c r="D3194" t="str">
        <f>_xll.BDP("FNDD7027 Mtge","CRNCY")</f>
        <v>USD</v>
      </c>
      <c r="E3194">
        <v>1061655</v>
      </c>
      <c r="F3194">
        <f>_xll.BDP("FNDD7027 Mtge","CPN")</f>
        <v>6</v>
      </c>
      <c r="G3194">
        <f>_xll.BDP("FNDD7027 Mtge","MTG_FACTOR")</f>
        <v>0.84386881000000002</v>
      </c>
      <c r="H3194">
        <f>_xll.BDP("FNDD7027 Mtge","MTG_WAL")</f>
        <v>3.1932</v>
      </c>
      <c r="I3194" t="str">
        <f>_xll.BDP("FNDD7027 Mtge","MTG_ORIG_WAL")</f>
        <v>#N/A N/A</v>
      </c>
    </row>
    <row r="3195" spans="1:9" x14ac:dyDescent="0.25">
      <c r="A3195" t="str">
        <f>_xll.BDP("FNDD7032 Mtge","ID_CUSIP")</f>
        <v>3140B7Y64</v>
      </c>
      <c r="B3195" t="str">
        <f>_xll.BDP("FNDD7032 Mtge","SECURITY_NAME")</f>
        <v>FN DD7032</v>
      </c>
      <c r="C3195" t="str">
        <f>_xll.BDP("FNDD7032 Mtge","GENERIC_TICKER_VINTAGE")</f>
        <v>FNCL 6 2025</v>
      </c>
      <c r="D3195" t="str">
        <f>_xll.BDP("FNDD7032 Mtge","CRNCY")</f>
        <v>USD</v>
      </c>
      <c r="E3195">
        <v>2097916</v>
      </c>
      <c r="F3195">
        <f>_xll.BDP("FNDD7032 Mtge","CPN")</f>
        <v>6</v>
      </c>
      <c r="G3195">
        <f>_xll.BDP("FNDD7032 Mtge","MTG_FACTOR")</f>
        <v>0.69289568000000001</v>
      </c>
      <c r="H3195">
        <f>_xll.BDP("FNDD7032 Mtge","MTG_WAL")</f>
        <v>3.1804999999999999</v>
      </c>
      <c r="I3195" t="str">
        <f>_xll.BDP("FNDD7032 Mtge","MTG_ORIG_WAL")</f>
        <v>#N/A N/A</v>
      </c>
    </row>
    <row r="3196" spans="1:9" x14ac:dyDescent="0.25">
      <c r="A3196" t="str">
        <f>_xll.BDP("FNDD7033 Mtge","ID_CUSIP")</f>
        <v>3140B7Y72</v>
      </c>
      <c r="B3196" t="str">
        <f>_xll.BDP("FNDD7033 Mtge","SECURITY_NAME")</f>
        <v>FN DD7033</v>
      </c>
      <c r="C3196" t="str">
        <f>_xll.BDP("FNDD7033 Mtge","GENERIC_TICKER_VINTAGE")</f>
        <v>FNCL 6 2025</v>
      </c>
      <c r="D3196" t="str">
        <f>_xll.BDP("FNDD7033 Mtge","CRNCY")</f>
        <v>USD</v>
      </c>
      <c r="E3196">
        <v>1298910</v>
      </c>
      <c r="F3196">
        <f>_xll.BDP("FNDD7033 Mtge","CPN")</f>
        <v>6</v>
      </c>
      <c r="G3196">
        <f>_xll.BDP("FNDD7033 Mtge","MTG_FACTOR")</f>
        <v>0.98996348999999995</v>
      </c>
      <c r="H3196">
        <f>_xll.BDP("FNDD7033 Mtge","MTG_WAL")</f>
        <v>3.2033</v>
      </c>
      <c r="I3196" t="str">
        <f>_xll.BDP("FNDD7033 Mtge","MTG_ORIG_WAL")</f>
        <v>#N/A N/A</v>
      </c>
    </row>
    <row r="3197" spans="1:9" x14ac:dyDescent="0.25">
      <c r="A3197" t="str">
        <f>_xll.BDP("FNDD7039 Mtge","ID_CUSIP")</f>
        <v>3140B7ZD8</v>
      </c>
      <c r="B3197" t="str">
        <f>_xll.BDP("FNDD7039 Mtge","SECURITY_NAME")</f>
        <v>FN DD7039</v>
      </c>
      <c r="C3197" t="str">
        <f>_xll.BDP("FNDD7039 Mtge","GENERIC_TICKER_VINTAGE")</f>
        <v>FNCL 6 2025</v>
      </c>
      <c r="D3197" t="str">
        <f>_xll.BDP("FNDD7039 Mtge","CRNCY")</f>
        <v>USD</v>
      </c>
      <c r="E3197">
        <v>1011440</v>
      </c>
      <c r="F3197">
        <f>_xll.BDP("FNDD7039 Mtge","CPN")</f>
        <v>6</v>
      </c>
      <c r="G3197">
        <f>_xll.BDP("FNDD7039 Mtge","MTG_FACTOR")</f>
        <v>0.98555082999999999</v>
      </c>
      <c r="H3197">
        <f>_xll.BDP("FNDD7039 Mtge","MTG_WAL")</f>
        <v>3.2429000000000001</v>
      </c>
      <c r="I3197" t="str">
        <f>_xll.BDP("FNDD7039 Mtge","MTG_ORIG_WAL")</f>
        <v>#N/A N/A</v>
      </c>
    </row>
    <row r="3198" spans="1:9" x14ac:dyDescent="0.25">
      <c r="A3198" t="str">
        <f>_xll.BDP("FNDD7044 Mtge","ID_CUSIP")</f>
        <v>3140B7ZJ5</v>
      </c>
      <c r="B3198" t="str">
        <f>_xll.BDP("FNDD7044 Mtge","SECURITY_NAME")</f>
        <v>FN DD7044</v>
      </c>
      <c r="C3198" t="str">
        <f>_xll.BDP("FNDD7044 Mtge","GENERIC_TICKER_VINTAGE")</f>
        <v>FNCL 6 2025</v>
      </c>
      <c r="D3198" t="str">
        <f>_xll.BDP("FNDD7044 Mtge","CRNCY")</f>
        <v>USD</v>
      </c>
      <c r="E3198">
        <v>1424318</v>
      </c>
      <c r="F3198">
        <f>_xll.BDP("FNDD7044 Mtge","CPN")</f>
        <v>6</v>
      </c>
      <c r="G3198">
        <f>_xll.BDP("FNDD7044 Mtge","MTG_FACTOR")</f>
        <v>0.22604567</v>
      </c>
      <c r="H3198">
        <f>_xll.BDP("FNDD7044 Mtge","MTG_WAL")</f>
        <v>3.2010999999999998</v>
      </c>
      <c r="I3198" t="str">
        <f>_xll.BDP("FNDD7044 Mtge","MTG_ORIG_WAL")</f>
        <v>#N/A N/A</v>
      </c>
    </row>
    <row r="3199" spans="1:9" x14ac:dyDescent="0.25">
      <c r="A3199" t="str">
        <f>_xll.BDP("FNDD7047 Mtge","ID_CUSIP")</f>
        <v>3140B7ZM8</v>
      </c>
      <c r="B3199" t="str">
        <f>_xll.BDP("FNDD7047 Mtge","SECURITY_NAME")</f>
        <v>FN DD7047</v>
      </c>
      <c r="C3199" t="str">
        <f>_xll.BDP("FNDD7047 Mtge","GENERIC_TICKER_VINTAGE")</f>
        <v>FNCL 6 2025</v>
      </c>
      <c r="D3199" t="str">
        <f>_xll.BDP("FNDD7047 Mtge","CRNCY")</f>
        <v>USD</v>
      </c>
      <c r="E3199">
        <v>13786759</v>
      </c>
      <c r="F3199">
        <f>_xll.BDP("FNDD7047 Mtge","CPN")</f>
        <v>6</v>
      </c>
      <c r="G3199">
        <f>_xll.BDP("FNDD7047 Mtge","MTG_FACTOR")</f>
        <v>0.80287861000000005</v>
      </c>
      <c r="H3199">
        <f>_xll.BDP("FNDD7047 Mtge","MTG_WAL")</f>
        <v>3.2488000000000001</v>
      </c>
      <c r="I3199" t="str">
        <f>_xll.BDP("FNDD7047 Mtge","MTG_ORIG_WAL")</f>
        <v>#N/A N/A</v>
      </c>
    </row>
    <row r="3200" spans="1:9" x14ac:dyDescent="0.25">
      <c r="A3200" t="str">
        <f>_xll.BDP("FNDD7050 Mtge","ID_CUSIP")</f>
        <v>3140B7ZQ9</v>
      </c>
      <c r="B3200" t="str">
        <f>_xll.BDP("FNDD7050 Mtge","SECURITY_NAME")</f>
        <v>FN DD7050</v>
      </c>
      <c r="C3200" t="str">
        <f>_xll.BDP("FNDD7050 Mtge","GENERIC_TICKER_VINTAGE")</f>
        <v>FNCL 6 2025</v>
      </c>
      <c r="D3200" t="str">
        <f>_xll.BDP("FNDD7050 Mtge","CRNCY")</f>
        <v>USD</v>
      </c>
      <c r="E3200">
        <v>8159612</v>
      </c>
      <c r="F3200">
        <f>_xll.BDP("FNDD7050 Mtge","CPN")</f>
        <v>6</v>
      </c>
      <c r="G3200">
        <f>_xll.BDP("FNDD7050 Mtge","MTG_FACTOR")</f>
        <v>0.76977297</v>
      </c>
      <c r="H3200">
        <f>_xll.BDP("FNDD7050 Mtge","MTG_WAL")</f>
        <v>3.2303999999999999</v>
      </c>
      <c r="I3200" t="str">
        <f>_xll.BDP("FNDD7050 Mtge","MTG_ORIG_WAL")</f>
        <v>#N/A N/A</v>
      </c>
    </row>
    <row r="3201" spans="1:9" x14ac:dyDescent="0.25">
      <c r="A3201" t="str">
        <f>_xll.BDP("FNDD7060 Mtge","ID_CUSIP")</f>
        <v>3140B7Z22</v>
      </c>
      <c r="B3201" t="str">
        <f>_xll.BDP("FNDD7060 Mtge","SECURITY_NAME")</f>
        <v>FN DD7060</v>
      </c>
      <c r="C3201" t="str">
        <f>_xll.BDP("FNDD7060 Mtge","GENERIC_TICKER_VINTAGE")</f>
        <v>FNCL 6 2025</v>
      </c>
      <c r="D3201" t="str">
        <f>_xll.BDP("FNDD7060 Mtge","CRNCY")</f>
        <v>USD</v>
      </c>
      <c r="E3201">
        <v>582574</v>
      </c>
      <c r="F3201">
        <f>_xll.BDP("FNDD7060 Mtge","CPN")</f>
        <v>5.875</v>
      </c>
      <c r="G3201">
        <f>_xll.BDP("FNDD7060 Mtge","MTG_FACTOR")</f>
        <v>0.98956739000000005</v>
      </c>
      <c r="H3201">
        <f>_xll.BDP("FNDD7060 Mtge","MTG_WAL")</f>
        <v>3.1985999999999999</v>
      </c>
      <c r="I3201" t="str">
        <f>_xll.BDP("FNDD7060 Mtge","MTG_ORIG_WAL")</f>
        <v>#N/A N/A</v>
      </c>
    </row>
    <row r="3202" spans="1:9" x14ac:dyDescent="0.25">
      <c r="A3202" t="str">
        <f>_xll.BDP("FNDD7061 Mtge","ID_CUSIP")</f>
        <v>3140B7Z30</v>
      </c>
      <c r="B3202" t="str">
        <f>_xll.BDP("FNDD7061 Mtge","SECURITY_NAME")</f>
        <v>FN DD7061</v>
      </c>
      <c r="C3202" t="str">
        <f>_xll.BDP("FNDD7061 Mtge","GENERIC_TICKER_VINTAGE")</f>
        <v>FNCL 6 2025</v>
      </c>
      <c r="D3202" t="str">
        <f>_xll.BDP("FNDD7061 Mtge","CRNCY")</f>
        <v>USD</v>
      </c>
      <c r="E3202">
        <v>4464080</v>
      </c>
      <c r="F3202">
        <f>_xll.BDP("FNDD7061 Mtge","CPN")</f>
        <v>6</v>
      </c>
      <c r="G3202">
        <f>_xll.BDP("FNDD7061 Mtge","MTG_FACTOR")</f>
        <v>0.93322936000000001</v>
      </c>
      <c r="H3202">
        <f>_xll.BDP("FNDD7061 Mtge","MTG_WAL")</f>
        <v>3.2440000000000002</v>
      </c>
      <c r="I3202" t="str">
        <f>_xll.BDP("FNDD7061 Mtge","MTG_ORIG_WAL")</f>
        <v>#N/A N/A</v>
      </c>
    </row>
    <row r="3203" spans="1:9" x14ac:dyDescent="0.25">
      <c r="A3203" t="str">
        <f>_xll.BDP("FNDD7064 Mtge","ID_CUSIP")</f>
        <v>3140B7Z63</v>
      </c>
      <c r="B3203" t="str">
        <f>_xll.BDP("FNDD7064 Mtge","SECURITY_NAME")</f>
        <v>FN DD7064</v>
      </c>
      <c r="C3203" t="str">
        <f>_xll.BDP("FNDD7064 Mtge","GENERIC_TICKER_VINTAGE")</f>
        <v>FNCL 6 2025</v>
      </c>
      <c r="D3203" t="str">
        <f>_xll.BDP("FNDD7064 Mtge","CRNCY")</f>
        <v>USD</v>
      </c>
      <c r="E3203">
        <v>1022047</v>
      </c>
      <c r="F3203">
        <f>_xll.BDP("FNDD7064 Mtge","CPN")</f>
        <v>6</v>
      </c>
      <c r="G3203">
        <f>_xll.BDP("FNDD7064 Mtge","MTG_FACTOR")</f>
        <v>0.99033342999999996</v>
      </c>
      <c r="H3203">
        <f>_xll.BDP("FNDD7064 Mtge","MTG_WAL")</f>
        <v>3.2484000000000002</v>
      </c>
      <c r="I3203" t="str">
        <f>_xll.BDP("FNDD7064 Mtge","MTG_ORIG_WAL")</f>
        <v>#N/A N/A</v>
      </c>
    </row>
    <row r="3204" spans="1:9" x14ac:dyDescent="0.25">
      <c r="A3204" t="str">
        <f>_xll.BDP("FNDD7066 Mtge","ID_CUSIP")</f>
        <v>3140B7Z89</v>
      </c>
      <c r="B3204" t="str">
        <f>_xll.BDP("FNDD7066 Mtge","SECURITY_NAME")</f>
        <v>FN DD7066</v>
      </c>
      <c r="C3204" t="str">
        <f>_xll.BDP("FNDD7066 Mtge","GENERIC_TICKER_VINTAGE")</f>
        <v>FNCL 6 2025</v>
      </c>
      <c r="D3204" t="str">
        <f>_xll.BDP("FNDD7066 Mtge","CRNCY")</f>
        <v>USD</v>
      </c>
      <c r="E3204">
        <v>1056780</v>
      </c>
      <c r="F3204">
        <f>_xll.BDP("FNDD7066 Mtge","CPN")</f>
        <v>6</v>
      </c>
      <c r="G3204">
        <f>_xll.BDP("FNDD7066 Mtge","MTG_FACTOR")</f>
        <v>0.99054158000000003</v>
      </c>
      <c r="H3204">
        <f>_xll.BDP("FNDD7066 Mtge","MTG_WAL")</f>
        <v>3.2934000000000001</v>
      </c>
      <c r="I3204" t="str">
        <f>_xll.BDP("FNDD7066 Mtge","MTG_ORIG_WAL")</f>
        <v>#N/A N/A</v>
      </c>
    </row>
    <row r="3205" spans="1:9" x14ac:dyDescent="0.25">
      <c r="A3205" t="str">
        <f>_xll.BDP("FNDD7068 Mtge","ID_CUSIP")</f>
        <v>3140B72A0</v>
      </c>
      <c r="B3205" t="str">
        <f>_xll.BDP("FNDD7068 Mtge","SECURITY_NAME")</f>
        <v>FN DD7068</v>
      </c>
      <c r="C3205" t="str">
        <f>_xll.BDP("FNDD7068 Mtge","GENERIC_TICKER_VINTAGE")</f>
        <v>FNCL 6 2025</v>
      </c>
      <c r="D3205" t="str">
        <f>_xll.BDP("FNDD7068 Mtge","CRNCY")</f>
        <v>USD</v>
      </c>
      <c r="E3205">
        <v>3166568</v>
      </c>
      <c r="F3205">
        <f>_xll.BDP("FNDD7068 Mtge","CPN")</f>
        <v>6</v>
      </c>
      <c r="G3205">
        <f>_xll.BDP("FNDD7068 Mtge","MTG_FACTOR")</f>
        <v>0.48534015000000003</v>
      </c>
      <c r="H3205">
        <f>_xll.BDP("FNDD7068 Mtge","MTG_WAL")</f>
        <v>3.2324000000000002</v>
      </c>
      <c r="I3205" t="str">
        <f>_xll.BDP("FNDD7068 Mtge","MTG_ORIG_WAL")</f>
        <v>#N/A N/A</v>
      </c>
    </row>
    <row r="3206" spans="1:9" x14ac:dyDescent="0.25">
      <c r="A3206" t="str">
        <f>_xll.BDP("FNDD7072 Mtge","ID_CUSIP")</f>
        <v>3140B72E2</v>
      </c>
      <c r="B3206" t="str">
        <f>_xll.BDP("FNDD7072 Mtge","SECURITY_NAME")</f>
        <v>FN DD7072</v>
      </c>
      <c r="C3206" t="str">
        <f>_xll.BDP("FNDD7072 Mtge","GENERIC_TICKER_VINTAGE")</f>
        <v>FNCL 6 2025</v>
      </c>
      <c r="D3206" t="str">
        <f>_xll.BDP("FNDD7072 Mtge","CRNCY")</f>
        <v>USD</v>
      </c>
      <c r="E3206">
        <v>1123055</v>
      </c>
      <c r="F3206">
        <f>_xll.BDP("FNDD7072 Mtge","CPN")</f>
        <v>6</v>
      </c>
      <c r="G3206">
        <f>_xll.BDP("FNDD7072 Mtge","MTG_FACTOR")</f>
        <v>0.98982305000000004</v>
      </c>
      <c r="H3206">
        <f>_xll.BDP("FNDD7072 Mtge","MTG_WAL")</f>
        <v>3.2959999999999998</v>
      </c>
      <c r="I3206" t="str">
        <f>_xll.BDP("FNDD7072 Mtge","MTG_ORIG_WAL")</f>
        <v>#N/A N/A</v>
      </c>
    </row>
    <row r="3207" spans="1:9" x14ac:dyDescent="0.25">
      <c r="A3207" t="str">
        <f>_xll.BDP("FNDD7074 Mtge","ID_CUSIP")</f>
        <v>3140B72G7</v>
      </c>
      <c r="B3207" t="str">
        <f>_xll.BDP("FNDD7074 Mtge","SECURITY_NAME")</f>
        <v>FN DD7074</v>
      </c>
      <c r="C3207" t="str">
        <f>_xll.BDP("FNDD7074 Mtge","GENERIC_TICKER_VINTAGE")</f>
        <v>FNCL 6 2025</v>
      </c>
      <c r="D3207" t="str">
        <f>_xll.BDP("FNDD7074 Mtge","CRNCY")</f>
        <v>USD</v>
      </c>
      <c r="E3207">
        <v>1294356</v>
      </c>
      <c r="F3207">
        <f>_xll.BDP("FNDD7074 Mtge","CPN")</f>
        <v>6</v>
      </c>
      <c r="G3207">
        <f>_xll.BDP("FNDD7074 Mtge","MTG_FACTOR")</f>
        <v>0.79559641000000003</v>
      </c>
      <c r="H3207">
        <f>_xll.BDP("FNDD7074 Mtge","MTG_WAL")</f>
        <v>3.2970000000000002</v>
      </c>
      <c r="I3207" t="str">
        <f>_xll.BDP("FNDD7074 Mtge","MTG_ORIG_WAL")</f>
        <v>#N/A N/A</v>
      </c>
    </row>
    <row r="3208" spans="1:9" x14ac:dyDescent="0.25">
      <c r="A3208" t="str">
        <f>_xll.BDP("FNDD7075 Mtge","ID_CUSIP")</f>
        <v>3140B72H5</v>
      </c>
      <c r="B3208" t="str">
        <f>_xll.BDP("FNDD7075 Mtge","SECURITY_NAME")</f>
        <v>FN DD7075</v>
      </c>
      <c r="C3208" t="str">
        <f>_xll.BDP("FNDD7075 Mtge","GENERIC_TICKER_VINTAGE")</f>
        <v>FNCL 6 2025</v>
      </c>
      <c r="D3208" t="str">
        <f>_xll.BDP("FNDD7075 Mtge","CRNCY")</f>
        <v>USD</v>
      </c>
      <c r="E3208">
        <v>1391299</v>
      </c>
      <c r="F3208">
        <f>_xll.BDP("FNDD7075 Mtge","CPN")</f>
        <v>6</v>
      </c>
      <c r="G3208">
        <f>_xll.BDP("FNDD7075 Mtge","MTG_FACTOR")</f>
        <v>0.99147372</v>
      </c>
      <c r="H3208">
        <f>_xll.BDP("FNDD7075 Mtge","MTG_WAL")</f>
        <v>3.2968999999999999</v>
      </c>
      <c r="I3208" t="str">
        <f>_xll.BDP("FNDD7075 Mtge","MTG_ORIG_WAL")</f>
        <v>#N/A N/A</v>
      </c>
    </row>
    <row r="3209" spans="1:9" x14ac:dyDescent="0.25">
      <c r="A3209" t="str">
        <f>_xll.BDP("FNDD7077 Mtge","ID_CUSIP")</f>
        <v>3140B72K8</v>
      </c>
      <c r="B3209" t="str">
        <f>_xll.BDP("FNDD7077 Mtge","SECURITY_NAME")</f>
        <v>FN DD7077</v>
      </c>
      <c r="C3209" t="str">
        <f>_xll.BDP("FNDD7077 Mtge","GENERIC_TICKER_VINTAGE")</f>
        <v>FNCL 6 2025</v>
      </c>
      <c r="D3209" t="str">
        <f>_xll.BDP("FNDD7077 Mtge","CRNCY")</f>
        <v>USD</v>
      </c>
      <c r="E3209">
        <v>1381646</v>
      </c>
      <c r="F3209">
        <f>_xll.BDP("FNDD7077 Mtge","CPN")</f>
        <v>6</v>
      </c>
      <c r="G3209">
        <f>_xll.BDP("FNDD7077 Mtge","MTG_FACTOR")</f>
        <v>0.99146860000000003</v>
      </c>
      <c r="H3209">
        <f>_xll.BDP("FNDD7077 Mtge","MTG_WAL")</f>
        <v>3.2967</v>
      </c>
      <c r="I3209" t="str">
        <f>_xll.BDP("FNDD7077 Mtge","MTG_ORIG_WAL")</f>
        <v>#N/A N/A</v>
      </c>
    </row>
    <row r="3210" spans="1:9" x14ac:dyDescent="0.25">
      <c r="A3210" t="str">
        <f>_xll.BDP("FNDD7081 Mtge","ID_CUSIP")</f>
        <v>3140B72P7</v>
      </c>
      <c r="B3210" t="str">
        <f>_xll.BDP("FNDD7081 Mtge","SECURITY_NAME")</f>
        <v>FN DD7081</v>
      </c>
      <c r="C3210" t="str">
        <f>_xll.BDP("FNDD7081 Mtge","GENERIC_TICKER_VINTAGE")</f>
        <v>FNCL 6 2025</v>
      </c>
      <c r="D3210" t="str">
        <f>_xll.BDP("FNDD7081 Mtge","CRNCY")</f>
        <v>USD</v>
      </c>
      <c r="E3210">
        <v>1381682</v>
      </c>
      <c r="F3210">
        <f>_xll.BDP("FNDD7081 Mtge","CPN")</f>
        <v>6</v>
      </c>
      <c r="G3210">
        <f>_xll.BDP("FNDD7081 Mtge","MTG_FACTOR")</f>
        <v>0.91472644000000003</v>
      </c>
      <c r="H3210">
        <f>_xll.BDP("FNDD7081 Mtge","MTG_WAL")</f>
        <v>3.2488999999999999</v>
      </c>
      <c r="I3210" t="str">
        <f>_xll.BDP("FNDD7081 Mtge","MTG_ORIG_WAL")</f>
        <v>#N/A N/A</v>
      </c>
    </row>
    <row r="3211" spans="1:9" x14ac:dyDescent="0.25">
      <c r="A3211" t="str">
        <f>_xll.BDP("FNDD7082 Mtge","ID_CUSIP")</f>
        <v>3140B72Q5</v>
      </c>
      <c r="B3211" t="str">
        <f>_xll.BDP("FNDD7082 Mtge","SECURITY_NAME")</f>
        <v>FN DD7082</v>
      </c>
      <c r="C3211" t="str">
        <f>_xll.BDP("FNDD7082 Mtge","GENERIC_TICKER_VINTAGE")</f>
        <v>FNCL 6 2025</v>
      </c>
      <c r="D3211" t="str">
        <f>_xll.BDP("FNDD7082 Mtge","CRNCY")</f>
        <v>USD</v>
      </c>
      <c r="E3211">
        <v>1372193</v>
      </c>
      <c r="F3211">
        <f>_xll.BDP("FNDD7082 Mtge","CPN")</f>
        <v>6</v>
      </c>
      <c r="G3211">
        <f>_xll.BDP("FNDD7082 Mtge","MTG_FACTOR")</f>
        <v>0.55908902000000005</v>
      </c>
      <c r="H3211">
        <f>_xll.BDP("FNDD7082 Mtge","MTG_WAL")</f>
        <v>3.2902</v>
      </c>
      <c r="I3211" t="str">
        <f>_xll.BDP("FNDD7082 Mtge","MTG_ORIG_WAL")</f>
        <v>#N/A N/A</v>
      </c>
    </row>
    <row r="3212" spans="1:9" x14ac:dyDescent="0.25">
      <c r="A3212" t="str">
        <f>_xll.BDP("FNDD7088 Mtge","ID_CUSIP")</f>
        <v>3140B72W2</v>
      </c>
      <c r="B3212" t="str">
        <f>_xll.BDP("FNDD7088 Mtge","SECURITY_NAME")</f>
        <v>FN DD7088</v>
      </c>
      <c r="C3212" t="str">
        <f>_xll.BDP("FNDD7088 Mtge","GENERIC_TICKER_VINTAGE")</f>
        <v>FNCL 6 2025</v>
      </c>
      <c r="D3212" t="str">
        <f>_xll.BDP("FNDD7088 Mtge","CRNCY")</f>
        <v>USD</v>
      </c>
      <c r="E3212">
        <v>2048040</v>
      </c>
      <c r="F3212">
        <f>_xll.BDP("FNDD7088 Mtge","CPN")</f>
        <v>6</v>
      </c>
      <c r="G3212">
        <f>_xll.BDP("FNDD7088 Mtge","MTG_FACTOR")</f>
        <v>0.86043373000000001</v>
      </c>
      <c r="H3212">
        <f>_xll.BDP("FNDD7088 Mtge","MTG_WAL")</f>
        <v>3.3452000000000002</v>
      </c>
      <c r="I3212" t="str">
        <f>_xll.BDP("FNDD7088 Mtge","MTG_ORIG_WAL")</f>
        <v>#N/A N/A</v>
      </c>
    </row>
    <row r="3213" spans="1:9" x14ac:dyDescent="0.25">
      <c r="A3213" t="str">
        <f>_xll.BDP("FNDD7089 Mtge","ID_CUSIP")</f>
        <v>3140B72X0</v>
      </c>
      <c r="B3213" t="str">
        <f>_xll.BDP("FNDD7089 Mtge","SECURITY_NAME")</f>
        <v>FN DD7089</v>
      </c>
      <c r="C3213" t="str">
        <f>_xll.BDP("FNDD7089 Mtge","GENERIC_TICKER_VINTAGE")</f>
        <v>FNCL 6 2025</v>
      </c>
      <c r="D3213" t="str">
        <f>_xll.BDP("FNDD7089 Mtge","CRNCY")</f>
        <v>USD</v>
      </c>
      <c r="E3213">
        <v>7651503</v>
      </c>
      <c r="F3213">
        <f>_xll.BDP("FNDD7089 Mtge","CPN")</f>
        <v>6</v>
      </c>
      <c r="G3213">
        <f>_xll.BDP("FNDD7089 Mtge","MTG_FACTOR")</f>
        <v>0.99190913000000003</v>
      </c>
      <c r="H3213">
        <f>_xll.BDP("FNDD7089 Mtge","MTG_WAL")</f>
        <v>3.2963</v>
      </c>
      <c r="I3213" t="str">
        <f>_xll.BDP("FNDD7089 Mtge","MTG_ORIG_WAL")</f>
        <v>#N/A N/A</v>
      </c>
    </row>
    <row r="3214" spans="1:9" x14ac:dyDescent="0.25">
      <c r="A3214" t="str">
        <f>_xll.BDP("FNDD7091 Mtge","ID_CUSIP")</f>
        <v>3140B72Z5</v>
      </c>
      <c r="B3214" t="str">
        <f>_xll.BDP("FNDD7091 Mtge","SECURITY_NAME")</f>
        <v>FN DD7091</v>
      </c>
      <c r="C3214" t="str">
        <f>_xll.BDP("FNDD7091 Mtge","GENERIC_TICKER_VINTAGE")</f>
        <v>FNCL 6 2025</v>
      </c>
      <c r="D3214" t="str">
        <f>_xll.BDP("FNDD7091 Mtge","CRNCY")</f>
        <v>USD</v>
      </c>
      <c r="E3214">
        <v>1263317</v>
      </c>
      <c r="F3214">
        <f>_xll.BDP("FNDD7091 Mtge","CPN")</f>
        <v>6</v>
      </c>
      <c r="G3214">
        <f>_xll.BDP("FNDD7091 Mtge","MTG_FACTOR")</f>
        <v>0.99232562000000002</v>
      </c>
      <c r="H3214">
        <f>_xll.BDP("FNDD7091 Mtge","MTG_WAL")</f>
        <v>3.2967</v>
      </c>
      <c r="I3214" t="str">
        <f>_xll.BDP("FNDD7091 Mtge","MTG_ORIG_WAL")</f>
        <v>#N/A N/A</v>
      </c>
    </row>
    <row r="3215" spans="1:9" x14ac:dyDescent="0.25">
      <c r="A3215" t="str">
        <f>_xll.BDP("FNDD7093 Mtge","ID_CUSIP")</f>
        <v>3140B73B7</v>
      </c>
      <c r="B3215" t="str">
        <f>_xll.BDP("FNDD7093 Mtge","SECURITY_NAME")</f>
        <v>FN DD7093</v>
      </c>
      <c r="C3215" t="str">
        <f>_xll.BDP("FNDD7093 Mtge","GENERIC_TICKER_VINTAGE")</f>
        <v>FNCL 6 2025</v>
      </c>
      <c r="D3215" t="str">
        <f>_xll.BDP("FNDD7093 Mtge","CRNCY")</f>
        <v>USD</v>
      </c>
      <c r="E3215">
        <v>1921445</v>
      </c>
      <c r="F3215">
        <f>_xll.BDP("FNDD7093 Mtge","CPN")</f>
        <v>6</v>
      </c>
      <c r="G3215">
        <f>_xll.BDP("FNDD7093 Mtge","MTG_FACTOR")</f>
        <v>0.99207000000000001</v>
      </c>
      <c r="H3215">
        <f>_xll.BDP("FNDD7093 Mtge","MTG_WAL")</f>
        <v>3.2961999999999998</v>
      </c>
      <c r="I3215" t="str">
        <f>_xll.BDP("FNDD7093 Mtge","MTG_ORIG_WAL")</f>
        <v>#N/A N/A</v>
      </c>
    </row>
    <row r="3216" spans="1:9" x14ac:dyDescent="0.25">
      <c r="A3216" t="str">
        <f>_xll.BDP("FNDD7094 Mtge","ID_CUSIP")</f>
        <v>3140B73C5</v>
      </c>
      <c r="B3216" t="str">
        <f>_xll.BDP("FNDD7094 Mtge","SECURITY_NAME")</f>
        <v>FN DD7094</v>
      </c>
      <c r="C3216" t="str">
        <f>_xll.BDP("FNDD7094 Mtge","GENERIC_TICKER_VINTAGE")</f>
        <v>FNCL 6 2025</v>
      </c>
      <c r="D3216" t="str">
        <f>_xll.BDP("FNDD7094 Mtge","CRNCY")</f>
        <v>USD</v>
      </c>
      <c r="E3216">
        <v>1187453</v>
      </c>
      <c r="F3216">
        <f>_xll.BDP("FNDD7094 Mtge","CPN")</f>
        <v>6</v>
      </c>
      <c r="G3216">
        <f>_xll.BDP("FNDD7094 Mtge","MTG_FACTOR")</f>
        <v>0.99178431</v>
      </c>
      <c r="H3216">
        <f>_xll.BDP("FNDD7094 Mtge","MTG_WAL")</f>
        <v>3.2894000000000001</v>
      </c>
      <c r="I3216" t="str">
        <f>_xll.BDP("FNDD7094 Mtge","MTG_ORIG_WAL")</f>
        <v>#N/A N/A</v>
      </c>
    </row>
    <row r="3217" spans="1:9" x14ac:dyDescent="0.25">
      <c r="A3217" t="str">
        <f>_xll.BDP("FNDD7095 Mtge","ID_CUSIP")</f>
        <v>3140B73D3</v>
      </c>
      <c r="B3217" t="str">
        <f>_xll.BDP("FNDD7095 Mtge","SECURITY_NAME")</f>
        <v>FN DD7095</v>
      </c>
      <c r="C3217" t="str">
        <f>_xll.BDP("FNDD7095 Mtge","GENERIC_TICKER_VINTAGE")</f>
        <v>FNCL 6 2025</v>
      </c>
      <c r="D3217" t="str">
        <f>_xll.BDP("FNDD7095 Mtge","CRNCY")</f>
        <v>USD</v>
      </c>
      <c r="E3217">
        <v>1033331</v>
      </c>
      <c r="F3217">
        <f>_xll.BDP("FNDD7095 Mtge","CPN")</f>
        <v>6</v>
      </c>
      <c r="G3217">
        <f>_xll.BDP("FNDD7095 Mtge","MTG_FACTOR")</f>
        <v>0.99189300000000002</v>
      </c>
      <c r="H3217">
        <f>_xll.BDP("FNDD7095 Mtge","MTG_WAL")</f>
        <v>3.2909000000000002</v>
      </c>
      <c r="I3217" t="str">
        <f>_xll.BDP("FNDD7095 Mtge","MTG_ORIG_WAL")</f>
        <v>#N/A N/A</v>
      </c>
    </row>
    <row r="3218" spans="1:9" x14ac:dyDescent="0.25">
      <c r="A3218" t="str">
        <f>_xll.BDP("FNDD7096 Mtge","ID_CUSIP")</f>
        <v>3140B73E1</v>
      </c>
      <c r="B3218" t="str">
        <f>_xll.BDP("FNDD7096 Mtge","SECURITY_NAME")</f>
        <v>FN DD7096</v>
      </c>
      <c r="C3218" t="str">
        <f>_xll.BDP("FNDD7096 Mtge","GENERIC_TICKER_VINTAGE")</f>
        <v>FNCL 6 2025</v>
      </c>
      <c r="D3218" t="str">
        <f>_xll.BDP("FNDD7096 Mtge","CRNCY")</f>
        <v>USD</v>
      </c>
      <c r="E3218">
        <v>1103504</v>
      </c>
      <c r="F3218">
        <f>_xll.BDP("FNDD7096 Mtge","CPN")</f>
        <v>6</v>
      </c>
      <c r="G3218">
        <f>_xll.BDP("FNDD7096 Mtge","MTG_FACTOR")</f>
        <v>0.36117961999999998</v>
      </c>
      <c r="H3218">
        <f>_xll.BDP("FNDD7096 Mtge","MTG_WAL")</f>
        <v>3.2902</v>
      </c>
      <c r="I3218" t="str">
        <f>_xll.BDP("FNDD7096 Mtge","MTG_ORIG_WAL")</f>
        <v>#N/A N/A</v>
      </c>
    </row>
    <row r="3219" spans="1:9" x14ac:dyDescent="0.25">
      <c r="A3219" t="str">
        <f>_xll.BDP("FNDD7097 Mtge","ID_CUSIP")</f>
        <v>3140B73F8</v>
      </c>
      <c r="B3219" t="str">
        <f>_xll.BDP("FNDD7097 Mtge","SECURITY_NAME")</f>
        <v>FN DD7097</v>
      </c>
      <c r="C3219" t="str">
        <f>_xll.BDP("FNDD7097 Mtge","GENERIC_TICKER_VINTAGE")</f>
        <v>FNCL 6 2025</v>
      </c>
      <c r="D3219" t="str">
        <f>_xll.BDP("FNDD7097 Mtge","CRNCY")</f>
        <v>USD</v>
      </c>
      <c r="E3219">
        <v>1037350</v>
      </c>
      <c r="F3219">
        <f>_xll.BDP("FNDD7097 Mtge","CPN")</f>
        <v>6</v>
      </c>
      <c r="G3219">
        <f>_xll.BDP("FNDD7097 Mtge","MTG_FACTOR")</f>
        <v>0.98916700999999996</v>
      </c>
      <c r="H3219">
        <f>_xll.BDP("FNDD7097 Mtge","MTG_WAL")</f>
        <v>3.3395000000000001</v>
      </c>
      <c r="I3219" t="str">
        <f>_xll.BDP("FNDD7097 Mtge","MTG_ORIG_WAL")</f>
        <v>#N/A N/A</v>
      </c>
    </row>
    <row r="3220" spans="1:9" x14ac:dyDescent="0.25">
      <c r="A3220" t="str">
        <f>_xll.BDP("FNDD7099 Mtge","ID_CUSIP")</f>
        <v>3140B73H4</v>
      </c>
      <c r="B3220" t="str">
        <f>_xll.BDP("FNDD7099 Mtge","SECURITY_NAME")</f>
        <v>FN DD7099</v>
      </c>
      <c r="C3220" t="str">
        <f>_xll.BDP("FNDD7099 Mtge","GENERIC_TICKER_VINTAGE")</f>
        <v>FNCL 6 2025</v>
      </c>
      <c r="D3220" t="str">
        <f>_xll.BDP("FNDD7099 Mtge","CRNCY")</f>
        <v>USD</v>
      </c>
      <c r="E3220">
        <v>2172477</v>
      </c>
      <c r="F3220">
        <f>_xll.BDP("FNDD7099 Mtge","CPN")</f>
        <v>6</v>
      </c>
      <c r="G3220">
        <f>_xll.BDP("FNDD7099 Mtge","MTG_FACTOR")</f>
        <v>0.44465927999999999</v>
      </c>
      <c r="H3220">
        <f>_xll.BDP("FNDD7099 Mtge","MTG_WAL")</f>
        <v>3.2927</v>
      </c>
      <c r="I3220" t="str">
        <f>_xll.BDP("FNDD7099 Mtge","MTG_ORIG_WAL")</f>
        <v>#N/A N/A</v>
      </c>
    </row>
    <row r="3221" spans="1:9" x14ac:dyDescent="0.25">
      <c r="A3221" t="str">
        <f>_xll.BDP("FNDD7163 Mtge","ID_CUSIP")</f>
        <v>3140B75Z2</v>
      </c>
      <c r="B3221" t="str">
        <f>_xll.BDP("FNDD7163 Mtge","SECURITY_NAME")</f>
        <v>FN DD7163</v>
      </c>
      <c r="C3221" t="str">
        <f>_xll.BDP("FNDD7163 Mtge","GENERIC_TICKER_VINTAGE")</f>
        <v>FNCL 6 2025</v>
      </c>
      <c r="D3221" t="str">
        <f>_xll.BDP("FNDD7163 Mtge","CRNCY")</f>
        <v>USD</v>
      </c>
      <c r="E3221">
        <v>1494079</v>
      </c>
      <c r="F3221">
        <f>_xll.BDP("FNDD7163 Mtge","CPN")</f>
        <v>6</v>
      </c>
      <c r="G3221">
        <f>_xll.BDP("FNDD7163 Mtge","MTG_FACTOR")</f>
        <v>0.91039888000000002</v>
      </c>
      <c r="H3221">
        <f>_xll.BDP("FNDD7163 Mtge","MTG_WAL")</f>
        <v>3.2018</v>
      </c>
      <c r="I3221" t="str">
        <f>_xll.BDP("FNDD7163 Mtge","MTG_ORIG_WAL")</f>
        <v>#N/A N/A</v>
      </c>
    </row>
    <row r="3222" spans="1:9" x14ac:dyDescent="0.25">
      <c r="A3222" t="str">
        <f>_xll.BDP("FNDD7170 Mtge","ID_CUSIP")</f>
        <v>3140B76G3</v>
      </c>
      <c r="B3222" t="str">
        <f>_xll.BDP("FNDD7170 Mtge","SECURITY_NAME")</f>
        <v>FN DD7170</v>
      </c>
      <c r="C3222" t="str">
        <f>_xll.BDP("FNDD7170 Mtge","GENERIC_TICKER_VINTAGE")</f>
        <v>FNCL 6 2025</v>
      </c>
      <c r="D3222" t="str">
        <f>_xll.BDP("FNDD7170 Mtge","CRNCY")</f>
        <v>USD</v>
      </c>
      <c r="E3222">
        <v>7367216</v>
      </c>
      <c r="F3222">
        <f>_xll.BDP("FNDD7170 Mtge","CPN")</f>
        <v>6</v>
      </c>
      <c r="G3222">
        <f>_xll.BDP("FNDD7170 Mtge","MTG_FACTOR")</f>
        <v>0.92008783000000005</v>
      </c>
      <c r="H3222">
        <f>_xll.BDP("FNDD7170 Mtge","MTG_WAL")</f>
        <v>3.2471000000000001</v>
      </c>
      <c r="I3222" t="str">
        <f>_xll.BDP("FNDD7170 Mtge","MTG_ORIG_WAL")</f>
        <v>#N/A N/A</v>
      </c>
    </row>
    <row r="3223" spans="1:9" x14ac:dyDescent="0.25">
      <c r="A3223" t="str">
        <f>_xll.BDP("FNDD7174 Mtge","ID_CUSIP")</f>
        <v>3140B76L2</v>
      </c>
      <c r="B3223" t="str">
        <f>_xll.BDP("FNDD7174 Mtge","SECURITY_NAME")</f>
        <v>FN DD7174</v>
      </c>
      <c r="C3223" t="str">
        <f>_xll.BDP("FNDD7174 Mtge","GENERIC_TICKER_VINTAGE")</f>
        <v>FNCL 6 2025</v>
      </c>
      <c r="D3223" t="str">
        <f>_xll.BDP("FNDD7174 Mtge","CRNCY")</f>
        <v>USD</v>
      </c>
      <c r="E3223">
        <v>7777325</v>
      </c>
      <c r="F3223">
        <f>_xll.BDP("FNDD7174 Mtge","CPN")</f>
        <v>6</v>
      </c>
      <c r="G3223">
        <f>_xll.BDP("FNDD7174 Mtge","MTG_FACTOR")</f>
        <v>0.98650073999999999</v>
      </c>
      <c r="H3223">
        <f>_xll.BDP("FNDD7174 Mtge","MTG_WAL")</f>
        <v>3.2440000000000002</v>
      </c>
      <c r="I3223" t="str">
        <f>_xll.BDP("FNDD7174 Mtge","MTG_ORIG_WAL")</f>
        <v>#N/A N/A</v>
      </c>
    </row>
    <row r="3224" spans="1:9" x14ac:dyDescent="0.25">
      <c r="A3224" t="str">
        <f>_xll.BDP("FNDD7175 Mtge","ID_CUSIP")</f>
        <v>3140B76M0</v>
      </c>
      <c r="B3224" t="str">
        <f>_xll.BDP("FNDD7175 Mtge","SECURITY_NAME")</f>
        <v>FN DD7175</v>
      </c>
      <c r="C3224" t="str">
        <f>_xll.BDP("FNDD7175 Mtge","GENERIC_TICKER_VINTAGE")</f>
        <v>FNCL 6 2025</v>
      </c>
      <c r="D3224" t="str">
        <f>_xll.BDP("FNDD7175 Mtge","CRNCY")</f>
        <v>USD</v>
      </c>
      <c r="E3224">
        <v>1589581</v>
      </c>
      <c r="F3224">
        <f>_xll.BDP("FNDD7175 Mtge","CPN")</f>
        <v>6</v>
      </c>
      <c r="G3224">
        <f>_xll.BDP("FNDD7175 Mtge","MTG_FACTOR")</f>
        <v>0.98327189000000004</v>
      </c>
      <c r="H3224">
        <f>_xll.BDP("FNDD7175 Mtge","MTG_WAL")</f>
        <v>3.2441</v>
      </c>
      <c r="I3224" t="str">
        <f>_xll.BDP("FNDD7175 Mtge","MTG_ORIG_WAL")</f>
        <v>#N/A N/A</v>
      </c>
    </row>
    <row r="3225" spans="1:9" x14ac:dyDescent="0.25">
      <c r="A3225" t="str">
        <f>_xll.BDP("FNDD7176 Mtge","ID_CUSIP")</f>
        <v>3140B76N8</v>
      </c>
      <c r="B3225" t="str">
        <f>_xll.BDP("FNDD7176 Mtge","SECURITY_NAME")</f>
        <v>FN DD7176</v>
      </c>
      <c r="C3225" t="str">
        <f>_xll.BDP("FNDD7176 Mtge","GENERIC_TICKER_VINTAGE")</f>
        <v>FNCL 6 2025</v>
      </c>
      <c r="D3225" t="str">
        <f>_xll.BDP("FNDD7176 Mtge","CRNCY")</f>
        <v>USD</v>
      </c>
      <c r="E3225">
        <v>1881950</v>
      </c>
      <c r="F3225">
        <f>_xll.BDP("FNDD7176 Mtge","CPN")</f>
        <v>6</v>
      </c>
      <c r="G3225">
        <f>_xll.BDP("FNDD7176 Mtge","MTG_FACTOR")</f>
        <v>0.86964534999999998</v>
      </c>
      <c r="H3225">
        <f>_xll.BDP("FNDD7176 Mtge","MTG_WAL")</f>
        <v>3.2363</v>
      </c>
      <c r="I3225" t="str">
        <f>_xll.BDP("FNDD7176 Mtge","MTG_ORIG_WAL")</f>
        <v>#N/A N/A</v>
      </c>
    </row>
    <row r="3226" spans="1:9" x14ac:dyDescent="0.25">
      <c r="A3226" t="str">
        <f>_xll.BDP("FNDD7178 Mtge","ID_CUSIP")</f>
        <v>3140B76Q1</v>
      </c>
      <c r="B3226" t="str">
        <f>_xll.BDP("FNDD7178 Mtge","SECURITY_NAME")</f>
        <v>FN DD7178</v>
      </c>
      <c r="C3226" t="str">
        <f>_xll.BDP("FNDD7178 Mtge","GENERIC_TICKER_VINTAGE")</f>
        <v>FNCL 6 2025</v>
      </c>
      <c r="D3226" t="str">
        <f>_xll.BDP("FNDD7178 Mtge","CRNCY")</f>
        <v>USD</v>
      </c>
      <c r="E3226">
        <v>2944442</v>
      </c>
      <c r="F3226">
        <f>_xll.BDP("FNDD7178 Mtge","CPN")</f>
        <v>6</v>
      </c>
      <c r="G3226">
        <f>_xll.BDP("FNDD7178 Mtge","MTG_FACTOR")</f>
        <v>0.85255623000000003</v>
      </c>
      <c r="H3226">
        <f>_xll.BDP("FNDD7178 Mtge","MTG_WAL")</f>
        <v>3.2498999999999998</v>
      </c>
      <c r="I3226" t="str">
        <f>_xll.BDP("FNDD7178 Mtge","MTG_ORIG_WAL")</f>
        <v>#N/A N/A</v>
      </c>
    </row>
    <row r="3227" spans="1:9" x14ac:dyDescent="0.25">
      <c r="A3227" t="str">
        <f>_xll.BDP("FNDD7200 Mtge","ID_CUSIP")</f>
        <v>3140B8AA9</v>
      </c>
      <c r="B3227" t="str">
        <f>_xll.BDP("FNDD7200 Mtge","SECURITY_NAME")</f>
        <v>FN DD7200</v>
      </c>
      <c r="C3227" t="str">
        <f>_xll.BDP("FNDD7200 Mtge","GENERIC_TICKER_VINTAGE")</f>
        <v>FNCL 6 2025</v>
      </c>
      <c r="D3227" t="str">
        <f>_xll.BDP("FNDD7200 Mtge","CRNCY")</f>
        <v>USD</v>
      </c>
      <c r="E3227">
        <v>7719798</v>
      </c>
      <c r="F3227">
        <f>_xll.BDP("FNDD7200 Mtge","CPN")</f>
        <v>6</v>
      </c>
      <c r="G3227">
        <f>_xll.BDP("FNDD7200 Mtge","MTG_FACTOR")</f>
        <v>0.81279078000000005</v>
      </c>
      <c r="H3227">
        <f>_xll.BDP("FNDD7200 Mtge","MTG_WAL")</f>
        <v>3.2334000000000001</v>
      </c>
      <c r="I3227" t="str">
        <f>_xll.BDP("FNDD7200 Mtge","MTG_ORIG_WAL")</f>
        <v>#N/A N/A</v>
      </c>
    </row>
    <row r="3228" spans="1:9" x14ac:dyDescent="0.25">
      <c r="A3228" t="str">
        <f>_xll.BDP("FNDD7201 Mtge","ID_CUSIP")</f>
        <v>3140B8AB7</v>
      </c>
      <c r="B3228" t="str">
        <f>_xll.BDP("FNDD7201 Mtge","SECURITY_NAME")</f>
        <v>FN DD7201</v>
      </c>
      <c r="C3228" t="str">
        <f>_xll.BDP("FNDD7201 Mtge","GENERIC_TICKER_VINTAGE")</f>
        <v>FNCL 6 2025</v>
      </c>
      <c r="D3228" t="str">
        <f>_xll.BDP("FNDD7201 Mtge","CRNCY")</f>
        <v>USD</v>
      </c>
      <c r="E3228">
        <v>1000789</v>
      </c>
      <c r="F3228">
        <f>_xll.BDP("FNDD7201 Mtge","CPN")</f>
        <v>6</v>
      </c>
      <c r="G3228">
        <f>_xll.BDP("FNDD7201 Mtge","MTG_FACTOR")</f>
        <v>0.99055139000000003</v>
      </c>
      <c r="H3228">
        <f>_xll.BDP("FNDD7201 Mtge","MTG_WAL")</f>
        <v>3.2492000000000001</v>
      </c>
      <c r="I3228" t="str">
        <f>_xll.BDP("FNDD7201 Mtge","MTG_ORIG_WAL")</f>
        <v>#N/A N/A</v>
      </c>
    </row>
    <row r="3229" spans="1:9" x14ac:dyDescent="0.25">
      <c r="A3229" t="str">
        <f>_xll.BDP("FNDD7214 Mtge","ID_CUSIP")</f>
        <v>3140B8AQ4</v>
      </c>
      <c r="B3229" t="str">
        <f>_xll.BDP("FNDD7214 Mtge","SECURITY_NAME")</f>
        <v>FN DD7214</v>
      </c>
      <c r="C3229" t="str">
        <f>_xll.BDP("FNDD7214 Mtge","GENERIC_TICKER_VINTAGE")</f>
        <v>FNCL 6 2025</v>
      </c>
      <c r="D3229" t="str">
        <f>_xll.BDP("FNDD7214 Mtge","CRNCY")</f>
        <v>USD</v>
      </c>
      <c r="E3229">
        <v>1395487</v>
      </c>
      <c r="F3229">
        <f>_xll.BDP("FNDD7214 Mtge","CPN")</f>
        <v>6</v>
      </c>
      <c r="G3229">
        <f>_xll.BDP("FNDD7214 Mtge","MTG_FACTOR")</f>
        <v>0.98556920000000003</v>
      </c>
      <c r="H3229">
        <f>_xll.BDP("FNDD7214 Mtge","MTG_WAL")</f>
        <v>3.2444000000000002</v>
      </c>
      <c r="I3229" t="str">
        <f>_xll.BDP("FNDD7214 Mtge","MTG_ORIG_WAL")</f>
        <v>#N/A N/A</v>
      </c>
    </row>
    <row r="3230" spans="1:9" x14ac:dyDescent="0.25">
      <c r="A3230" t="str">
        <f>_xll.BDP("FNDD7216 Mtge","ID_CUSIP")</f>
        <v>3140B8AS0</v>
      </c>
      <c r="B3230" t="str">
        <f>_xll.BDP("FNDD7216 Mtge","SECURITY_NAME")</f>
        <v>FN DD7216</v>
      </c>
      <c r="C3230" t="str">
        <f>_xll.BDP("FNDD7216 Mtge","GENERIC_TICKER_VINTAGE")</f>
        <v>FNCL 6 2025</v>
      </c>
      <c r="D3230" t="str">
        <f>_xll.BDP("FNDD7216 Mtge","CRNCY")</f>
        <v>USD</v>
      </c>
      <c r="E3230">
        <v>1706946</v>
      </c>
      <c r="F3230">
        <f>_xll.BDP("FNDD7216 Mtge","CPN")</f>
        <v>6</v>
      </c>
      <c r="G3230">
        <f>_xll.BDP("FNDD7216 Mtge","MTG_FACTOR")</f>
        <v>0.99068197000000002</v>
      </c>
      <c r="H3230">
        <f>_xll.BDP("FNDD7216 Mtge","MTG_WAL")</f>
        <v>3.2507000000000001</v>
      </c>
      <c r="I3230" t="str">
        <f>_xll.BDP("FNDD7216 Mtge","MTG_ORIG_WAL")</f>
        <v>#N/A N/A</v>
      </c>
    </row>
    <row r="3231" spans="1:9" x14ac:dyDescent="0.25">
      <c r="A3231" t="str">
        <f>_xll.BDP("FNDD7232 Mtge","ID_CUSIP")</f>
        <v>3140B8BA8</v>
      </c>
      <c r="B3231" t="str">
        <f>_xll.BDP("FNDD7232 Mtge","SECURITY_NAME")</f>
        <v>FN DD7232</v>
      </c>
      <c r="C3231" t="str">
        <f>_xll.BDP("FNDD7232 Mtge","GENERIC_TICKER_VINTAGE")</f>
        <v>FNCL 6 2025</v>
      </c>
      <c r="D3231" t="str">
        <f>_xll.BDP("FNDD7232 Mtge","CRNCY")</f>
        <v>USD</v>
      </c>
      <c r="E3231">
        <v>9368027</v>
      </c>
      <c r="F3231">
        <f>_xll.BDP("FNDD7232 Mtge","CPN")</f>
        <v>6</v>
      </c>
      <c r="G3231">
        <f>_xll.BDP("FNDD7232 Mtge","MTG_FACTOR")</f>
        <v>0.64923295000000003</v>
      </c>
      <c r="H3231">
        <f>_xll.BDP("FNDD7232 Mtge","MTG_WAL")</f>
        <v>3.2372999999999998</v>
      </c>
      <c r="I3231" t="str">
        <f>_xll.BDP("FNDD7232 Mtge","MTG_ORIG_WAL")</f>
        <v>#N/A N/A</v>
      </c>
    </row>
    <row r="3232" spans="1:9" x14ac:dyDescent="0.25">
      <c r="A3232" t="str">
        <f>_xll.BDP("FNDD7233 Mtge","ID_CUSIP")</f>
        <v>3140B8BB6</v>
      </c>
      <c r="B3232" t="str">
        <f>_xll.BDP("FNDD7233 Mtge","SECURITY_NAME")</f>
        <v>FN DD7233</v>
      </c>
      <c r="C3232" t="str">
        <f>_xll.BDP("FNDD7233 Mtge","GENERIC_TICKER_VINTAGE")</f>
        <v>FNCL 6 2025</v>
      </c>
      <c r="D3232" t="str">
        <f>_xll.BDP("FNDD7233 Mtge","CRNCY")</f>
        <v>USD</v>
      </c>
      <c r="E3232">
        <v>11157314</v>
      </c>
      <c r="F3232">
        <f>_xll.BDP("FNDD7233 Mtge","CPN")</f>
        <v>6</v>
      </c>
      <c r="G3232">
        <f>_xll.BDP("FNDD7233 Mtge","MTG_FACTOR")</f>
        <v>0.92792282999999998</v>
      </c>
      <c r="H3232">
        <f>_xll.BDP("FNDD7233 Mtge","MTG_WAL")</f>
        <v>3.2483</v>
      </c>
      <c r="I3232" t="str">
        <f>_xll.BDP("FNDD7233 Mtge","MTG_ORIG_WAL")</f>
        <v>#N/A N/A</v>
      </c>
    </row>
    <row r="3233" spans="1:9" x14ac:dyDescent="0.25">
      <c r="A3233" t="str">
        <f>_xll.BDP("FNDD7235 Mtge","ID_CUSIP")</f>
        <v>3140B8BD2</v>
      </c>
      <c r="B3233" t="str">
        <f>_xll.BDP("FNDD7235 Mtge","SECURITY_NAME")</f>
        <v>FN DD7235</v>
      </c>
      <c r="C3233" t="str">
        <f>_xll.BDP("FNDD7235 Mtge","GENERIC_TICKER_VINTAGE")</f>
        <v>FNCL 6 2025</v>
      </c>
      <c r="D3233" t="str">
        <f>_xll.BDP("FNDD7235 Mtge","CRNCY")</f>
        <v>USD</v>
      </c>
      <c r="E3233">
        <v>18299334</v>
      </c>
      <c r="F3233">
        <f>_xll.BDP("FNDD7235 Mtge","CPN")</f>
        <v>6</v>
      </c>
      <c r="G3233">
        <f>_xll.BDP("FNDD7235 Mtge","MTG_FACTOR")</f>
        <v>0.82724220999999998</v>
      </c>
      <c r="H3233">
        <f>_xll.BDP("FNDD7235 Mtge","MTG_WAL")</f>
        <v>3.2383999999999999</v>
      </c>
      <c r="I3233" t="str">
        <f>_xll.BDP("FNDD7235 Mtge","MTG_ORIG_WAL")</f>
        <v>#N/A N/A</v>
      </c>
    </row>
    <row r="3234" spans="1:9" x14ac:dyDescent="0.25">
      <c r="A3234" t="str">
        <f>_xll.BDP("FNDD7239 Mtge","ID_CUSIP")</f>
        <v>3140B8BH3</v>
      </c>
      <c r="B3234" t="str">
        <f>_xll.BDP("FNDD7239 Mtge","SECURITY_NAME")</f>
        <v>FN DD7239</v>
      </c>
      <c r="C3234" t="str">
        <f>_xll.BDP("FNDD7239 Mtge","GENERIC_TICKER_VINTAGE")</f>
        <v>FNCL 6 2025</v>
      </c>
      <c r="D3234" t="str">
        <f>_xll.BDP("FNDD7239 Mtge","CRNCY")</f>
        <v>USD</v>
      </c>
      <c r="E3234">
        <v>7059032</v>
      </c>
      <c r="F3234">
        <f>_xll.BDP("FNDD7239 Mtge","CPN")</f>
        <v>6</v>
      </c>
      <c r="G3234">
        <f>_xll.BDP("FNDD7239 Mtge","MTG_FACTOR")</f>
        <v>0.98732123000000005</v>
      </c>
      <c r="H3234">
        <f>_xll.BDP("FNDD7239 Mtge","MTG_WAL")</f>
        <v>3.2446000000000002</v>
      </c>
      <c r="I3234" t="str">
        <f>_xll.BDP("FNDD7239 Mtge","MTG_ORIG_WAL")</f>
        <v>#N/A N/A</v>
      </c>
    </row>
    <row r="3235" spans="1:9" x14ac:dyDescent="0.25">
      <c r="A3235" t="str">
        <f>_xll.BDP("FNDD7240 Mtge","ID_CUSIP")</f>
        <v>3140B8BJ9</v>
      </c>
      <c r="B3235" t="str">
        <f>_xll.BDP("FNDD7240 Mtge","SECURITY_NAME")</f>
        <v>FN DD7240</v>
      </c>
      <c r="C3235" t="str">
        <f>_xll.BDP("FNDD7240 Mtge","GENERIC_TICKER_VINTAGE")</f>
        <v>FNCL 6 2025</v>
      </c>
      <c r="D3235" t="str">
        <f>_xll.BDP("FNDD7240 Mtge","CRNCY")</f>
        <v>USD</v>
      </c>
      <c r="E3235">
        <v>4042996</v>
      </c>
      <c r="F3235">
        <f>_xll.BDP("FNDD7240 Mtge","CPN")</f>
        <v>6</v>
      </c>
      <c r="G3235">
        <f>_xll.BDP("FNDD7240 Mtge","MTG_FACTOR")</f>
        <v>0.87079346000000002</v>
      </c>
      <c r="H3235">
        <f>_xll.BDP("FNDD7240 Mtge","MTG_WAL")</f>
        <v>3.2437</v>
      </c>
      <c r="I3235" t="str">
        <f>_xll.BDP("FNDD7240 Mtge","MTG_ORIG_WAL")</f>
        <v>#N/A N/A</v>
      </c>
    </row>
    <row r="3236" spans="1:9" x14ac:dyDescent="0.25">
      <c r="A3236" t="str">
        <f>_xll.BDP("FNDD7241 Mtge","ID_CUSIP")</f>
        <v>3140B8BK6</v>
      </c>
      <c r="B3236" t="str">
        <f>_xll.BDP("FNDD7241 Mtge","SECURITY_NAME")</f>
        <v>FN DD7241</v>
      </c>
      <c r="C3236" t="str">
        <f>_xll.BDP("FNDD7241 Mtge","GENERIC_TICKER_VINTAGE")</f>
        <v>FNCL 6 2025</v>
      </c>
      <c r="D3236" t="str">
        <f>_xll.BDP("FNDD7241 Mtge","CRNCY")</f>
        <v>USD</v>
      </c>
      <c r="E3236">
        <v>5114020</v>
      </c>
      <c r="F3236">
        <f>_xll.BDP("FNDD7241 Mtge","CPN")</f>
        <v>6</v>
      </c>
      <c r="G3236">
        <f>_xll.BDP("FNDD7241 Mtge","MTG_FACTOR")</f>
        <v>0.89228315000000002</v>
      </c>
      <c r="H3236">
        <f>_xll.BDP("FNDD7241 Mtge","MTG_WAL")</f>
        <v>3.2302</v>
      </c>
      <c r="I3236" t="str">
        <f>_xll.BDP("FNDD7241 Mtge","MTG_ORIG_WAL")</f>
        <v>#N/A N/A</v>
      </c>
    </row>
    <row r="3237" spans="1:9" x14ac:dyDescent="0.25">
      <c r="A3237" t="str">
        <f>_xll.BDP("FNDD7243 Mtge","ID_CUSIP")</f>
        <v>3140B8BM2</v>
      </c>
      <c r="B3237" t="str">
        <f>_xll.BDP("FNDD7243 Mtge","SECURITY_NAME")</f>
        <v>FN DD7243</v>
      </c>
      <c r="C3237" t="str">
        <f>_xll.BDP("FNDD7243 Mtge","GENERIC_TICKER_VINTAGE")</f>
        <v>FNCL 6 2025</v>
      </c>
      <c r="D3237" t="str">
        <f>_xll.BDP("FNDD7243 Mtge","CRNCY")</f>
        <v>USD</v>
      </c>
      <c r="E3237">
        <v>19092544</v>
      </c>
      <c r="F3237">
        <f>_xll.BDP("FNDD7243 Mtge","CPN")</f>
        <v>6</v>
      </c>
      <c r="G3237">
        <f>_xll.BDP("FNDD7243 Mtge","MTG_FACTOR")</f>
        <v>0.81017406999999997</v>
      </c>
      <c r="H3237">
        <f>_xll.BDP("FNDD7243 Mtge","MTG_WAL")</f>
        <v>3.2471999999999999</v>
      </c>
      <c r="I3237" t="str">
        <f>_xll.BDP("FNDD7243 Mtge","MTG_ORIG_WAL")</f>
        <v>#N/A N/A</v>
      </c>
    </row>
    <row r="3238" spans="1:9" x14ac:dyDescent="0.25">
      <c r="A3238" t="str">
        <f>_xll.BDP("FNDD7245 Mtge","ID_CUSIP")</f>
        <v>3140B8BP5</v>
      </c>
      <c r="B3238" t="str">
        <f>_xll.BDP("FNDD7245 Mtge","SECURITY_NAME")</f>
        <v>FN DD7245</v>
      </c>
      <c r="C3238" t="str">
        <f>_xll.BDP("FNDD7245 Mtge","GENERIC_TICKER_VINTAGE")</f>
        <v>FNCL 6 2025</v>
      </c>
      <c r="D3238" t="str">
        <f>_xll.BDP("FNDD7245 Mtge","CRNCY")</f>
        <v>USD</v>
      </c>
      <c r="E3238">
        <v>5255589</v>
      </c>
      <c r="F3238">
        <f>_xll.BDP("FNDD7245 Mtge","CPN")</f>
        <v>6</v>
      </c>
      <c r="G3238">
        <f>_xll.BDP("FNDD7245 Mtge","MTG_FACTOR")</f>
        <v>0.95770697000000005</v>
      </c>
      <c r="H3238">
        <f>_xll.BDP("FNDD7245 Mtge","MTG_WAL")</f>
        <v>3.2437999999999998</v>
      </c>
      <c r="I3238" t="str">
        <f>_xll.BDP("FNDD7245 Mtge","MTG_ORIG_WAL")</f>
        <v>#N/A N/A</v>
      </c>
    </row>
    <row r="3239" spans="1:9" x14ac:dyDescent="0.25">
      <c r="A3239" t="str">
        <f>_xll.BDP("FNDD7246 Mtge","ID_CUSIP")</f>
        <v>3140B8BQ3</v>
      </c>
      <c r="B3239" t="str">
        <f>_xll.BDP("FNDD7246 Mtge","SECURITY_NAME")</f>
        <v>FN DD7246</v>
      </c>
      <c r="C3239" t="str">
        <f>_xll.BDP("FNDD7246 Mtge","GENERIC_TICKER_VINTAGE")</f>
        <v>FNCL 6 2025</v>
      </c>
      <c r="D3239" t="str">
        <f>_xll.BDP("FNDD7246 Mtge","CRNCY")</f>
        <v>USD</v>
      </c>
      <c r="E3239">
        <v>4172231</v>
      </c>
      <c r="F3239">
        <f>_xll.BDP("FNDD7246 Mtge","CPN")</f>
        <v>6</v>
      </c>
      <c r="G3239">
        <f>_xll.BDP("FNDD7246 Mtge","MTG_FACTOR")</f>
        <v>0.89393730999999998</v>
      </c>
      <c r="H3239">
        <f>_xll.BDP("FNDD7246 Mtge","MTG_WAL")</f>
        <v>3.2427999999999999</v>
      </c>
      <c r="I3239" t="str">
        <f>_xll.BDP("FNDD7246 Mtge","MTG_ORIG_WAL")</f>
        <v>#N/A N/A</v>
      </c>
    </row>
    <row r="3240" spans="1:9" x14ac:dyDescent="0.25">
      <c r="A3240" t="str">
        <f>_xll.BDP("FNDD7248 Mtge","ID_CUSIP")</f>
        <v>3140B8BS9</v>
      </c>
      <c r="B3240" t="str">
        <f>_xll.BDP("FNDD7248 Mtge","SECURITY_NAME")</f>
        <v>FN DD7248</v>
      </c>
      <c r="C3240" t="str">
        <f>_xll.BDP("FNDD7248 Mtge","GENERIC_TICKER_VINTAGE")</f>
        <v>FNCL 6 2025</v>
      </c>
      <c r="D3240" t="str">
        <f>_xll.BDP("FNDD7248 Mtge","CRNCY")</f>
        <v>USD</v>
      </c>
      <c r="E3240">
        <v>9374053</v>
      </c>
      <c r="F3240">
        <f>_xll.BDP("FNDD7248 Mtge","CPN")</f>
        <v>6</v>
      </c>
      <c r="G3240">
        <f>_xll.BDP("FNDD7248 Mtge","MTG_FACTOR")</f>
        <v>0.85623881999999996</v>
      </c>
      <c r="H3240">
        <f>_xll.BDP("FNDD7248 Mtge","MTG_WAL")</f>
        <v>3.2461000000000002</v>
      </c>
      <c r="I3240" t="str">
        <f>_xll.BDP("FNDD7248 Mtge","MTG_ORIG_WAL")</f>
        <v>#N/A N/A</v>
      </c>
    </row>
    <row r="3241" spans="1:9" x14ac:dyDescent="0.25">
      <c r="A3241" t="str">
        <f>_xll.BDP("FNDD7281 Mtge","ID_CUSIP")</f>
        <v>3140B8CT6</v>
      </c>
      <c r="B3241" t="str">
        <f>_xll.BDP("FNDD7281 Mtge","SECURITY_NAME")</f>
        <v>FN DD7281</v>
      </c>
      <c r="C3241" t="str">
        <f>_xll.BDP("FNDD7281 Mtge","GENERIC_TICKER_VINTAGE")</f>
        <v>FNCL 6 2025</v>
      </c>
      <c r="D3241" t="str">
        <f>_xll.BDP("FNDD7281 Mtge","CRNCY")</f>
        <v>USD</v>
      </c>
      <c r="E3241">
        <v>6097183</v>
      </c>
      <c r="F3241">
        <f>_xll.BDP("FNDD7281 Mtge","CPN")</f>
        <v>6</v>
      </c>
      <c r="G3241">
        <f>_xll.BDP("FNDD7281 Mtge","MTG_FACTOR")</f>
        <v>0.95657440000000005</v>
      </c>
      <c r="H3241">
        <f>_xll.BDP("FNDD7281 Mtge","MTG_WAL")</f>
        <v>3.2886000000000002</v>
      </c>
      <c r="I3241" t="str">
        <f>_xll.BDP("FNDD7281 Mtge","MTG_ORIG_WAL")</f>
        <v>#N/A N/A</v>
      </c>
    </row>
    <row r="3242" spans="1:9" x14ac:dyDescent="0.25">
      <c r="A3242" t="str">
        <f>_xll.BDP("FNDD7305 Mtge","ID_CUSIP")</f>
        <v>3140B8DK4</v>
      </c>
      <c r="B3242" t="str">
        <f>_xll.BDP("FNDD7305 Mtge","SECURITY_NAME")</f>
        <v>FN DD7305</v>
      </c>
      <c r="C3242" t="str">
        <f>_xll.BDP("FNDD7305 Mtge","GENERIC_TICKER_VINTAGE")</f>
        <v>FNCL 6 2025</v>
      </c>
      <c r="D3242" t="str">
        <f>_xll.BDP("FNDD7305 Mtge","CRNCY")</f>
        <v>USD</v>
      </c>
      <c r="E3242">
        <v>3993186</v>
      </c>
      <c r="F3242">
        <f>_xll.BDP("FNDD7305 Mtge","CPN")</f>
        <v>6</v>
      </c>
      <c r="G3242">
        <f>_xll.BDP("FNDD7305 Mtge","MTG_FACTOR")</f>
        <v>0.98928092999999995</v>
      </c>
      <c r="H3242">
        <f>_xll.BDP("FNDD7305 Mtge","MTG_WAL")</f>
        <v>3.2885</v>
      </c>
      <c r="I3242" t="str">
        <f>_xll.BDP("FNDD7305 Mtge","MTG_ORIG_WAL")</f>
        <v>#N/A N/A</v>
      </c>
    </row>
    <row r="3243" spans="1:9" x14ac:dyDescent="0.25">
      <c r="A3243" t="str">
        <f>_xll.BDP("FNDD7313 Mtge","ID_CUSIP")</f>
        <v>3140B8DT5</v>
      </c>
      <c r="B3243" t="str">
        <f>_xll.BDP("FNDD7313 Mtge","SECURITY_NAME")</f>
        <v>FN DD7313</v>
      </c>
      <c r="C3243" t="str">
        <f>_xll.BDP("FNDD7313 Mtge","GENERIC_TICKER_VINTAGE")</f>
        <v>FNCL 6 2025</v>
      </c>
      <c r="D3243" t="str">
        <f>_xll.BDP("FNDD7313 Mtge","CRNCY")</f>
        <v>USD</v>
      </c>
      <c r="E3243">
        <v>2502322</v>
      </c>
      <c r="F3243">
        <f>_xll.BDP("FNDD7313 Mtge","CPN")</f>
        <v>6</v>
      </c>
      <c r="G3243">
        <f>_xll.BDP("FNDD7313 Mtge","MTG_FACTOR")</f>
        <v>0.61463387999999997</v>
      </c>
      <c r="H3243">
        <f>_xll.BDP("FNDD7313 Mtge","MTG_WAL")</f>
        <v>3.2951999999999999</v>
      </c>
      <c r="I3243" t="str">
        <f>_xll.BDP("FNDD7313 Mtge","MTG_ORIG_WAL")</f>
        <v>#N/A N/A</v>
      </c>
    </row>
    <row r="3244" spans="1:9" x14ac:dyDescent="0.25">
      <c r="A3244" t="str">
        <f>_xll.BDP("FNDD7314 Mtge","ID_CUSIP")</f>
        <v>3140B8DU2</v>
      </c>
      <c r="B3244" t="str">
        <f>_xll.BDP("FNDD7314 Mtge","SECURITY_NAME")</f>
        <v>FN DD7314</v>
      </c>
      <c r="C3244" t="str">
        <f>_xll.BDP("FNDD7314 Mtge","GENERIC_TICKER_VINTAGE")</f>
        <v>FNCL 6 2025</v>
      </c>
      <c r="D3244" t="str">
        <f>_xll.BDP("FNDD7314 Mtge","CRNCY")</f>
        <v>USD</v>
      </c>
      <c r="E3244">
        <v>1620044</v>
      </c>
      <c r="F3244">
        <f>_xll.BDP("FNDD7314 Mtge","CPN")</f>
        <v>6</v>
      </c>
      <c r="G3244">
        <f>_xll.BDP("FNDD7314 Mtge","MTG_FACTOR")</f>
        <v>0.87368541</v>
      </c>
      <c r="H3244">
        <f>_xll.BDP("FNDD7314 Mtge","MTG_WAL")</f>
        <v>3.2812000000000001</v>
      </c>
      <c r="I3244" t="str">
        <f>_xll.BDP("FNDD7314 Mtge","MTG_ORIG_WAL")</f>
        <v>#N/A N/A</v>
      </c>
    </row>
    <row r="3245" spans="1:9" x14ac:dyDescent="0.25">
      <c r="A3245" t="str">
        <f>_xll.BDP("FNDD7316 Mtge","ID_CUSIP")</f>
        <v>3140B8DW8</v>
      </c>
      <c r="B3245" t="str">
        <f>_xll.BDP("FNDD7316 Mtge","SECURITY_NAME")</f>
        <v>FN DD7316</v>
      </c>
      <c r="C3245" t="str">
        <f>_xll.BDP("FNDD7316 Mtge","GENERIC_TICKER_VINTAGE")</f>
        <v>FNCL 6 2025</v>
      </c>
      <c r="D3245" t="str">
        <f>_xll.BDP("FNDD7316 Mtge","CRNCY")</f>
        <v>USD</v>
      </c>
      <c r="E3245">
        <v>4380926</v>
      </c>
      <c r="F3245">
        <f>_xll.BDP("FNDD7316 Mtge","CPN")</f>
        <v>6</v>
      </c>
      <c r="G3245">
        <f>_xll.BDP("FNDD7316 Mtge","MTG_FACTOR")</f>
        <v>0.99223627999999997</v>
      </c>
      <c r="H3245">
        <f>_xll.BDP("FNDD7316 Mtge","MTG_WAL")</f>
        <v>3.2955999999999999</v>
      </c>
      <c r="I3245" t="str">
        <f>_xll.BDP("FNDD7316 Mtge","MTG_ORIG_WAL")</f>
        <v>#N/A N/A</v>
      </c>
    </row>
    <row r="3246" spans="1:9" x14ac:dyDescent="0.25">
      <c r="A3246" t="str">
        <f>_xll.BDP("FNDD7317 Mtge","ID_CUSIP")</f>
        <v>3140B8DX6</v>
      </c>
      <c r="B3246" t="str">
        <f>_xll.BDP("FNDD7317 Mtge","SECURITY_NAME")</f>
        <v>FN DD7317</v>
      </c>
      <c r="C3246" t="str">
        <f>_xll.BDP("FNDD7317 Mtge","GENERIC_TICKER_VINTAGE")</f>
        <v>FNCL 6 2025</v>
      </c>
      <c r="D3246" t="str">
        <f>_xll.BDP("FNDD7317 Mtge","CRNCY")</f>
        <v>USD</v>
      </c>
      <c r="E3246">
        <v>9448783</v>
      </c>
      <c r="F3246">
        <f>_xll.BDP("FNDD7317 Mtge","CPN")</f>
        <v>6</v>
      </c>
      <c r="G3246">
        <f>_xll.BDP("FNDD7317 Mtge","MTG_FACTOR")</f>
        <v>0.92134070999999995</v>
      </c>
      <c r="H3246">
        <f>_xll.BDP("FNDD7317 Mtge","MTG_WAL")</f>
        <v>3.2871999999999999</v>
      </c>
      <c r="I3246" t="str">
        <f>_xll.BDP("FNDD7317 Mtge","MTG_ORIG_WAL")</f>
        <v>#N/A N/A</v>
      </c>
    </row>
    <row r="3247" spans="1:9" x14ac:dyDescent="0.25">
      <c r="A3247" t="str">
        <f>_xll.BDP("FNDD7333 Mtge","ID_CUSIP")</f>
        <v>3140B8EF4</v>
      </c>
      <c r="B3247" t="str">
        <f>_xll.BDP("FNDD7333 Mtge","SECURITY_NAME")</f>
        <v>FN DD7333</v>
      </c>
      <c r="C3247" t="str">
        <f>_xll.BDP("FNDD7333 Mtge","GENERIC_TICKER_VINTAGE")</f>
        <v>FNCL 6 2025</v>
      </c>
      <c r="D3247" t="str">
        <f>_xll.BDP("FNDD7333 Mtge","CRNCY")</f>
        <v>USD</v>
      </c>
      <c r="E3247">
        <v>7388235</v>
      </c>
      <c r="F3247">
        <f>_xll.BDP("FNDD7333 Mtge","CPN")</f>
        <v>6</v>
      </c>
      <c r="G3247">
        <f>_xll.BDP("FNDD7333 Mtge","MTG_FACTOR")</f>
        <v>0.73351595000000003</v>
      </c>
      <c r="H3247">
        <f>_xll.BDP("FNDD7333 Mtge","MTG_WAL")</f>
        <v>3.2433000000000001</v>
      </c>
      <c r="I3247" t="str">
        <f>_xll.BDP("FNDD7333 Mtge","MTG_ORIG_WAL")</f>
        <v>#N/A N/A</v>
      </c>
    </row>
    <row r="3248" spans="1:9" x14ac:dyDescent="0.25">
      <c r="A3248" t="str">
        <f>_xll.BDP("FNDD7334 Mtge","ID_CUSIP")</f>
        <v>3140B8EG2</v>
      </c>
      <c r="B3248" t="str">
        <f>_xll.BDP("FNDD7334 Mtge","SECURITY_NAME")</f>
        <v>FN DD7334</v>
      </c>
      <c r="C3248" t="str">
        <f>_xll.BDP("FNDD7334 Mtge","GENERIC_TICKER_VINTAGE")</f>
        <v>FNCL 6 2025</v>
      </c>
      <c r="D3248" t="str">
        <f>_xll.BDP("FNDD7334 Mtge","CRNCY")</f>
        <v>USD</v>
      </c>
      <c r="E3248">
        <v>19695123</v>
      </c>
      <c r="F3248">
        <f>_xll.BDP("FNDD7334 Mtge","CPN")</f>
        <v>6</v>
      </c>
      <c r="G3248">
        <f>_xll.BDP("FNDD7334 Mtge","MTG_FACTOR")</f>
        <v>0.83430879999999996</v>
      </c>
      <c r="H3248">
        <f>_xll.BDP("FNDD7334 Mtge","MTG_WAL")</f>
        <v>3.2414999999999998</v>
      </c>
      <c r="I3248" t="str">
        <f>_xll.BDP("FNDD7334 Mtge","MTG_ORIG_WAL")</f>
        <v>#N/A N/A</v>
      </c>
    </row>
    <row r="3249" spans="1:9" x14ac:dyDescent="0.25">
      <c r="A3249" t="str">
        <f>_xll.BDP("FNDD7335 Mtge","ID_CUSIP")</f>
        <v>3140B8EH0</v>
      </c>
      <c r="B3249" t="str">
        <f>_xll.BDP("FNDD7335 Mtge","SECURITY_NAME")</f>
        <v>FN DD7335</v>
      </c>
      <c r="C3249" t="str">
        <f>_xll.BDP("FNDD7335 Mtge","GENERIC_TICKER_VINTAGE")</f>
        <v>FNCL 6 2025</v>
      </c>
      <c r="D3249" t="str">
        <f>_xll.BDP("FNDD7335 Mtge","CRNCY")</f>
        <v>USD</v>
      </c>
      <c r="E3249">
        <v>5533477</v>
      </c>
      <c r="F3249">
        <f>_xll.BDP("FNDD7335 Mtge","CPN")</f>
        <v>6</v>
      </c>
      <c r="G3249">
        <f>_xll.BDP("FNDD7335 Mtge","MTG_FACTOR")</f>
        <v>0.88240320999999999</v>
      </c>
      <c r="H3249">
        <f>_xll.BDP("FNDD7335 Mtge","MTG_WAL")</f>
        <v>3.2446000000000002</v>
      </c>
      <c r="I3249" t="str">
        <f>_xll.BDP("FNDD7335 Mtge","MTG_ORIG_WAL")</f>
        <v>#N/A N/A</v>
      </c>
    </row>
    <row r="3250" spans="1:9" x14ac:dyDescent="0.25">
      <c r="A3250" t="str">
        <f>_xll.BDP("FNDD7336 Mtge","ID_CUSIP")</f>
        <v>3140B8EJ6</v>
      </c>
      <c r="B3250" t="str">
        <f>_xll.BDP("FNDD7336 Mtge","SECURITY_NAME")</f>
        <v>FN DD7336</v>
      </c>
      <c r="C3250" t="str">
        <f>_xll.BDP("FNDD7336 Mtge","GENERIC_TICKER_VINTAGE")</f>
        <v>FNCL 6 2025</v>
      </c>
      <c r="D3250" t="str">
        <f>_xll.BDP("FNDD7336 Mtge","CRNCY")</f>
        <v>USD</v>
      </c>
      <c r="E3250">
        <v>15903865</v>
      </c>
      <c r="F3250">
        <f>_xll.BDP("FNDD7336 Mtge","CPN")</f>
        <v>6</v>
      </c>
      <c r="G3250">
        <f>_xll.BDP("FNDD7336 Mtge","MTG_FACTOR")</f>
        <v>0.85859819000000004</v>
      </c>
      <c r="H3250">
        <f>_xll.BDP("FNDD7336 Mtge","MTG_WAL")</f>
        <v>3.2440000000000002</v>
      </c>
      <c r="I3250" t="str">
        <f>_xll.BDP("FNDD7336 Mtge","MTG_ORIG_WAL")</f>
        <v>#N/A N/A</v>
      </c>
    </row>
    <row r="3251" spans="1:9" x14ac:dyDescent="0.25">
      <c r="A3251" t="str">
        <f>_xll.BDP("FNDD7337 Mtge","ID_CUSIP")</f>
        <v>3140B8EK3</v>
      </c>
      <c r="B3251" t="str">
        <f>_xll.BDP("FNDD7337 Mtge","SECURITY_NAME")</f>
        <v>FN DD7337</v>
      </c>
      <c r="C3251" t="str">
        <f>_xll.BDP("FNDD7337 Mtge","GENERIC_TICKER_VINTAGE")</f>
        <v>FNCL 6 2025</v>
      </c>
      <c r="D3251" t="str">
        <f>_xll.BDP("FNDD7337 Mtge","CRNCY")</f>
        <v>USD</v>
      </c>
      <c r="E3251">
        <v>17118215</v>
      </c>
      <c r="F3251">
        <f>_xll.BDP("FNDD7337 Mtge","CPN")</f>
        <v>6</v>
      </c>
      <c r="G3251">
        <f>_xll.BDP("FNDD7337 Mtge","MTG_FACTOR")</f>
        <v>0.89436797999999995</v>
      </c>
      <c r="H3251">
        <f>_xll.BDP("FNDD7337 Mtge","MTG_WAL")</f>
        <v>3.2423999999999999</v>
      </c>
      <c r="I3251" t="str">
        <f>_xll.BDP("FNDD7337 Mtge","MTG_ORIG_WAL")</f>
        <v>#N/A N/A</v>
      </c>
    </row>
    <row r="3252" spans="1:9" x14ac:dyDescent="0.25">
      <c r="A3252" t="str">
        <f>_xll.BDP("FNDD7338 Mtge","ID_CUSIP")</f>
        <v>3140B8EL1</v>
      </c>
      <c r="B3252" t="str">
        <f>_xll.BDP("FNDD7338 Mtge","SECURITY_NAME")</f>
        <v>FN DD7338</v>
      </c>
      <c r="C3252" t="str">
        <f>_xll.BDP("FNDD7338 Mtge","GENERIC_TICKER_VINTAGE")</f>
        <v>FNCL 6 2025</v>
      </c>
      <c r="D3252" t="str">
        <f>_xll.BDP("FNDD7338 Mtge","CRNCY")</f>
        <v>USD</v>
      </c>
      <c r="E3252">
        <v>6506156</v>
      </c>
      <c r="F3252">
        <f>_xll.BDP("FNDD7338 Mtge","CPN")</f>
        <v>6</v>
      </c>
      <c r="G3252">
        <f>_xll.BDP("FNDD7338 Mtge","MTG_FACTOR")</f>
        <v>0.84166647000000006</v>
      </c>
      <c r="H3252">
        <f>_xll.BDP("FNDD7338 Mtge","MTG_WAL")</f>
        <v>3.2414999999999998</v>
      </c>
      <c r="I3252" t="str">
        <f>_xll.BDP("FNDD7338 Mtge","MTG_ORIG_WAL")</f>
        <v>#N/A N/A</v>
      </c>
    </row>
    <row r="3253" spans="1:9" x14ac:dyDescent="0.25">
      <c r="A3253" t="str">
        <f>_xll.BDP("FNDD7339 Mtge","ID_CUSIP")</f>
        <v>3140B8EM9</v>
      </c>
      <c r="B3253" t="str">
        <f>_xll.BDP("FNDD7339 Mtge","SECURITY_NAME")</f>
        <v>FN DD7339</v>
      </c>
      <c r="C3253" t="str">
        <f>_xll.BDP("FNDD7339 Mtge","GENERIC_TICKER_VINTAGE")</f>
        <v>FNCL 6 2025</v>
      </c>
      <c r="D3253" t="str">
        <f>_xll.BDP("FNDD7339 Mtge","CRNCY")</f>
        <v>USD</v>
      </c>
      <c r="E3253">
        <v>15681006</v>
      </c>
      <c r="F3253">
        <f>_xll.BDP("FNDD7339 Mtge","CPN")</f>
        <v>6</v>
      </c>
      <c r="G3253">
        <f>_xll.BDP("FNDD7339 Mtge","MTG_FACTOR")</f>
        <v>0.84074673</v>
      </c>
      <c r="H3253">
        <f>_xll.BDP("FNDD7339 Mtge","MTG_WAL")</f>
        <v>3.2435</v>
      </c>
      <c r="I3253" t="str">
        <f>_xll.BDP("FNDD7339 Mtge","MTG_ORIG_WAL")</f>
        <v>#N/A N/A</v>
      </c>
    </row>
    <row r="3254" spans="1:9" x14ac:dyDescent="0.25">
      <c r="A3254" t="str">
        <f>_xll.BDP("FNDD7340 Mtge","ID_CUSIP")</f>
        <v>3140B8EN7</v>
      </c>
      <c r="B3254" t="str">
        <f>_xll.BDP("FNDD7340 Mtge","SECURITY_NAME")</f>
        <v>FN DD7340</v>
      </c>
      <c r="C3254" t="str">
        <f>_xll.BDP("FNDD7340 Mtge","GENERIC_TICKER_VINTAGE")</f>
        <v>FNCL 6 2025</v>
      </c>
      <c r="D3254" t="str">
        <f>_xll.BDP("FNDD7340 Mtge","CRNCY")</f>
        <v>USD</v>
      </c>
      <c r="E3254">
        <v>28788334</v>
      </c>
      <c r="F3254">
        <f>_xll.BDP("FNDD7340 Mtge","CPN")</f>
        <v>6</v>
      </c>
      <c r="G3254">
        <f>_xll.BDP("FNDD7340 Mtge","MTG_FACTOR")</f>
        <v>0.87173833999999994</v>
      </c>
      <c r="H3254">
        <f>_xll.BDP("FNDD7340 Mtge","MTG_WAL")</f>
        <v>3.2467000000000001</v>
      </c>
      <c r="I3254" t="str">
        <f>_xll.BDP("FNDD7340 Mtge","MTG_ORIG_WAL")</f>
        <v>#N/A N/A</v>
      </c>
    </row>
    <row r="3255" spans="1:9" x14ac:dyDescent="0.25">
      <c r="A3255" t="str">
        <f>_xll.BDP("FNDD7341 Mtge","ID_CUSIP")</f>
        <v>3140B8EP2</v>
      </c>
      <c r="B3255" t="str">
        <f>_xll.BDP("FNDD7341 Mtge","SECURITY_NAME")</f>
        <v>FN DD7341</v>
      </c>
      <c r="C3255" t="str">
        <f>_xll.BDP("FNDD7341 Mtge","GENERIC_TICKER_VINTAGE")</f>
        <v>FNCL 6 2025</v>
      </c>
      <c r="D3255" t="str">
        <f>_xll.BDP("FNDD7341 Mtge","CRNCY")</f>
        <v>USD</v>
      </c>
      <c r="E3255">
        <v>47171155</v>
      </c>
      <c r="F3255">
        <f>_xll.BDP("FNDD7341 Mtge","CPN")</f>
        <v>6</v>
      </c>
      <c r="G3255">
        <f>_xll.BDP("FNDD7341 Mtge","MTG_FACTOR")</f>
        <v>0.90058435000000003</v>
      </c>
      <c r="H3255">
        <f>_xll.BDP("FNDD7341 Mtge","MTG_WAL")</f>
        <v>3.2471000000000001</v>
      </c>
      <c r="I3255" t="str">
        <f>_xll.BDP("FNDD7341 Mtge","MTG_ORIG_WAL")</f>
        <v>#N/A N/A</v>
      </c>
    </row>
    <row r="3256" spans="1:9" x14ac:dyDescent="0.25">
      <c r="A3256" t="str">
        <f>_xll.BDP("FNDD7342 Mtge","ID_CUSIP")</f>
        <v>3140B8EQ0</v>
      </c>
      <c r="B3256" t="str">
        <f>_xll.BDP("FNDD7342 Mtge","SECURITY_NAME")</f>
        <v>FN DD7342</v>
      </c>
      <c r="C3256" t="str">
        <f>_xll.BDP("FNDD7342 Mtge","GENERIC_TICKER_VINTAGE")</f>
        <v>FNCL 6 2025</v>
      </c>
      <c r="D3256" t="str">
        <f>_xll.BDP("FNDD7342 Mtge","CRNCY")</f>
        <v>USD</v>
      </c>
      <c r="E3256">
        <v>1170050</v>
      </c>
      <c r="F3256">
        <f>_xll.BDP("FNDD7342 Mtge","CPN")</f>
        <v>6</v>
      </c>
      <c r="G3256">
        <f>_xll.BDP("FNDD7342 Mtge","MTG_FACTOR")</f>
        <v>0.99055950000000004</v>
      </c>
      <c r="H3256">
        <f>_xll.BDP("FNDD7342 Mtge","MTG_WAL")</f>
        <v>3.2490999999999999</v>
      </c>
      <c r="I3256" t="str">
        <f>_xll.BDP("FNDD7342 Mtge","MTG_ORIG_WAL")</f>
        <v>#N/A N/A</v>
      </c>
    </row>
    <row r="3257" spans="1:9" x14ac:dyDescent="0.25">
      <c r="A3257" t="str">
        <f>_xll.BDP("FNDD7344 Mtge","ID_CUSIP")</f>
        <v>3140B8ES6</v>
      </c>
      <c r="B3257" t="str">
        <f>_xll.BDP("FNDD7344 Mtge","SECURITY_NAME")</f>
        <v>FN DD7344</v>
      </c>
      <c r="C3257" t="str">
        <f>_xll.BDP("FNDD7344 Mtge","GENERIC_TICKER_VINTAGE")</f>
        <v>FNCL 6 2025</v>
      </c>
      <c r="D3257" t="str">
        <f>_xll.BDP("FNDD7344 Mtge","CRNCY")</f>
        <v>USD</v>
      </c>
      <c r="E3257">
        <v>2701860</v>
      </c>
      <c r="F3257">
        <f>_xll.BDP("FNDD7344 Mtge","CPN")</f>
        <v>6</v>
      </c>
      <c r="G3257">
        <f>_xll.BDP("FNDD7344 Mtge","MTG_FACTOR")</f>
        <v>0.98124902000000003</v>
      </c>
      <c r="H3257">
        <f>_xll.BDP("FNDD7344 Mtge","MTG_WAL")</f>
        <v>3.2404999999999999</v>
      </c>
      <c r="I3257" t="str">
        <f>_xll.BDP("FNDD7344 Mtge","MTG_ORIG_WAL")</f>
        <v>#N/A N/A</v>
      </c>
    </row>
    <row r="3258" spans="1:9" x14ac:dyDescent="0.25">
      <c r="A3258" t="str">
        <f>_xll.BDP("FNDD7345 Mtge","ID_CUSIP")</f>
        <v>3140B8ET4</v>
      </c>
      <c r="B3258" t="str">
        <f>_xll.BDP("FNDD7345 Mtge","SECURITY_NAME")</f>
        <v>FN DD7345</v>
      </c>
      <c r="C3258" t="str">
        <f>_xll.BDP("FNDD7345 Mtge","GENERIC_TICKER_VINTAGE")</f>
        <v>FNCL 6 2025</v>
      </c>
      <c r="D3258" t="str">
        <f>_xll.BDP("FNDD7345 Mtge","CRNCY")</f>
        <v>USD</v>
      </c>
      <c r="E3258">
        <v>17389924</v>
      </c>
      <c r="F3258">
        <f>_xll.BDP("FNDD7345 Mtge","CPN")</f>
        <v>6</v>
      </c>
      <c r="G3258">
        <f>_xll.BDP("FNDD7345 Mtge","MTG_FACTOR")</f>
        <v>0.83380319000000003</v>
      </c>
      <c r="H3258">
        <f>_xll.BDP("FNDD7345 Mtge","MTG_WAL")</f>
        <v>3.2442000000000002</v>
      </c>
      <c r="I3258" t="str">
        <f>_xll.BDP("FNDD7345 Mtge","MTG_ORIG_WAL")</f>
        <v>#N/A N/A</v>
      </c>
    </row>
    <row r="3259" spans="1:9" x14ac:dyDescent="0.25">
      <c r="A3259" t="str">
        <f>_xll.BDP("FNDD7346 Mtge","ID_CUSIP")</f>
        <v>3140B8EU1</v>
      </c>
      <c r="B3259" t="str">
        <f>_xll.BDP("FNDD7346 Mtge","SECURITY_NAME")</f>
        <v>FN DD7346</v>
      </c>
      <c r="C3259" t="str">
        <f>_xll.BDP("FNDD7346 Mtge","GENERIC_TICKER_VINTAGE")</f>
        <v>FNCL 6 2025</v>
      </c>
      <c r="D3259" t="str">
        <f>_xll.BDP("FNDD7346 Mtge","CRNCY")</f>
        <v>USD</v>
      </c>
      <c r="E3259">
        <v>10481529</v>
      </c>
      <c r="F3259">
        <f>_xll.BDP("FNDD7346 Mtge","CPN")</f>
        <v>6</v>
      </c>
      <c r="G3259">
        <f>_xll.BDP("FNDD7346 Mtge","MTG_FACTOR")</f>
        <v>0.91488100999999999</v>
      </c>
      <c r="H3259">
        <f>_xll.BDP("FNDD7346 Mtge","MTG_WAL")</f>
        <v>3.2425999999999999</v>
      </c>
      <c r="I3259" t="str">
        <f>_xll.BDP("FNDD7346 Mtge","MTG_ORIG_WAL")</f>
        <v>#N/A N/A</v>
      </c>
    </row>
    <row r="3260" spans="1:9" x14ac:dyDescent="0.25">
      <c r="A3260" t="str">
        <f>_xll.BDP("FNDD7348 Mtge","ID_CUSIP")</f>
        <v>3140B8EW7</v>
      </c>
      <c r="B3260" t="str">
        <f>_xll.BDP("FNDD7348 Mtge","SECURITY_NAME")</f>
        <v>FN DD7348</v>
      </c>
      <c r="C3260" t="str">
        <f>_xll.BDP("FNDD7348 Mtge","GENERIC_TICKER_VINTAGE")</f>
        <v>FNCL 6 2025</v>
      </c>
      <c r="D3260" t="str">
        <f>_xll.BDP("FNDD7348 Mtge","CRNCY")</f>
        <v>USD</v>
      </c>
      <c r="E3260">
        <v>5308384</v>
      </c>
      <c r="F3260">
        <f>_xll.BDP("FNDD7348 Mtge","CPN")</f>
        <v>6</v>
      </c>
      <c r="G3260">
        <f>_xll.BDP("FNDD7348 Mtge","MTG_FACTOR")</f>
        <v>0.78390362999999996</v>
      </c>
      <c r="H3260">
        <f>_xll.BDP("FNDD7348 Mtge","MTG_WAL")</f>
        <v>3.2078000000000002</v>
      </c>
      <c r="I3260" t="str">
        <f>_xll.BDP("FNDD7348 Mtge","MTG_ORIG_WAL")</f>
        <v>#N/A N/A</v>
      </c>
    </row>
    <row r="3261" spans="1:9" x14ac:dyDescent="0.25">
      <c r="A3261" t="str">
        <f>_xll.BDP("FNDD7350 Mtge","ID_CUSIP")</f>
        <v>3140B8EY3</v>
      </c>
      <c r="B3261" t="str">
        <f>_xll.BDP("FNDD7350 Mtge","SECURITY_NAME")</f>
        <v>FN DD7350</v>
      </c>
      <c r="C3261" t="str">
        <f>_xll.BDP("FNDD7350 Mtge","GENERIC_TICKER_VINTAGE")</f>
        <v>FNCL 6 2025</v>
      </c>
      <c r="D3261" t="str">
        <f>_xll.BDP("FNDD7350 Mtge","CRNCY")</f>
        <v>USD</v>
      </c>
      <c r="E3261">
        <v>1942836</v>
      </c>
      <c r="F3261">
        <f>_xll.BDP("FNDD7350 Mtge","CPN")</f>
        <v>6</v>
      </c>
      <c r="G3261">
        <f>_xll.BDP("FNDD7350 Mtge","MTG_FACTOR")</f>
        <v>0.51097956</v>
      </c>
      <c r="H3261">
        <f>_xll.BDP("FNDD7350 Mtge","MTG_WAL")</f>
        <v>3.2000999999999999</v>
      </c>
      <c r="I3261" t="str">
        <f>_xll.BDP("FNDD7350 Mtge","MTG_ORIG_WAL")</f>
        <v>#N/A N/A</v>
      </c>
    </row>
    <row r="3262" spans="1:9" x14ac:dyDescent="0.25">
      <c r="A3262" t="str">
        <f>_xll.BDP("FNDD7351 Mtge","ID_CUSIP")</f>
        <v>3140B8EZ0</v>
      </c>
      <c r="B3262" t="str">
        <f>_xll.BDP("FNDD7351 Mtge","SECURITY_NAME")</f>
        <v>FN DD7351</v>
      </c>
      <c r="C3262" t="str">
        <f>_xll.BDP("FNDD7351 Mtge","GENERIC_TICKER_VINTAGE")</f>
        <v>FNCL 6 2025</v>
      </c>
      <c r="D3262" t="str">
        <f>_xll.BDP("FNDD7351 Mtge","CRNCY")</f>
        <v>USD</v>
      </c>
      <c r="E3262">
        <v>1178256</v>
      </c>
      <c r="F3262">
        <f>_xll.BDP("FNDD7351 Mtge","CPN")</f>
        <v>6</v>
      </c>
      <c r="G3262">
        <f>_xll.BDP("FNDD7351 Mtge","MTG_FACTOR")</f>
        <v>0.98188312</v>
      </c>
      <c r="H3262">
        <f>_xll.BDP("FNDD7351 Mtge","MTG_WAL")</f>
        <v>3.1869000000000001</v>
      </c>
      <c r="I3262" t="str">
        <f>_xll.BDP("FNDD7351 Mtge","MTG_ORIG_WAL")</f>
        <v>#N/A N/A</v>
      </c>
    </row>
    <row r="3263" spans="1:9" x14ac:dyDescent="0.25">
      <c r="A3263" t="str">
        <f>_xll.BDP("FNDD7352 Mtge","ID_CUSIP")</f>
        <v>3140B8E23</v>
      </c>
      <c r="B3263" t="str">
        <f>_xll.BDP("FNDD7352 Mtge","SECURITY_NAME")</f>
        <v>FN DD7352</v>
      </c>
      <c r="C3263" t="str">
        <f>_xll.BDP("FNDD7352 Mtge","GENERIC_TICKER_VINTAGE")</f>
        <v>FNCL 6 2025</v>
      </c>
      <c r="D3263" t="str">
        <f>_xll.BDP("FNDD7352 Mtge","CRNCY")</f>
        <v>USD</v>
      </c>
      <c r="E3263">
        <v>13104596</v>
      </c>
      <c r="F3263">
        <f>_xll.BDP("FNDD7352 Mtge","CPN")</f>
        <v>6</v>
      </c>
      <c r="G3263">
        <f>_xll.BDP("FNDD7352 Mtge","MTG_FACTOR")</f>
        <v>0.92291526999999995</v>
      </c>
      <c r="H3263">
        <f>_xll.BDP("FNDD7352 Mtge","MTG_WAL")</f>
        <v>3.2395999999999998</v>
      </c>
      <c r="I3263" t="str">
        <f>_xll.BDP("FNDD7352 Mtge","MTG_ORIG_WAL")</f>
        <v>#N/A N/A</v>
      </c>
    </row>
    <row r="3264" spans="1:9" x14ac:dyDescent="0.25">
      <c r="A3264" t="str">
        <f>_xll.BDP("FNDD7413 Mtge","ID_CUSIP")</f>
        <v>3140B8GX3</v>
      </c>
      <c r="B3264" t="str">
        <f>_xll.BDP("FNDD7413 Mtge","SECURITY_NAME")</f>
        <v>FN DD7413</v>
      </c>
      <c r="C3264" t="str">
        <f>_xll.BDP("FNDD7413 Mtge","GENERIC_TICKER_VINTAGE")</f>
        <v>FNCL 6 2025</v>
      </c>
      <c r="D3264" t="str">
        <f>_xll.BDP("FNDD7413 Mtge","CRNCY")</f>
        <v>USD</v>
      </c>
      <c r="E3264">
        <v>4888238</v>
      </c>
      <c r="F3264">
        <f>_xll.BDP("FNDD7413 Mtge","CPN")</f>
        <v>6</v>
      </c>
      <c r="G3264">
        <f>_xll.BDP("FNDD7413 Mtge","MTG_FACTOR")</f>
        <v>0.82556481999999998</v>
      </c>
      <c r="H3264">
        <f>_xll.BDP("FNDD7413 Mtge","MTG_WAL")</f>
        <v>3.2010000000000001</v>
      </c>
      <c r="I3264" t="str">
        <f>_xll.BDP("FNDD7413 Mtge","MTG_ORIG_WAL")</f>
        <v>#N/A N/A</v>
      </c>
    </row>
    <row r="3265" spans="1:9" x14ac:dyDescent="0.25">
      <c r="A3265" t="str">
        <f>_xll.BDP("FNDD7425 Mtge","ID_CUSIP")</f>
        <v>3140B8HB0</v>
      </c>
      <c r="B3265" t="str">
        <f>_xll.BDP("FNDD7425 Mtge","SECURITY_NAME")</f>
        <v>FN DD7425</v>
      </c>
      <c r="C3265" t="str">
        <f>_xll.BDP("FNDD7425 Mtge","GENERIC_TICKER_VINTAGE")</f>
        <v>FNCL 6 2025</v>
      </c>
      <c r="D3265" t="str">
        <f>_xll.BDP("FNDD7425 Mtge","CRNCY")</f>
        <v>USD</v>
      </c>
      <c r="E3265">
        <v>4309090</v>
      </c>
      <c r="F3265">
        <f>_xll.BDP("FNDD7425 Mtge","CPN")</f>
        <v>6</v>
      </c>
      <c r="G3265">
        <f>_xll.BDP("FNDD7425 Mtge","MTG_FACTOR")</f>
        <v>0.83286112999999995</v>
      </c>
      <c r="H3265">
        <f>_xll.BDP("FNDD7425 Mtge","MTG_WAL")</f>
        <v>3.2496999999999998</v>
      </c>
      <c r="I3265" t="str">
        <f>_xll.BDP("FNDD7425 Mtge","MTG_ORIG_WAL")</f>
        <v>#N/A N/A</v>
      </c>
    </row>
    <row r="3266" spans="1:9" x14ac:dyDescent="0.25">
      <c r="A3266" t="str">
        <f>_xll.BDP("FNDD7426 Mtge","ID_CUSIP")</f>
        <v>3140B8HC8</v>
      </c>
      <c r="B3266" t="str">
        <f>_xll.BDP("FNDD7426 Mtge","SECURITY_NAME")</f>
        <v>FN DD7426</v>
      </c>
      <c r="C3266" t="str">
        <f>_xll.BDP("FNDD7426 Mtge","GENERIC_TICKER_VINTAGE")</f>
        <v>FNCL 6 2025</v>
      </c>
      <c r="D3266" t="str">
        <f>_xll.BDP("FNDD7426 Mtge","CRNCY")</f>
        <v>USD</v>
      </c>
      <c r="E3266">
        <v>5432432</v>
      </c>
      <c r="F3266">
        <f>_xll.BDP("FNDD7426 Mtge","CPN")</f>
        <v>6</v>
      </c>
      <c r="G3266">
        <f>_xll.BDP("FNDD7426 Mtge","MTG_FACTOR")</f>
        <v>0.95319003999999996</v>
      </c>
      <c r="H3266">
        <f>_xll.BDP("FNDD7426 Mtge","MTG_WAL")</f>
        <v>3.2458999999999998</v>
      </c>
      <c r="I3266" t="str">
        <f>_xll.BDP("FNDD7426 Mtge","MTG_ORIG_WAL")</f>
        <v>#N/A N/A</v>
      </c>
    </row>
    <row r="3267" spans="1:9" x14ac:dyDescent="0.25">
      <c r="A3267" t="str">
        <f>_xll.BDP("FNDD7427 Mtge","ID_CUSIP")</f>
        <v>3140B8HD6</v>
      </c>
      <c r="B3267" t="str">
        <f>_xll.BDP("FNDD7427 Mtge","SECURITY_NAME")</f>
        <v>FN DD7427</v>
      </c>
      <c r="C3267" t="str">
        <f>_xll.BDP("FNDD7427 Mtge","GENERIC_TICKER_VINTAGE")</f>
        <v>FNCL 6 2025</v>
      </c>
      <c r="D3267" t="str">
        <f>_xll.BDP("FNDD7427 Mtge","CRNCY")</f>
        <v>USD</v>
      </c>
      <c r="E3267">
        <v>5701425</v>
      </c>
      <c r="F3267">
        <f>_xll.BDP("FNDD7427 Mtge","CPN")</f>
        <v>6</v>
      </c>
      <c r="G3267">
        <f>_xll.BDP("FNDD7427 Mtge","MTG_FACTOR")</f>
        <v>0.83676161999999998</v>
      </c>
      <c r="H3267">
        <f>_xll.BDP("FNDD7427 Mtge","MTG_WAL")</f>
        <v>3.2509000000000001</v>
      </c>
      <c r="I3267" t="str">
        <f>_xll.BDP("FNDD7427 Mtge","MTG_ORIG_WAL")</f>
        <v>#N/A N/A</v>
      </c>
    </row>
    <row r="3268" spans="1:9" x14ac:dyDescent="0.25">
      <c r="A3268" t="str">
        <f>_xll.BDP("FNDD7432 Mtge","ID_CUSIP")</f>
        <v>3140B8HJ3</v>
      </c>
      <c r="B3268" t="str">
        <f>_xll.BDP("FNDD7432 Mtge","SECURITY_NAME")</f>
        <v>FN DD7432</v>
      </c>
      <c r="C3268" t="str">
        <f>_xll.BDP("FNDD7432 Mtge","GENERIC_TICKER_VINTAGE")</f>
        <v>FNCL 6 2025</v>
      </c>
      <c r="D3268" t="str">
        <f>_xll.BDP("FNDD7432 Mtge","CRNCY")</f>
        <v>USD</v>
      </c>
      <c r="E3268">
        <v>1310827</v>
      </c>
      <c r="F3268">
        <f>_xll.BDP("FNDD7432 Mtge","CPN")</f>
        <v>6</v>
      </c>
      <c r="G3268">
        <f>_xll.BDP("FNDD7432 Mtge","MTG_FACTOR")</f>
        <v>0.95800461999999997</v>
      </c>
      <c r="H3268">
        <f>_xll.BDP("FNDD7432 Mtge","MTG_WAL")</f>
        <v>3.1800999999999999</v>
      </c>
      <c r="I3268" t="str">
        <f>_xll.BDP("FNDD7432 Mtge","MTG_ORIG_WAL")</f>
        <v>#N/A N/A</v>
      </c>
    </row>
    <row r="3269" spans="1:9" x14ac:dyDescent="0.25">
      <c r="A3269" t="str">
        <f>_xll.BDP("FNDD7433 Mtge","ID_CUSIP")</f>
        <v>3140B8HK0</v>
      </c>
      <c r="B3269" t="str">
        <f>_xll.BDP("FNDD7433 Mtge","SECURITY_NAME")</f>
        <v>FN DD7433</v>
      </c>
      <c r="C3269" t="str">
        <f>_xll.BDP("FNDD7433 Mtge","GENERIC_TICKER_VINTAGE")</f>
        <v>FNCL 6 2025</v>
      </c>
      <c r="D3269" t="str">
        <f>_xll.BDP("FNDD7433 Mtge","CRNCY")</f>
        <v>USD</v>
      </c>
      <c r="E3269">
        <v>1093014</v>
      </c>
      <c r="F3269">
        <f>_xll.BDP("FNDD7433 Mtge","CPN")</f>
        <v>6</v>
      </c>
      <c r="G3269">
        <f>_xll.BDP("FNDD7433 Mtge","MTG_FACTOR")</f>
        <v>0.99006627999999997</v>
      </c>
      <c r="H3269">
        <f>_xll.BDP("FNDD7433 Mtge","MTG_WAL")</f>
        <v>3.2469000000000001</v>
      </c>
      <c r="I3269" t="str">
        <f>_xll.BDP("FNDD7433 Mtge","MTG_ORIG_WAL")</f>
        <v>#N/A N/A</v>
      </c>
    </row>
    <row r="3270" spans="1:9" x14ac:dyDescent="0.25">
      <c r="A3270" t="str">
        <f>_xll.BDP("FNDD7434 Mtge","ID_CUSIP")</f>
        <v>3140B8HL8</v>
      </c>
      <c r="B3270" t="str">
        <f>_xll.BDP("FNDD7434 Mtge","SECURITY_NAME")</f>
        <v>FN DD7434</v>
      </c>
      <c r="C3270" t="str">
        <f>_xll.BDP("FNDD7434 Mtge","GENERIC_TICKER_VINTAGE")</f>
        <v>FNCL 6 2025</v>
      </c>
      <c r="D3270" t="str">
        <f>_xll.BDP("FNDD7434 Mtge","CRNCY")</f>
        <v>USD</v>
      </c>
      <c r="E3270">
        <v>1315682</v>
      </c>
      <c r="F3270">
        <f>_xll.BDP("FNDD7434 Mtge","CPN")</f>
        <v>6</v>
      </c>
      <c r="G3270">
        <f>_xll.BDP("FNDD7434 Mtge","MTG_FACTOR")</f>
        <v>0.93968722999999998</v>
      </c>
      <c r="H3270">
        <f>_xll.BDP("FNDD7434 Mtge","MTG_WAL")</f>
        <v>3.2151000000000001</v>
      </c>
      <c r="I3270" t="str">
        <f>_xll.BDP("FNDD7434 Mtge","MTG_ORIG_WAL")</f>
        <v>#N/A N/A</v>
      </c>
    </row>
    <row r="3271" spans="1:9" x14ac:dyDescent="0.25">
      <c r="A3271" t="str">
        <f>_xll.BDP("FNDD7447 Mtge","ID_CUSIP")</f>
        <v>3140B8HZ7</v>
      </c>
      <c r="B3271" t="str">
        <f>_xll.BDP("FNDD7447 Mtge","SECURITY_NAME")</f>
        <v>FN DD7447</v>
      </c>
      <c r="C3271" t="str">
        <f>_xll.BDP("FNDD7447 Mtge","GENERIC_TICKER_VINTAGE")</f>
        <v>FNCL 6 2025</v>
      </c>
      <c r="D3271" t="str">
        <f>_xll.BDP("FNDD7447 Mtge","CRNCY")</f>
        <v>USD</v>
      </c>
      <c r="E3271">
        <v>1116055</v>
      </c>
      <c r="F3271">
        <f>_xll.BDP("FNDD7447 Mtge","CPN")</f>
        <v>6</v>
      </c>
      <c r="G3271">
        <f>_xll.BDP("FNDD7447 Mtge","MTG_FACTOR")</f>
        <v>0.94007896999999996</v>
      </c>
      <c r="H3271">
        <f>_xll.BDP("FNDD7447 Mtge","MTG_WAL")</f>
        <v>3.2328999999999999</v>
      </c>
      <c r="I3271" t="str">
        <f>_xll.BDP("FNDD7447 Mtge","MTG_ORIG_WAL")</f>
        <v>#N/A N/A</v>
      </c>
    </row>
    <row r="3272" spans="1:9" x14ac:dyDescent="0.25">
      <c r="A3272" t="str">
        <f>_xll.BDP("FNDD7454 Mtge","ID_CUSIP")</f>
        <v>3140B8H87</v>
      </c>
      <c r="B3272" t="str">
        <f>_xll.BDP("FNDD7454 Mtge","SECURITY_NAME")</f>
        <v>FN DD7454</v>
      </c>
      <c r="C3272" t="str">
        <f>_xll.BDP("FNDD7454 Mtge","GENERIC_TICKER_VINTAGE")</f>
        <v>FNCL 6 2025</v>
      </c>
      <c r="D3272" t="str">
        <f>_xll.BDP("FNDD7454 Mtge","CRNCY")</f>
        <v>USD</v>
      </c>
      <c r="E3272">
        <v>1301470</v>
      </c>
      <c r="F3272">
        <f>_xll.BDP("FNDD7454 Mtge","CPN")</f>
        <v>6</v>
      </c>
      <c r="G3272">
        <f>_xll.BDP("FNDD7454 Mtge","MTG_FACTOR")</f>
        <v>0.89472923999999998</v>
      </c>
      <c r="H3272">
        <f>_xll.BDP("FNDD7454 Mtge","MTG_WAL")</f>
        <v>3.2360000000000002</v>
      </c>
      <c r="I3272" t="str">
        <f>_xll.BDP("FNDD7454 Mtge","MTG_ORIG_WAL")</f>
        <v>#N/A N/A</v>
      </c>
    </row>
    <row r="3273" spans="1:9" x14ac:dyDescent="0.25">
      <c r="A3273" t="str">
        <f>_xll.BDP("FNDD7455 Mtge","ID_CUSIP")</f>
        <v>3140B8H95</v>
      </c>
      <c r="B3273" t="str">
        <f>_xll.BDP("FNDD7455 Mtge","SECURITY_NAME")</f>
        <v>FN DD7455</v>
      </c>
      <c r="C3273" t="str">
        <f>_xll.BDP("FNDD7455 Mtge","GENERIC_TICKER_VINTAGE")</f>
        <v>FNCL 6 2025</v>
      </c>
      <c r="D3273" t="str">
        <f>_xll.BDP("FNDD7455 Mtge","CRNCY")</f>
        <v>USD</v>
      </c>
      <c r="E3273">
        <v>1544103</v>
      </c>
      <c r="F3273">
        <f>_xll.BDP("FNDD7455 Mtge","CPN")</f>
        <v>6</v>
      </c>
      <c r="G3273">
        <f>_xll.BDP("FNDD7455 Mtge","MTG_FACTOR")</f>
        <v>0.80103533000000005</v>
      </c>
      <c r="H3273">
        <f>_xll.BDP("FNDD7455 Mtge","MTG_WAL")</f>
        <v>3.2296</v>
      </c>
      <c r="I3273" t="str">
        <f>_xll.BDP("FNDD7455 Mtge","MTG_ORIG_WAL")</f>
        <v>#N/A N/A</v>
      </c>
    </row>
    <row r="3274" spans="1:9" x14ac:dyDescent="0.25">
      <c r="A3274" t="str">
        <f>_xll.BDP("FNDD7456 Mtge","ID_CUSIP")</f>
        <v>3140B8JA0</v>
      </c>
      <c r="B3274" t="str">
        <f>_xll.BDP("FNDD7456 Mtge","SECURITY_NAME")</f>
        <v>FN DD7456</v>
      </c>
      <c r="C3274" t="str">
        <f>_xll.BDP("FNDD7456 Mtge","GENERIC_TICKER_VINTAGE")</f>
        <v>FNCL 6 2025</v>
      </c>
      <c r="D3274" t="str">
        <f>_xll.BDP("FNDD7456 Mtge","CRNCY")</f>
        <v>USD</v>
      </c>
      <c r="E3274">
        <v>1497194</v>
      </c>
      <c r="F3274">
        <f>_xll.BDP("FNDD7456 Mtge","CPN")</f>
        <v>6</v>
      </c>
      <c r="G3274">
        <f>_xll.BDP("FNDD7456 Mtge","MTG_FACTOR")</f>
        <v>0.77107124000000005</v>
      </c>
      <c r="H3274">
        <f>_xll.BDP("FNDD7456 Mtge","MTG_WAL")</f>
        <v>3.2092000000000001</v>
      </c>
      <c r="I3274" t="str">
        <f>_xll.BDP("FNDD7456 Mtge","MTG_ORIG_WAL")</f>
        <v>#N/A N/A</v>
      </c>
    </row>
    <row r="3275" spans="1:9" x14ac:dyDescent="0.25">
      <c r="A3275" t="str">
        <f>_xll.BDP("FNDD7464 Mtge","ID_CUSIP")</f>
        <v>3140B8JJ1</v>
      </c>
      <c r="B3275" t="str">
        <f>_xll.BDP("FNDD7464 Mtge","SECURITY_NAME")</f>
        <v>FN DD7464</v>
      </c>
      <c r="C3275" t="str">
        <f>_xll.BDP("FNDD7464 Mtge","GENERIC_TICKER_VINTAGE")</f>
        <v>FNCL 6 2025</v>
      </c>
      <c r="D3275" t="str">
        <f>_xll.BDP("FNDD7464 Mtge","CRNCY")</f>
        <v>USD</v>
      </c>
      <c r="E3275">
        <v>1335732</v>
      </c>
      <c r="F3275">
        <f>_xll.BDP("FNDD7464 Mtge","CPN")</f>
        <v>6</v>
      </c>
      <c r="G3275">
        <f>_xll.BDP("FNDD7464 Mtge","MTG_FACTOR")</f>
        <v>0.98799610000000004</v>
      </c>
      <c r="H3275">
        <f>_xll.BDP("FNDD7464 Mtge","MTG_WAL")</f>
        <v>3.2471000000000001</v>
      </c>
      <c r="I3275" t="str">
        <f>_xll.BDP("FNDD7464 Mtge","MTG_ORIG_WAL")</f>
        <v>#N/A N/A</v>
      </c>
    </row>
    <row r="3276" spans="1:9" x14ac:dyDescent="0.25">
      <c r="A3276" t="str">
        <f>_xll.BDP("FNDD7477 Mtge","ID_CUSIP")</f>
        <v>3140B8JX0</v>
      </c>
      <c r="B3276" t="str">
        <f>_xll.BDP("FNDD7477 Mtge","SECURITY_NAME")</f>
        <v>FN DD7477</v>
      </c>
      <c r="C3276" t="str">
        <f>_xll.BDP("FNDD7477 Mtge","GENERIC_TICKER_VINTAGE")</f>
        <v>FNCL 6 2025</v>
      </c>
      <c r="D3276" t="str">
        <f>_xll.BDP("FNDD7477 Mtge","CRNCY")</f>
        <v>USD</v>
      </c>
      <c r="E3276">
        <v>1283325</v>
      </c>
      <c r="F3276">
        <f>_xll.BDP("FNDD7477 Mtge","CPN")</f>
        <v>6</v>
      </c>
      <c r="G3276">
        <f>_xll.BDP("FNDD7477 Mtge","MTG_FACTOR")</f>
        <v>0.82659470000000002</v>
      </c>
      <c r="H3276">
        <f>_xll.BDP("FNDD7477 Mtge","MTG_WAL")</f>
        <v>3.2488000000000001</v>
      </c>
      <c r="I3276" t="str">
        <f>_xll.BDP("FNDD7477 Mtge","MTG_ORIG_WAL")</f>
        <v>#N/A N/A</v>
      </c>
    </row>
    <row r="3277" spans="1:9" x14ac:dyDescent="0.25">
      <c r="A3277" t="str">
        <f>_xll.BDP("FNDD7478 Mtge","ID_CUSIP")</f>
        <v>3140B8JY8</v>
      </c>
      <c r="B3277" t="str">
        <f>_xll.BDP("FNDD7478 Mtge","SECURITY_NAME")</f>
        <v>FN DD7478</v>
      </c>
      <c r="C3277" t="str">
        <f>_xll.BDP("FNDD7478 Mtge","GENERIC_TICKER_VINTAGE")</f>
        <v>FNCL 6 2025</v>
      </c>
      <c r="D3277" t="str">
        <f>_xll.BDP("FNDD7478 Mtge","CRNCY")</f>
        <v>USD</v>
      </c>
      <c r="E3277">
        <v>2013042</v>
      </c>
      <c r="F3277">
        <f>_xll.BDP("FNDD7478 Mtge","CPN")</f>
        <v>6</v>
      </c>
      <c r="G3277">
        <f>_xll.BDP("FNDD7478 Mtge","MTG_FACTOR")</f>
        <v>0.99055968000000005</v>
      </c>
      <c r="H3277">
        <f>_xll.BDP("FNDD7478 Mtge","MTG_WAL")</f>
        <v>3.2492999999999999</v>
      </c>
      <c r="I3277" t="str">
        <f>_xll.BDP("FNDD7478 Mtge","MTG_ORIG_WAL")</f>
        <v>#N/A N/A</v>
      </c>
    </row>
    <row r="3278" spans="1:9" x14ac:dyDescent="0.25">
      <c r="A3278" t="str">
        <f>_xll.BDP("FNDD7479 Mtge","ID_CUSIP")</f>
        <v>3140B8JZ5</v>
      </c>
      <c r="B3278" t="str">
        <f>_xll.BDP("FNDD7479 Mtge","SECURITY_NAME")</f>
        <v>FN DD7479</v>
      </c>
      <c r="C3278" t="str">
        <f>_xll.BDP("FNDD7479 Mtge","GENERIC_TICKER_VINTAGE")</f>
        <v>FNCL 6 2025</v>
      </c>
      <c r="D3278" t="str">
        <f>_xll.BDP("FNDD7479 Mtge","CRNCY")</f>
        <v>USD</v>
      </c>
      <c r="E3278">
        <v>1983225</v>
      </c>
      <c r="F3278">
        <f>_xll.BDP("FNDD7479 Mtge","CPN")</f>
        <v>6</v>
      </c>
      <c r="G3278">
        <f>_xll.BDP("FNDD7479 Mtge","MTG_FACTOR")</f>
        <v>0.82075503999999999</v>
      </c>
      <c r="H3278">
        <f>_xll.BDP("FNDD7479 Mtge","MTG_WAL")</f>
        <v>3.2517</v>
      </c>
      <c r="I3278" t="str">
        <f>_xll.BDP("FNDD7479 Mtge","MTG_ORIG_WAL")</f>
        <v>#N/A N/A</v>
      </c>
    </row>
    <row r="3279" spans="1:9" x14ac:dyDescent="0.25">
      <c r="A3279" t="str">
        <f>_xll.BDP("FNDD7480 Mtge","ID_CUSIP")</f>
        <v>3140B8J28</v>
      </c>
      <c r="B3279" t="str">
        <f>_xll.BDP("FNDD7480 Mtge","SECURITY_NAME")</f>
        <v>FN DD7480</v>
      </c>
      <c r="C3279" t="str">
        <f>_xll.BDP("FNDD7480 Mtge","GENERIC_TICKER_VINTAGE")</f>
        <v>FNCL 6 2025</v>
      </c>
      <c r="D3279" t="str">
        <f>_xll.BDP("FNDD7480 Mtge","CRNCY")</f>
        <v>USD</v>
      </c>
      <c r="E3279">
        <v>1947827</v>
      </c>
      <c r="F3279">
        <f>_xll.BDP("FNDD7480 Mtge","CPN")</f>
        <v>6</v>
      </c>
      <c r="G3279">
        <f>_xll.BDP("FNDD7480 Mtge","MTG_FACTOR")</f>
        <v>0.99073109000000004</v>
      </c>
      <c r="H3279">
        <f>_xll.BDP("FNDD7480 Mtge","MTG_WAL")</f>
        <v>3.2522000000000002</v>
      </c>
      <c r="I3279" t="str">
        <f>_xll.BDP("FNDD7480 Mtge","MTG_ORIG_WAL")</f>
        <v>#N/A N/A</v>
      </c>
    </row>
    <row r="3280" spans="1:9" x14ac:dyDescent="0.25">
      <c r="A3280" t="str">
        <f>_xll.BDP("FNDD7498 Mtge","ID_CUSIP")</f>
        <v>3140B8KL4</v>
      </c>
      <c r="B3280" t="str">
        <f>_xll.BDP("FNDD7498 Mtge","SECURITY_NAME")</f>
        <v>FN DD7498</v>
      </c>
      <c r="C3280" t="str">
        <f>_xll.BDP("FNDD7498 Mtge","GENERIC_TICKER_VINTAGE")</f>
        <v>FNCL 6 2025</v>
      </c>
      <c r="D3280" t="str">
        <f>_xll.BDP("FNDD7498 Mtge","CRNCY")</f>
        <v>USD</v>
      </c>
      <c r="E3280">
        <v>1900006</v>
      </c>
      <c r="F3280">
        <f>_xll.BDP("FNDD7498 Mtge","CPN")</f>
        <v>6</v>
      </c>
      <c r="G3280">
        <f>_xll.BDP("FNDD7498 Mtge","MTG_FACTOR")</f>
        <v>0.76160391999999999</v>
      </c>
      <c r="H3280">
        <f>_xll.BDP("FNDD7498 Mtge","MTG_WAL")</f>
        <v>3.2490999999999999</v>
      </c>
      <c r="I3280" t="str">
        <f>_xll.BDP("FNDD7498 Mtge","MTG_ORIG_WAL")</f>
        <v>#N/A N/A</v>
      </c>
    </row>
    <row r="3281" spans="1:9" x14ac:dyDescent="0.25">
      <c r="A3281" t="str">
        <f>_xll.BDP("FNDD7499 Mtge","ID_CUSIP")</f>
        <v>3140B8KM2</v>
      </c>
      <c r="B3281" t="str">
        <f>_xll.BDP("FNDD7499 Mtge","SECURITY_NAME")</f>
        <v>FN DD7499</v>
      </c>
      <c r="C3281" t="str">
        <f>_xll.BDP("FNDD7499 Mtge","GENERIC_TICKER_VINTAGE")</f>
        <v>FNCL 6 2025</v>
      </c>
      <c r="D3281" t="str">
        <f>_xll.BDP("FNDD7499 Mtge","CRNCY")</f>
        <v>USD</v>
      </c>
      <c r="E3281">
        <v>1650970</v>
      </c>
      <c r="F3281">
        <f>_xll.BDP("FNDD7499 Mtge","CPN")</f>
        <v>6</v>
      </c>
      <c r="G3281">
        <f>_xll.BDP("FNDD7499 Mtge","MTG_FACTOR")</f>
        <v>0.8401708</v>
      </c>
      <c r="H3281">
        <f>_xll.BDP("FNDD7499 Mtge","MTG_WAL")</f>
        <v>3.294</v>
      </c>
      <c r="I3281" t="str">
        <f>_xll.BDP("FNDD7499 Mtge","MTG_ORIG_WAL")</f>
        <v>#N/A N/A</v>
      </c>
    </row>
    <row r="3282" spans="1:9" x14ac:dyDescent="0.25">
      <c r="A3282" t="str">
        <f>_xll.BDP("FNDD7515 Mtge","ID_CUSIP")</f>
        <v>3140B8K59</v>
      </c>
      <c r="B3282" t="str">
        <f>_xll.BDP("FNDD7515 Mtge","SECURITY_NAME")</f>
        <v>FN DD7515</v>
      </c>
      <c r="C3282" t="str">
        <f>_xll.BDP("FNDD7515 Mtge","GENERIC_TICKER_VINTAGE")</f>
        <v>FNCL 6 2025</v>
      </c>
      <c r="D3282" t="str">
        <f>_xll.BDP("FNDD7515 Mtge","CRNCY")</f>
        <v>USD</v>
      </c>
      <c r="E3282">
        <v>1156774</v>
      </c>
      <c r="F3282">
        <f>_xll.BDP("FNDD7515 Mtge","CPN")</f>
        <v>6</v>
      </c>
      <c r="G3282">
        <f>_xll.BDP("FNDD7515 Mtge","MTG_FACTOR")</f>
        <v>0.98998984999999995</v>
      </c>
      <c r="H3282">
        <f>_xll.BDP("FNDD7515 Mtge","MTG_WAL")</f>
        <v>3.2951000000000001</v>
      </c>
      <c r="I3282" t="str">
        <f>_xll.BDP("FNDD7515 Mtge","MTG_ORIG_WAL")</f>
        <v>#N/A N/A</v>
      </c>
    </row>
    <row r="3283" spans="1:9" x14ac:dyDescent="0.25">
      <c r="A3283" t="str">
        <f>_xll.BDP("FNDD7516 Mtge","ID_CUSIP")</f>
        <v>3140B8K67</v>
      </c>
      <c r="B3283" t="str">
        <f>_xll.BDP("FNDD7516 Mtge","SECURITY_NAME")</f>
        <v>FN DD7516</v>
      </c>
      <c r="C3283" t="str">
        <f>_xll.BDP("FNDD7516 Mtge","GENERIC_TICKER_VINTAGE")</f>
        <v>FNCL 6 2025</v>
      </c>
      <c r="D3283" t="str">
        <f>_xll.BDP("FNDD7516 Mtge","CRNCY")</f>
        <v>USD</v>
      </c>
      <c r="E3283">
        <v>2121650</v>
      </c>
      <c r="F3283">
        <f>_xll.BDP("FNDD7516 Mtge","CPN")</f>
        <v>6</v>
      </c>
      <c r="G3283">
        <f>_xll.BDP("FNDD7516 Mtge","MTG_FACTOR")</f>
        <v>0.88185577999999998</v>
      </c>
      <c r="H3283">
        <f>_xll.BDP("FNDD7516 Mtge","MTG_WAL")</f>
        <v>3.2839999999999998</v>
      </c>
      <c r="I3283" t="str">
        <f>_xll.BDP("FNDD7516 Mtge","MTG_ORIG_WAL")</f>
        <v>#N/A N/A</v>
      </c>
    </row>
    <row r="3284" spans="1:9" x14ac:dyDescent="0.25">
      <c r="A3284" t="str">
        <f>_xll.BDP("FNDD7517 Mtge","ID_CUSIP")</f>
        <v>3140B8K75</v>
      </c>
      <c r="B3284" t="str">
        <f>_xll.BDP("FNDD7517 Mtge","SECURITY_NAME")</f>
        <v>FN DD7517</v>
      </c>
      <c r="C3284" t="str">
        <f>_xll.BDP("FNDD7517 Mtge","GENERIC_TICKER_VINTAGE")</f>
        <v>FNCL 6 2025</v>
      </c>
      <c r="D3284" t="str">
        <f>_xll.BDP("FNDD7517 Mtge","CRNCY")</f>
        <v>USD</v>
      </c>
      <c r="E3284">
        <v>3143467</v>
      </c>
      <c r="F3284">
        <f>_xll.BDP("FNDD7517 Mtge","CPN")</f>
        <v>6</v>
      </c>
      <c r="G3284">
        <f>_xll.BDP("FNDD7517 Mtge","MTG_FACTOR")</f>
        <v>0.98185460000000002</v>
      </c>
      <c r="H3284">
        <f>_xll.BDP("FNDD7517 Mtge","MTG_WAL")</f>
        <v>3.2885</v>
      </c>
      <c r="I3284" t="str">
        <f>_xll.BDP("FNDD7517 Mtge","MTG_ORIG_WAL")</f>
        <v>#N/A N/A</v>
      </c>
    </row>
    <row r="3285" spans="1:9" x14ac:dyDescent="0.25">
      <c r="A3285" t="str">
        <f>_xll.BDP("FNDD7518 Mtge","ID_CUSIP")</f>
        <v>3140B8K83</v>
      </c>
      <c r="B3285" t="str">
        <f>_xll.BDP("FNDD7518 Mtge","SECURITY_NAME")</f>
        <v>FN DD7518</v>
      </c>
      <c r="C3285" t="str">
        <f>_xll.BDP("FNDD7518 Mtge","GENERIC_TICKER_VINTAGE")</f>
        <v>FNCL 6 2025</v>
      </c>
      <c r="D3285" t="str">
        <f>_xll.BDP("FNDD7518 Mtge","CRNCY")</f>
        <v>USD</v>
      </c>
      <c r="E3285">
        <v>9226524</v>
      </c>
      <c r="F3285">
        <f>_xll.BDP("FNDD7518 Mtge","CPN")</f>
        <v>6</v>
      </c>
      <c r="G3285">
        <f>_xll.BDP("FNDD7518 Mtge","MTG_FACTOR")</f>
        <v>0.84200134999999998</v>
      </c>
      <c r="H3285">
        <f>_xll.BDP("FNDD7518 Mtge","MTG_WAL")</f>
        <v>3.2843</v>
      </c>
      <c r="I3285" t="str">
        <f>_xll.BDP("FNDD7518 Mtge","MTG_ORIG_WAL")</f>
        <v>#N/A N/A</v>
      </c>
    </row>
    <row r="3286" spans="1:9" x14ac:dyDescent="0.25">
      <c r="A3286" t="str">
        <f>_xll.BDP("FNDD7519 Mtge","ID_CUSIP")</f>
        <v>3140B8K91</v>
      </c>
      <c r="B3286" t="str">
        <f>_xll.BDP("FNDD7519 Mtge","SECURITY_NAME")</f>
        <v>FN DD7519</v>
      </c>
      <c r="C3286" t="str">
        <f>_xll.BDP("FNDD7519 Mtge","GENERIC_TICKER_VINTAGE")</f>
        <v>FNCL 6 2025</v>
      </c>
      <c r="D3286" t="str">
        <f>_xll.BDP("FNDD7519 Mtge","CRNCY")</f>
        <v>USD</v>
      </c>
      <c r="E3286">
        <v>2156241</v>
      </c>
      <c r="F3286">
        <f>_xll.BDP("FNDD7519 Mtge","CPN")</f>
        <v>6</v>
      </c>
      <c r="G3286">
        <f>_xll.BDP("FNDD7519 Mtge","MTG_FACTOR")</f>
        <v>0.82217499999999999</v>
      </c>
      <c r="H3286">
        <f>_xll.BDP("FNDD7519 Mtge","MTG_WAL")</f>
        <v>3.294</v>
      </c>
      <c r="I3286" t="str">
        <f>_xll.BDP("FNDD7519 Mtge","MTG_ORIG_WAL")</f>
        <v>#N/A N/A</v>
      </c>
    </row>
    <row r="3287" spans="1:9" x14ac:dyDescent="0.25">
      <c r="A3287" t="str">
        <f>_xll.BDP("FNDD7526 Mtge","ID_CUSIP")</f>
        <v>3140B8LG4</v>
      </c>
      <c r="B3287" t="str">
        <f>_xll.BDP("FNDD7526 Mtge","SECURITY_NAME")</f>
        <v>FN DD7526</v>
      </c>
      <c r="C3287" t="str">
        <f>_xll.BDP("FNDD7526 Mtge","GENERIC_TICKER_VINTAGE")</f>
        <v>FNCL 6 2025</v>
      </c>
      <c r="D3287" t="str">
        <f>_xll.BDP("FNDD7526 Mtge","CRNCY")</f>
        <v>USD</v>
      </c>
      <c r="E3287">
        <v>9077681</v>
      </c>
      <c r="F3287">
        <f>_xll.BDP("FNDD7526 Mtge","CPN")</f>
        <v>6</v>
      </c>
      <c r="G3287">
        <f>_xll.BDP("FNDD7526 Mtge","MTG_FACTOR")</f>
        <v>0.89277956000000003</v>
      </c>
      <c r="H3287">
        <f>_xll.BDP("FNDD7526 Mtge","MTG_WAL")</f>
        <v>3.2505000000000002</v>
      </c>
      <c r="I3287" t="str">
        <f>_xll.BDP("FNDD7526 Mtge","MTG_ORIG_WAL")</f>
        <v>#N/A N/A</v>
      </c>
    </row>
    <row r="3288" spans="1:9" x14ac:dyDescent="0.25">
      <c r="A3288" t="str">
        <f>_xll.BDP("FNDD7527 Mtge","ID_CUSIP")</f>
        <v>3140B8LH2</v>
      </c>
      <c r="B3288" t="str">
        <f>_xll.BDP("FNDD7527 Mtge","SECURITY_NAME")</f>
        <v>FN DD7527</v>
      </c>
      <c r="C3288" t="str">
        <f>_xll.BDP("FNDD7527 Mtge","GENERIC_TICKER_VINTAGE")</f>
        <v>FNCL 6 2025</v>
      </c>
      <c r="D3288" t="str">
        <f>_xll.BDP("FNDD7527 Mtge","CRNCY")</f>
        <v>USD</v>
      </c>
      <c r="E3288">
        <v>1890507</v>
      </c>
      <c r="F3288">
        <f>_xll.BDP("FNDD7527 Mtge","CPN")</f>
        <v>6</v>
      </c>
      <c r="G3288">
        <f>_xll.BDP("FNDD7527 Mtge","MTG_FACTOR")</f>
        <v>0.79153359999999995</v>
      </c>
      <c r="H3288">
        <f>_xll.BDP("FNDD7527 Mtge","MTG_WAL")</f>
        <v>3.2921</v>
      </c>
      <c r="I3288" t="str">
        <f>_xll.BDP("FNDD7527 Mtge","MTG_ORIG_WAL")</f>
        <v>#N/A N/A</v>
      </c>
    </row>
    <row r="3289" spans="1:9" x14ac:dyDescent="0.25">
      <c r="A3289" t="str">
        <f>_xll.BDP("FNDD7542 Mtge","ID_CUSIP")</f>
        <v>3140B8LY5</v>
      </c>
      <c r="B3289" t="str">
        <f>_xll.BDP("FNDD7542 Mtge","SECURITY_NAME")</f>
        <v>FN DD7542</v>
      </c>
      <c r="C3289" t="str">
        <f>_xll.BDP("FNDD7542 Mtge","GENERIC_TICKER_VINTAGE")</f>
        <v>FNCL 6 2025</v>
      </c>
      <c r="D3289" t="str">
        <f>_xll.BDP("FNDD7542 Mtge","CRNCY")</f>
        <v>USD</v>
      </c>
      <c r="E3289">
        <v>2721421</v>
      </c>
      <c r="F3289">
        <f>_xll.BDP("FNDD7542 Mtge","CPN")</f>
        <v>6</v>
      </c>
      <c r="G3289">
        <f>_xll.BDP("FNDD7542 Mtge","MTG_FACTOR")</f>
        <v>0.65495172999999995</v>
      </c>
      <c r="H3289">
        <f>_xll.BDP("FNDD7542 Mtge","MTG_WAL")</f>
        <v>3.2974999999999999</v>
      </c>
      <c r="I3289" t="str">
        <f>_xll.BDP("FNDD7542 Mtge","MTG_ORIG_WAL")</f>
        <v>#N/A N/A</v>
      </c>
    </row>
    <row r="3290" spans="1:9" x14ac:dyDescent="0.25">
      <c r="A3290" t="str">
        <f>_xll.BDP("FNDD7543 Mtge","ID_CUSIP")</f>
        <v>3140B8LZ2</v>
      </c>
      <c r="B3290" t="str">
        <f>_xll.BDP("FNDD7543 Mtge","SECURITY_NAME")</f>
        <v>FN DD7543</v>
      </c>
      <c r="C3290" t="str">
        <f>_xll.BDP("FNDD7543 Mtge","GENERIC_TICKER_VINTAGE")</f>
        <v>FNCL 6 2025</v>
      </c>
      <c r="D3290" t="str">
        <f>_xll.BDP("FNDD7543 Mtge","CRNCY")</f>
        <v>USD</v>
      </c>
      <c r="E3290">
        <v>1270453</v>
      </c>
      <c r="F3290">
        <f>_xll.BDP("FNDD7543 Mtge","CPN")</f>
        <v>6</v>
      </c>
      <c r="G3290">
        <f>_xll.BDP("FNDD7543 Mtge","MTG_FACTOR")</f>
        <v>0.99127909000000003</v>
      </c>
      <c r="H3290">
        <f>_xll.BDP("FNDD7543 Mtge","MTG_WAL")</f>
        <v>3.2961999999999998</v>
      </c>
      <c r="I3290" t="str">
        <f>_xll.BDP("FNDD7543 Mtge","MTG_ORIG_WAL")</f>
        <v>#N/A N/A</v>
      </c>
    </row>
    <row r="3291" spans="1:9" x14ac:dyDescent="0.25">
      <c r="A3291" t="str">
        <f>_xll.BDP("FNDD7544 Mtge","ID_CUSIP")</f>
        <v>3140B8L25</v>
      </c>
      <c r="B3291" t="str">
        <f>_xll.BDP("FNDD7544 Mtge","SECURITY_NAME")</f>
        <v>FN DD7544</v>
      </c>
      <c r="C3291" t="str">
        <f>_xll.BDP("FNDD7544 Mtge","GENERIC_TICKER_VINTAGE")</f>
        <v>FNCL 6 2025</v>
      </c>
      <c r="D3291" t="str">
        <f>_xll.BDP("FNDD7544 Mtge","CRNCY")</f>
        <v>USD</v>
      </c>
      <c r="E3291">
        <v>4985484</v>
      </c>
      <c r="F3291">
        <f>_xll.BDP("FNDD7544 Mtge","CPN")</f>
        <v>6</v>
      </c>
      <c r="G3291">
        <f>_xll.BDP("FNDD7544 Mtge","MTG_FACTOR")</f>
        <v>0.86573613999999999</v>
      </c>
      <c r="H3291">
        <f>_xll.BDP("FNDD7544 Mtge","MTG_WAL")</f>
        <v>3.2881999999999998</v>
      </c>
      <c r="I3291" t="str">
        <f>_xll.BDP("FNDD7544 Mtge","MTG_ORIG_WAL")</f>
        <v>#N/A N/A</v>
      </c>
    </row>
    <row r="3292" spans="1:9" x14ac:dyDescent="0.25">
      <c r="A3292" t="str">
        <f>_xll.BDP("FNDD7560 Mtge","ID_CUSIP")</f>
        <v>3140B8MJ7</v>
      </c>
      <c r="B3292" t="str">
        <f>_xll.BDP("FNDD7560 Mtge","SECURITY_NAME")</f>
        <v>FN DD7560</v>
      </c>
      <c r="C3292" t="str">
        <f>_xll.BDP("FNDD7560 Mtge","GENERIC_TICKER_VINTAGE")</f>
        <v>FNCL 6 2025</v>
      </c>
      <c r="D3292" t="str">
        <f>_xll.BDP("FNDD7560 Mtge","CRNCY")</f>
        <v>USD</v>
      </c>
      <c r="E3292">
        <v>1093880</v>
      </c>
      <c r="F3292">
        <f>_xll.BDP("FNDD7560 Mtge","CPN")</f>
        <v>6</v>
      </c>
      <c r="G3292">
        <f>_xll.BDP("FNDD7560 Mtge","MTG_FACTOR")</f>
        <v>0.71887752000000005</v>
      </c>
      <c r="H3292">
        <f>_xll.BDP("FNDD7560 Mtge","MTG_WAL")</f>
        <v>3.2481</v>
      </c>
      <c r="I3292" t="str">
        <f>_xll.BDP("FNDD7560 Mtge","MTG_ORIG_WAL")</f>
        <v>#N/A N/A</v>
      </c>
    </row>
    <row r="3293" spans="1:9" x14ac:dyDescent="0.25">
      <c r="A3293" t="str">
        <f>_xll.BDP("FNDD7561 Mtge","ID_CUSIP")</f>
        <v>3140B8MK4</v>
      </c>
      <c r="B3293" t="str">
        <f>_xll.BDP("FNDD7561 Mtge","SECURITY_NAME")</f>
        <v>FN DD7561</v>
      </c>
      <c r="C3293" t="str">
        <f>_xll.BDP("FNDD7561 Mtge","GENERIC_TICKER_VINTAGE")</f>
        <v>FNCL 6 2025</v>
      </c>
      <c r="D3293" t="str">
        <f>_xll.BDP("FNDD7561 Mtge","CRNCY")</f>
        <v>USD</v>
      </c>
      <c r="E3293">
        <v>1286300</v>
      </c>
      <c r="F3293">
        <f>_xll.BDP("FNDD7561 Mtge","CPN")</f>
        <v>6</v>
      </c>
      <c r="G3293">
        <f>_xll.BDP("FNDD7561 Mtge","MTG_FACTOR")</f>
        <v>0.98906503000000001</v>
      </c>
      <c r="H3293">
        <f>_xll.BDP("FNDD7561 Mtge","MTG_WAL")</f>
        <v>3.2483</v>
      </c>
      <c r="I3293" t="str">
        <f>_xll.BDP("FNDD7561 Mtge","MTG_ORIG_WAL")</f>
        <v>#N/A N/A</v>
      </c>
    </row>
    <row r="3294" spans="1:9" x14ac:dyDescent="0.25">
      <c r="A3294" t="str">
        <f>_xll.BDP("FNDD7562 Mtge","ID_CUSIP")</f>
        <v>3140B8ML2</v>
      </c>
      <c r="B3294" t="str">
        <f>_xll.BDP("FNDD7562 Mtge","SECURITY_NAME")</f>
        <v>FN DD7562</v>
      </c>
      <c r="C3294" t="str">
        <f>_xll.BDP("FNDD7562 Mtge","GENERIC_TICKER_VINTAGE")</f>
        <v>FNCL 6 2025</v>
      </c>
      <c r="D3294" t="str">
        <f>_xll.BDP("FNDD7562 Mtge","CRNCY")</f>
        <v>USD</v>
      </c>
      <c r="E3294">
        <v>1150595</v>
      </c>
      <c r="F3294">
        <f>_xll.BDP("FNDD7562 Mtge","CPN")</f>
        <v>6</v>
      </c>
      <c r="G3294">
        <f>_xll.BDP("FNDD7562 Mtge","MTG_FACTOR")</f>
        <v>0.98173843999999999</v>
      </c>
      <c r="H3294">
        <f>_xll.BDP("FNDD7562 Mtge","MTG_WAL")</f>
        <v>3.242</v>
      </c>
      <c r="I3294" t="str">
        <f>_xll.BDP("FNDD7562 Mtge","MTG_ORIG_WAL")</f>
        <v>#N/A N/A</v>
      </c>
    </row>
    <row r="3295" spans="1:9" x14ac:dyDescent="0.25">
      <c r="A3295" t="str">
        <f>_xll.BDP("FNDD7576 Mtge","ID_CUSIP")</f>
        <v>3140B8M24</v>
      </c>
      <c r="B3295" t="str">
        <f>_xll.BDP("FNDD7576 Mtge","SECURITY_NAME")</f>
        <v>FN DD7576</v>
      </c>
      <c r="C3295" t="str">
        <f>_xll.BDP("FNDD7576 Mtge","GENERIC_TICKER_VINTAGE")</f>
        <v>FNCL 6 2025</v>
      </c>
      <c r="D3295" t="str">
        <f>_xll.BDP("FNDD7576 Mtge","CRNCY")</f>
        <v>USD</v>
      </c>
      <c r="E3295">
        <v>1107250</v>
      </c>
      <c r="F3295">
        <f>_xll.BDP("FNDD7576 Mtge","CPN")</f>
        <v>6</v>
      </c>
      <c r="G3295">
        <f>_xll.BDP("FNDD7576 Mtge","MTG_FACTOR")</f>
        <v>0.98859251999999997</v>
      </c>
      <c r="H3295">
        <f>_xll.BDP("FNDD7576 Mtge","MTG_WAL")</f>
        <v>3.2475999999999998</v>
      </c>
      <c r="I3295" t="str">
        <f>_xll.BDP("FNDD7576 Mtge","MTG_ORIG_WAL")</f>
        <v>#N/A N/A</v>
      </c>
    </row>
    <row r="3296" spans="1:9" x14ac:dyDescent="0.25">
      <c r="A3296" t="str">
        <f>_xll.BDP("FNDD7577 Mtge","ID_CUSIP")</f>
        <v>3140B8M32</v>
      </c>
      <c r="B3296" t="str">
        <f>_xll.BDP("FNDD7577 Mtge","SECURITY_NAME")</f>
        <v>FN DD7577</v>
      </c>
      <c r="C3296" t="str">
        <f>_xll.BDP("FNDD7577 Mtge","GENERIC_TICKER_VINTAGE")</f>
        <v>FNCL 6 2025</v>
      </c>
      <c r="D3296" t="str">
        <f>_xll.BDP("FNDD7577 Mtge","CRNCY")</f>
        <v>USD</v>
      </c>
      <c r="E3296">
        <v>1118417</v>
      </c>
      <c r="F3296">
        <f>_xll.BDP("FNDD7577 Mtge","CPN")</f>
        <v>6</v>
      </c>
      <c r="G3296">
        <f>_xll.BDP("FNDD7577 Mtge","MTG_FACTOR")</f>
        <v>0.89078712999999998</v>
      </c>
      <c r="H3296">
        <f>_xll.BDP("FNDD7577 Mtge","MTG_WAL")</f>
        <v>3.2330999999999999</v>
      </c>
      <c r="I3296" t="str">
        <f>_xll.BDP("FNDD7577 Mtge","MTG_ORIG_WAL")</f>
        <v>#N/A N/A</v>
      </c>
    </row>
    <row r="3297" spans="1:9" x14ac:dyDescent="0.25">
      <c r="A3297" t="str">
        <f>_xll.BDP("FNDD7578 Mtge","ID_CUSIP")</f>
        <v>3140B8M40</v>
      </c>
      <c r="B3297" t="str">
        <f>_xll.BDP("FNDD7578 Mtge","SECURITY_NAME")</f>
        <v>FN DD7578</v>
      </c>
      <c r="C3297" t="str">
        <f>_xll.BDP("FNDD7578 Mtge","GENERIC_TICKER_VINTAGE")</f>
        <v>FNCL 6 2025</v>
      </c>
      <c r="D3297" t="str">
        <f>_xll.BDP("FNDD7578 Mtge","CRNCY")</f>
        <v>USD</v>
      </c>
      <c r="E3297">
        <v>1280400</v>
      </c>
      <c r="F3297">
        <f>_xll.BDP("FNDD7578 Mtge","CPN")</f>
        <v>6</v>
      </c>
      <c r="G3297">
        <f>_xll.BDP("FNDD7578 Mtge","MTG_FACTOR")</f>
        <v>0.99033141000000002</v>
      </c>
      <c r="H3297">
        <f>_xll.BDP("FNDD7578 Mtge","MTG_WAL")</f>
        <v>3.2490999999999999</v>
      </c>
      <c r="I3297" t="str">
        <f>_xll.BDP("FNDD7578 Mtge","MTG_ORIG_WAL")</f>
        <v>#N/A N/A</v>
      </c>
    </row>
    <row r="3298" spans="1:9" x14ac:dyDescent="0.25">
      <c r="A3298" t="str">
        <f>_xll.BDP("FNDD7579 Mtge","ID_CUSIP")</f>
        <v>3140B8M57</v>
      </c>
      <c r="B3298" t="str">
        <f>_xll.BDP("FNDD7579 Mtge","SECURITY_NAME")</f>
        <v>FN DD7579</v>
      </c>
      <c r="C3298" t="str">
        <f>_xll.BDP("FNDD7579 Mtge","GENERIC_TICKER_VINTAGE")</f>
        <v>FNCL 6 2025</v>
      </c>
      <c r="D3298" t="str">
        <f>_xll.BDP("FNDD7579 Mtge","CRNCY")</f>
        <v>USD</v>
      </c>
      <c r="E3298">
        <v>1427663</v>
      </c>
      <c r="F3298">
        <f>_xll.BDP("FNDD7579 Mtge","CPN")</f>
        <v>6</v>
      </c>
      <c r="G3298">
        <f>_xll.BDP("FNDD7579 Mtge","MTG_FACTOR")</f>
        <v>0.98788180999999997</v>
      </c>
      <c r="H3298">
        <f>_xll.BDP("FNDD7579 Mtge","MTG_WAL")</f>
        <v>3.2467999999999999</v>
      </c>
      <c r="I3298" t="str">
        <f>_xll.BDP("FNDD7579 Mtge","MTG_ORIG_WAL")</f>
        <v>#N/A N/A</v>
      </c>
    </row>
    <row r="3299" spans="1:9" x14ac:dyDescent="0.25">
      <c r="A3299" t="str">
        <f>_xll.BDP("FNDD7582 Mtge","ID_CUSIP")</f>
        <v>3140B8M81</v>
      </c>
      <c r="B3299" t="str">
        <f>_xll.BDP("FNDD7582 Mtge","SECURITY_NAME")</f>
        <v>FN DD7582</v>
      </c>
      <c r="C3299" t="str">
        <f>_xll.BDP("FNDD7582 Mtge","GENERIC_TICKER_VINTAGE")</f>
        <v>FNCL 6 2025</v>
      </c>
      <c r="D3299" t="str">
        <f>_xll.BDP("FNDD7582 Mtge","CRNCY")</f>
        <v>USD</v>
      </c>
      <c r="E3299">
        <v>2201120</v>
      </c>
      <c r="F3299">
        <f>_xll.BDP("FNDD7582 Mtge","CPN")</f>
        <v>6</v>
      </c>
      <c r="G3299">
        <f>_xll.BDP("FNDD7582 Mtge","MTG_FACTOR")</f>
        <v>0.83847740000000004</v>
      </c>
      <c r="H3299">
        <f>_xll.BDP("FNDD7582 Mtge","MTG_WAL")</f>
        <v>3.2302</v>
      </c>
      <c r="I3299" t="str">
        <f>_xll.BDP("FNDD7582 Mtge","MTG_ORIG_WAL")</f>
        <v>#N/A N/A</v>
      </c>
    </row>
    <row r="3300" spans="1:9" x14ac:dyDescent="0.25">
      <c r="A3300" t="str">
        <f>_xll.BDP("FNDD7583 Mtge","ID_CUSIP")</f>
        <v>3140B8M99</v>
      </c>
      <c r="B3300" t="str">
        <f>_xll.BDP("FNDD7583 Mtge","SECURITY_NAME")</f>
        <v>FN DD7583</v>
      </c>
      <c r="C3300" t="str">
        <f>_xll.BDP("FNDD7583 Mtge","GENERIC_TICKER_VINTAGE")</f>
        <v>FNCL 6 2025</v>
      </c>
      <c r="D3300" t="str">
        <f>_xll.BDP("FNDD7583 Mtge","CRNCY")</f>
        <v>USD</v>
      </c>
      <c r="E3300">
        <v>1329220</v>
      </c>
      <c r="F3300">
        <f>_xll.BDP("FNDD7583 Mtge","CPN")</f>
        <v>6</v>
      </c>
      <c r="G3300">
        <f>_xll.BDP("FNDD7583 Mtge","MTG_FACTOR")</f>
        <v>0.74468122999999997</v>
      </c>
      <c r="H3300">
        <f>_xll.BDP("FNDD7583 Mtge","MTG_WAL")</f>
        <v>3.2498</v>
      </c>
      <c r="I3300" t="str">
        <f>_xll.BDP("FNDD7583 Mtge","MTG_ORIG_WAL")</f>
        <v>#N/A N/A</v>
      </c>
    </row>
    <row r="3301" spans="1:9" x14ac:dyDescent="0.25">
      <c r="A3301" t="str">
        <f>_xll.BDP("FNDD7584 Mtge","ID_CUSIP")</f>
        <v>3140B8NA5</v>
      </c>
      <c r="B3301" t="str">
        <f>_xll.BDP("FNDD7584 Mtge","SECURITY_NAME")</f>
        <v>FN DD7584</v>
      </c>
      <c r="C3301" t="str">
        <f>_xll.BDP("FNDD7584 Mtge","GENERIC_TICKER_VINTAGE")</f>
        <v>FNCL 6 2025</v>
      </c>
      <c r="D3301" t="str">
        <f>_xll.BDP("FNDD7584 Mtge","CRNCY")</f>
        <v>USD</v>
      </c>
      <c r="E3301">
        <v>1741410</v>
      </c>
      <c r="F3301">
        <f>_xll.BDP("FNDD7584 Mtge","CPN")</f>
        <v>6</v>
      </c>
      <c r="G3301">
        <f>_xll.BDP("FNDD7584 Mtge","MTG_FACTOR")</f>
        <v>0.98959222000000002</v>
      </c>
      <c r="H3301">
        <f>_xll.BDP("FNDD7584 Mtge","MTG_WAL")</f>
        <v>3.2473999999999998</v>
      </c>
      <c r="I3301" t="str">
        <f>_xll.BDP("FNDD7584 Mtge","MTG_ORIG_WAL")</f>
        <v>#N/A N/A</v>
      </c>
    </row>
    <row r="3302" spans="1:9" x14ac:dyDescent="0.25">
      <c r="A3302" t="str">
        <f>_xll.BDP("FNDD7586 Mtge","ID_CUSIP")</f>
        <v>3140B8NC1</v>
      </c>
      <c r="B3302" t="str">
        <f>_xll.BDP("FNDD7586 Mtge","SECURITY_NAME")</f>
        <v>FN DD7586</v>
      </c>
      <c r="C3302" t="str">
        <f>_xll.BDP("FNDD7586 Mtge","GENERIC_TICKER_VINTAGE")</f>
        <v>FNCL 6 2025</v>
      </c>
      <c r="D3302" t="str">
        <f>_xll.BDP("FNDD7586 Mtge","CRNCY")</f>
        <v>USD</v>
      </c>
      <c r="E3302">
        <v>4587515</v>
      </c>
      <c r="F3302">
        <f>_xll.BDP("FNDD7586 Mtge","CPN")</f>
        <v>6</v>
      </c>
      <c r="G3302">
        <f>_xll.BDP("FNDD7586 Mtge","MTG_FACTOR")</f>
        <v>0.90674376999999995</v>
      </c>
      <c r="H3302">
        <f>_xll.BDP("FNDD7586 Mtge","MTG_WAL")</f>
        <v>3.2494999999999998</v>
      </c>
      <c r="I3302" t="str">
        <f>_xll.BDP("FNDD7586 Mtge","MTG_ORIG_WAL")</f>
        <v>#N/A N/A</v>
      </c>
    </row>
    <row r="3303" spans="1:9" x14ac:dyDescent="0.25">
      <c r="A3303" t="str">
        <f>_xll.BDP("FNDD7587 Mtge","ID_CUSIP")</f>
        <v>3140B8ND9</v>
      </c>
      <c r="B3303" t="str">
        <f>_xll.BDP("FNDD7587 Mtge","SECURITY_NAME")</f>
        <v>FN DD7587</v>
      </c>
      <c r="C3303" t="str">
        <f>_xll.BDP("FNDD7587 Mtge","GENERIC_TICKER_VINTAGE")</f>
        <v>FNCL 6 2025</v>
      </c>
      <c r="D3303" t="str">
        <f>_xll.BDP("FNDD7587 Mtge","CRNCY")</f>
        <v>USD</v>
      </c>
      <c r="E3303">
        <v>2295000</v>
      </c>
      <c r="F3303">
        <f>_xll.BDP("FNDD7587 Mtge","CPN")</f>
        <v>6</v>
      </c>
      <c r="G3303">
        <f>_xll.BDP("FNDD7587 Mtge","MTG_FACTOR")</f>
        <v>0.99062455999999999</v>
      </c>
      <c r="H3303">
        <f>_xll.BDP("FNDD7587 Mtge","MTG_WAL")</f>
        <v>3.2498</v>
      </c>
      <c r="I3303" t="str">
        <f>_xll.BDP("FNDD7587 Mtge","MTG_ORIG_WAL")</f>
        <v>#N/A N/A</v>
      </c>
    </row>
    <row r="3304" spans="1:9" x14ac:dyDescent="0.25">
      <c r="A3304" t="str">
        <f>_xll.BDP("FNDD7603 Mtge","ID_CUSIP")</f>
        <v>3140B8NV9</v>
      </c>
      <c r="B3304" t="str">
        <f>_xll.BDP("FNDD7603 Mtge","SECURITY_NAME")</f>
        <v>FN DD7603</v>
      </c>
      <c r="C3304" t="str">
        <f>_xll.BDP("FNDD7603 Mtge","GENERIC_TICKER_VINTAGE")</f>
        <v>FNCL 6 2025</v>
      </c>
      <c r="D3304" t="str">
        <f>_xll.BDP("FNDD7603 Mtge","CRNCY")</f>
        <v>USD</v>
      </c>
      <c r="E3304">
        <v>1483057</v>
      </c>
      <c r="F3304">
        <f>_xll.BDP("FNDD7603 Mtge","CPN")</f>
        <v>6</v>
      </c>
      <c r="G3304">
        <f>_xll.BDP("FNDD7603 Mtge","MTG_FACTOR")</f>
        <v>0.77303069999999996</v>
      </c>
      <c r="H3304">
        <f>_xll.BDP("FNDD7603 Mtge","MTG_WAL")</f>
        <v>3.2463000000000002</v>
      </c>
      <c r="I3304" t="str">
        <f>_xll.BDP("FNDD7603 Mtge","MTG_ORIG_WAL")</f>
        <v>#N/A N/A</v>
      </c>
    </row>
    <row r="3305" spans="1:9" x14ac:dyDescent="0.25">
      <c r="A3305" t="str">
        <f>_xll.BDP("FNDD7604 Mtge","ID_CUSIP")</f>
        <v>3140B8NW7</v>
      </c>
      <c r="B3305" t="str">
        <f>_xll.BDP("FNDD7604 Mtge","SECURITY_NAME")</f>
        <v>FN DD7604</v>
      </c>
      <c r="C3305" t="str">
        <f>_xll.BDP("FNDD7604 Mtge","GENERIC_TICKER_VINTAGE")</f>
        <v>FNCL 6 2025</v>
      </c>
      <c r="D3305" t="str">
        <f>_xll.BDP("FNDD7604 Mtge","CRNCY")</f>
        <v>USD</v>
      </c>
      <c r="E3305">
        <v>1518382</v>
      </c>
      <c r="F3305">
        <f>_xll.BDP("FNDD7604 Mtge","CPN")</f>
        <v>6</v>
      </c>
      <c r="G3305">
        <f>_xll.BDP("FNDD7604 Mtge","MTG_FACTOR")</f>
        <v>0.89597651</v>
      </c>
      <c r="H3305">
        <f>_xll.BDP("FNDD7604 Mtge","MTG_WAL")</f>
        <v>3.1960999999999999</v>
      </c>
      <c r="I3305" t="str">
        <f>_xll.BDP("FNDD7604 Mtge","MTG_ORIG_WAL")</f>
        <v>#N/A N/A</v>
      </c>
    </row>
    <row r="3306" spans="1:9" x14ac:dyDescent="0.25">
      <c r="A3306" t="str">
        <f>_xll.BDP("FNDD7605 Mtge","ID_CUSIP")</f>
        <v>3140B8NX5</v>
      </c>
      <c r="B3306" t="str">
        <f>_xll.BDP("FNDD7605 Mtge","SECURITY_NAME")</f>
        <v>FN DD7605</v>
      </c>
      <c r="C3306" t="str">
        <f>_xll.BDP("FNDD7605 Mtge","GENERIC_TICKER_VINTAGE")</f>
        <v>FNCL 6 2025</v>
      </c>
      <c r="D3306" t="str">
        <f>_xll.BDP("FNDD7605 Mtge","CRNCY")</f>
        <v>USD</v>
      </c>
      <c r="E3306">
        <v>3379940</v>
      </c>
      <c r="F3306">
        <f>_xll.BDP("FNDD7605 Mtge","CPN")</f>
        <v>6</v>
      </c>
      <c r="G3306">
        <f>_xll.BDP("FNDD7605 Mtge","MTG_FACTOR")</f>
        <v>0.84005141000000005</v>
      </c>
      <c r="H3306">
        <f>_xll.BDP("FNDD7605 Mtge","MTG_WAL")</f>
        <v>3.2494999999999998</v>
      </c>
      <c r="I3306" t="str">
        <f>_xll.BDP("FNDD7605 Mtge","MTG_ORIG_WAL")</f>
        <v>#N/A N/A</v>
      </c>
    </row>
    <row r="3307" spans="1:9" x14ac:dyDescent="0.25">
      <c r="A3307" t="str">
        <f>_xll.BDP("FNDD7607 Mtge","ID_CUSIP")</f>
        <v>3140B8NZ0</v>
      </c>
      <c r="B3307" t="str">
        <f>_xll.BDP("FNDD7607 Mtge","SECURITY_NAME")</f>
        <v>FN DD7607</v>
      </c>
      <c r="C3307" t="str">
        <f>_xll.BDP("FNDD7607 Mtge","GENERIC_TICKER_VINTAGE")</f>
        <v>FNCL 6 2025</v>
      </c>
      <c r="D3307" t="str">
        <f>_xll.BDP("FNDD7607 Mtge","CRNCY")</f>
        <v>USD</v>
      </c>
      <c r="E3307">
        <v>4820832</v>
      </c>
      <c r="F3307">
        <f>_xll.BDP("FNDD7607 Mtge","CPN")</f>
        <v>6</v>
      </c>
      <c r="G3307">
        <f>_xll.BDP("FNDD7607 Mtge","MTG_FACTOR")</f>
        <v>0.86785858999999999</v>
      </c>
      <c r="H3307">
        <f>_xll.BDP("FNDD7607 Mtge","MTG_WAL")</f>
        <v>3.2503000000000002</v>
      </c>
      <c r="I3307" t="str">
        <f>_xll.BDP("FNDD7607 Mtge","MTG_ORIG_WAL")</f>
        <v>#N/A N/A</v>
      </c>
    </row>
    <row r="3308" spans="1:9" x14ac:dyDescent="0.25">
      <c r="A3308" t="str">
        <f>_xll.BDP("FNDD7618 Mtge","ID_CUSIP")</f>
        <v>3140B8PC9</v>
      </c>
      <c r="B3308" t="str">
        <f>_xll.BDP("FNDD7618 Mtge","SECURITY_NAME")</f>
        <v>FN DD7618</v>
      </c>
      <c r="C3308" t="str">
        <f>_xll.BDP("FNDD7618 Mtge","GENERIC_TICKER_VINTAGE")</f>
        <v>FNCL 6 2025</v>
      </c>
      <c r="D3308" t="str">
        <f>_xll.BDP("FNDD7618 Mtge","CRNCY")</f>
        <v>USD</v>
      </c>
      <c r="E3308">
        <v>1045917</v>
      </c>
      <c r="F3308">
        <f>_xll.BDP("FNDD7618 Mtge","CPN")</f>
        <v>6</v>
      </c>
      <c r="G3308">
        <f>_xll.BDP("FNDD7618 Mtge","MTG_FACTOR")</f>
        <v>0.99039451000000001</v>
      </c>
      <c r="H3308">
        <f>_xll.BDP("FNDD7618 Mtge","MTG_WAL")</f>
        <v>3.2475999999999998</v>
      </c>
      <c r="I3308" t="str">
        <f>_xll.BDP("FNDD7618 Mtge","MTG_ORIG_WAL")</f>
        <v>#N/A N/A</v>
      </c>
    </row>
    <row r="3309" spans="1:9" x14ac:dyDescent="0.25">
      <c r="A3309" t="str">
        <f>_xll.BDP("FNDD7619 Mtge","ID_CUSIP")</f>
        <v>3140B8PD7</v>
      </c>
      <c r="B3309" t="str">
        <f>_xll.BDP("FNDD7619 Mtge","SECURITY_NAME")</f>
        <v>FN DD7619</v>
      </c>
      <c r="C3309" t="str">
        <f>_xll.BDP("FNDD7619 Mtge","GENERIC_TICKER_VINTAGE")</f>
        <v>FNCL 6 2025</v>
      </c>
      <c r="D3309" t="str">
        <f>_xll.BDP("FNDD7619 Mtge","CRNCY")</f>
        <v>USD</v>
      </c>
      <c r="E3309">
        <v>2615277</v>
      </c>
      <c r="F3309">
        <f>_xll.BDP("FNDD7619 Mtge","CPN")</f>
        <v>6</v>
      </c>
      <c r="G3309">
        <f>_xll.BDP("FNDD7619 Mtge","MTG_FACTOR")</f>
        <v>0.98964299</v>
      </c>
      <c r="H3309">
        <f>_xll.BDP("FNDD7619 Mtge","MTG_WAL")</f>
        <v>3.2465999999999999</v>
      </c>
      <c r="I3309" t="str">
        <f>_xll.BDP("FNDD7619 Mtge","MTG_ORIG_WAL")</f>
        <v>#N/A N/A</v>
      </c>
    </row>
    <row r="3310" spans="1:9" x14ac:dyDescent="0.25">
      <c r="A3310" t="str">
        <f>_xll.BDP("FNDD7621 Mtge","ID_CUSIP")</f>
        <v>3140B8PF2</v>
      </c>
      <c r="B3310" t="str">
        <f>_xll.BDP("FNDD7621 Mtge","SECURITY_NAME")</f>
        <v>FN DD7621</v>
      </c>
      <c r="C3310" t="str">
        <f>_xll.BDP("FNDD7621 Mtge","GENERIC_TICKER_VINTAGE")</f>
        <v>FNCL 6 2025</v>
      </c>
      <c r="D3310" t="str">
        <f>_xll.BDP("FNDD7621 Mtge","CRNCY")</f>
        <v>USD</v>
      </c>
      <c r="E3310">
        <v>2912956</v>
      </c>
      <c r="F3310">
        <f>_xll.BDP("FNDD7621 Mtge","CPN")</f>
        <v>6</v>
      </c>
      <c r="G3310">
        <f>_xll.BDP("FNDD7621 Mtge","MTG_FACTOR")</f>
        <v>0.98895007000000001</v>
      </c>
      <c r="H3310">
        <f>_xll.BDP("FNDD7621 Mtge","MTG_WAL")</f>
        <v>3.2458999999999998</v>
      </c>
      <c r="I3310" t="str">
        <f>_xll.BDP("FNDD7621 Mtge","MTG_ORIG_WAL")</f>
        <v>#N/A N/A</v>
      </c>
    </row>
    <row r="3311" spans="1:9" x14ac:dyDescent="0.25">
      <c r="A3311" t="str">
        <f>_xll.BDP("FNDD7622 Mtge","ID_CUSIP")</f>
        <v>3140B8PG0</v>
      </c>
      <c r="B3311" t="str">
        <f>_xll.BDP("FNDD7622 Mtge","SECURITY_NAME")</f>
        <v>FN DD7622</v>
      </c>
      <c r="C3311" t="str">
        <f>_xll.BDP("FNDD7622 Mtge","GENERIC_TICKER_VINTAGE")</f>
        <v>FNCL 6 2025</v>
      </c>
      <c r="D3311" t="str">
        <f>_xll.BDP("FNDD7622 Mtge","CRNCY")</f>
        <v>USD</v>
      </c>
      <c r="E3311">
        <v>2522970</v>
      </c>
      <c r="F3311">
        <f>_xll.BDP("FNDD7622 Mtge","CPN")</f>
        <v>6</v>
      </c>
      <c r="G3311">
        <f>_xll.BDP("FNDD7622 Mtge","MTG_FACTOR")</f>
        <v>0.98686056</v>
      </c>
      <c r="H3311">
        <f>_xll.BDP("FNDD7622 Mtge","MTG_WAL")</f>
        <v>3.2909000000000002</v>
      </c>
      <c r="I3311" t="str">
        <f>_xll.BDP("FNDD7622 Mtge","MTG_ORIG_WAL")</f>
        <v>#N/A N/A</v>
      </c>
    </row>
    <row r="3312" spans="1:9" x14ac:dyDescent="0.25">
      <c r="A3312" t="str">
        <f>_xll.BDP("FNDD7624 Mtge","ID_CUSIP")</f>
        <v>3140B8PJ4</v>
      </c>
      <c r="B3312" t="str">
        <f>_xll.BDP("FNDD7624 Mtge","SECURITY_NAME")</f>
        <v>FN DD7624</v>
      </c>
      <c r="C3312" t="str">
        <f>_xll.BDP("FNDD7624 Mtge","GENERIC_TICKER_VINTAGE")</f>
        <v>FNCL 6 2025</v>
      </c>
      <c r="D3312" t="str">
        <f>_xll.BDP("FNDD7624 Mtge","CRNCY")</f>
        <v>USD</v>
      </c>
      <c r="E3312">
        <v>1111500</v>
      </c>
      <c r="F3312">
        <f>_xll.BDP("FNDD7624 Mtge","CPN")</f>
        <v>6</v>
      </c>
      <c r="G3312">
        <f>_xll.BDP("FNDD7624 Mtge","MTG_FACTOR")</f>
        <v>0.65851866000000003</v>
      </c>
      <c r="H3312">
        <f>_xll.BDP("FNDD7624 Mtge","MTG_WAL")</f>
        <v>3.2494999999999998</v>
      </c>
      <c r="I3312" t="str">
        <f>_xll.BDP("FNDD7624 Mtge","MTG_ORIG_WAL")</f>
        <v>#N/A N/A</v>
      </c>
    </row>
    <row r="3313" spans="1:9" x14ac:dyDescent="0.25">
      <c r="A3313" t="str">
        <f>_xll.BDP("FNDD7628 Mtge","ID_CUSIP")</f>
        <v>3140B8PN5</v>
      </c>
      <c r="B3313" t="str">
        <f>_xll.BDP("FNDD7628 Mtge","SECURITY_NAME")</f>
        <v>FN DD7628</v>
      </c>
      <c r="C3313" t="str">
        <f>_xll.BDP("FNDD7628 Mtge","GENERIC_TICKER_VINTAGE")</f>
        <v>FNCL 6 2025</v>
      </c>
      <c r="D3313" t="str">
        <f>_xll.BDP("FNDD7628 Mtge","CRNCY")</f>
        <v>USD</v>
      </c>
      <c r="E3313">
        <v>1014490</v>
      </c>
      <c r="F3313">
        <f>_xll.BDP("FNDD7628 Mtge","CPN")</f>
        <v>6</v>
      </c>
      <c r="G3313">
        <f>_xll.BDP("FNDD7628 Mtge","MTG_FACTOR")</f>
        <v>0.99090988999999996</v>
      </c>
      <c r="H3313">
        <f>_xll.BDP("FNDD7628 Mtge","MTG_WAL")</f>
        <v>3.2968999999999999</v>
      </c>
      <c r="I3313" t="str">
        <f>_xll.BDP("FNDD7628 Mtge","MTG_ORIG_WAL")</f>
        <v>#N/A N/A</v>
      </c>
    </row>
    <row r="3314" spans="1:9" x14ac:dyDescent="0.25">
      <c r="A3314" t="str">
        <f>_xll.BDP("FNDD7631 Mtge","ID_CUSIP")</f>
        <v>3140B8PR6</v>
      </c>
      <c r="B3314" t="str">
        <f>_xll.BDP("FNDD7631 Mtge","SECURITY_NAME")</f>
        <v>FN DD7631</v>
      </c>
      <c r="C3314" t="str">
        <f>_xll.BDP("FNDD7631 Mtge","GENERIC_TICKER_VINTAGE")</f>
        <v>FNCL 6 2025</v>
      </c>
      <c r="D3314" t="str">
        <f>_xll.BDP("FNDD7631 Mtge","CRNCY")</f>
        <v>USD</v>
      </c>
      <c r="E3314">
        <v>2406512</v>
      </c>
      <c r="F3314">
        <f>_xll.BDP("FNDD7631 Mtge","CPN")</f>
        <v>6</v>
      </c>
      <c r="G3314">
        <f>_xll.BDP("FNDD7631 Mtge","MTG_FACTOR")</f>
        <v>0.99081143999999999</v>
      </c>
      <c r="H3314">
        <f>_xll.BDP("FNDD7631 Mtge","MTG_WAL")</f>
        <v>3.2486000000000002</v>
      </c>
      <c r="I3314" t="str">
        <f>_xll.BDP("FNDD7631 Mtge","MTG_ORIG_WAL")</f>
        <v>#N/A N/A</v>
      </c>
    </row>
    <row r="3315" spans="1:9" x14ac:dyDescent="0.25">
      <c r="A3315" t="str">
        <f>_xll.BDP("FNDD7632 Mtge","ID_CUSIP")</f>
        <v>3140B8PS4</v>
      </c>
      <c r="B3315" t="str">
        <f>_xll.BDP("FNDD7632 Mtge","SECURITY_NAME")</f>
        <v>FN DD7632</v>
      </c>
      <c r="C3315" t="str">
        <f>_xll.BDP("FNDD7632 Mtge","GENERIC_TICKER_VINTAGE")</f>
        <v>FNCL 6 2025</v>
      </c>
      <c r="D3315" t="str">
        <f>_xll.BDP("FNDD7632 Mtge","CRNCY")</f>
        <v>USD</v>
      </c>
      <c r="E3315">
        <v>1026118</v>
      </c>
      <c r="F3315">
        <f>_xll.BDP("FNDD7632 Mtge","CPN")</f>
        <v>6</v>
      </c>
      <c r="G3315">
        <f>_xll.BDP("FNDD7632 Mtge","MTG_FACTOR")</f>
        <v>0.99147527999999996</v>
      </c>
      <c r="H3315">
        <f>_xll.BDP("FNDD7632 Mtge","MTG_WAL")</f>
        <v>3.2966000000000002</v>
      </c>
      <c r="I3315" t="str">
        <f>_xll.BDP("FNDD7632 Mtge","MTG_ORIG_WAL")</f>
        <v>#N/A N/A</v>
      </c>
    </row>
    <row r="3316" spans="1:9" x14ac:dyDescent="0.25">
      <c r="A3316" t="str">
        <f>_xll.BDP("FNDD7634 Mtge","ID_CUSIP")</f>
        <v>3140B8PU9</v>
      </c>
      <c r="B3316" t="str">
        <f>_xll.BDP("FNDD7634 Mtge","SECURITY_NAME")</f>
        <v>FN DD7634</v>
      </c>
      <c r="C3316" t="str">
        <f>_xll.BDP("FNDD7634 Mtge","GENERIC_TICKER_VINTAGE")</f>
        <v>FNCL 6 2025</v>
      </c>
      <c r="D3316" t="str">
        <f>_xll.BDP("FNDD7634 Mtge","CRNCY")</f>
        <v>USD</v>
      </c>
      <c r="E3316">
        <v>1086312</v>
      </c>
      <c r="F3316">
        <f>_xll.BDP("FNDD7634 Mtge","CPN")</f>
        <v>6</v>
      </c>
      <c r="G3316">
        <f>_xll.BDP("FNDD7634 Mtge","MTG_FACTOR")</f>
        <v>0.98431506000000002</v>
      </c>
      <c r="H3316">
        <f>_xll.BDP("FNDD7634 Mtge","MTG_WAL")</f>
        <v>3.2385999999999999</v>
      </c>
      <c r="I3316" t="str">
        <f>_xll.BDP("FNDD7634 Mtge","MTG_ORIG_WAL")</f>
        <v>#N/A N/A</v>
      </c>
    </row>
    <row r="3317" spans="1:9" x14ac:dyDescent="0.25">
      <c r="A3317" t="str">
        <f>_xll.BDP("FNDD7635 Mtge","ID_CUSIP")</f>
        <v>3140B8PV7</v>
      </c>
      <c r="B3317" t="str">
        <f>_xll.BDP("FNDD7635 Mtge","SECURITY_NAME")</f>
        <v>FN DD7635</v>
      </c>
      <c r="C3317" t="str">
        <f>_xll.BDP("FNDD7635 Mtge","GENERIC_TICKER_VINTAGE")</f>
        <v>FNCL 6 2025</v>
      </c>
      <c r="D3317" t="str">
        <f>_xll.BDP("FNDD7635 Mtge","CRNCY")</f>
        <v>USD</v>
      </c>
      <c r="E3317">
        <v>2334000</v>
      </c>
      <c r="F3317">
        <f>_xll.BDP("FNDD7635 Mtge","CPN")</f>
        <v>6</v>
      </c>
      <c r="G3317">
        <f>_xll.BDP("FNDD7635 Mtge","MTG_FACTOR")</f>
        <v>0.86252101999999997</v>
      </c>
      <c r="H3317">
        <f>_xll.BDP("FNDD7635 Mtge","MTG_WAL")</f>
        <v>3.2911999999999999</v>
      </c>
      <c r="I3317" t="str">
        <f>_xll.BDP("FNDD7635 Mtge","MTG_ORIG_WAL")</f>
        <v>#N/A N/A</v>
      </c>
    </row>
    <row r="3318" spans="1:9" x14ac:dyDescent="0.25">
      <c r="A3318" t="str">
        <f>_xll.BDP("FNDD7636 Mtge","ID_CUSIP")</f>
        <v>3140B8PW5</v>
      </c>
      <c r="B3318" t="str">
        <f>_xll.BDP("FNDD7636 Mtge","SECURITY_NAME")</f>
        <v>FN DD7636</v>
      </c>
      <c r="C3318" t="str">
        <f>_xll.BDP("FNDD7636 Mtge","GENERIC_TICKER_VINTAGE")</f>
        <v>FNCL 6 2025</v>
      </c>
      <c r="D3318" t="str">
        <f>_xll.BDP("FNDD7636 Mtge","CRNCY")</f>
        <v>USD</v>
      </c>
      <c r="E3318">
        <v>1255850</v>
      </c>
      <c r="F3318">
        <f>_xll.BDP("FNDD7636 Mtge","CPN")</f>
        <v>6</v>
      </c>
      <c r="G3318">
        <f>_xll.BDP("FNDD7636 Mtge","MTG_FACTOR")</f>
        <v>0.98827366000000005</v>
      </c>
      <c r="H3318">
        <f>_xll.BDP("FNDD7636 Mtge","MTG_WAL")</f>
        <v>3.2913999999999999</v>
      </c>
      <c r="I3318" t="str">
        <f>_xll.BDP("FNDD7636 Mtge","MTG_ORIG_WAL")</f>
        <v>#N/A N/A</v>
      </c>
    </row>
    <row r="3319" spans="1:9" x14ac:dyDescent="0.25">
      <c r="A3319" t="str">
        <f>_xll.BDP("FNDD7643 Mtge","ID_CUSIP")</f>
        <v>3140B8P54</v>
      </c>
      <c r="B3319" t="str">
        <f>_xll.BDP("FNDD7643 Mtge","SECURITY_NAME")</f>
        <v>FN DD7643</v>
      </c>
      <c r="C3319" t="str">
        <f>_xll.BDP("FNDD7643 Mtge","GENERIC_TICKER_VINTAGE")</f>
        <v>FNCL 6 2025</v>
      </c>
      <c r="D3319" t="str">
        <f>_xll.BDP("FNDD7643 Mtge","CRNCY")</f>
        <v>USD</v>
      </c>
      <c r="E3319">
        <v>2331300</v>
      </c>
      <c r="F3319">
        <f>_xll.BDP("FNDD7643 Mtge","CPN")</f>
        <v>6</v>
      </c>
      <c r="G3319">
        <f>_xll.BDP("FNDD7643 Mtge","MTG_FACTOR")</f>
        <v>0.99106888000000004</v>
      </c>
      <c r="H3319">
        <f>_xll.BDP("FNDD7643 Mtge","MTG_WAL")</f>
        <v>3.2945000000000002</v>
      </c>
      <c r="I3319" t="str">
        <f>_xll.BDP("FNDD7643 Mtge","MTG_ORIG_WAL")</f>
        <v>#N/A N/A</v>
      </c>
    </row>
    <row r="3320" spans="1:9" x14ac:dyDescent="0.25">
      <c r="A3320" t="str">
        <f>_xll.BDP("FNDD7656 Mtge","ID_CUSIP")</f>
        <v>3140B8QJ3</v>
      </c>
      <c r="B3320" t="str">
        <f>_xll.BDP("FNDD7656 Mtge","SECURITY_NAME")</f>
        <v>FN DD7656</v>
      </c>
      <c r="C3320" t="str">
        <f>_xll.BDP("FNDD7656 Mtge","GENERIC_TICKER_VINTAGE")</f>
        <v>FNCL 6 2025</v>
      </c>
      <c r="D3320" t="str">
        <f>_xll.BDP("FNDD7656 Mtge","CRNCY")</f>
        <v>USD</v>
      </c>
      <c r="E3320">
        <v>2399073</v>
      </c>
      <c r="F3320">
        <f>_xll.BDP("FNDD7656 Mtge","CPN")</f>
        <v>6</v>
      </c>
      <c r="G3320">
        <f>_xll.BDP("FNDD7656 Mtge","MTG_FACTOR")</f>
        <v>0.90207336000000005</v>
      </c>
      <c r="H3320">
        <f>_xll.BDP("FNDD7656 Mtge","MTG_WAL")</f>
        <v>3.2902999999999998</v>
      </c>
      <c r="I3320" t="str">
        <f>_xll.BDP("FNDD7656 Mtge","MTG_ORIG_WAL")</f>
        <v>#N/A N/A</v>
      </c>
    </row>
    <row r="3321" spans="1:9" x14ac:dyDescent="0.25">
      <c r="A3321" t="str">
        <f>_xll.BDP("FNDD7658 Mtge","ID_CUSIP")</f>
        <v>3140B8QL8</v>
      </c>
      <c r="B3321" t="str">
        <f>_xll.BDP("FNDD7658 Mtge","SECURITY_NAME")</f>
        <v>FN DD7658</v>
      </c>
      <c r="C3321" t="str">
        <f>_xll.BDP("FNDD7658 Mtge","GENERIC_TICKER_VINTAGE")</f>
        <v>FNCL 6 2025</v>
      </c>
      <c r="D3321" t="str">
        <f>_xll.BDP("FNDD7658 Mtge","CRNCY")</f>
        <v>USD</v>
      </c>
      <c r="E3321">
        <v>1829050</v>
      </c>
      <c r="F3321">
        <f>_xll.BDP("FNDD7658 Mtge","CPN")</f>
        <v>6</v>
      </c>
      <c r="G3321">
        <f>_xll.BDP("FNDD7658 Mtge","MTG_FACTOR")</f>
        <v>0.89246716000000004</v>
      </c>
      <c r="H3321">
        <f>_xll.BDP("FNDD7658 Mtge","MTG_WAL")</f>
        <v>3.2883</v>
      </c>
      <c r="I3321" t="str">
        <f>_xll.BDP("FNDD7658 Mtge","MTG_ORIG_WAL")</f>
        <v>#N/A N/A</v>
      </c>
    </row>
    <row r="3322" spans="1:9" x14ac:dyDescent="0.25">
      <c r="A3322" t="str">
        <f>_xll.BDP("FNDD7662 Mtge","ID_CUSIP")</f>
        <v>3140B8QQ7</v>
      </c>
      <c r="B3322" t="str">
        <f>_xll.BDP("FNDD7662 Mtge","SECURITY_NAME")</f>
        <v>FN DD7662</v>
      </c>
      <c r="C3322" t="str">
        <f>_xll.BDP("FNDD7662 Mtge","GENERIC_TICKER_VINTAGE")</f>
        <v>FNCL 6 2025</v>
      </c>
      <c r="D3322" t="str">
        <f>_xll.BDP("FNDD7662 Mtge","CRNCY")</f>
        <v>USD</v>
      </c>
      <c r="E3322">
        <v>1157810</v>
      </c>
      <c r="F3322">
        <f>_xll.BDP("FNDD7662 Mtge","CPN")</f>
        <v>6</v>
      </c>
      <c r="G3322">
        <f>_xll.BDP("FNDD7662 Mtge","MTG_FACTOR")</f>
        <v>0.54705561999999996</v>
      </c>
      <c r="H3322">
        <f>_xll.BDP("FNDD7662 Mtge","MTG_WAL")</f>
        <v>3.3424</v>
      </c>
      <c r="I3322" t="str">
        <f>_xll.BDP("FNDD7662 Mtge","MTG_ORIG_WAL")</f>
        <v>#N/A N/A</v>
      </c>
    </row>
    <row r="3323" spans="1:9" x14ac:dyDescent="0.25">
      <c r="A3323" t="str">
        <f>_xll.BDP("FNDD7664 Mtge","ID_CUSIP")</f>
        <v>3140B8QS3</v>
      </c>
      <c r="B3323" t="str">
        <f>_xll.BDP("FNDD7664 Mtge","SECURITY_NAME")</f>
        <v>FN DD7664</v>
      </c>
      <c r="C3323" t="str">
        <f>_xll.BDP("FNDD7664 Mtge","GENERIC_TICKER_VINTAGE")</f>
        <v>FNCL 6 2025</v>
      </c>
      <c r="D3323" t="str">
        <f>_xll.BDP("FNDD7664 Mtge","CRNCY")</f>
        <v>USD</v>
      </c>
      <c r="E3323">
        <v>3522200</v>
      </c>
      <c r="F3323">
        <f>_xll.BDP("FNDD7664 Mtge","CPN")</f>
        <v>6</v>
      </c>
      <c r="G3323">
        <f>_xll.BDP("FNDD7664 Mtge","MTG_FACTOR")</f>
        <v>0.99099139000000003</v>
      </c>
      <c r="H3323">
        <f>_xll.BDP("FNDD7664 Mtge","MTG_WAL")</f>
        <v>3.2919</v>
      </c>
      <c r="I3323" t="str">
        <f>_xll.BDP("FNDD7664 Mtge","MTG_ORIG_WAL")</f>
        <v>#N/A N/A</v>
      </c>
    </row>
    <row r="3324" spans="1:9" x14ac:dyDescent="0.25">
      <c r="A3324" t="str">
        <f>_xll.BDP("FNDD7665 Mtge","ID_CUSIP")</f>
        <v>3140B8QT1</v>
      </c>
      <c r="B3324" t="str">
        <f>_xll.BDP("FNDD7665 Mtge","SECURITY_NAME")</f>
        <v>FN DD7665</v>
      </c>
      <c r="C3324" t="str">
        <f>_xll.BDP("FNDD7665 Mtge","GENERIC_TICKER_VINTAGE")</f>
        <v>FNCL 6 2025</v>
      </c>
      <c r="D3324" t="str">
        <f>_xll.BDP("FNDD7665 Mtge","CRNCY")</f>
        <v>USD</v>
      </c>
      <c r="E3324">
        <v>11044742</v>
      </c>
      <c r="F3324">
        <f>_xll.BDP("FNDD7665 Mtge","CPN")</f>
        <v>6</v>
      </c>
      <c r="G3324">
        <f>_xll.BDP("FNDD7665 Mtge","MTG_FACTOR")</f>
        <v>0.93719260000000004</v>
      </c>
      <c r="H3324">
        <f>_xll.BDP("FNDD7665 Mtge","MTG_WAL")</f>
        <v>3.2919</v>
      </c>
      <c r="I3324" t="str">
        <f>_xll.BDP("FNDD7665 Mtge","MTG_ORIG_WAL")</f>
        <v>#N/A N/A</v>
      </c>
    </row>
    <row r="3325" spans="1:9" x14ac:dyDescent="0.25">
      <c r="A3325" t="str">
        <f>_xll.BDP("FNDD7667 Mtge","ID_CUSIP")</f>
        <v>3140B8QV6</v>
      </c>
      <c r="B3325" t="str">
        <f>_xll.BDP("FNDD7667 Mtge","SECURITY_NAME")</f>
        <v>FN DD7667</v>
      </c>
      <c r="C3325" t="str">
        <f>_xll.BDP("FNDD7667 Mtge","GENERIC_TICKER_VINTAGE")</f>
        <v>FNCL 6 2025</v>
      </c>
      <c r="D3325" t="str">
        <f>_xll.BDP("FNDD7667 Mtge","CRNCY")</f>
        <v>USD</v>
      </c>
      <c r="E3325">
        <v>1424150</v>
      </c>
      <c r="F3325">
        <f>_xll.BDP("FNDD7667 Mtge","CPN")</f>
        <v>6</v>
      </c>
      <c r="G3325">
        <f>_xll.BDP("FNDD7667 Mtge","MTG_FACTOR")</f>
        <v>0.83067237000000005</v>
      </c>
      <c r="H3325">
        <f>_xll.BDP("FNDD7667 Mtge","MTG_WAL")</f>
        <v>3.2782</v>
      </c>
      <c r="I3325" t="str">
        <f>_xll.BDP("FNDD7667 Mtge","MTG_ORIG_WAL")</f>
        <v>#N/A N/A</v>
      </c>
    </row>
    <row r="3326" spans="1:9" x14ac:dyDescent="0.25">
      <c r="A3326" t="str">
        <f>_xll.BDP("FNDD7671 Mtge","ID_CUSIP")</f>
        <v>3140B8QZ7</v>
      </c>
      <c r="B3326" t="str">
        <f>_xll.BDP("FNDD7671 Mtge","SECURITY_NAME")</f>
        <v>FN DD7671</v>
      </c>
      <c r="C3326" t="str">
        <f>_xll.BDP("FNDD7671 Mtge","GENERIC_TICKER_VINTAGE")</f>
        <v>FNCL 6 2025</v>
      </c>
      <c r="D3326" t="str">
        <f>_xll.BDP("FNDD7671 Mtge","CRNCY")</f>
        <v>USD</v>
      </c>
      <c r="E3326">
        <v>1479100</v>
      </c>
      <c r="F3326">
        <f>_xll.BDP("FNDD7671 Mtge","CPN")</f>
        <v>6</v>
      </c>
      <c r="G3326">
        <f>_xll.BDP("FNDD7671 Mtge","MTG_FACTOR")</f>
        <v>0.98289252000000005</v>
      </c>
      <c r="H3326">
        <f>_xll.BDP("FNDD7671 Mtge","MTG_WAL")</f>
        <v>3.3332999999999999</v>
      </c>
      <c r="I3326" t="str">
        <f>_xll.BDP("FNDD7671 Mtge","MTG_ORIG_WAL")</f>
        <v>#N/A N/A</v>
      </c>
    </row>
    <row r="3327" spans="1:9" x14ac:dyDescent="0.25">
      <c r="A3327" t="str">
        <f>_xll.BDP("FNDD7672 Mtge","ID_CUSIP")</f>
        <v>3140B8Q20</v>
      </c>
      <c r="B3327" t="str">
        <f>_xll.BDP("FNDD7672 Mtge","SECURITY_NAME")</f>
        <v>FN DD7672</v>
      </c>
      <c r="C3327" t="str">
        <f>_xll.BDP("FNDD7672 Mtge","GENERIC_TICKER_VINTAGE")</f>
        <v>FNCL 6 2025</v>
      </c>
      <c r="D3327" t="str">
        <f>_xll.BDP("FNDD7672 Mtge","CRNCY")</f>
        <v>USD</v>
      </c>
      <c r="E3327">
        <v>1571017</v>
      </c>
      <c r="F3327">
        <f>_xll.BDP("FNDD7672 Mtge","CPN")</f>
        <v>6</v>
      </c>
      <c r="G3327">
        <f>_xll.BDP("FNDD7672 Mtge","MTG_FACTOR")</f>
        <v>0.50478073000000001</v>
      </c>
      <c r="H3327">
        <f>_xll.BDP("FNDD7672 Mtge","MTG_WAL")</f>
        <v>3.2940999999999998</v>
      </c>
      <c r="I3327" t="str">
        <f>_xll.BDP("FNDD7672 Mtge","MTG_ORIG_WAL")</f>
        <v>#N/A N/A</v>
      </c>
    </row>
    <row r="3328" spans="1:9" x14ac:dyDescent="0.25">
      <c r="A3328" t="str">
        <f>_xll.BDP("FNDD7677 Mtge","ID_CUSIP")</f>
        <v>3140B8Q79</v>
      </c>
      <c r="B3328" t="str">
        <f>_xll.BDP("FNDD7677 Mtge","SECURITY_NAME")</f>
        <v>FN DD7677</v>
      </c>
      <c r="C3328" t="str">
        <f>_xll.BDP("FNDD7677 Mtge","GENERIC_TICKER_VINTAGE")</f>
        <v>FNCL 6 2025</v>
      </c>
      <c r="D3328" t="str">
        <f>_xll.BDP("FNDD7677 Mtge","CRNCY")</f>
        <v>USD</v>
      </c>
      <c r="E3328">
        <v>1314900</v>
      </c>
      <c r="F3328">
        <f>_xll.BDP("FNDD7677 Mtge","CPN")</f>
        <v>6</v>
      </c>
      <c r="G3328">
        <f>_xll.BDP("FNDD7677 Mtge","MTG_FACTOR")</f>
        <v>0.99153944000000005</v>
      </c>
      <c r="H3328">
        <f>_xll.BDP("FNDD7677 Mtge","MTG_WAL")</f>
        <v>3.2938000000000001</v>
      </c>
      <c r="I3328" t="str">
        <f>_xll.BDP("FNDD7677 Mtge","MTG_ORIG_WAL")</f>
        <v>#N/A N/A</v>
      </c>
    </row>
    <row r="3329" spans="1:9" x14ac:dyDescent="0.25">
      <c r="A3329" t="str">
        <f>_xll.BDP("FNDD7679 Mtge","ID_CUSIP")</f>
        <v>3140B8Q95</v>
      </c>
      <c r="B3329" t="str">
        <f>_xll.BDP("FNDD7679 Mtge","SECURITY_NAME")</f>
        <v>FN DD7679</v>
      </c>
      <c r="C3329" t="str">
        <f>_xll.BDP("FNDD7679 Mtge","GENERIC_TICKER_VINTAGE")</f>
        <v>FNCL 6 2025</v>
      </c>
      <c r="D3329" t="str">
        <f>_xll.BDP("FNDD7679 Mtge","CRNCY")</f>
        <v>USD</v>
      </c>
      <c r="E3329">
        <v>2497985</v>
      </c>
      <c r="F3329">
        <f>_xll.BDP("FNDD7679 Mtge","CPN")</f>
        <v>6</v>
      </c>
      <c r="G3329">
        <f>_xll.BDP("FNDD7679 Mtge","MTG_FACTOR")</f>
        <v>0.95140926000000003</v>
      </c>
      <c r="H3329">
        <f>_xll.BDP("FNDD7679 Mtge","MTG_WAL")</f>
        <v>3.3380000000000001</v>
      </c>
      <c r="I3329" t="str">
        <f>_xll.BDP("FNDD7679 Mtge","MTG_ORIG_WAL")</f>
        <v>#N/A N/A</v>
      </c>
    </row>
    <row r="3330" spans="1:9" x14ac:dyDescent="0.25">
      <c r="A3330" t="str">
        <f>_xll.BDP("FNDD7682 Mtge","ID_CUSIP")</f>
        <v>3140B8RC7</v>
      </c>
      <c r="B3330" t="str">
        <f>_xll.BDP("FNDD7682 Mtge","SECURITY_NAME")</f>
        <v>FN DD7682</v>
      </c>
      <c r="C3330" t="str">
        <f>_xll.BDP("FNDD7682 Mtge","GENERIC_TICKER_VINTAGE")</f>
        <v>FNCL 6 2025</v>
      </c>
      <c r="D3330" t="str">
        <f>_xll.BDP("FNDD7682 Mtge","CRNCY")</f>
        <v>USD</v>
      </c>
      <c r="E3330">
        <v>1556340</v>
      </c>
      <c r="F3330">
        <f>_xll.BDP("FNDD7682 Mtge","CPN")</f>
        <v>6</v>
      </c>
      <c r="G3330">
        <f>_xll.BDP("FNDD7682 Mtge","MTG_FACTOR")</f>
        <v>0.94450553000000004</v>
      </c>
      <c r="H3330">
        <f>_xll.BDP("FNDD7682 Mtge","MTG_WAL")</f>
        <v>3.3083999999999998</v>
      </c>
      <c r="I3330" t="str">
        <f>_xll.BDP("FNDD7682 Mtge","MTG_ORIG_WAL")</f>
        <v>#N/A N/A</v>
      </c>
    </row>
    <row r="3331" spans="1:9" x14ac:dyDescent="0.25">
      <c r="A3331" t="str">
        <f>_xll.BDP("FNDD7687 Mtge","ID_CUSIP")</f>
        <v>3140B8RH6</v>
      </c>
      <c r="B3331" t="str">
        <f>_xll.BDP("FNDD7687 Mtge","SECURITY_NAME")</f>
        <v>FN DD7687</v>
      </c>
      <c r="C3331" t="str">
        <f>_xll.BDP("FNDD7687 Mtge","GENERIC_TICKER_VINTAGE")</f>
        <v>FNCL 6 2025</v>
      </c>
      <c r="D3331" t="str">
        <f>_xll.BDP("FNDD7687 Mtge","CRNCY")</f>
        <v>USD</v>
      </c>
      <c r="E3331">
        <v>1852308</v>
      </c>
      <c r="F3331">
        <f>_xll.BDP("FNDD7687 Mtge","CPN")</f>
        <v>6</v>
      </c>
      <c r="G3331">
        <f>_xll.BDP("FNDD7687 Mtge","MTG_FACTOR")</f>
        <v>0.99170080999999999</v>
      </c>
      <c r="H3331">
        <f>_xll.BDP("FNDD7687 Mtge","MTG_WAL")</f>
        <v>3.3401000000000001</v>
      </c>
      <c r="I3331" t="str">
        <f>_xll.BDP("FNDD7687 Mtge","MTG_ORIG_WAL")</f>
        <v>#N/A N/A</v>
      </c>
    </row>
    <row r="3332" spans="1:9" x14ac:dyDescent="0.25">
      <c r="A3332" t="str">
        <f>_xll.BDP("FNDD7688 Mtge","ID_CUSIP")</f>
        <v>3140B8RJ2</v>
      </c>
      <c r="B3332" t="str">
        <f>_xll.BDP("FNDD7688 Mtge","SECURITY_NAME")</f>
        <v>FN DD7688</v>
      </c>
      <c r="C3332" t="str">
        <f>_xll.BDP("FNDD7688 Mtge","GENERIC_TICKER_VINTAGE")</f>
        <v>FNCL 6 2025</v>
      </c>
      <c r="D3332" t="str">
        <f>_xll.BDP("FNDD7688 Mtge","CRNCY")</f>
        <v>USD</v>
      </c>
      <c r="E3332">
        <v>2032465</v>
      </c>
      <c r="F3332">
        <f>_xll.BDP("FNDD7688 Mtge","CPN")</f>
        <v>6</v>
      </c>
      <c r="G3332">
        <f>_xll.BDP("FNDD7688 Mtge","MTG_FACTOR")</f>
        <v>0.98984967999999995</v>
      </c>
      <c r="H3332">
        <f>_xll.BDP("FNDD7688 Mtge","MTG_WAL")</f>
        <v>3.2892999999999999</v>
      </c>
      <c r="I3332" t="str">
        <f>_xll.BDP("FNDD7688 Mtge","MTG_ORIG_WAL")</f>
        <v>#N/A N/A</v>
      </c>
    </row>
    <row r="3333" spans="1:9" x14ac:dyDescent="0.25">
      <c r="A3333" t="str">
        <f>_xll.BDP("FNDD7697 Mtge","ID_CUSIP")</f>
        <v>3140B8RT0</v>
      </c>
      <c r="B3333" t="str">
        <f>_xll.BDP("FNDD7697 Mtge","SECURITY_NAME")</f>
        <v>FN DD7697</v>
      </c>
      <c r="C3333" t="str">
        <f>_xll.BDP("FNDD7697 Mtge","GENERIC_TICKER_VINTAGE")</f>
        <v>FNCL 6 2025</v>
      </c>
      <c r="D3333" t="str">
        <f>_xll.BDP("FNDD7697 Mtge","CRNCY")</f>
        <v>USD</v>
      </c>
      <c r="E3333">
        <v>1465587</v>
      </c>
      <c r="F3333">
        <f>_xll.BDP("FNDD7697 Mtge","CPN")</f>
        <v>6</v>
      </c>
      <c r="G3333">
        <f>_xll.BDP("FNDD7697 Mtge","MTG_FACTOR")</f>
        <v>0.99216598</v>
      </c>
      <c r="H3333">
        <f>_xll.BDP("FNDD7697 Mtge","MTG_WAL")</f>
        <v>3.2947000000000002</v>
      </c>
      <c r="I3333" t="str">
        <f>_xll.BDP("FNDD7697 Mtge","MTG_ORIG_WAL")</f>
        <v>#N/A N/A</v>
      </c>
    </row>
    <row r="3334" spans="1:9" x14ac:dyDescent="0.25">
      <c r="A3334" t="str">
        <f>_xll.BDP("FNDD7722 Mtge","ID_CUSIP")</f>
        <v>3140B8SL6</v>
      </c>
      <c r="B3334" t="str">
        <f>_xll.BDP("FNDD7722 Mtge","SECURITY_NAME")</f>
        <v>FN DD7722</v>
      </c>
      <c r="C3334" t="str">
        <f>_xll.BDP("FNDD7722 Mtge","GENERIC_TICKER_VINTAGE")</f>
        <v>FNCL 6 2025</v>
      </c>
      <c r="D3334" t="str">
        <f>_xll.BDP("FNDD7722 Mtge","CRNCY")</f>
        <v>USD</v>
      </c>
      <c r="E3334">
        <v>18022142</v>
      </c>
      <c r="F3334">
        <f>_xll.BDP("FNDD7722 Mtge","CPN")</f>
        <v>6</v>
      </c>
      <c r="G3334">
        <f>_xll.BDP("FNDD7722 Mtge","MTG_FACTOR")</f>
        <v>0.79558044000000006</v>
      </c>
      <c r="H3334">
        <f>_xll.BDP("FNDD7722 Mtge","MTG_WAL")</f>
        <v>3.2488999999999999</v>
      </c>
      <c r="I3334" t="str">
        <f>_xll.BDP("FNDD7722 Mtge","MTG_ORIG_WAL")</f>
        <v>#N/A N/A</v>
      </c>
    </row>
    <row r="3335" spans="1:9" x14ac:dyDescent="0.25">
      <c r="A3335" t="str">
        <f>_xll.BDP("FNDD7737 Mtge","ID_CUSIP")</f>
        <v>3140B8S36</v>
      </c>
      <c r="B3335" t="str">
        <f>_xll.BDP("FNDD7737 Mtge","SECURITY_NAME")</f>
        <v>FN DD7737</v>
      </c>
      <c r="C3335" t="str">
        <f>_xll.BDP("FNDD7737 Mtge","GENERIC_TICKER_VINTAGE")</f>
        <v>FNCL 6 2025</v>
      </c>
      <c r="D3335" t="str">
        <f>_xll.BDP("FNDD7737 Mtge","CRNCY")</f>
        <v>USD</v>
      </c>
      <c r="E3335">
        <v>18559554</v>
      </c>
      <c r="F3335">
        <f>_xll.BDP("FNDD7737 Mtge","CPN")</f>
        <v>6</v>
      </c>
      <c r="G3335">
        <f>_xll.BDP("FNDD7737 Mtge","MTG_FACTOR")</f>
        <v>0.81803462999999998</v>
      </c>
      <c r="H3335">
        <f>_xll.BDP("FNDD7737 Mtge","MTG_WAL")</f>
        <v>3.2473999999999998</v>
      </c>
      <c r="I3335" t="str">
        <f>_xll.BDP("FNDD7737 Mtge","MTG_ORIG_WAL")</f>
        <v>#N/A N/A</v>
      </c>
    </row>
    <row r="3336" spans="1:9" x14ac:dyDescent="0.25">
      <c r="A3336" t="str">
        <f>_xll.BDP("FNDD7774 Mtge","ID_CUSIP")</f>
        <v>3140B8T84</v>
      </c>
      <c r="B3336" t="str">
        <f>_xll.BDP("FNDD7774 Mtge","SECURITY_NAME")</f>
        <v>FN DD7774</v>
      </c>
      <c r="C3336" t="str">
        <f>_xll.BDP("FNDD7774 Mtge","GENERIC_TICKER_VINTAGE")</f>
        <v>FNCL 6 2025</v>
      </c>
      <c r="D3336" t="str">
        <f>_xll.BDP("FNDD7774 Mtge","CRNCY")</f>
        <v>USD</v>
      </c>
      <c r="E3336">
        <v>3940666</v>
      </c>
      <c r="F3336">
        <f>_xll.BDP("FNDD7774 Mtge","CPN")</f>
        <v>6</v>
      </c>
      <c r="G3336">
        <f>_xll.BDP("FNDD7774 Mtge","MTG_FACTOR")</f>
        <v>0.85881821000000003</v>
      </c>
      <c r="H3336">
        <f>_xll.BDP("FNDD7774 Mtge","MTG_WAL")</f>
        <v>3.2450999999999999</v>
      </c>
      <c r="I3336" t="str">
        <f>_xll.BDP("FNDD7774 Mtge","MTG_ORIG_WAL")</f>
        <v>#N/A N/A</v>
      </c>
    </row>
    <row r="3337" spans="1:9" x14ac:dyDescent="0.25">
      <c r="A3337" t="str">
        <f>_xll.BDP("FNDD7775 Mtge","ID_CUSIP")</f>
        <v>3140B8T92</v>
      </c>
      <c r="B3337" t="str">
        <f>_xll.BDP("FNDD7775 Mtge","SECURITY_NAME")</f>
        <v>FN DD7775</v>
      </c>
      <c r="C3337" t="str">
        <f>_xll.BDP("FNDD7775 Mtge","GENERIC_TICKER_VINTAGE")</f>
        <v>FNCL 6 2025</v>
      </c>
      <c r="D3337" t="str">
        <f>_xll.BDP("FNDD7775 Mtge","CRNCY")</f>
        <v>USD</v>
      </c>
      <c r="E3337">
        <v>6038554</v>
      </c>
      <c r="F3337">
        <f>_xll.BDP("FNDD7775 Mtge","CPN")</f>
        <v>6</v>
      </c>
      <c r="G3337">
        <f>_xll.BDP("FNDD7775 Mtge","MTG_FACTOR")</f>
        <v>0.85849558999999998</v>
      </c>
      <c r="H3337">
        <f>_xll.BDP("FNDD7775 Mtge","MTG_WAL")</f>
        <v>3.2484000000000002</v>
      </c>
      <c r="I3337" t="str">
        <f>_xll.BDP("FNDD7775 Mtge","MTG_ORIG_WAL")</f>
        <v>#N/A N/A</v>
      </c>
    </row>
    <row r="3338" spans="1:9" x14ac:dyDescent="0.25">
      <c r="A3338" t="str">
        <f>_xll.BDP("FNDD7781 Mtge","ID_CUSIP")</f>
        <v>3140B8UF6</v>
      </c>
      <c r="B3338" t="str">
        <f>_xll.BDP("FNDD7781 Mtge","SECURITY_NAME")</f>
        <v>FN DD7781</v>
      </c>
      <c r="C3338" t="str">
        <f>_xll.BDP("FNDD7781 Mtge","GENERIC_TICKER_VINTAGE")</f>
        <v>FNCL 6 2025</v>
      </c>
      <c r="D3338" t="str">
        <f>_xll.BDP("FNDD7781 Mtge","CRNCY")</f>
        <v>USD</v>
      </c>
      <c r="E3338">
        <v>1013700</v>
      </c>
      <c r="F3338">
        <f>_xll.BDP("FNDD7781 Mtge","CPN")</f>
        <v>6</v>
      </c>
      <c r="G3338">
        <f>_xll.BDP("FNDD7781 Mtge","MTG_FACTOR")</f>
        <v>0.99007736999999996</v>
      </c>
      <c r="H3338">
        <f>_xll.BDP("FNDD7781 Mtge","MTG_WAL")</f>
        <v>3.2483</v>
      </c>
      <c r="I3338" t="str">
        <f>_xll.BDP("FNDD7781 Mtge","MTG_ORIG_WAL")</f>
        <v>#N/A N/A</v>
      </c>
    </row>
    <row r="3339" spans="1:9" x14ac:dyDescent="0.25">
      <c r="A3339" t="str">
        <f>_xll.BDP("FNDD7797 Mtge","ID_CUSIP")</f>
        <v>3140B8UX7</v>
      </c>
      <c r="B3339" t="str">
        <f>_xll.BDP("FNDD7797 Mtge","SECURITY_NAME")</f>
        <v>FN DD7797</v>
      </c>
      <c r="C3339" t="str">
        <f>_xll.BDP("FNDD7797 Mtge","GENERIC_TICKER_VINTAGE")</f>
        <v>FNCL 6 2025</v>
      </c>
      <c r="D3339" t="str">
        <f>_xll.BDP("FNDD7797 Mtge","CRNCY")</f>
        <v>USD</v>
      </c>
      <c r="E3339">
        <v>12837938</v>
      </c>
      <c r="F3339">
        <f>_xll.BDP("FNDD7797 Mtge","CPN")</f>
        <v>6</v>
      </c>
      <c r="G3339">
        <f>_xll.BDP("FNDD7797 Mtge","MTG_FACTOR")</f>
        <v>0.96963991999999999</v>
      </c>
      <c r="H3339">
        <f>_xll.BDP("FNDD7797 Mtge","MTG_WAL")</f>
        <v>3.2456999999999998</v>
      </c>
      <c r="I3339" t="str">
        <f>_xll.BDP("FNDD7797 Mtge","MTG_ORIG_WAL")</f>
        <v>#N/A N/A</v>
      </c>
    </row>
    <row r="3340" spans="1:9" x14ac:dyDescent="0.25">
      <c r="A3340" t="str">
        <f>_xll.BDP("FNDD7810 Mtge","ID_CUSIP")</f>
        <v>3140B8VC2</v>
      </c>
      <c r="B3340" t="str">
        <f>_xll.BDP("FNDD7810 Mtge","SECURITY_NAME")</f>
        <v>FN DD7810</v>
      </c>
      <c r="C3340" t="str">
        <f>_xll.BDP("FNDD7810 Mtge","GENERIC_TICKER_VINTAGE")</f>
        <v>FNCL 6 2025</v>
      </c>
      <c r="D3340" t="str">
        <f>_xll.BDP("FNDD7810 Mtge","CRNCY")</f>
        <v>USD</v>
      </c>
      <c r="E3340">
        <v>13015208</v>
      </c>
      <c r="F3340">
        <f>_xll.BDP("FNDD7810 Mtge","CPN")</f>
        <v>6</v>
      </c>
      <c r="G3340">
        <f>_xll.BDP("FNDD7810 Mtge","MTG_FACTOR")</f>
        <v>0.92811946999999995</v>
      </c>
      <c r="H3340">
        <f>_xll.BDP("FNDD7810 Mtge","MTG_WAL")</f>
        <v>3.2448999999999999</v>
      </c>
      <c r="I3340" t="str">
        <f>_xll.BDP("FNDD7810 Mtge","MTG_ORIG_WAL")</f>
        <v>#N/A N/A</v>
      </c>
    </row>
    <row r="3341" spans="1:9" x14ac:dyDescent="0.25">
      <c r="A3341" t="str">
        <f>_xll.BDP("FNDD7819 Mtge","ID_CUSIP")</f>
        <v>3140B8VM0</v>
      </c>
      <c r="B3341" t="str">
        <f>_xll.BDP("FNDD7819 Mtge","SECURITY_NAME")</f>
        <v>FN DD7819</v>
      </c>
      <c r="C3341" t="str">
        <f>_xll.BDP("FNDD7819 Mtge","GENERIC_TICKER_VINTAGE")</f>
        <v>FNCL 6 2025</v>
      </c>
      <c r="D3341" t="str">
        <f>_xll.BDP("FNDD7819 Mtge","CRNCY")</f>
        <v>USD</v>
      </c>
      <c r="E3341">
        <v>16004062</v>
      </c>
      <c r="F3341">
        <f>_xll.BDP("FNDD7819 Mtge","CPN")</f>
        <v>6</v>
      </c>
      <c r="G3341">
        <f>_xll.BDP("FNDD7819 Mtge","MTG_FACTOR")</f>
        <v>0.91135317999999998</v>
      </c>
      <c r="H3341">
        <f>_xll.BDP("FNDD7819 Mtge","MTG_WAL")</f>
        <v>3.2921999999999998</v>
      </c>
      <c r="I3341" t="str">
        <f>_xll.BDP("FNDD7819 Mtge","MTG_ORIG_WAL")</f>
        <v>#N/A N/A</v>
      </c>
    </row>
    <row r="3342" spans="1:9" x14ac:dyDescent="0.25">
      <c r="A3342" t="str">
        <f>_xll.BDP("FNDD7836 Mtge","ID_CUSIP")</f>
        <v>3140B8V65</v>
      </c>
      <c r="B3342" t="str">
        <f>_xll.BDP("FNDD7836 Mtge","SECURITY_NAME")</f>
        <v>FN DD7836</v>
      </c>
      <c r="C3342" t="str">
        <f>_xll.BDP("FNDD7836 Mtge","GENERIC_TICKER_VINTAGE")</f>
        <v>FNCL 6 2025</v>
      </c>
      <c r="D3342" t="str">
        <f>_xll.BDP("FNDD7836 Mtge","CRNCY")</f>
        <v>USD</v>
      </c>
      <c r="E3342">
        <v>3038791</v>
      </c>
      <c r="F3342">
        <f>_xll.BDP("FNDD7836 Mtge","CPN")</f>
        <v>6</v>
      </c>
      <c r="G3342">
        <f>_xll.BDP("FNDD7836 Mtge","MTG_FACTOR")</f>
        <v>0.62109504999999998</v>
      </c>
      <c r="H3342">
        <f>_xll.BDP("FNDD7836 Mtge","MTG_WAL")</f>
        <v>3.2450000000000001</v>
      </c>
      <c r="I3342" t="str">
        <f>_xll.BDP("FNDD7836 Mtge","MTG_ORIG_WAL")</f>
        <v>#N/A N/A</v>
      </c>
    </row>
    <row r="3343" spans="1:9" x14ac:dyDescent="0.25">
      <c r="A3343" t="str">
        <f>_xll.BDP("FNDD7843 Mtge","ID_CUSIP")</f>
        <v>3140B8WD9</v>
      </c>
      <c r="B3343" t="str">
        <f>_xll.BDP("FNDD7843 Mtge","SECURITY_NAME")</f>
        <v>FN DD7843</v>
      </c>
      <c r="C3343" t="str">
        <f>_xll.BDP("FNDD7843 Mtge","GENERIC_TICKER_VINTAGE")</f>
        <v>FNCL 6 2025</v>
      </c>
      <c r="D3343" t="str">
        <f>_xll.BDP("FNDD7843 Mtge","CRNCY")</f>
        <v>USD</v>
      </c>
      <c r="E3343">
        <v>1120501</v>
      </c>
      <c r="F3343">
        <f>_xll.BDP("FNDD7843 Mtge","CPN")</f>
        <v>6</v>
      </c>
      <c r="G3343">
        <f>_xll.BDP("FNDD7843 Mtge","MTG_FACTOR")</f>
        <v>0.98894751999999997</v>
      </c>
      <c r="H3343">
        <f>_xll.BDP("FNDD7843 Mtge","MTG_WAL")</f>
        <v>3.2502</v>
      </c>
      <c r="I3343" t="str">
        <f>_xll.BDP("FNDD7843 Mtge","MTG_ORIG_WAL")</f>
        <v>#N/A N/A</v>
      </c>
    </row>
    <row r="3344" spans="1:9" x14ac:dyDescent="0.25">
      <c r="A3344" t="str">
        <f>_xll.BDP("FNDD7846 Mtge","ID_CUSIP")</f>
        <v>3140B8WG2</v>
      </c>
      <c r="B3344" t="str">
        <f>_xll.BDP("FNDD7846 Mtge","SECURITY_NAME")</f>
        <v>FN DD7846</v>
      </c>
      <c r="C3344" t="str">
        <f>_xll.BDP("FNDD7846 Mtge","GENERIC_TICKER_VINTAGE")</f>
        <v>FNCL 6 2025</v>
      </c>
      <c r="D3344" t="str">
        <f>_xll.BDP("FNDD7846 Mtge","CRNCY")</f>
        <v>USD</v>
      </c>
      <c r="E3344">
        <v>1021250</v>
      </c>
      <c r="F3344">
        <f>_xll.BDP("FNDD7846 Mtge","CPN")</f>
        <v>6</v>
      </c>
      <c r="G3344">
        <f>_xll.BDP("FNDD7846 Mtge","MTG_FACTOR")</f>
        <v>0.99028945000000002</v>
      </c>
      <c r="H3344">
        <f>_xll.BDP("FNDD7846 Mtge","MTG_WAL")</f>
        <v>3.2486999999999999</v>
      </c>
      <c r="I3344" t="str">
        <f>_xll.BDP("FNDD7846 Mtge","MTG_ORIG_WAL")</f>
        <v>#N/A N/A</v>
      </c>
    </row>
    <row r="3345" spans="1:9" x14ac:dyDescent="0.25">
      <c r="A3345" t="str">
        <f>_xll.BDP("FNDD7847 Mtge","ID_CUSIP")</f>
        <v>3140B8WH0</v>
      </c>
      <c r="B3345" t="str">
        <f>_xll.BDP("FNDD7847 Mtge","SECURITY_NAME")</f>
        <v>FN DD7847</v>
      </c>
      <c r="C3345" t="str">
        <f>_xll.BDP("FNDD7847 Mtge","GENERIC_TICKER_VINTAGE")</f>
        <v>FNCL 6 2025</v>
      </c>
      <c r="D3345" t="str">
        <f>_xll.BDP("FNDD7847 Mtge","CRNCY")</f>
        <v>USD</v>
      </c>
      <c r="E3345">
        <v>1000700</v>
      </c>
      <c r="F3345">
        <f>_xll.BDP("FNDD7847 Mtge","CPN")</f>
        <v>6</v>
      </c>
      <c r="G3345">
        <f>_xll.BDP("FNDD7847 Mtge","MTG_FACTOR")</f>
        <v>0.98196296999999999</v>
      </c>
      <c r="H3345">
        <f>_xll.BDP("FNDD7847 Mtge","MTG_WAL")</f>
        <v>3.2410000000000001</v>
      </c>
      <c r="I3345" t="str">
        <f>_xll.BDP("FNDD7847 Mtge","MTG_ORIG_WAL")</f>
        <v>#N/A N/A</v>
      </c>
    </row>
    <row r="3346" spans="1:9" x14ac:dyDescent="0.25">
      <c r="A3346" t="str">
        <f>_xll.BDP("FNDD7848 Mtge","ID_CUSIP")</f>
        <v>3140B8WJ6</v>
      </c>
      <c r="B3346" t="str">
        <f>_xll.BDP("FNDD7848 Mtge","SECURITY_NAME")</f>
        <v>FN DD7848</v>
      </c>
      <c r="C3346" t="str">
        <f>_xll.BDP("FNDD7848 Mtge","GENERIC_TICKER_VINTAGE")</f>
        <v>FNCL 6 2025</v>
      </c>
      <c r="D3346" t="str">
        <f>_xll.BDP("FNDD7848 Mtge","CRNCY")</f>
        <v>USD</v>
      </c>
      <c r="E3346">
        <v>1262550</v>
      </c>
      <c r="F3346">
        <f>_xll.BDP("FNDD7848 Mtge","CPN")</f>
        <v>6</v>
      </c>
      <c r="G3346">
        <f>_xll.BDP("FNDD7848 Mtge","MTG_FACTOR")</f>
        <v>0.98963825999999999</v>
      </c>
      <c r="H3346">
        <f>_xll.BDP("FNDD7848 Mtge","MTG_WAL")</f>
        <v>3.2505999999999999</v>
      </c>
      <c r="I3346" t="str">
        <f>_xll.BDP("FNDD7848 Mtge","MTG_ORIG_WAL")</f>
        <v>#N/A N/A</v>
      </c>
    </row>
    <row r="3347" spans="1:9" x14ac:dyDescent="0.25">
      <c r="A3347" t="str">
        <f>_xll.BDP("FNDD7866 Mtge","ID_CUSIP")</f>
        <v>3140B8W49</v>
      </c>
      <c r="B3347" t="str">
        <f>_xll.BDP("FNDD7866 Mtge","SECURITY_NAME")</f>
        <v>FN DD7866</v>
      </c>
      <c r="C3347" t="str">
        <f>_xll.BDP("FNDD7866 Mtge","GENERIC_TICKER_VINTAGE")</f>
        <v>FNCL 6 2025</v>
      </c>
      <c r="D3347" t="str">
        <f>_xll.BDP("FNDD7866 Mtge","CRNCY")</f>
        <v>USD</v>
      </c>
      <c r="E3347">
        <v>1026782</v>
      </c>
      <c r="F3347">
        <f>_xll.BDP("FNDD7866 Mtge","CPN")</f>
        <v>6</v>
      </c>
      <c r="G3347">
        <f>_xll.BDP("FNDD7866 Mtge","MTG_FACTOR")</f>
        <v>0.98460459</v>
      </c>
      <c r="H3347">
        <f>_xll.BDP("FNDD7866 Mtge","MTG_WAL")</f>
        <v>3.1943000000000001</v>
      </c>
      <c r="I3347" t="str">
        <f>_xll.BDP("FNDD7866 Mtge","MTG_ORIG_WAL")</f>
        <v>#N/A N/A</v>
      </c>
    </row>
    <row r="3348" spans="1:9" x14ac:dyDescent="0.25">
      <c r="A3348" t="str">
        <f>_xll.BDP("FNDD7872 Mtge","ID_CUSIP")</f>
        <v>3140B8XA4</v>
      </c>
      <c r="B3348" t="str">
        <f>_xll.BDP("FNDD7872 Mtge","SECURITY_NAME")</f>
        <v>FN DD7872</v>
      </c>
      <c r="C3348" t="str">
        <f>_xll.BDP("FNDD7872 Mtge","GENERIC_TICKER_VINTAGE")</f>
        <v>FNCL 6 2025</v>
      </c>
      <c r="D3348" t="str">
        <f>_xll.BDP("FNDD7872 Mtge","CRNCY")</f>
        <v>USD</v>
      </c>
      <c r="E3348">
        <v>4064604</v>
      </c>
      <c r="F3348">
        <f>_xll.BDP("FNDD7872 Mtge","CPN")</f>
        <v>6</v>
      </c>
      <c r="G3348">
        <f>_xll.BDP("FNDD7872 Mtge","MTG_FACTOR")</f>
        <v>0.98979519999999999</v>
      </c>
      <c r="H3348">
        <f>_xll.BDP("FNDD7872 Mtge","MTG_WAL")</f>
        <v>3.2490999999999999</v>
      </c>
      <c r="I3348" t="str">
        <f>_xll.BDP("FNDD7872 Mtge","MTG_ORIG_WAL")</f>
        <v>#N/A N/A</v>
      </c>
    </row>
    <row r="3349" spans="1:9" x14ac:dyDescent="0.25">
      <c r="A3349" t="str">
        <f>_xll.BDP("FNDD7897 Mtge","ID_CUSIP")</f>
        <v>3140B8X30</v>
      </c>
      <c r="B3349" t="str">
        <f>_xll.BDP("FNDD7897 Mtge","SECURITY_NAME")</f>
        <v>FN DD7897</v>
      </c>
      <c r="C3349" t="str">
        <f>_xll.BDP("FNDD7897 Mtge","GENERIC_TICKER_VINTAGE")</f>
        <v>FNCL 6 2025</v>
      </c>
      <c r="D3349" t="str">
        <f>_xll.BDP("FNDD7897 Mtge","CRNCY")</f>
        <v>USD</v>
      </c>
      <c r="E3349">
        <v>1367450</v>
      </c>
      <c r="F3349">
        <f>_xll.BDP("FNDD7897 Mtge","CPN")</f>
        <v>6</v>
      </c>
      <c r="G3349">
        <f>_xll.BDP("FNDD7897 Mtge","MTG_FACTOR")</f>
        <v>0.98916201999999998</v>
      </c>
      <c r="H3349">
        <f>_xll.BDP("FNDD7897 Mtge","MTG_WAL")</f>
        <v>3.2475999999999998</v>
      </c>
      <c r="I3349" t="str">
        <f>_xll.BDP("FNDD7897 Mtge","MTG_ORIG_WAL")</f>
        <v>#N/A N/A</v>
      </c>
    </row>
    <row r="3350" spans="1:9" x14ac:dyDescent="0.25">
      <c r="A3350" t="str">
        <f>_xll.BDP("FNDD7898 Mtge","ID_CUSIP")</f>
        <v>3140B8X48</v>
      </c>
      <c r="B3350" t="str">
        <f>_xll.BDP("FNDD7898 Mtge","SECURITY_NAME")</f>
        <v>FN DD7898</v>
      </c>
      <c r="C3350" t="str">
        <f>_xll.BDP("FNDD7898 Mtge","GENERIC_TICKER_VINTAGE")</f>
        <v>FNCL 6 2025</v>
      </c>
      <c r="D3350" t="str">
        <f>_xll.BDP("FNDD7898 Mtge","CRNCY")</f>
        <v>USD</v>
      </c>
      <c r="E3350">
        <v>1065149</v>
      </c>
      <c r="F3350">
        <f>_xll.BDP("FNDD7898 Mtge","CPN")</f>
        <v>6</v>
      </c>
      <c r="G3350">
        <f>_xll.BDP("FNDD7898 Mtge","MTG_FACTOR")</f>
        <v>0.99111817999999996</v>
      </c>
      <c r="H3350">
        <f>_xll.BDP("FNDD7898 Mtge","MTG_WAL")</f>
        <v>3.2942</v>
      </c>
      <c r="I3350" t="str">
        <f>_xll.BDP("FNDD7898 Mtge","MTG_ORIG_WAL")</f>
        <v>#N/A N/A</v>
      </c>
    </row>
    <row r="3351" spans="1:9" x14ac:dyDescent="0.25">
      <c r="A3351" t="str">
        <f>_xll.BDP("FNDD7899 Mtge","ID_CUSIP")</f>
        <v>3140B8X55</v>
      </c>
      <c r="B3351" t="str">
        <f>_xll.BDP("FNDD7899 Mtge","SECURITY_NAME")</f>
        <v>FN DD7899</v>
      </c>
      <c r="C3351" t="str">
        <f>_xll.BDP("FNDD7899 Mtge","GENERIC_TICKER_VINTAGE")</f>
        <v>FNCL 6 2025</v>
      </c>
      <c r="D3351" t="str">
        <f>_xll.BDP("FNDD7899 Mtge","CRNCY")</f>
        <v>USD</v>
      </c>
      <c r="E3351">
        <v>2102170</v>
      </c>
      <c r="F3351">
        <f>_xll.BDP("FNDD7899 Mtge","CPN")</f>
        <v>6</v>
      </c>
      <c r="G3351">
        <f>_xll.BDP("FNDD7899 Mtge","MTG_FACTOR")</f>
        <v>0.97397182000000004</v>
      </c>
      <c r="H3351">
        <f>_xll.BDP("FNDD7899 Mtge","MTG_WAL")</f>
        <v>3.2814000000000001</v>
      </c>
      <c r="I3351" t="str">
        <f>_xll.BDP("FNDD7899 Mtge","MTG_ORIG_WAL")</f>
        <v>#N/A N/A</v>
      </c>
    </row>
    <row r="3352" spans="1:9" x14ac:dyDescent="0.25">
      <c r="A3352" t="str">
        <f>_xll.BDP("FNDD7906 Mtge","ID_CUSIP")</f>
        <v>3140B8YC9</v>
      </c>
      <c r="B3352" t="str">
        <f>_xll.BDP("FNDD7906 Mtge","SECURITY_NAME")</f>
        <v>FN DD7906</v>
      </c>
      <c r="C3352" t="str">
        <f>_xll.BDP("FNDD7906 Mtge","GENERIC_TICKER_VINTAGE")</f>
        <v>FNCL 6 2025</v>
      </c>
      <c r="D3352" t="str">
        <f>_xll.BDP("FNDD7906 Mtge","CRNCY")</f>
        <v>USD</v>
      </c>
      <c r="E3352">
        <v>1187000</v>
      </c>
      <c r="F3352">
        <f>_xll.BDP("FNDD7906 Mtge","CPN")</f>
        <v>6</v>
      </c>
      <c r="G3352">
        <f>_xll.BDP("FNDD7906 Mtge","MTG_FACTOR")</f>
        <v>0.65708520999999998</v>
      </c>
      <c r="H3352">
        <f>_xll.BDP("FNDD7906 Mtge","MTG_WAL")</f>
        <v>3.2966000000000002</v>
      </c>
      <c r="I3352" t="str">
        <f>_xll.BDP("FNDD7906 Mtge","MTG_ORIG_WAL")</f>
        <v>#N/A N/A</v>
      </c>
    </row>
    <row r="3353" spans="1:9" x14ac:dyDescent="0.25">
      <c r="A3353" t="str">
        <f>_xll.BDP("FNDD7907 Mtge","ID_CUSIP")</f>
        <v>3140B8YD7</v>
      </c>
      <c r="B3353" t="str">
        <f>_xll.BDP("FNDD7907 Mtge","SECURITY_NAME")</f>
        <v>FN DD7907</v>
      </c>
      <c r="C3353" t="str">
        <f>_xll.BDP("FNDD7907 Mtge","GENERIC_TICKER_VINTAGE")</f>
        <v>FNCL 6 2025</v>
      </c>
      <c r="D3353" t="str">
        <f>_xll.BDP("FNDD7907 Mtge","CRNCY")</f>
        <v>USD</v>
      </c>
      <c r="E3353">
        <v>1488257</v>
      </c>
      <c r="F3353">
        <f>_xll.BDP("FNDD7907 Mtge","CPN")</f>
        <v>6</v>
      </c>
      <c r="G3353">
        <f>_xll.BDP("FNDD7907 Mtge","MTG_FACTOR")</f>
        <v>0.74421415999999996</v>
      </c>
      <c r="H3353">
        <f>_xll.BDP("FNDD7907 Mtge","MTG_WAL")</f>
        <v>3.2871000000000001</v>
      </c>
      <c r="I3353" t="str">
        <f>_xll.BDP("FNDD7907 Mtge","MTG_ORIG_WAL")</f>
        <v>#N/A N/A</v>
      </c>
    </row>
    <row r="3354" spans="1:9" x14ac:dyDescent="0.25">
      <c r="A3354" t="str">
        <f>_xll.BDP("FNDD7914 Mtge","ID_CUSIP")</f>
        <v>3140B8YL9</v>
      </c>
      <c r="B3354" t="str">
        <f>_xll.BDP("FNDD7914 Mtge","SECURITY_NAME")</f>
        <v>FN DD7914</v>
      </c>
      <c r="C3354" t="str">
        <f>_xll.BDP("FNDD7914 Mtge","GENERIC_TICKER_VINTAGE")</f>
        <v>FNCL 6 2025</v>
      </c>
      <c r="D3354" t="str">
        <f>_xll.BDP("FNDD7914 Mtge","CRNCY")</f>
        <v>USD</v>
      </c>
      <c r="E3354">
        <v>1500489</v>
      </c>
      <c r="F3354">
        <f>_xll.BDP("FNDD7914 Mtge","CPN")</f>
        <v>6</v>
      </c>
      <c r="G3354">
        <f>_xll.BDP("FNDD7914 Mtge","MTG_FACTOR")</f>
        <v>0.71336005999999996</v>
      </c>
      <c r="H3354">
        <f>_xll.BDP("FNDD7914 Mtge","MTG_WAL")</f>
        <v>3.2949999999999999</v>
      </c>
      <c r="I3354" t="str">
        <f>_xll.BDP("FNDD7914 Mtge","MTG_ORIG_WAL")</f>
        <v>#N/A N/A</v>
      </c>
    </row>
    <row r="3355" spans="1:9" x14ac:dyDescent="0.25">
      <c r="A3355" t="str">
        <f>_xll.BDP("FNDD7915 Mtge","ID_CUSIP")</f>
        <v>3140B8YM7</v>
      </c>
      <c r="B3355" t="str">
        <f>_xll.BDP("FNDD7915 Mtge","SECURITY_NAME")</f>
        <v>FN DD7915</v>
      </c>
      <c r="C3355" t="str">
        <f>_xll.BDP("FNDD7915 Mtge","GENERIC_TICKER_VINTAGE")</f>
        <v>FNCL 6 2025</v>
      </c>
      <c r="D3355" t="str">
        <f>_xll.BDP("FNDD7915 Mtge","CRNCY")</f>
        <v>USD</v>
      </c>
      <c r="E3355">
        <v>1047940</v>
      </c>
      <c r="F3355">
        <f>_xll.BDP("FNDD7915 Mtge","CPN")</f>
        <v>6</v>
      </c>
      <c r="G3355">
        <f>_xll.BDP("FNDD7915 Mtge","MTG_FACTOR")</f>
        <v>0.98759494000000003</v>
      </c>
      <c r="H3355">
        <f>_xll.BDP("FNDD7915 Mtge","MTG_WAL")</f>
        <v>3.2925</v>
      </c>
      <c r="I3355" t="str">
        <f>_xll.BDP("FNDD7915 Mtge","MTG_ORIG_WAL")</f>
        <v>#N/A N/A</v>
      </c>
    </row>
    <row r="3356" spans="1:9" x14ac:dyDescent="0.25">
      <c r="A3356" t="str">
        <f>_xll.BDP("FNDD7916 Mtge","ID_CUSIP")</f>
        <v>3140B8YN5</v>
      </c>
      <c r="B3356" t="str">
        <f>_xll.BDP("FNDD7916 Mtge","SECURITY_NAME")</f>
        <v>FN DD7916</v>
      </c>
      <c r="C3356" t="str">
        <f>_xll.BDP("FNDD7916 Mtge","GENERIC_TICKER_VINTAGE")</f>
        <v>FNCL 6 2025</v>
      </c>
      <c r="D3356" t="str">
        <f>_xll.BDP("FNDD7916 Mtge","CRNCY")</f>
        <v>USD</v>
      </c>
      <c r="E3356">
        <v>1262750</v>
      </c>
      <c r="F3356">
        <f>_xll.BDP("FNDD7916 Mtge","CPN")</f>
        <v>6</v>
      </c>
      <c r="G3356">
        <f>_xll.BDP("FNDD7916 Mtge","MTG_FACTOR")</f>
        <v>0.96628013999999995</v>
      </c>
      <c r="H3356">
        <f>_xll.BDP("FNDD7916 Mtge","MTG_WAL")</f>
        <v>3.2776999999999998</v>
      </c>
      <c r="I3356" t="str">
        <f>_xll.BDP("FNDD7916 Mtge","MTG_ORIG_WAL")</f>
        <v>#N/A N/A</v>
      </c>
    </row>
    <row r="3357" spans="1:9" x14ac:dyDescent="0.25">
      <c r="A3357" t="str">
        <f>_xll.BDP("FNDD7917 Mtge","ID_CUSIP")</f>
        <v>3140B8YP0</v>
      </c>
      <c r="B3357" t="str">
        <f>_xll.BDP("FNDD7917 Mtge","SECURITY_NAME")</f>
        <v>FN DD7917</v>
      </c>
      <c r="C3357" t="str">
        <f>_xll.BDP("FNDD7917 Mtge","GENERIC_TICKER_VINTAGE")</f>
        <v>FNCL 6 2025</v>
      </c>
      <c r="D3357" t="str">
        <f>_xll.BDP("FNDD7917 Mtge","CRNCY")</f>
        <v>USD</v>
      </c>
      <c r="E3357">
        <v>1010000</v>
      </c>
      <c r="F3357">
        <f>_xll.BDP("FNDD7917 Mtge","CPN")</f>
        <v>6</v>
      </c>
      <c r="G3357">
        <f>_xll.BDP("FNDD7917 Mtge","MTG_FACTOR")</f>
        <v>0.69159044999999997</v>
      </c>
      <c r="H3357">
        <f>_xll.BDP("FNDD7917 Mtge","MTG_WAL")</f>
        <v>3.2471000000000001</v>
      </c>
      <c r="I3357" t="str">
        <f>_xll.BDP("FNDD7917 Mtge","MTG_ORIG_WAL")</f>
        <v>#N/A N/A</v>
      </c>
    </row>
    <row r="3358" spans="1:9" x14ac:dyDescent="0.25">
      <c r="A3358" t="str">
        <f>_xll.BDP("FNDD7918 Mtge","ID_CUSIP")</f>
        <v>3140B8YQ8</v>
      </c>
      <c r="B3358" t="str">
        <f>_xll.BDP("FNDD7918 Mtge","SECURITY_NAME")</f>
        <v>FN DD7918</v>
      </c>
      <c r="C3358" t="str">
        <f>_xll.BDP("FNDD7918 Mtge","GENERIC_TICKER_VINTAGE")</f>
        <v>FNCL 6 2025</v>
      </c>
      <c r="D3358" t="str">
        <f>_xll.BDP("FNDD7918 Mtge","CRNCY")</f>
        <v>USD</v>
      </c>
      <c r="E3358">
        <v>1169447</v>
      </c>
      <c r="F3358">
        <f>_xll.BDP("FNDD7918 Mtge","CPN")</f>
        <v>6</v>
      </c>
      <c r="G3358">
        <f>_xll.BDP("FNDD7918 Mtge","MTG_FACTOR")</f>
        <v>0.99130390999999995</v>
      </c>
      <c r="H3358">
        <f>_xll.BDP("FNDD7918 Mtge","MTG_WAL")</f>
        <v>3.2945000000000002</v>
      </c>
      <c r="I3358" t="str">
        <f>_xll.BDP("FNDD7918 Mtge","MTG_ORIG_WAL")</f>
        <v>#N/A N/A</v>
      </c>
    </row>
    <row r="3359" spans="1:9" x14ac:dyDescent="0.25">
      <c r="A3359" t="str">
        <f>_xll.BDP("FNDD7923 Mtge","ID_CUSIP")</f>
        <v>3140B8YV7</v>
      </c>
      <c r="B3359" t="str">
        <f>_xll.BDP("FNDD7923 Mtge","SECURITY_NAME")</f>
        <v>FN DD7923</v>
      </c>
      <c r="C3359" t="str">
        <f>_xll.BDP("FNDD7923 Mtge","GENERIC_TICKER_VINTAGE")</f>
        <v>FNCL 6 2025</v>
      </c>
      <c r="D3359" t="str">
        <f>_xll.BDP("FNDD7923 Mtge","CRNCY")</f>
        <v>USD</v>
      </c>
      <c r="E3359">
        <v>1233831</v>
      </c>
      <c r="F3359">
        <f>_xll.BDP("FNDD7923 Mtge","CPN")</f>
        <v>6</v>
      </c>
      <c r="G3359">
        <f>_xll.BDP("FNDD7923 Mtge","MTG_FACTOR")</f>
        <v>0.99109250000000004</v>
      </c>
      <c r="H3359">
        <f>_xll.BDP("FNDD7923 Mtge","MTG_WAL")</f>
        <v>3.2947000000000002</v>
      </c>
      <c r="I3359" t="str">
        <f>_xll.BDP("FNDD7923 Mtge","MTG_ORIG_WAL")</f>
        <v>#N/A N/A</v>
      </c>
    </row>
    <row r="3360" spans="1:9" x14ac:dyDescent="0.25">
      <c r="A3360" t="str">
        <f>_xll.BDP("FNDD7924 Mtge","ID_CUSIP")</f>
        <v>3140B8YW5</v>
      </c>
      <c r="B3360" t="str">
        <f>_xll.BDP("FNDD7924 Mtge","SECURITY_NAME")</f>
        <v>FN DD7924</v>
      </c>
      <c r="C3360" t="str">
        <f>_xll.BDP("FNDD7924 Mtge","GENERIC_TICKER_VINTAGE")</f>
        <v>FNCL 6 2025</v>
      </c>
      <c r="D3360" t="str">
        <f>_xll.BDP("FNDD7924 Mtge","CRNCY")</f>
        <v>USD</v>
      </c>
      <c r="E3360">
        <v>1162600</v>
      </c>
      <c r="F3360">
        <f>_xll.BDP("FNDD7924 Mtge","CPN")</f>
        <v>6</v>
      </c>
      <c r="G3360">
        <f>_xll.BDP("FNDD7924 Mtge","MTG_FACTOR")</f>
        <v>0.98865924000000005</v>
      </c>
      <c r="H3360">
        <f>_xll.BDP("FNDD7924 Mtge","MTG_WAL")</f>
        <v>3.2927</v>
      </c>
      <c r="I3360" t="str">
        <f>_xll.BDP("FNDD7924 Mtge","MTG_ORIG_WAL")</f>
        <v>#N/A N/A</v>
      </c>
    </row>
    <row r="3361" spans="1:9" x14ac:dyDescent="0.25">
      <c r="A3361" t="str">
        <f>_xll.BDP("FNDD7928 Mtge","ID_CUSIP")</f>
        <v>3140B8Y21</v>
      </c>
      <c r="B3361" t="str">
        <f>_xll.BDP("FNDD7928 Mtge","SECURITY_NAME")</f>
        <v>FN DD7928</v>
      </c>
      <c r="C3361" t="str">
        <f>_xll.BDP("FNDD7928 Mtge","GENERIC_TICKER_VINTAGE")</f>
        <v>FNCL 6 2025</v>
      </c>
      <c r="D3361" t="str">
        <f>_xll.BDP("FNDD7928 Mtge","CRNCY")</f>
        <v>USD</v>
      </c>
      <c r="E3361">
        <v>2406500</v>
      </c>
      <c r="F3361">
        <f>_xll.BDP("FNDD7928 Mtge","CPN")</f>
        <v>6</v>
      </c>
      <c r="G3361">
        <f>_xll.BDP("FNDD7928 Mtge","MTG_FACTOR")</f>
        <v>0.82011096999999999</v>
      </c>
      <c r="H3361">
        <f>_xll.BDP("FNDD7928 Mtge","MTG_WAL")</f>
        <v>3.298</v>
      </c>
      <c r="I3361" t="str">
        <f>_xll.BDP("FNDD7928 Mtge","MTG_ORIG_WAL")</f>
        <v>#N/A N/A</v>
      </c>
    </row>
    <row r="3362" spans="1:9" x14ac:dyDescent="0.25">
      <c r="A3362" t="str">
        <f>_xll.BDP("FNDD7929 Mtge","ID_CUSIP")</f>
        <v>3140B8Y39</v>
      </c>
      <c r="B3362" t="str">
        <f>_xll.BDP("FNDD7929 Mtge","SECURITY_NAME")</f>
        <v>FN DD7929</v>
      </c>
      <c r="C3362" t="str">
        <f>_xll.BDP("FNDD7929 Mtge","GENERIC_TICKER_VINTAGE")</f>
        <v>FNCL 6 2025</v>
      </c>
      <c r="D3362" t="str">
        <f>_xll.BDP("FNDD7929 Mtge","CRNCY")</f>
        <v>USD</v>
      </c>
      <c r="E3362">
        <v>1731750</v>
      </c>
      <c r="F3362">
        <f>_xll.BDP("FNDD7929 Mtge","CPN")</f>
        <v>6</v>
      </c>
      <c r="G3362">
        <f>_xll.BDP("FNDD7929 Mtge","MTG_FACTOR")</f>
        <v>0.98946069999999997</v>
      </c>
      <c r="H3362">
        <f>_xll.BDP("FNDD7929 Mtge","MTG_WAL")</f>
        <v>3.2965</v>
      </c>
      <c r="I3362" t="str">
        <f>_xll.BDP("FNDD7929 Mtge","MTG_ORIG_WAL")</f>
        <v>#N/A N/A</v>
      </c>
    </row>
    <row r="3363" spans="1:9" x14ac:dyDescent="0.25">
      <c r="A3363" t="str">
        <f>_xll.BDP("FNDD7942 Mtge","ID_CUSIP")</f>
        <v>3140B8ZG9</v>
      </c>
      <c r="B3363" t="str">
        <f>_xll.BDP("FNDD7942 Mtge","SECURITY_NAME")</f>
        <v>FN DD7942</v>
      </c>
      <c r="C3363" t="str">
        <f>_xll.BDP("FNDD7942 Mtge","GENERIC_TICKER_VINTAGE")</f>
        <v>FNCL 6 2025</v>
      </c>
      <c r="D3363" t="str">
        <f>_xll.BDP("FNDD7942 Mtge","CRNCY")</f>
        <v>USD</v>
      </c>
      <c r="E3363">
        <v>1308925</v>
      </c>
      <c r="F3363">
        <f>_xll.BDP("FNDD7942 Mtge","CPN")</f>
        <v>6</v>
      </c>
      <c r="G3363">
        <f>_xll.BDP("FNDD7942 Mtge","MTG_FACTOR")</f>
        <v>0.91041965999999996</v>
      </c>
      <c r="H3363">
        <f>_xll.BDP("FNDD7942 Mtge","MTG_WAL")</f>
        <v>3.2883</v>
      </c>
      <c r="I3363" t="str">
        <f>_xll.BDP("FNDD7942 Mtge","MTG_ORIG_WAL")</f>
        <v>#N/A N/A</v>
      </c>
    </row>
    <row r="3364" spans="1:9" x14ac:dyDescent="0.25">
      <c r="A3364" t="str">
        <f>_xll.BDP("FNDD7943 Mtge","ID_CUSIP")</f>
        <v>3140B8ZH7</v>
      </c>
      <c r="B3364" t="str">
        <f>_xll.BDP("FNDD7943 Mtge","SECURITY_NAME")</f>
        <v>FN DD7943</v>
      </c>
      <c r="C3364" t="str">
        <f>_xll.BDP("FNDD7943 Mtge","GENERIC_TICKER_VINTAGE")</f>
        <v>FNCL 6 2025</v>
      </c>
      <c r="D3364" t="str">
        <f>_xll.BDP("FNDD7943 Mtge","CRNCY")</f>
        <v>USD</v>
      </c>
      <c r="E3364">
        <v>1531185</v>
      </c>
      <c r="F3364">
        <f>_xll.BDP("FNDD7943 Mtge","CPN")</f>
        <v>6</v>
      </c>
      <c r="G3364">
        <f>_xll.BDP("FNDD7943 Mtge","MTG_FACTOR")</f>
        <v>0.99078496999999999</v>
      </c>
      <c r="H3364">
        <f>_xll.BDP("FNDD7943 Mtge","MTG_WAL")</f>
        <v>3.2945000000000002</v>
      </c>
      <c r="I3364" t="str">
        <f>_xll.BDP("FNDD7943 Mtge","MTG_ORIG_WAL")</f>
        <v>#N/A N/A</v>
      </c>
    </row>
    <row r="3365" spans="1:9" x14ac:dyDescent="0.25">
      <c r="A3365" t="str">
        <f>_xll.BDP("FNDD7944 Mtge","ID_CUSIP")</f>
        <v>3140B8ZJ3</v>
      </c>
      <c r="B3365" t="str">
        <f>_xll.BDP("FNDD7944 Mtge","SECURITY_NAME")</f>
        <v>FN DD7944</v>
      </c>
      <c r="C3365" t="str">
        <f>_xll.BDP("FNDD7944 Mtge","GENERIC_TICKER_VINTAGE")</f>
        <v>FNCL 6 2025</v>
      </c>
      <c r="D3365" t="str">
        <f>_xll.BDP("FNDD7944 Mtge","CRNCY")</f>
        <v>USD</v>
      </c>
      <c r="E3365">
        <v>1106977</v>
      </c>
      <c r="F3365">
        <f>_xll.BDP("FNDD7944 Mtge","CPN")</f>
        <v>6</v>
      </c>
      <c r="G3365">
        <f>_xll.BDP("FNDD7944 Mtge","MTG_FACTOR")</f>
        <v>0.99126968000000004</v>
      </c>
      <c r="H3365">
        <f>_xll.BDP("FNDD7944 Mtge","MTG_WAL")</f>
        <v>3.2944</v>
      </c>
      <c r="I3365" t="str">
        <f>_xll.BDP("FNDD7944 Mtge","MTG_ORIG_WAL")</f>
        <v>#N/A N/A</v>
      </c>
    </row>
    <row r="3366" spans="1:9" x14ac:dyDescent="0.25">
      <c r="A3366" t="str">
        <f>_xll.BDP("FNDD7945 Mtge","ID_CUSIP")</f>
        <v>3140B8ZK0</v>
      </c>
      <c r="B3366" t="str">
        <f>_xll.BDP("FNDD7945 Mtge","SECURITY_NAME")</f>
        <v>FN DD7945</v>
      </c>
      <c r="C3366" t="str">
        <f>_xll.BDP("FNDD7945 Mtge","GENERIC_TICKER_VINTAGE")</f>
        <v>FNCL 6 2025</v>
      </c>
      <c r="D3366" t="str">
        <f>_xll.BDP("FNDD7945 Mtge","CRNCY")</f>
        <v>USD</v>
      </c>
      <c r="E3366">
        <v>1050288</v>
      </c>
      <c r="F3366">
        <f>_xll.BDP("FNDD7945 Mtge","CPN")</f>
        <v>6</v>
      </c>
      <c r="G3366">
        <f>_xll.BDP("FNDD7945 Mtge","MTG_FACTOR")</f>
        <v>0.99131020999999997</v>
      </c>
      <c r="H3366">
        <f>_xll.BDP("FNDD7945 Mtge","MTG_WAL")</f>
        <v>3.2948</v>
      </c>
      <c r="I3366" t="str">
        <f>_xll.BDP("FNDD7945 Mtge","MTG_ORIG_WAL")</f>
        <v>#N/A N/A</v>
      </c>
    </row>
    <row r="3367" spans="1:9" x14ac:dyDescent="0.25">
      <c r="A3367" t="str">
        <f>_xll.BDP("FNDD7946 Mtge","ID_CUSIP")</f>
        <v>3140B8ZL8</v>
      </c>
      <c r="B3367" t="str">
        <f>_xll.BDP("FNDD7946 Mtge","SECURITY_NAME")</f>
        <v>FN DD7946</v>
      </c>
      <c r="C3367" t="str">
        <f>_xll.BDP("FNDD7946 Mtge","GENERIC_TICKER_VINTAGE")</f>
        <v>FNCL 6 2025</v>
      </c>
      <c r="D3367" t="str">
        <f>_xll.BDP("FNDD7946 Mtge","CRNCY")</f>
        <v>USD</v>
      </c>
      <c r="E3367">
        <v>1272400</v>
      </c>
      <c r="F3367">
        <f>_xll.BDP("FNDD7946 Mtge","CPN")</f>
        <v>6</v>
      </c>
      <c r="G3367">
        <f>_xll.BDP("FNDD7946 Mtge","MTG_FACTOR")</f>
        <v>0.98942465000000002</v>
      </c>
      <c r="H3367">
        <f>_xll.BDP("FNDD7946 Mtge","MTG_WAL")</f>
        <v>3.2949000000000002</v>
      </c>
      <c r="I3367" t="str">
        <f>_xll.BDP("FNDD7946 Mtge","MTG_ORIG_WAL")</f>
        <v>#N/A N/A</v>
      </c>
    </row>
    <row r="3368" spans="1:9" x14ac:dyDescent="0.25">
      <c r="A3368" t="str">
        <f>_xll.BDP("FNDD7947 Mtge","ID_CUSIP")</f>
        <v>3140B8ZM6</v>
      </c>
      <c r="B3368" t="str">
        <f>_xll.BDP("FNDD7947 Mtge","SECURITY_NAME")</f>
        <v>FN DD7947</v>
      </c>
      <c r="C3368" t="str">
        <f>_xll.BDP("FNDD7947 Mtge","GENERIC_TICKER_VINTAGE")</f>
        <v>FNCL 6 2025</v>
      </c>
      <c r="D3368" t="str">
        <f>_xll.BDP("FNDD7947 Mtge","CRNCY")</f>
        <v>USD</v>
      </c>
      <c r="E3368">
        <v>1702565</v>
      </c>
      <c r="F3368">
        <f>_xll.BDP("FNDD7947 Mtge","CPN")</f>
        <v>6</v>
      </c>
      <c r="G3368">
        <f>_xll.BDP("FNDD7947 Mtge","MTG_FACTOR")</f>
        <v>0.99149072000000005</v>
      </c>
      <c r="H3368">
        <f>_xll.BDP("FNDD7947 Mtge","MTG_WAL")</f>
        <v>3.2972999999999999</v>
      </c>
      <c r="I3368" t="str">
        <f>_xll.BDP("FNDD7947 Mtge","MTG_ORIG_WAL")</f>
        <v>#N/A N/A</v>
      </c>
    </row>
    <row r="3369" spans="1:9" x14ac:dyDescent="0.25">
      <c r="A3369" t="str">
        <f>_xll.BDP("FNDD7954 Mtge","ID_CUSIP")</f>
        <v>3140B8ZU8</v>
      </c>
      <c r="B3369" t="str">
        <f>_xll.BDP("FNDD7954 Mtge","SECURITY_NAME")</f>
        <v>FN DD7954</v>
      </c>
      <c r="C3369" t="str">
        <f>_xll.BDP("FNDD7954 Mtge","GENERIC_TICKER_VINTAGE")</f>
        <v>FNCL 6 2025</v>
      </c>
      <c r="D3369" t="str">
        <f>_xll.BDP("FNDD7954 Mtge","CRNCY")</f>
        <v>USD</v>
      </c>
      <c r="E3369">
        <v>2128425</v>
      </c>
      <c r="F3369">
        <f>_xll.BDP("FNDD7954 Mtge","CPN")</f>
        <v>6</v>
      </c>
      <c r="G3369">
        <f>_xll.BDP("FNDD7954 Mtge","MTG_FACTOR")</f>
        <v>0.82335517000000003</v>
      </c>
      <c r="H3369">
        <f>_xll.BDP("FNDD7954 Mtge","MTG_WAL")</f>
        <v>3.294</v>
      </c>
      <c r="I3369" t="str">
        <f>_xll.BDP("FNDD7954 Mtge","MTG_ORIG_WAL")</f>
        <v>#N/A N/A</v>
      </c>
    </row>
    <row r="3370" spans="1:9" x14ac:dyDescent="0.25">
      <c r="A3370" t="str">
        <f>_xll.BDP("FNDD7963 Mtge","ID_CUSIP")</f>
        <v>3140B8Z53</v>
      </c>
      <c r="B3370" t="str">
        <f>_xll.BDP("FNDD7963 Mtge","SECURITY_NAME")</f>
        <v>FN DD7963</v>
      </c>
      <c r="C3370" t="str">
        <f>_xll.BDP("FNDD7963 Mtge","GENERIC_TICKER_VINTAGE")</f>
        <v>FNCL 6 2025</v>
      </c>
      <c r="D3370" t="str">
        <f>_xll.BDP("FNDD7963 Mtge","CRNCY")</f>
        <v>USD</v>
      </c>
      <c r="E3370">
        <v>2145660</v>
      </c>
      <c r="F3370">
        <f>_xll.BDP("FNDD7963 Mtge","CPN")</f>
        <v>6</v>
      </c>
      <c r="G3370">
        <f>_xll.BDP("FNDD7963 Mtge","MTG_FACTOR")</f>
        <v>0.75637041999999999</v>
      </c>
      <c r="H3370">
        <f>_xll.BDP("FNDD7963 Mtge","MTG_WAL")</f>
        <v>3.2902</v>
      </c>
      <c r="I3370" t="str">
        <f>_xll.BDP("FNDD7963 Mtge","MTG_ORIG_WAL")</f>
        <v>#N/A N/A</v>
      </c>
    </row>
    <row r="3371" spans="1:9" x14ac:dyDescent="0.25">
      <c r="A3371" t="str">
        <f>_xll.BDP("FNDD7964 Mtge","ID_CUSIP")</f>
        <v>3140B8Z61</v>
      </c>
      <c r="B3371" t="str">
        <f>_xll.BDP("FNDD7964 Mtge","SECURITY_NAME")</f>
        <v>FN DD7964</v>
      </c>
      <c r="C3371" t="str">
        <f>_xll.BDP("FNDD7964 Mtge","GENERIC_TICKER_VINTAGE")</f>
        <v>FNCL 6 2025</v>
      </c>
      <c r="D3371" t="str">
        <f>_xll.BDP("FNDD7964 Mtge","CRNCY")</f>
        <v>USD</v>
      </c>
      <c r="E3371">
        <v>1476484</v>
      </c>
      <c r="F3371">
        <f>_xll.BDP("FNDD7964 Mtge","CPN")</f>
        <v>6</v>
      </c>
      <c r="G3371">
        <f>_xll.BDP("FNDD7964 Mtge","MTG_FACTOR")</f>
        <v>0.91931253000000002</v>
      </c>
      <c r="H3371">
        <f>_xll.BDP("FNDD7964 Mtge","MTG_WAL")</f>
        <v>3.2810999999999999</v>
      </c>
      <c r="I3371" t="str">
        <f>_xll.BDP("FNDD7964 Mtge","MTG_ORIG_WAL")</f>
        <v>#N/A N/A</v>
      </c>
    </row>
    <row r="3372" spans="1:9" x14ac:dyDescent="0.25">
      <c r="A3372" t="str">
        <f>_xll.BDP("FNDD7965 Mtge","ID_CUSIP")</f>
        <v>3140B8Z79</v>
      </c>
      <c r="B3372" t="str">
        <f>_xll.BDP("FNDD7965 Mtge","SECURITY_NAME")</f>
        <v>FN DD7965</v>
      </c>
      <c r="C3372" t="str">
        <f>_xll.BDP("FNDD7965 Mtge","GENERIC_TICKER_VINTAGE")</f>
        <v>FNCL 6 2025</v>
      </c>
      <c r="D3372" t="str">
        <f>_xll.BDP("FNDD7965 Mtge","CRNCY")</f>
        <v>USD</v>
      </c>
      <c r="E3372">
        <v>1036192</v>
      </c>
      <c r="F3372">
        <f>_xll.BDP("FNDD7965 Mtge","CPN")</f>
        <v>6</v>
      </c>
      <c r="G3372">
        <f>_xll.BDP("FNDD7965 Mtge","MTG_FACTOR")</f>
        <v>0.99131999999999998</v>
      </c>
      <c r="H3372">
        <f>_xll.BDP("FNDD7965 Mtge","MTG_WAL")</f>
        <v>3.2948</v>
      </c>
      <c r="I3372" t="str">
        <f>_xll.BDP("FNDD7965 Mtge","MTG_ORIG_WAL")</f>
        <v>#N/A N/A</v>
      </c>
    </row>
    <row r="3373" spans="1:9" x14ac:dyDescent="0.25">
      <c r="A3373" t="str">
        <f>_xll.BDP("FNDD7966 Mtge","ID_CUSIP")</f>
        <v>3140B8Z87</v>
      </c>
      <c r="B3373" t="str">
        <f>_xll.BDP("FNDD7966 Mtge","SECURITY_NAME")</f>
        <v>FN DD7966</v>
      </c>
      <c r="C3373" t="str">
        <f>_xll.BDP("FNDD7966 Mtge","GENERIC_TICKER_VINTAGE")</f>
        <v>FNCL 6 2025</v>
      </c>
      <c r="D3373" t="str">
        <f>_xll.BDP("FNDD7966 Mtge","CRNCY")</f>
        <v>USD</v>
      </c>
      <c r="E3373">
        <v>1126017</v>
      </c>
      <c r="F3373">
        <f>_xll.BDP("FNDD7966 Mtge","CPN")</f>
        <v>6</v>
      </c>
      <c r="G3373">
        <f>_xll.BDP("FNDD7966 Mtge","MTG_FACTOR")</f>
        <v>0.99093880000000001</v>
      </c>
      <c r="H3373">
        <f>_xll.BDP("FNDD7966 Mtge","MTG_WAL")</f>
        <v>3.2953000000000001</v>
      </c>
      <c r="I3373" t="str">
        <f>_xll.BDP("FNDD7966 Mtge","MTG_ORIG_WAL")</f>
        <v>#N/A N/A</v>
      </c>
    </row>
    <row r="3374" spans="1:9" x14ac:dyDescent="0.25">
      <c r="A3374" t="str">
        <f>_xll.BDP("FNDD7967 Mtge","ID_CUSIP")</f>
        <v>3140B8Z95</v>
      </c>
      <c r="B3374" t="str">
        <f>_xll.BDP("FNDD7967 Mtge","SECURITY_NAME")</f>
        <v>FN DD7967</v>
      </c>
      <c r="C3374" t="str">
        <f>_xll.BDP("FNDD7967 Mtge","GENERIC_TICKER_VINTAGE")</f>
        <v>FNCL 6 2025</v>
      </c>
      <c r="D3374" t="str">
        <f>_xll.BDP("FNDD7967 Mtge","CRNCY")</f>
        <v>USD</v>
      </c>
      <c r="E3374">
        <v>2161621</v>
      </c>
      <c r="F3374">
        <f>_xll.BDP("FNDD7967 Mtge","CPN")</f>
        <v>6</v>
      </c>
      <c r="G3374">
        <f>_xll.BDP("FNDD7967 Mtge","MTG_FACTOR")</f>
        <v>0.82184765000000004</v>
      </c>
      <c r="H3374">
        <f>_xll.BDP("FNDD7967 Mtge","MTG_WAL")</f>
        <v>3.2955999999999999</v>
      </c>
      <c r="I3374" t="str">
        <f>_xll.BDP("FNDD7967 Mtge","MTG_ORIG_WAL")</f>
        <v>#N/A N/A</v>
      </c>
    </row>
    <row r="3375" spans="1:9" x14ac:dyDescent="0.25">
      <c r="A3375" t="str">
        <f>_xll.BDP("FNDD7981 Mtge","ID_CUSIP")</f>
        <v>3140B82P5</v>
      </c>
      <c r="B3375" t="str">
        <f>_xll.BDP("FNDD7981 Mtge","SECURITY_NAME")</f>
        <v>FN DD7981</v>
      </c>
      <c r="C3375" t="str">
        <f>_xll.BDP("FNDD7981 Mtge","GENERIC_TICKER_VINTAGE")</f>
        <v>FNCL 6 2025</v>
      </c>
      <c r="D3375" t="str">
        <f>_xll.BDP("FNDD7981 Mtge","CRNCY")</f>
        <v>USD</v>
      </c>
      <c r="E3375">
        <v>4386119</v>
      </c>
      <c r="F3375">
        <f>_xll.BDP("FNDD7981 Mtge","CPN")</f>
        <v>6</v>
      </c>
      <c r="G3375">
        <f>_xll.BDP("FNDD7981 Mtge","MTG_FACTOR")</f>
        <v>0.91370892000000004</v>
      </c>
      <c r="H3375">
        <f>_xll.BDP("FNDD7981 Mtge","MTG_WAL")</f>
        <v>3.2461000000000002</v>
      </c>
      <c r="I3375" t="str">
        <f>_xll.BDP("FNDD7981 Mtge","MTG_ORIG_WAL")</f>
        <v>#N/A N/A</v>
      </c>
    </row>
    <row r="3376" spans="1:9" x14ac:dyDescent="0.25">
      <c r="A3376" t="str">
        <f>_xll.BDP("FNDD7983 Mtge","ID_CUSIP")</f>
        <v>3140B82R1</v>
      </c>
      <c r="B3376" t="str">
        <f>_xll.BDP("FNDD7983 Mtge","SECURITY_NAME")</f>
        <v>FN DD7983</v>
      </c>
      <c r="C3376" t="str">
        <f>_xll.BDP("FNDD7983 Mtge","GENERIC_TICKER_VINTAGE")</f>
        <v>FNCL 6 2025</v>
      </c>
      <c r="D3376" t="str">
        <f>_xll.BDP("FNDD7983 Mtge","CRNCY")</f>
        <v>USD</v>
      </c>
      <c r="E3376">
        <v>4355245</v>
      </c>
      <c r="F3376">
        <f>_xll.BDP("FNDD7983 Mtge","CPN")</f>
        <v>6</v>
      </c>
      <c r="G3376">
        <f>_xll.BDP("FNDD7983 Mtge","MTG_FACTOR")</f>
        <v>0.87542695999999998</v>
      </c>
      <c r="H3376">
        <f>_xll.BDP("FNDD7983 Mtge","MTG_WAL")</f>
        <v>3.2422</v>
      </c>
      <c r="I3376" t="str">
        <f>_xll.BDP("FNDD7983 Mtge","MTG_ORIG_WAL")</f>
        <v>#N/A N/A</v>
      </c>
    </row>
    <row r="3377" spans="1:9" x14ac:dyDescent="0.25">
      <c r="A3377" t="str">
        <f>_xll.BDP("FNDD7987 Mtge","ID_CUSIP")</f>
        <v>3140B82V2</v>
      </c>
      <c r="B3377" t="str">
        <f>_xll.BDP("FNDD7987 Mtge","SECURITY_NAME")</f>
        <v>FN DD7987</v>
      </c>
      <c r="C3377" t="str">
        <f>_xll.BDP("FNDD7987 Mtge","GENERIC_TICKER_VINTAGE")</f>
        <v>FNCL 6 2025</v>
      </c>
      <c r="D3377" t="str">
        <f>_xll.BDP("FNDD7987 Mtge","CRNCY")</f>
        <v>USD</v>
      </c>
      <c r="E3377">
        <v>1025050</v>
      </c>
      <c r="F3377">
        <f>_xll.BDP("FNDD7987 Mtge","CPN")</f>
        <v>6</v>
      </c>
      <c r="G3377">
        <f>_xll.BDP("FNDD7987 Mtge","MTG_FACTOR")</f>
        <v>0.78246205000000002</v>
      </c>
      <c r="H3377">
        <f>_xll.BDP("FNDD7987 Mtge","MTG_WAL")</f>
        <v>3.2444999999999999</v>
      </c>
      <c r="I3377" t="str">
        <f>_xll.BDP("FNDD7987 Mtge","MTG_ORIG_WAL")</f>
        <v>#N/A N/A</v>
      </c>
    </row>
    <row r="3378" spans="1:9" x14ac:dyDescent="0.25">
      <c r="A3378" t="str">
        <f>_xll.BDP("FNDD7991 Mtge","ID_CUSIP")</f>
        <v>3140B82Z3</v>
      </c>
      <c r="B3378" t="str">
        <f>_xll.BDP("FNDD7991 Mtge","SECURITY_NAME")</f>
        <v>FN DD7991</v>
      </c>
      <c r="C3378" t="str">
        <f>_xll.BDP("FNDD7991 Mtge","GENERIC_TICKER_VINTAGE")</f>
        <v>FNCL 6 2025</v>
      </c>
      <c r="D3378" t="str">
        <f>_xll.BDP("FNDD7991 Mtge","CRNCY")</f>
        <v>USD</v>
      </c>
      <c r="E3378">
        <v>1109245</v>
      </c>
      <c r="F3378">
        <f>_xll.BDP("FNDD7991 Mtge","CPN")</f>
        <v>6</v>
      </c>
      <c r="G3378">
        <f>_xll.BDP("FNDD7991 Mtge","MTG_FACTOR")</f>
        <v>0.65942234</v>
      </c>
      <c r="H3378">
        <f>_xll.BDP("FNDD7991 Mtge","MTG_WAL")</f>
        <v>3.2507999999999999</v>
      </c>
      <c r="I3378" t="str">
        <f>_xll.BDP("FNDD7991 Mtge","MTG_ORIG_WAL")</f>
        <v>#N/A N/A</v>
      </c>
    </row>
    <row r="3379" spans="1:9" x14ac:dyDescent="0.25">
      <c r="A3379" t="str">
        <f>_xll.BDP("FNDD7994 Mtge","ID_CUSIP")</f>
        <v>3140B83C3</v>
      </c>
      <c r="B3379" t="str">
        <f>_xll.BDP("FNDD7994 Mtge","SECURITY_NAME")</f>
        <v>FN DD7994</v>
      </c>
      <c r="C3379" t="str">
        <f>_xll.BDP("FNDD7994 Mtge","GENERIC_TICKER_VINTAGE")</f>
        <v>FNCL 6 2025</v>
      </c>
      <c r="D3379" t="str">
        <f>_xll.BDP("FNDD7994 Mtge","CRNCY")</f>
        <v>USD</v>
      </c>
      <c r="E3379">
        <v>1263703</v>
      </c>
      <c r="F3379">
        <f>_xll.BDP("FNDD7994 Mtge","CPN")</f>
        <v>6</v>
      </c>
      <c r="G3379">
        <f>_xll.BDP("FNDD7994 Mtge","MTG_FACTOR")</f>
        <v>0.98743113999999998</v>
      </c>
      <c r="H3379">
        <f>_xll.BDP("FNDD7994 Mtge","MTG_WAL")</f>
        <v>3.2408999999999999</v>
      </c>
      <c r="I3379" t="str">
        <f>_xll.BDP("FNDD7994 Mtge","MTG_ORIG_WAL")</f>
        <v>#N/A N/A</v>
      </c>
    </row>
    <row r="3380" spans="1:9" x14ac:dyDescent="0.25">
      <c r="A3380" t="str">
        <f>_xll.BDP("FNDD8015 Mtge","ID_CUSIP")</f>
        <v>3140B83Z2</v>
      </c>
      <c r="B3380" t="str">
        <f>_xll.BDP("FNDD8015 Mtge","SECURITY_NAME")</f>
        <v>FN DD8015</v>
      </c>
      <c r="C3380" t="str">
        <f>_xll.BDP("FNDD8015 Mtge","GENERIC_TICKER_VINTAGE")</f>
        <v>FNCL 6 2025</v>
      </c>
      <c r="D3380" t="str">
        <f>_xll.BDP("FNDD8015 Mtge","CRNCY")</f>
        <v>USD</v>
      </c>
      <c r="E3380">
        <v>2288329</v>
      </c>
      <c r="F3380">
        <f>_xll.BDP("FNDD8015 Mtge","CPN")</f>
        <v>6</v>
      </c>
      <c r="G3380">
        <f>_xll.BDP("FNDD8015 Mtge","MTG_FACTOR")</f>
        <v>0.99021051999999998</v>
      </c>
      <c r="H3380">
        <f>_xll.BDP("FNDD8015 Mtge","MTG_WAL")</f>
        <v>3.2473999999999998</v>
      </c>
      <c r="I3380" t="str">
        <f>_xll.BDP("FNDD8015 Mtge","MTG_ORIG_WAL")</f>
        <v>#N/A N/A</v>
      </c>
    </row>
    <row r="3381" spans="1:9" x14ac:dyDescent="0.25">
      <c r="A3381" t="str">
        <f>_xll.BDP("FNDD8016 Mtge","ID_CUSIP")</f>
        <v>3140B84A6</v>
      </c>
      <c r="B3381" t="str">
        <f>_xll.BDP("FNDD8016 Mtge","SECURITY_NAME")</f>
        <v>FN DD8016</v>
      </c>
      <c r="C3381" t="str">
        <f>_xll.BDP("FNDD8016 Mtge","GENERIC_TICKER_VINTAGE")</f>
        <v>FNCL 6 2025</v>
      </c>
      <c r="D3381" t="str">
        <f>_xll.BDP("FNDD8016 Mtge","CRNCY")</f>
        <v>USD</v>
      </c>
      <c r="E3381">
        <v>1239051</v>
      </c>
      <c r="F3381">
        <f>_xll.BDP("FNDD8016 Mtge","CPN")</f>
        <v>6</v>
      </c>
      <c r="G3381">
        <f>_xll.BDP("FNDD8016 Mtge","MTG_FACTOR")</f>
        <v>0.92499995999999995</v>
      </c>
      <c r="H3381">
        <f>_xll.BDP("FNDD8016 Mtge","MTG_WAL")</f>
        <v>3.2233999999999998</v>
      </c>
      <c r="I3381" t="str">
        <f>_xll.BDP("FNDD8016 Mtge","MTG_ORIG_WAL")</f>
        <v>#N/A N/A</v>
      </c>
    </row>
    <row r="3382" spans="1:9" x14ac:dyDescent="0.25">
      <c r="A3382" t="str">
        <f>_xll.BDP("FNDD8018 Mtge","ID_CUSIP")</f>
        <v>3140B84C2</v>
      </c>
      <c r="B3382" t="str">
        <f>_xll.BDP("FNDD8018 Mtge","SECURITY_NAME")</f>
        <v>FN DD8018</v>
      </c>
      <c r="C3382" t="str">
        <f>_xll.BDP("FNDD8018 Mtge","GENERIC_TICKER_VINTAGE")</f>
        <v>FNCL 6 2025</v>
      </c>
      <c r="D3382" t="str">
        <f>_xll.BDP("FNDD8018 Mtge","CRNCY")</f>
        <v>USD</v>
      </c>
      <c r="E3382">
        <v>15445508</v>
      </c>
      <c r="F3382">
        <f>_xll.BDP("FNDD8018 Mtge","CPN")</f>
        <v>6</v>
      </c>
      <c r="G3382">
        <f>_xll.BDP("FNDD8018 Mtge","MTG_FACTOR")</f>
        <v>0.75948921000000003</v>
      </c>
      <c r="H3382">
        <f>_xll.BDP("FNDD8018 Mtge","MTG_WAL")</f>
        <v>3.2484999999999999</v>
      </c>
      <c r="I3382" t="str">
        <f>_xll.BDP("FNDD8018 Mtge","MTG_ORIG_WAL")</f>
        <v>#N/A N/A</v>
      </c>
    </row>
    <row r="3383" spans="1:9" x14ac:dyDescent="0.25">
      <c r="A3383" t="str">
        <f>_xll.BDP("FNDD8025 Mtge","ID_CUSIP")</f>
        <v>3140B84K4</v>
      </c>
      <c r="B3383" t="str">
        <f>_xll.BDP("FNDD8025 Mtge","SECURITY_NAME")</f>
        <v>FN DD8025</v>
      </c>
      <c r="C3383" t="str">
        <f>_xll.BDP("FNDD8025 Mtge","GENERIC_TICKER_VINTAGE")</f>
        <v>FNCL 6 2025</v>
      </c>
      <c r="D3383" t="str">
        <f>_xll.BDP("FNDD8025 Mtge","CRNCY")</f>
        <v>USD</v>
      </c>
      <c r="E3383">
        <v>22969700</v>
      </c>
      <c r="F3383">
        <f>_xll.BDP("FNDD8025 Mtge","CPN")</f>
        <v>6</v>
      </c>
      <c r="G3383">
        <f>_xll.BDP("FNDD8025 Mtge","MTG_FACTOR")</f>
        <v>0.94318301000000004</v>
      </c>
      <c r="H3383">
        <f>_xll.BDP("FNDD8025 Mtge","MTG_WAL")</f>
        <v>3.2423000000000002</v>
      </c>
      <c r="I3383" t="str">
        <f>_xll.BDP("FNDD8025 Mtge","MTG_ORIG_WAL")</f>
        <v>#N/A N/A</v>
      </c>
    </row>
    <row r="3384" spans="1:9" x14ac:dyDescent="0.25">
      <c r="A3384" t="str">
        <f>_xll.BDP("FNDD8026 Mtge","ID_CUSIP")</f>
        <v>3140B84L2</v>
      </c>
      <c r="B3384" t="str">
        <f>_xll.BDP("FNDD8026 Mtge","SECURITY_NAME")</f>
        <v>FN DD8026</v>
      </c>
      <c r="C3384" t="str">
        <f>_xll.BDP("FNDD8026 Mtge","GENERIC_TICKER_VINTAGE")</f>
        <v>FNCL 6 2025</v>
      </c>
      <c r="D3384" t="str">
        <f>_xll.BDP("FNDD8026 Mtge","CRNCY")</f>
        <v>USD</v>
      </c>
      <c r="E3384">
        <v>14940611</v>
      </c>
      <c r="F3384">
        <f>_xll.BDP("FNDD8026 Mtge","CPN")</f>
        <v>6</v>
      </c>
      <c r="G3384">
        <f>_xll.BDP("FNDD8026 Mtge","MTG_FACTOR")</f>
        <v>0.91095501999999995</v>
      </c>
      <c r="H3384">
        <f>_xll.BDP("FNDD8026 Mtge","MTG_WAL")</f>
        <v>3.2947000000000002</v>
      </c>
      <c r="I3384" t="str">
        <f>_xll.BDP("FNDD8026 Mtge","MTG_ORIG_WAL")</f>
        <v>#N/A N/A</v>
      </c>
    </row>
    <row r="3385" spans="1:9" x14ac:dyDescent="0.25">
      <c r="A3385" t="str">
        <f>_xll.BDP("FNDD8027 Mtge","ID_CUSIP")</f>
        <v>3140B84M0</v>
      </c>
      <c r="B3385" t="str">
        <f>_xll.BDP("FNDD8027 Mtge","SECURITY_NAME")</f>
        <v>FN DD8027</v>
      </c>
      <c r="C3385" t="str">
        <f>_xll.BDP("FNDD8027 Mtge","GENERIC_TICKER_VINTAGE")</f>
        <v>FNCL 6 2025</v>
      </c>
      <c r="D3385" t="str">
        <f>_xll.BDP("FNDD8027 Mtge","CRNCY")</f>
        <v>USD</v>
      </c>
      <c r="E3385">
        <v>14988874</v>
      </c>
      <c r="F3385">
        <f>_xll.BDP("FNDD8027 Mtge","CPN")</f>
        <v>6</v>
      </c>
      <c r="G3385">
        <f>_xll.BDP("FNDD8027 Mtge","MTG_FACTOR")</f>
        <v>0.89704879999999998</v>
      </c>
      <c r="H3385">
        <f>_xll.BDP("FNDD8027 Mtge","MTG_WAL")</f>
        <v>3.2408999999999999</v>
      </c>
      <c r="I3385" t="str">
        <f>_xll.BDP("FNDD8027 Mtge","MTG_ORIG_WAL")</f>
        <v>#N/A N/A</v>
      </c>
    </row>
    <row r="3386" spans="1:9" x14ac:dyDescent="0.25">
      <c r="A3386" t="str">
        <f>_xll.BDP("FNDD8028 Mtge","ID_CUSIP")</f>
        <v>3140B84N8</v>
      </c>
      <c r="B3386" t="str">
        <f>_xll.BDP("FNDD8028 Mtge","SECURITY_NAME")</f>
        <v>FN DD8028</v>
      </c>
      <c r="C3386" t="str">
        <f>_xll.BDP("FNDD8028 Mtge","GENERIC_TICKER_VINTAGE")</f>
        <v>FNCL 6 2025</v>
      </c>
      <c r="D3386" t="str">
        <f>_xll.BDP("FNDD8028 Mtge","CRNCY")</f>
        <v>USD</v>
      </c>
      <c r="E3386">
        <v>5039024</v>
      </c>
      <c r="F3386">
        <f>_xll.BDP("FNDD8028 Mtge","CPN")</f>
        <v>6</v>
      </c>
      <c r="G3386">
        <f>_xll.BDP("FNDD8028 Mtge","MTG_FACTOR")</f>
        <v>0.84552115000000005</v>
      </c>
      <c r="H3386">
        <f>_xll.BDP("FNDD8028 Mtge","MTG_WAL")</f>
        <v>3.2437</v>
      </c>
      <c r="I3386" t="str">
        <f>_xll.BDP("FNDD8028 Mtge","MTG_ORIG_WAL")</f>
        <v>#N/A N/A</v>
      </c>
    </row>
    <row r="3387" spans="1:9" x14ac:dyDescent="0.25">
      <c r="A3387" t="str">
        <f>_xll.BDP("FNDD8032 Mtge","ID_CUSIP")</f>
        <v>3140B84S7</v>
      </c>
      <c r="B3387" t="str">
        <f>_xll.BDP("FNDD8032 Mtge","SECURITY_NAME")</f>
        <v>FN DD8032</v>
      </c>
      <c r="C3387" t="str">
        <f>_xll.BDP("FNDD8032 Mtge","GENERIC_TICKER_VINTAGE")</f>
        <v>FNCL 6 2025</v>
      </c>
      <c r="D3387" t="str">
        <f>_xll.BDP("FNDD8032 Mtge","CRNCY")</f>
        <v>USD</v>
      </c>
      <c r="E3387">
        <v>6804228</v>
      </c>
      <c r="F3387">
        <f>_xll.BDP("FNDD8032 Mtge","CPN")</f>
        <v>6</v>
      </c>
      <c r="G3387">
        <f>_xll.BDP("FNDD8032 Mtge","MTG_FACTOR")</f>
        <v>0.88227692000000002</v>
      </c>
      <c r="H3387">
        <f>_xll.BDP("FNDD8032 Mtge","MTG_WAL")</f>
        <v>3.2433999999999998</v>
      </c>
      <c r="I3387" t="str">
        <f>_xll.BDP("FNDD8032 Mtge","MTG_ORIG_WAL")</f>
        <v>#N/A N/A</v>
      </c>
    </row>
    <row r="3388" spans="1:9" x14ac:dyDescent="0.25">
      <c r="A3388" t="str">
        <f>_xll.BDP("FNDD8033 Mtge","ID_CUSIP")</f>
        <v>3140B84T5</v>
      </c>
      <c r="B3388" t="str">
        <f>_xll.BDP("FNDD8033 Mtge","SECURITY_NAME")</f>
        <v>FN DD8033</v>
      </c>
      <c r="C3388" t="str">
        <f>_xll.BDP("FNDD8033 Mtge","GENERIC_TICKER_VINTAGE")</f>
        <v>FNCL 6 2025</v>
      </c>
      <c r="D3388" t="str">
        <f>_xll.BDP("FNDD8033 Mtge","CRNCY")</f>
        <v>USD</v>
      </c>
      <c r="E3388">
        <v>1795614</v>
      </c>
      <c r="F3388">
        <f>_xll.BDP("FNDD8033 Mtge","CPN")</f>
        <v>6</v>
      </c>
      <c r="G3388">
        <f>_xll.BDP("FNDD8033 Mtge","MTG_FACTOR")</f>
        <v>0.75836219000000005</v>
      </c>
      <c r="H3388">
        <f>_xll.BDP("FNDD8033 Mtge","MTG_WAL")</f>
        <v>3.2477</v>
      </c>
      <c r="I3388" t="str">
        <f>_xll.BDP("FNDD8033 Mtge","MTG_ORIG_WAL")</f>
        <v>#N/A N/A</v>
      </c>
    </row>
    <row r="3389" spans="1:9" x14ac:dyDescent="0.25">
      <c r="A3389" t="str">
        <f>_xll.BDP("FNDD8034 Mtge","ID_CUSIP")</f>
        <v>3140B84U2</v>
      </c>
      <c r="B3389" t="str">
        <f>_xll.BDP("FNDD8034 Mtge","SECURITY_NAME")</f>
        <v>FN DD8034</v>
      </c>
      <c r="C3389" t="str">
        <f>_xll.BDP("FNDD8034 Mtge","GENERIC_TICKER_VINTAGE")</f>
        <v>FNCL 6 2025</v>
      </c>
      <c r="D3389" t="str">
        <f>_xll.BDP("FNDD8034 Mtge","CRNCY")</f>
        <v>USD</v>
      </c>
      <c r="E3389">
        <v>4298198</v>
      </c>
      <c r="F3389">
        <f>_xll.BDP("FNDD8034 Mtge","CPN")</f>
        <v>6</v>
      </c>
      <c r="G3389">
        <f>_xll.BDP("FNDD8034 Mtge","MTG_FACTOR")</f>
        <v>0.78893709999999995</v>
      </c>
      <c r="H3389">
        <f>_xll.BDP("FNDD8034 Mtge","MTG_WAL")</f>
        <v>3.2301000000000002</v>
      </c>
      <c r="I3389" t="str">
        <f>_xll.BDP("FNDD8034 Mtge","MTG_ORIG_WAL")</f>
        <v>#N/A N/A</v>
      </c>
    </row>
    <row r="3390" spans="1:9" x14ac:dyDescent="0.25">
      <c r="A3390" t="str">
        <f>_xll.BDP("FNDD8035 Mtge","ID_CUSIP")</f>
        <v>3140B84V0</v>
      </c>
      <c r="B3390" t="str">
        <f>_xll.BDP("FNDD8035 Mtge","SECURITY_NAME")</f>
        <v>FN DD8035</v>
      </c>
      <c r="C3390" t="str">
        <f>_xll.BDP("FNDD8035 Mtge","GENERIC_TICKER_VINTAGE")</f>
        <v>FNCL 6 2025</v>
      </c>
      <c r="D3390" t="str">
        <f>_xll.BDP("FNDD8035 Mtge","CRNCY")</f>
        <v>USD</v>
      </c>
      <c r="E3390">
        <v>10230787</v>
      </c>
      <c r="F3390">
        <f>_xll.BDP("FNDD8035 Mtge","CPN")</f>
        <v>6</v>
      </c>
      <c r="G3390">
        <f>_xll.BDP("FNDD8035 Mtge","MTG_FACTOR")</f>
        <v>0.95114507000000004</v>
      </c>
      <c r="H3390">
        <f>_xll.BDP("FNDD8035 Mtge","MTG_WAL")</f>
        <v>3.2482000000000002</v>
      </c>
      <c r="I3390" t="str">
        <f>_xll.BDP("FNDD8035 Mtge","MTG_ORIG_WAL")</f>
        <v>#N/A N/A</v>
      </c>
    </row>
    <row r="3391" spans="1:9" x14ac:dyDescent="0.25">
      <c r="A3391" t="str">
        <f>_xll.BDP("FNDD8036 Mtge","ID_CUSIP")</f>
        <v>3140B84W8</v>
      </c>
      <c r="B3391" t="str">
        <f>_xll.BDP("FNDD8036 Mtge","SECURITY_NAME")</f>
        <v>FN DD8036</v>
      </c>
      <c r="C3391" t="str">
        <f>_xll.BDP("FNDD8036 Mtge","GENERIC_TICKER_VINTAGE")</f>
        <v>FNCL 6 2025</v>
      </c>
      <c r="D3391" t="str">
        <f>_xll.BDP("FNDD8036 Mtge","CRNCY")</f>
        <v>USD</v>
      </c>
      <c r="E3391">
        <v>1392650</v>
      </c>
      <c r="F3391">
        <f>_xll.BDP("FNDD8036 Mtge","CPN")</f>
        <v>6</v>
      </c>
      <c r="G3391">
        <f>_xll.BDP("FNDD8036 Mtge","MTG_FACTOR")</f>
        <v>0.99124053999999995</v>
      </c>
      <c r="H3391">
        <f>_xll.BDP("FNDD8036 Mtge","MTG_WAL")</f>
        <v>3.2966000000000002</v>
      </c>
      <c r="I3391" t="str">
        <f>_xll.BDP("FNDD8036 Mtge","MTG_ORIG_WAL")</f>
        <v>#N/A N/A</v>
      </c>
    </row>
    <row r="3392" spans="1:9" x14ac:dyDescent="0.25">
      <c r="A3392" t="str">
        <f>_xll.BDP("FNDD8039 Mtge","ID_CUSIP")</f>
        <v>3140B84Z1</v>
      </c>
      <c r="B3392" t="str">
        <f>_xll.BDP("FNDD8039 Mtge","SECURITY_NAME")</f>
        <v>FN DD8039</v>
      </c>
      <c r="C3392" t="str">
        <f>_xll.BDP("FNDD8039 Mtge","GENERIC_TICKER_VINTAGE")</f>
        <v>FNCL 6 2025</v>
      </c>
      <c r="D3392" t="str">
        <f>_xll.BDP("FNDD8039 Mtge","CRNCY")</f>
        <v>USD</v>
      </c>
      <c r="E3392">
        <v>6874508</v>
      </c>
      <c r="F3392">
        <f>_xll.BDP("FNDD8039 Mtge","CPN")</f>
        <v>6</v>
      </c>
      <c r="G3392">
        <f>_xll.BDP("FNDD8039 Mtge","MTG_FACTOR")</f>
        <v>0.84717410000000004</v>
      </c>
      <c r="H3392">
        <f>_xll.BDP("FNDD8039 Mtge","MTG_WAL")</f>
        <v>3.2942</v>
      </c>
      <c r="I3392" t="str">
        <f>_xll.BDP("FNDD8039 Mtge","MTG_ORIG_WAL")</f>
        <v>#N/A N/A</v>
      </c>
    </row>
    <row r="3393" spans="1:9" x14ac:dyDescent="0.25">
      <c r="A3393" t="str">
        <f>_xll.BDP("FNDD8040 Mtge","ID_CUSIP")</f>
        <v>3140B85A5</v>
      </c>
      <c r="B3393" t="str">
        <f>_xll.BDP("FNDD8040 Mtge","SECURITY_NAME")</f>
        <v>FN DD8040</v>
      </c>
      <c r="C3393" t="str">
        <f>_xll.BDP("FNDD8040 Mtge","GENERIC_TICKER_VINTAGE")</f>
        <v>FNCL 6 2025</v>
      </c>
      <c r="D3393" t="str">
        <f>_xll.BDP("FNDD8040 Mtge","CRNCY")</f>
        <v>USD</v>
      </c>
      <c r="E3393">
        <v>9251416</v>
      </c>
      <c r="F3393">
        <f>_xll.BDP("FNDD8040 Mtge","CPN")</f>
        <v>6</v>
      </c>
      <c r="G3393">
        <f>_xll.BDP("FNDD8040 Mtge","MTG_FACTOR")</f>
        <v>0.81175260000000005</v>
      </c>
      <c r="H3393">
        <f>_xll.BDP("FNDD8040 Mtge","MTG_WAL")</f>
        <v>3.2473999999999998</v>
      </c>
      <c r="I3393" t="str">
        <f>_xll.BDP("FNDD8040 Mtge","MTG_ORIG_WAL")</f>
        <v>#N/A N/A</v>
      </c>
    </row>
    <row r="3394" spans="1:9" x14ac:dyDescent="0.25">
      <c r="A3394" t="str">
        <f>_xll.BDP("FNDD8041 Mtge","ID_CUSIP")</f>
        <v>3140B85B3</v>
      </c>
      <c r="B3394" t="str">
        <f>_xll.BDP("FNDD8041 Mtge","SECURITY_NAME")</f>
        <v>FN DD8041</v>
      </c>
      <c r="C3394" t="str">
        <f>_xll.BDP("FNDD8041 Mtge","GENERIC_TICKER_VINTAGE")</f>
        <v>FNCL 6 2025</v>
      </c>
      <c r="D3394" t="str">
        <f>_xll.BDP("FNDD8041 Mtge","CRNCY")</f>
        <v>USD</v>
      </c>
      <c r="E3394">
        <v>7199521</v>
      </c>
      <c r="F3394">
        <f>_xll.BDP("FNDD8041 Mtge","CPN")</f>
        <v>6</v>
      </c>
      <c r="G3394">
        <f>_xll.BDP("FNDD8041 Mtge","MTG_FACTOR")</f>
        <v>0.89928065999999995</v>
      </c>
      <c r="H3394">
        <f>_xll.BDP("FNDD8041 Mtge","MTG_WAL")</f>
        <v>3.2437999999999998</v>
      </c>
      <c r="I3394" t="str">
        <f>_xll.BDP("FNDD8041 Mtge","MTG_ORIG_WAL")</f>
        <v>#N/A N/A</v>
      </c>
    </row>
    <row r="3395" spans="1:9" x14ac:dyDescent="0.25">
      <c r="A3395" t="str">
        <f>_xll.BDP("FNDD8044 Mtge","ID_CUSIP")</f>
        <v>3140B85E7</v>
      </c>
      <c r="B3395" t="str">
        <f>_xll.BDP("FNDD8044 Mtge","SECURITY_NAME")</f>
        <v>FN DD8044</v>
      </c>
      <c r="C3395" t="str">
        <f>_xll.BDP("FNDD8044 Mtge","GENERIC_TICKER_VINTAGE")</f>
        <v>FNCL 6 2025</v>
      </c>
      <c r="D3395" t="str">
        <f>_xll.BDP("FNDD8044 Mtge","CRNCY")</f>
        <v>USD</v>
      </c>
      <c r="E3395">
        <v>1697598</v>
      </c>
      <c r="F3395">
        <f>_xll.BDP("FNDD8044 Mtge","CPN")</f>
        <v>6</v>
      </c>
      <c r="G3395">
        <f>_xll.BDP("FNDD8044 Mtge","MTG_FACTOR")</f>
        <v>0.66733494000000004</v>
      </c>
      <c r="H3395">
        <f>_xll.BDP("FNDD8044 Mtge","MTG_WAL")</f>
        <v>3.2471999999999999</v>
      </c>
      <c r="I3395" t="str">
        <f>_xll.BDP("FNDD8044 Mtge","MTG_ORIG_WAL")</f>
        <v>#N/A N/A</v>
      </c>
    </row>
    <row r="3396" spans="1:9" x14ac:dyDescent="0.25">
      <c r="A3396" t="str">
        <f>_xll.BDP("FNDD8045 Mtge","ID_CUSIP")</f>
        <v>3140B85F4</v>
      </c>
      <c r="B3396" t="str">
        <f>_xll.BDP("FNDD8045 Mtge","SECURITY_NAME")</f>
        <v>FN DD8045</v>
      </c>
      <c r="C3396" t="str">
        <f>_xll.BDP("FNDD8045 Mtge","GENERIC_TICKER_VINTAGE")</f>
        <v>FNCL 6 2025</v>
      </c>
      <c r="D3396" t="str">
        <f>_xll.BDP("FNDD8045 Mtge","CRNCY")</f>
        <v>USD</v>
      </c>
      <c r="E3396">
        <v>12347853</v>
      </c>
      <c r="F3396">
        <f>_xll.BDP("FNDD8045 Mtge","CPN")</f>
        <v>6</v>
      </c>
      <c r="G3396">
        <f>_xll.BDP("FNDD8045 Mtge","MTG_FACTOR")</f>
        <v>0.94294157999999995</v>
      </c>
      <c r="H3396">
        <f>_xll.BDP("FNDD8045 Mtge","MTG_WAL")</f>
        <v>3.24</v>
      </c>
      <c r="I3396" t="str">
        <f>_xll.BDP("FNDD8045 Mtge","MTG_ORIG_WAL")</f>
        <v>#N/A N/A</v>
      </c>
    </row>
    <row r="3397" spans="1:9" x14ac:dyDescent="0.25">
      <c r="A3397" t="str">
        <f>_xll.BDP("FNDD8050 Mtge","ID_CUSIP")</f>
        <v>3140B85L1</v>
      </c>
      <c r="B3397" t="str">
        <f>_xll.BDP("FNDD8050 Mtge","SECURITY_NAME")</f>
        <v>FN DD8050</v>
      </c>
      <c r="C3397" t="str">
        <f>_xll.BDP("FNDD8050 Mtge","GENERIC_TICKER_VINTAGE")</f>
        <v>FNCL 6 2025</v>
      </c>
      <c r="D3397" t="str">
        <f>_xll.BDP("FNDD8050 Mtge","CRNCY")</f>
        <v>USD</v>
      </c>
      <c r="E3397">
        <v>5029430</v>
      </c>
      <c r="F3397">
        <f>_xll.BDP("FNDD8050 Mtge","CPN")</f>
        <v>6</v>
      </c>
      <c r="G3397">
        <f>_xll.BDP("FNDD8050 Mtge","MTG_FACTOR")</f>
        <v>0.88528545999999997</v>
      </c>
      <c r="H3397">
        <f>_xll.BDP("FNDD8050 Mtge","MTG_WAL")</f>
        <v>3.2873999999999999</v>
      </c>
      <c r="I3397" t="str">
        <f>_xll.BDP("FNDD8050 Mtge","MTG_ORIG_WAL")</f>
        <v>#N/A N/A</v>
      </c>
    </row>
    <row r="3398" spans="1:9" x14ac:dyDescent="0.25">
      <c r="A3398" t="str">
        <f>_xll.BDP("FNDD8052 Mtge","ID_CUSIP")</f>
        <v>3140B85N7</v>
      </c>
      <c r="B3398" t="str">
        <f>_xll.BDP("FNDD8052 Mtge","SECURITY_NAME")</f>
        <v>FN DD8052</v>
      </c>
      <c r="C3398" t="str">
        <f>_xll.BDP("FNDD8052 Mtge","GENERIC_TICKER_VINTAGE")</f>
        <v>FNCL 6 2025</v>
      </c>
      <c r="D3398" t="str">
        <f>_xll.BDP("FNDD8052 Mtge","CRNCY")</f>
        <v>USD</v>
      </c>
      <c r="E3398">
        <v>4816950</v>
      </c>
      <c r="F3398">
        <f>_xll.BDP("FNDD8052 Mtge","CPN")</f>
        <v>6</v>
      </c>
      <c r="G3398">
        <f>_xll.BDP("FNDD8052 Mtge","MTG_FACTOR")</f>
        <v>0.76162282000000003</v>
      </c>
      <c r="H3398">
        <f>_xll.BDP("FNDD8052 Mtge","MTG_WAL")</f>
        <v>3.2492999999999999</v>
      </c>
      <c r="I3398" t="str">
        <f>_xll.BDP("FNDD8052 Mtge","MTG_ORIG_WAL")</f>
        <v>#N/A N/A</v>
      </c>
    </row>
    <row r="3399" spans="1:9" x14ac:dyDescent="0.25">
      <c r="A3399" t="str">
        <f>_xll.BDP("FNDD8053 Mtge","ID_CUSIP")</f>
        <v>3140B85P2</v>
      </c>
      <c r="B3399" t="str">
        <f>_xll.BDP("FNDD8053 Mtge","SECURITY_NAME")</f>
        <v>FN DD8053</v>
      </c>
      <c r="C3399" t="str">
        <f>_xll.BDP("FNDD8053 Mtge","GENERIC_TICKER_VINTAGE")</f>
        <v>FNCL 6 2025</v>
      </c>
      <c r="D3399" t="str">
        <f>_xll.BDP("FNDD8053 Mtge","CRNCY")</f>
        <v>USD</v>
      </c>
      <c r="E3399">
        <v>6371694</v>
      </c>
      <c r="F3399">
        <f>_xll.BDP("FNDD8053 Mtge","CPN")</f>
        <v>6</v>
      </c>
      <c r="G3399">
        <f>_xll.BDP("FNDD8053 Mtge","MTG_FACTOR")</f>
        <v>0.89017131000000005</v>
      </c>
      <c r="H3399">
        <f>_xll.BDP("FNDD8053 Mtge","MTG_WAL")</f>
        <v>3.2974000000000001</v>
      </c>
      <c r="I3399" t="str">
        <f>_xll.BDP("FNDD8053 Mtge","MTG_ORIG_WAL")</f>
        <v>#N/A N/A</v>
      </c>
    </row>
    <row r="3400" spans="1:9" x14ac:dyDescent="0.25">
      <c r="A3400" t="str">
        <f>_xll.BDP("FNDD8054 Mtge","ID_CUSIP")</f>
        <v>3140B85Q0</v>
      </c>
      <c r="B3400" t="str">
        <f>_xll.BDP("FNDD8054 Mtge","SECURITY_NAME")</f>
        <v>FN DD8054</v>
      </c>
      <c r="C3400" t="str">
        <f>_xll.BDP("FNDD8054 Mtge","GENERIC_TICKER_VINTAGE")</f>
        <v>FNCL 6 2025</v>
      </c>
      <c r="D3400" t="str">
        <f>_xll.BDP("FNDD8054 Mtge","CRNCY")</f>
        <v>USD</v>
      </c>
      <c r="E3400">
        <v>3739847</v>
      </c>
      <c r="F3400">
        <f>_xll.BDP("FNDD8054 Mtge","CPN")</f>
        <v>6</v>
      </c>
      <c r="G3400">
        <f>_xll.BDP("FNDD8054 Mtge","MTG_FACTOR")</f>
        <v>0.98506654000000005</v>
      </c>
      <c r="H3400">
        <f>_xll.BDP("FNDD8054 Mtge","MTG_WAL")</f>
        <v>3.2414999999999998</v>
      </c>
      <c r="I3400" t="str">
        <f>_xll.BDP("FNDD8054 Mtge","MTG_ORIG_WAL")</f>
        <v>#N/A N/A</v>
      </c>
    </row>
    <row r="3401" spans="1:9" x14ac:dyDescent="0.25">
      <c r="A3401" t="str">
        <f>_xll.BDP("FNDD8055 Mtge","ID_CUSIP")</f>
        <v>3140B85R8</v>
      </c>
      <c r="B3401" t="str">
        <f>_xll.BDP("FNDD8055 Mtge","SECURITY_NAME")</f>
        <v>FN DD8055</v>
      </c>
      <c r="C3401" t="str">
        <f>_xll.BDP("FNDD8055 Mtge","GENERIC_TICKER_VINTAGE")</f>
        <v>FNCL 6 2025</v>
      </c>
      <c r="D3401" t="str">
        <f>_xll.BDP("FNDD8055 Mtge","CRNCY")</f>
        <v>USD</v>
      </c>
      <c r="E3401">
        <v>5257405</v>
      </c>
      <c r="F3401">
        <f>_xll.BDP("FNDD8055 Mtge","CPN")</f>
        <v>6</v>
      </c>
      <c r="G3401">
        <f>_xll.BDP("FNDD8055 Mtge","MTG_FACTOR")</f>
        <v>0.93540922999999998</v>
      </c>
      <c r="H3401">
        <f>_xll.BDP("FNDD8055 Mtge","MTG_WAL")</f>
        <v>3.2930000000000001</v>
      </c>
      <c r="I3401" t="str">
        <f>_xll.BDP("FNDD8055 Mtge","MTG_ORIG_WAL")</f>
        <v>#N/A N/A</v>
      </c>
    </row>
    <row r="3402" spans="1:9" x14ac:dyDescent="0.25">
      <c r="A3402" t="str">
        <f>_xll.BDP("FNDD8058 Mtge","ID_CUSIP")</f>
        <v>3140B85U1</v>
      </c>
      <c r="B3402" t="str">
        <f>_xll.BDP("FNDD8058 Mtge","SECURITY_NAME")</f>
        <v>FN DD8058</v>
      </c>
      <c r="C3402" t="str">
        <f>_xll.BDP("FNDD8058 Mtge","GENERIC_TICKER_VINTAGE")</f>
        <v>FNCL 6 2025</v>
      </c>
      <c r="D3402" t="str">
        <f>_xll.BDP("FNDD8058 Mtge","CRNCY")</f>
        <v>USD</v>
      </c>
      <c r="E3402">
        <v>4750367</v>
      </c>
      <c r="F3402">
        <f>_xll.BDP("FNDD8058 Mtge","CPN")</f>
        <v>6</v>
      </c>
      <c r="G3402">
        <f>_xll.BDP("FNDD8058 Mtge","MTG_FACTOR")</f>
        <v>0.98963928000000001</v>
      </c>
      <c r="H3402">
        <f>_xll.BDP("FNDD8058 Mtge","MTG_WAL")</f>
        <v>3.2917999999999998</v>
      </c>
      <c r="I3402" t="str">
        <f>_xll.BDP("FNDD8058 Mtge","MTG_ORIG_WAL")</f>
        <v>#N/A N/A</v>
      </c>
    </row>
    <row r="3403" spans="1:9" x14ac:dyDescent="0.25">
      <c r="A3403" t="str">
        <f>_xll.BDP("FNDD8060 Mtge","ID_CUSIP")</f>
        <v>3140B85W7</v>
      </c>
      <c r="B3403" t="str">
        <f>_xll.BDP("FNDD8060 Mtge","SECURITY_NAME")</f>
        <v>FN DD8060</v>
      </c>
      <c r="C3403" t="str">
        <f>_xll.BDP("FNDD8060 Mtge","GENERIC_TICKER_VINTAGE")</f>
        <v>FNCL 6 2025</v>
      </c>
      <c r="D3403" t="str">
        <f>_xll.BDP("FNDD8060 Mtge","CRNCY")</f>
        <v>USD</v>
      </c>
      <c r="E3403">
        <v>4759031</v>
      </c>
      <c r="F3403">
        <f>_xll.BDP("FNDD8060 Mtge","CPN")</f>
        <v>6</v>
      </c>
      <c r="G3403">
        <f>_xll.BDP("FNDD8060 Mtge","MTG_FACTOR")</f>
        <v>0.91380961999999999</v>
      </c>
      <c r="H3403">
        <f>_xll.BDP("FNDD8060 Mtge","MTG_WAL")</f>
        <v>3.2481</v>
      </c>
      <c r="I3403" t="str">
        <f>_xll.BDP("FNDD8060 Mtge","MTG_ORIG_WAL")</f>
        <v>#N/A N/A</v>
      </c>
    </row>
    <row r="3404" spans="1:9" x14ac:dyDescent="0.25">
      <c r="A3404" t="str">
        <f>_xll.BDP("FNDD8062 Mtge","ID_CUSIP")</f>
        <v>3140B85Y3</v>
      </c>
      <c r="B3404" t="str">
        <f>_xll.BDP("FNDD8062 Mtge","SECURITY_NAME")</f>
        <v>FN DD8062</v>
      </c>
      <c r="C3404" t="str">
        <f>_xll.BDP("FNDD8062 Mtge","GENERIC_TICKER_VINTAGE")</f>
        <v>FNCL 6 2025</v>
      </c>
      <c r="D3404" t="str">
        <f>_xll.BDP("FNDD8062 Mtge","CRNCY")</f>
        <v>USD</v>
      </c>
      <c r="E3404">
        <v>2339271</v>
      </c>
      <c r="F3404">
        <f>_xll.BDP("FNDD8062 Mtge","CPN")</f>
        <v>6</v>
      </c>
      <c r="G3404">
        <f>_xll.BDP("FNDD8062 Mtge","MTG_FACTOR")</f>
        <v>0.58243783999999998</v>
      </c>
      <c r="H3404">
        <f>_xll.BDP("FNDD8062 Mtge","MTG_WAL")</f>
        <v>3.2483</v>
      </c>
      <c r="I3404" t="str">
        <f>_xll.BDP("FNDD8062 Mtge","MTG_ORIG_WAL")</f>
        <v>#N/A N/A</v>
      </c>
    </row>
    <row r="3405" spans="1:9" x14ac:dyDescent="0.25">
      <c r="A3405" t="str">
        <f>_xll.BDP("FNDD8063 Mtge","ID_CUSIP")</f>
        <v>3140B85Z0</v>
      </c>
      <c r="B3405" t="str">
        <f>_xll.BDP("FNDD8063 Mtge","SECURITY_NAME")</f>
        <v>FN DD8063</v>
      </c>
      <c r="C3405" t="str">
        <f>_xll.BDP("FNDD8063 Mtge","GENERIC_TICKER_VINTAGE")</f>
        <v>FNCL 6 2025</v>
      </c>
      <c r="D3405" t="str">
        <f>_xll.BDP("FNDD8063 Mtge","CRNCY")</f>
        <v>USD</v>
      </c>
      <c r="E3405">
        <v>2825120</v>
      </c>
      <c r="F3405">
        <f>_xll.BDP("FNDD8063 Mtge","CPN")</f>
        <v>6</v>
      </c>
      <c r="G3405">
        <f>_xll.BDP("FNDD8063 Mtge","MTG_FACTOR")</f>
        <v>0.78262343999999995</v>
      </c>
      <c r="H3405">
        <f>_xll.BDP("FNDD8063 Mtge","MTG_WAL")</f>
        <v>3.2970999999999999</v>
      </c>
      <c r="I3405" t="str">
        <f>_xll.BDP("FNDD8063 Mtge","MTG_ORIG_WAL")</f>
        <v>#N/A N/A</v>
      </c>
    </row>
    <row r="3406" spans="1:9" x14ac:dyDescent="0.25">
      <c r="A3406" t="str">
        <f>_xll.BDP("FNDD8065 Mtge","ID_CUSIP")</f>
        <v>3140B86B2</v>
      </c>
      <c r="B3406" t="str">
        <f>_xll.BDP("FNDD8065 Mtge","SECURITY_NAME")</f>
        <v>FN DD8065</v>
      </c>
      <c r="C3406" t="str">
        <f>_xll.BDP("FNDD8065 Mtge","GENERIC_TICKER_VINTAGE")</f>
        <v>FNCL 6 2025</v>
      </c>
      <c r="D3406" t="str">
        <f>_xll.BDP("FNDD8065 Mtge","CRNCY")</f>
        <v>USD</v>
      </c>
      <c r="E3406">
        <v>5018027</v>
      </c>
      <c r="F3406">
        <f>_xll.BDP("FNDD8065 Mtge","CPN")</f>
        <v>6</v>
      </c>
      <c r="G3406">
        <f>_xll.BDP("FNDD8065 Mtge","MTG_FACTOR")</f>
        <v>0.92601040000000001</v>
      </c>
      <c r="H3406">
        <f>_xll.BDP("FNDD8065 Mtge","MTG_WAL")</f>
        <v>3.2437999999999998</v>
      </c>
      <c r="I3406" t="str">
        <f>_xll.BDP("FNDD8065 Mtge","MTG_ORIG_WAL")</f>
        <v>#N/A N/A</v>
      </c>
    </row>
    <row r="3407" spans="1:9" x14ac:dyDescent="0.25">
      <c r="A3407" t="str">
        <f>_xll.BDP("FNDD8067 Mtge","ID_CUSIP")</f>
        <v>3140B86D8</v>
      </c>
      <c r="B3407" t="str">
        <f>_xll.BDP("FNDD8067 Mtge","SECURITY_NAME")</f>
        <v>FN DD8067</v>
      </c>
      <c r="C3407" t="str">
        <f>_xll.BDP("FNDD8067 Mtge","GENERIC_TICKER_VINTAGE")</f>
        <v>FNCL 6 2025</v>
      </c>
      <c r="D3407" t="str">
        <f>_xll.BDP("FNDD8067 Mtge","CRNCY")</f>
        <v>USD</v>
      </c>
      <c r="E3407">
        <v>1011451</v>
      </c>
      <c r="F3407">
        <f>_xll.BDP("FNDD8067 Mtge","CPN")</f>
        <v>6</v>
      </c>
      <c r="G3407">
        <f>_xll.BDP("FNDD8067 Mtge","MTG_FACTOR")</f>
        <v>0.97631645</v>
      </c>
      <c r="H3407">
        <f>_xll.BDP("FNDD8067 Mtge","MTG_WAL")</f>
        <v>3.2343000000000002</v>
      </c>
      <c r="I3407" t="str">
        <f>_xll.BDP("FNDD8067 Mtge","MTG_ORIG_WAL")</f>
        <v>#N/A N/A</v>
      </c>
    </row>
    <row r="3408" spans="1:9" x14ac:dyDescent="0.25">
      <c r="A3408" t="str">
        <f>_xll.BDP("FNDD8068 Mtge","ID_CUSIP")</f>
        <v>3140B86E6</v>
      </c>
      <c r="B3408" t="str">
        <f>_xll.BDP("FNDD8068 Mtge","SECURITY_NAME")</f>
        <v>FN DD8068</v>
      </c>
      <c r="C3408" t="str">
        <f>_xll.BDP("FNDD8068 Mtge","GENERIC_TICKER_VINTAGE")</f>
        <v>FNCL 6 2025</v>
      </c>
      <c r="D3408" t="str">
        <f>_xll.BDP("FNDD8068 Mtge","CRNCY")</f>
        <v>USD</v>
      </c>
      <c r="E3408">
        <v>1103026</v>
      </c>
      <c r="F3408">
        <f>_xll.BDP("FNDD8068 Mtge","CPN")</f>
        <v>6</v>
      </c>
      <c r="G3408">
        <f>_xll.BDP("FNDD8068 Mtge","MTG_FACTOR")</f>
        <v>0.98998098000000001</v>
      </c>
      <c r="H3408">
        <f>_xll.BDP("FNDD8068 Mtge","MTG_WAL")</f>
        <v>3.2448999999999999</v>
      </c>
      <c r="I3408" t="str">
        <f>_xll.BDP("FNDD8068 Mtge","MTG_ORIG_WAL")</f>
        <v>#N/A N/A</v>
      </c>
    </row>
    <row r="3409" spans="1:9" x14ac:dyDescent="0.25">
      <c r="A3409" t="str">
        <f>_xll.BDP("FNDD8069 Mtge","ID_CUSIP")</f>
        <v>3140B86F3</v>
      </c>
      <c r="B3409" t="str">
        <f>_xll.BDP("FNDD8069 Mtge","SECURITY_NAME")</f>
        <v>FN DD8069</v>
      </c>
      <c r="C3409" t="str">
        <f>_xll.BDP("FNDD8069 Mtge","GENERIC_TICKER_VINTAGE")</f>
        <v>FNCL 6 2025</v>
      </c>
      <c r="D3409" t="str">
        <f>_xll.BDP("FNDD8069 Mtge","CRNCY")</f>
        <v>USD</v>
      </c>
      <c r="E3409">
        <v>1020800</v>
      </c>
      <c r="F3409">
        <f>_xll.BDP("FNDD8069 Mtge","CPN")</f>
        <v>6</v>
      </c>
      <c r="G3409">
        <f>_xll.BDP("FNDD8069 Mtge","MTG_FACTOR")</f>
        <v>0.79022066000000002</v>
      </c>
      <c r="H3409">
        <f>_xll.BDP("FNDD8069 Mtge","MTG_WAL")</f>
        <v>3.2469999999999999</v>
      </c>
      <c r="I3409" t="str">
        <f>_xll.BDP("FNDD8069 Mtge","MTG_ORIG_WAL")</f>
        <v>#N/A N/A</v>
      </c>
    </row>
    <row r="3410" spans="1:9" x14ac:dyDescent="0.25">
      <c r="A3410" t="str">
        <f>_xll.BDP("FNDD8075 Mtge","ID_CUSIP")</f>
        <v>3140B86M8</v>
      </c>
      <c r="B3410" t="str">
        <f>_xll.BDP("FNDD8075 Mtge","SECURITY_NAME")</f>
        <v>FN DD8075</v>
      </c>
      <c r="C3410" t="str">
        <f>_xll.BDP("FNDD8075 Mtge","GENERIC_TICKER_VINTAGE")</f>
        <v>FNCL 6 2025</v>
      </c>
      <c r="D3410" t="str">
        <f>_xll.BDP("FNDD8075 Mtge","CRNCY")</f>
        <v>USD</v>
      </c>
      <c r="E3410">
        <v>1463475</v>
      </c>
      <c r="F3410">
        <f>_xll.BDP("FNDD8075 Mtge","CPN")</f>
        <v>6</v>
      </c>
      <c r="G3410">
        <f>_xll.BDP("FNDD8075 Mtge","MTG_FACTOR")</f>
        <v>0.91925570000000001</v>
      </c>
      <c r="H3410">
        <f>_xll.BDP("FNDD8075 Mtge","MTG_WAL")</f>
        <v>3.2623000000000002</v>
      </c>
      <c r="I3410" t="str">
        <f>_xll.BDP("FNDD8075 Mtge","MTG_ORIG_WAL")</f>
        <v>#N/A N/A</v>
      </c>
    </row>
    <row r="3411" spans="1:9" x14ac:dyDescent="0.25">
      <c r="A3411" t="str">
        <f>_xll.BDP("FNDD8076 Mtge","ID_CUSIP")</f>
        <v>3140B86N6</v>
      </c>
      <c r="B3411" t="str">
        <f>_xll.BDP("FNDD8076 Mtge","SECURITY_NAME")</f>
        <v>FN DD8076</v>
      </c>
      <c r="C3411" t="str">
        <f>_xll.BDP("FNDD8076 Mtge","GENERIC_TICKER_VINTAGE")</f>
        <v>FNCL 6 2025</v>
      </c>
      <c r="D3411" t="str">
        <f>_xll.BDP("FNDD8076 Mtge","CRNCY")</f>
        <v>USD</v>
      </c>
      <c r="E3411">
        <v>1753220</v>
      </c>
      <c r="F3411">
        <f>_xll.BDP("FNDD8076 Mtge","CPN")</f>
        <v>6</v>
      </c>
      <c r="G3411">
        <f>_xll.BDP("FNDD8076 Mtge","MTG_FACTOR")</f>
        <v>0.79318031</v>
      </c>
      <c r="H3411">
        <f>_xll.BDP("FNDD8076 Mtge","MTG_WAL")</f>
        <v>3.2955000000000001</v>
      </c>
      <c r="I3411" t="str">
        <f>_xll.BDP("FNDD8076 Mtge","MTG_ORIG_WAL")</f>
        <v>#N/A N/A</v>
      </c>
    </row>
    <row r="3412" spans="1:9" x14ac:dyDescent="0.25">
      <c r="A3412" t="str">
        <f>_xll.BDP("FNDD8079 Mtge","ID_CUSIP")</f>
        <v>3140B86R7</v>
      </c>
      <c r="B3412" t="str">
        <f>_xll.BDP("FNDD8079 Mtge","SECURITY_NAME")</f>
        <v>FN DD8079</v>
      </c>
      <c r="C3412" t="str">
        <f>_xll.BDP("FNDD8079 Mtge","GENERIC_TICKER_VINTAGE")</f>
        <v>FNCL 6 2025</v>
      </c>
      <c r="D3412" t="str">
        <f>_xll.BDP("FNDD8079 Mtge","CRNCY")</f>
        <v>USD</v>
      </c>
      <c r="E3412">
        <v>7510305</v>
      </c>
      <c r="F3412">
        <f>_xll.BDP("FNDD8079 Mtge","CPN")</f>
        <v>6</v>
      </c>
      <c r="G3412">
        <f>_xll.BDP("FNDD8079 Mtge","MTG_FACTOR")</f>
        <v>0.98488697999999997</v>
      </c>
      <c r="H3412">
        <f>_xll.BDP("FNDD8079 Mtge","MTG_WAL")</f>
        <v>3.2845</v>
      </c>
      <c r="I3412" t="str">
        <f>_xll.BDP("FNDD8079 Mtge","MTG_ORIG_WAL")</f>
        <v>#N/A N/A</v>
      </c>
    </row>
    <row r="3413" spans="1:9" x14ac:dyDescent="0.25">
      <c r="A3413" t="str">
        <f>_xll.BDP("FNDD8084 Mtge","ID_CUSIP")</f>
        <v>3140B86W6</v>
      </c>
      <c r="B3413" t="str">
        <f>_xll.BDP("FNDD8084 Mtge","SECURITY_NAME")</f>
        <v>FN DD8084</v>
      </c>
      <c r="C3413" t="str">
        <f>_xll.BDP("FNDD8084 Mtge","GENERIC_TICKER_VINTAGE")</f>
        <v>FNCL 6 2025</v>
      </c>
      <c r="D3413" t="str">
        <f>_xll.BDP("FNDD8084 Mtge","CRNCY")</f>
        <v>USD</v>
      </c>
      <c r="E3413">
        <v>6564163</v>
      </c>
      <c r="F3413">
        <f>_xll.BDP("FNDD8084 Mtge","CPN")</f>
        <v>6</v>
      </c>
      <c r="G3413">
        <f>_xll.BDP("FNDD8084 Mtge","MTG_FACTOR")</f>
        <v>0.70672632000000002</v>
      </c>
      <c r="H3413">
        <f>_xll.BDP("FNDD8084 Mtge","MTG_WAL")</f>
        <v>3.2905000000000002</v>
      </c>
      <c r="I3413" t="str">
        <f>_xll.BDP("FNDD8084 Mtge","MTG_ORIG_WAL")</f>
        <v>#N/A N/A</v>
      </c>
    </row>
    <row r="3414" spans="1:9" x14ac:dyDescent="0.25">
      <c r="A3414" t="str">
        <f>_xll.BDP("FNDD8092 Mtge","ID_CUSIP")</f>
        <v>3140B87E5</v>
      </c>
      <c r="B3414" t="str">
        <f>_xll.BDP("FNDD8092 Mtge","SECURITY_NAME")</f>
        <v>FN DD8092</v>
      </c>
      <c r="C3414" t="str">
        <f>_xll.BDP("FNDD8092 Mtge","GENERIC_TICKER_VINTAGE")</f>
        <v>FNCL 6 2025</v>
      </c>
      <c r="D3414" t="str">
        <f>_xll.BDP("FNDD8092 Mtge","CRNCY")</f>
        <v>USD</v>
      </c>
      <c r="E3414">
        <v>4388208</v>
      </c>
      <c r="F3414">
        <f>_xll.BDP("FNDD8092 Mtge","CPN")</f>
        <v>6</v>
      </c>
      <c r="G3414">
        <f>_xll.BDP("FNDD8092 Mtge","MTG_FACTOR")</f>
        <v>0.91910519000000002</v>
      </c>
      <c r="H3414">
        <f>_xll.BDP("FNDD8092 Mtge","MTG_WAL")</f>
        <v>3.2412999999999998</v>
      </c>
      <c r="I3414" t="str">
        <f>_xll.BDP("FNDD8092 Mtge","MTG_ORIG_WAL")</f>
        <v>#N/A N/A</v>
      </c>
    </row>
    <row r="3415" spans="1:9" x14ac:dyDescent="0.25">
      <c r="A3415" t="str">
        <f>_xll.BDP("FNDD8094 Mtge","ID_CUSIP")</f>
        <v>3140B87G0</v>
      </c>
      <c r="B3415" t="str">
        <f>_xll.BDP("FNDD8094 Mtge","SECURITY_NAME")</f>
        <v>FN DD8094</v>
      </c>
      <c r="C3415" t="str">
        <f>_xll.BDP("FNDD8094 Mtge","GENERIC_TICKER_VINTAGE")</f>
        <v>FNCL 6 2025</v>
      </c>
      <c r="D3415" t="str">
        <f>_xll.BDP("FNDD8094 Mtge","CRNCY")</f>
        <v>USD</v>
      </c>
      <c r="E3415">
        <v>7015525</v>
      </c>
      <c r="F3415">
        <f>_xll.BDP("FNDD8094 Mtge","CPN")</f>
        <v>6</v>
      </c>
      <c r="G3415">
        <f>_xll.BDP("FNDD8094 Mtge","MTG_FACTOR")</f>
        <v>0.93381917000000003</v>
      </c>
      <c r="H3415">
        <f>_xll.BDP("FNDD8094 Mtge","MTG_WAL")</f>
        <v>3.2441</v>
      </c>
      <c r="I3415" t="str">
        <f>_xll.BDP("FNDD8094 Mtge","MTG_ORIG_WAL")</f>
        <v>#N/A N/A</v>
      </c>
    </row>
    <row r="3416" spans="1:9" x14ac:dyDescent="0.25">
      <c r="A3416" t="str">
        <f>_xll.BDP("FNDD8100 Mtge","ID_CUSIP")</f>
        <v>3140B9AA7</v>
      </c>
      <c r="B3416" t="str">
        <f>_xll.BDP("FNDD8100 Mtge","SECURITY_NAME")</f>
        <v>FN DD8100</v>
      </c>
      <c r="C3416" t="str">
        <f>_xll.BDP("FNDD8100 Mtge","GENERIC_TICKER_VINTAGE")</f>
        <v>FNCL 6 2025</v>
      </c>
      <c r="D3416" t="str">
        <f>_xll.BDP("FNDD8100 Mtge","CRNCY")</f>
        <v>USD</v>
      </c>
      <c r="E3416">
        <v>3497053</v>
      </c>
      <c r="F3416">
        <f>_xll.BDP("FNDD8100 Mtge","CPN")</f>
        <v>6</v>
      </c>
      <c r="G3416">
        <f>_xll.BDP("FNDD8100 Mtge","MTG_FACTOR")</f>
        <v>0.98668617000000003</v>
      </c>
      <c r="H3416">
        <f>_xll.BDP("FNDD8100 Mtge","MTG_WAL")</f>
        <v>3.2473999999999998</v>
      </c>
      <c r="I3416" t="str">
        <f>_xll.BDP("FNDD8100 Mtge","MTG_ORIG_WAL")</f>
        <v>#N/A N/A</v>
      </c>
    </row>
    <row r="3417" spans="1:9" x14ac:dyDescent="0.25">
      <c r="A3417" t="str">
        <f>_xll.BDP("FNDD8102 Mtge","ID_CUSIP")</f>
        <v>3140B9AC3</v>
      </c>
      <c r="B3417" t="str">
        <f>_xll.BDP("FNDD8102 Mtge","SECURITY_NAME")</f>
        <v>FN DD8102</v>
      </c>
      <c r="C3417" t="str">
        <f>_xll.BDP("FNDD8102 Mtge","GENERIC_TICKER_VINTAGE")</f>
        <v>FNCL 6 2025</v>
      </c>
      <c r="D3417" t="str">
        <f>_xll.BDP("FNDD8102 Mtge","CRNCY")</f>
        <v>USD</v>
      </c>
      <c r="E3417">
        <v>1588722</v>
      </c>
      <c r="F3417">
        <f>_xll.BDP("FNDD8102 Mtge","CPN")</f>
        <v>6</v>
      </c>
      <c r="G3417">
        <f>_xll.BDP("FNDD8102 Mtge","MTG_FACTOR")</f>
        <v>0.99048195000000006</v>
      </c>
      <c r="H3417">
        <f>_xll.BDP("FNDD8102 Mtge","MTG_WAL")</f>
        <v>3.2042000000000002</v>
      </c>
      <c r="I3417" t="str">
        <f>_xll.BDP("FNDD8102 Mtge","MTG_ORIG_WAL")</f>
        <v>#N/A N/A</v>
      </c>
    </row>
    <row r="3418" spans="1:9" x14ac:dyDescent="0.25">
      <c r="A3418" t="str">
        <f>_xll.BDP("FNDD8104 Mtge","ID_CUSIP")</f>
        <v>3140B9AE9</v>
      </c>
      <c r="B3418" t="str">
        <f>_xll.BDP("FNDD8104 Mtge","SECURITY_NAME")</f>
        <v>FN DD8104</v>
      </c>
      <c r="C3418" t="str">
        <f>_xll.BDP("FNDD8104 Mtge","GENERIC_TICKER_VINTAGE")</f>
        <v>FNCL 6 2025</v>
      </c>
      <c r="D3418" t="str">
        <f>_xll.BDP("FNDD8104 Mtge","CRNCY")</f>
        <v>USD</v>
      </c>
      <c r="E3418">
        <v>1487704</v>
      </c>
      <c r="F3418">
        <f>_xll.BDP("FNDD8104 Mtge","CPN")</f>
        <v>6</v>
      </c>
      <c r="G3418">
        <f>_xll.BDP("FNDD8104 Mtge","MTG_FACTOR")</f>
        <v>0.98691784999999999</v>
      </c>
      <c r="H3418">
        <f>_xll.BDP("FNDD8104 Mtge","MTG_WAL")</f>
        <v>3.2014</v>
      </c>
      <c r="I3418" t="str">
        <f>_xll.BDP("FNDD8104 Mtge","MTG_ORIG_WAL")</f>
        <v>#N/A N/A</v>
      </c>
    </row>
    <row r="3419" spans="1:9" x14ac:dyDescent="0.25">
      <c r="A3419" t="str">
        <f>_xll.BDP("FNDD8109 Mtge","ID_CUSIP")</f>
        <v>3140B9AK5</v>
      </c>
      <c r="B3419" t="str">
        <f>_xll.BDP("FNDD8109 Mtge","SECURITY_NAME")</f>
        <v>FN DD8109</v>
      </c>
      <c r="C3419" t="str">
        <f>_xll.BDP("FNDD8109 Mtge","GENERIC_TICKER_VINTAGE")</f>
        <v>FNCL 6 2025</v>
      </c>
      <c r="D3419" t="str">
        <f>_xll.BDP("FNDD8109 Mtge","CRNCY")</f>
        <v>USD</v>
      </c>
      <c r="E3419">
        <v>8157443</v>
      </c>
      <c r="F3419">
        <f>_xll.BDP("FNDD8109 Mtge","CPN")</f>
        <v>6</v>
      </c>
      <c r="G3419">
        <f>_xll.BDP("FNDD8109 Mtge","MTG_FACTOR")</f>
        <v>0.72854947000000003</v>
      </c>
      <c r="H3419">
        <f>_xll.BDP("FNDD8109 Mtge","MTG_WAL")</f>
        <v>3.2351000000000001</v>
      </c>
      <c r="I3419" t="str">
        <f>_xll.BDP("FNDD8109 Mtge","MTG_ORIG_WAL")</f>
        <v>#N/A N/A</v>
      </c>
    </row>
    <row r="3420" spans="1:9" x14ac:dyDescent="0.25">
      <c r="A3420" t="str">
        <f>_xll.BDP("FNDD8115 Mtge","ID_CUSIP")</f>
        <v>3140B9AR0</v>
      </c>
      <c r="B3420" t="str">
        <f>_xll.BDP("FNDD8115 Mtge","SECURITY_NAME")</f>
        <v>FN DD8115</v>
      </c>
      <c r="C3420" t="str">
        <f>_xll.BDP("FNDD8115 Mtge","GENERIC_TICKER_VINTAGE")</f>
        <v>FNCL 6 2025</v>
      </c>
      <c r="D3420" t="str">
        <f>_xll.BDP("FNDD8115 Mtge","CRNCY")</f>
        <v>USD</v>
      </c>
      <c r="E3420">
        <v>3559489</v>
      </c>
      <c r="F3420">
        <f>_xll.BDP("FNDD8115 Mtge","CPN")</f>
        <v>6</v>
      </c>
      <c r="G3420">
        <f>_xll.BDP("FNDD8115 Mtge","MTG_FACTOR")</f>
        <v>0.82998700000000003</v>
      </c>
      <c r="H3420">
        <f>_xll.BDP("FNDD8115 Mtge","MTG_WAL")</f>
        <v>3.2479</v>
      </c>
      <c r="I3420" t="str">
        <f>_xll.BDP("FNDD8115 Mtge","MTG_ORIG_WAL")</f>
        <v>#N/A N/A</v>
      </c>
    </row>
    <row r="3421" spans="1:9" x14ac:dyDescent="0.25">
      <c r="A3421" t="str">
        <f>_xll.BDP("FNDD8117 Mtge","ID_CUSIP")</f>
        <v>3140B9AT6</v>
      </c>
      <c r="B3421" t="str">
        <f>_xll.BDP("FNDD8117 Mtge","SECURITY_NAME")</f>
        <v>FN DD8117</v>
      </c>
      <c r="C3421" t="str">
        <f>_xll.BDP("FNDD8117 Mtge","GENERIC_TICKER_VINTAGE")</f>
        <v>FNCL 6 2025</v>
      </c>
      <c r="D3421" t="str">
        <f>_xll.BDP("FNDD8117 Mtge","CRNCY")</f>
        <v>USD</v>
      </c>
      <c r="E3421">
        <v>1760347</v>
      </c>
      <c r="F3421">
        <f>_xll.BDP("FNDD8117 Mtge","CPN")</f>
        <v>6</v>
      </c>
      <c r="G3421">
        <f>_xll.BDP("FNDD8117 Mtge","MTG_FACTOR")</f>
        <v>0.88707287000000001</v>
      </c>
      <c r="H3421">
        <f>_xll.BDP("FNDD8117 Mtge","MTG_WAL")</f>
        <v>3.2467999999999999</v>
      </c>
      <c r="I3421" t="str">
        <f>_xll.BDP("FNDD8117 Mtge","MTG_ORIG_WAL")</f>
        <v>#N/A N/A</v>
      </c>
    </row>
    <row r="3422" spans="1:9" x14ac:dyDescent="0.25">
      <c r="A3422" t="str">
        <f>_xll.BDP("FNDD8120 Mtge","ID_CUSIP")</f>
        <v>3140B9AW9</v>
      </c>
      <c r="B3422" t="str">
        <f>_xll.BDP("FNDD8120 Mtge","SECURITY_NAME")</f>
        <v>FN DD8120</v>
      </c>
      <c r="C3422" t="str">
        <f>_xll.BDP("FNDD8120 Mtge","GENERIC_TICKER_VINTAGE")</f>
        <v>FNCL 6 2025</v>
      </c>
      <c r="D3422" t="str">
        <f>_xll.BDP("FNDD8120 Mtge","CRNCY")</f>
        <v>USD</v>
      </c>
      <c r="E3422">
        <v>1294248</v>
      </c>
      <c r="F3422">
        <f>_xll.BDP("FNDD8120 Mtge","CPN")</f>
        <v>6</v>
      </c>
      <c r="G3422">
        <f>_xll.BDP("FNDD8120 Mtge","MTG_FACTOR")</f>
        <v>0.83563061000000005</v>
      </c>
      <c r="H3422">
        <f>_xll.BDP("FNDD8120 Mtge","MTG_WAL")</f>
        <v>3.2477</v>
      </c>
      <c r="I3422" t="str">
        <f>_xll.BDP("FNDD8120 Mtge","MTG_ORIG_WAL")</f>
        <v>#N/A N/A</v>
      </c>
    </row>
    <row r="3423" spans="1:9" x14ac:dyDescent="0.25">
      <c r="A3423" t="str">
        <f>_xll.BDP("FNDD8123 Mtge","ID_CUSIP")</f>
        <v>3140B9AZ2</v>
      </c>
      <c r="B3423" t="str">
        <f>_xll.BDP("FNDD8123 Mtge","SECURITY_NAME")</f>
        <v>FN DD8123</v>
      </c>
      <c r="C3423" t="str">
        <f>_xll.BDP("FNDD8123 Mtge","GENERIC_TICKER_VINTAGE")</f>
        <v>FNCL 6 2025</v>
      </c>
      <c r="D3423" t="str">
        <f>_xll.BDP("FNDD8123 Mtge","CRNCY")</f>
        <v>USD</v>
      </c>
      <c r="E3423">
        <v>1422905</v>
      </c>
      <c r="F3423">
        <f>_xll.BDP("FNDD8123 Mtge","CPN")</f>
        <v>6</v>
      </c>
      <c r="G3423">
        <f>_xll.BDP("FNDD8123 Mtge","MTG_FACTOR")</f>
        <v>0.82563050000000004</v>
      </c>
      <c r="H3423">
        <f>_xll.BDP("FNDD8123 Mtge","MTG_WAL")</f>
        <v>3.2484000000000002</v>
      </c>
      <c r="I3423" t="str">
        <f>_xll.BDP("FNDD8123 Mtge","MTG_ORIG_WAL")</f>
        <v>#N/A N/A</v>
      </c>
    </row>
    <row r="3424" spans="1:9" x14ac:dyDescent="0.25">
      <c r="A3424" t="str">
        <f>_xll.BDP("FNDD8135 Mtge","ID_CUSIP")</f>
        <v>3140B9BD0</v>
      </c>
      <c r="B3424" t="str">
        <f>_xll.BDP("FNDD8135 Mtge","SECURITY_NAME")</f>
        <v>FN DD8135</v>
      </c>
      <c r="C3424" t="str">
        <f>_xll.BDP("FNDD8135 Mtge","GENERIC_TICKER_VINTAGE")</f>
        <v>FNCL 6 2025</v>
      </c>
      <c r="D3424" t="str">
        <f>_xll.BDP("FNDD8135 Mtge","CRNCY")</f>
        <v>USD</v>
      </c>
      <c r="E3424">
        <v>1574630</v>
      </c>
      <c r="F3424">
        <f>_xll.BDP("FNDD8135 Mtge","CPN")</f>
        <v>6</v>
      </c>
      <c r="G3424">
        <f>_xll.BDP("FNDD8135 Mtge","MTG_FACTOR")</f>
        <v>0.99056352000000003</v>
      </c>
      <c r="H3424">
        <f>_xll.BDP("FNDD8135 Mtge","MTG_WAL")</f>
        <v>3.206</v>
      </c>
      <c r="I3424" t="str">
        <f>_xll.BDP("FNDD8135 Mtge","MTG_ORIG_WAL")</f>
        <v>#N/A N/A</v>
      </c>
    </row>
    <row r="3425" spans="1:9" x14ac:dyDescent="0.25">
      <c r="A3425" t="str">
        <f>_xll.BDP("FNDD8141 Mtge","ID_CUSIP")</f>
        <v>3140B9BK4</v>
      </c>
      <c r="B3425" t="str">
        <f>_xll.BDP("FNDD8141 Mtge","SECURITY_NAME")</f>
        <v>FN DD8141</v>
      </c>
      <c r="C3425" t="str">
        <f>_xll.BDP("FNDD8141 Mtge","GENERIC_TICKER_VINTAGE")</f>
        <v>FNCL 6 2025</v>
      </c>
      <c r="D3425" t="str">
        <f>_xll.BDP("FNDD8141 Mtge","CRNCY")</f>
        <v>USD</v>
      </c>
      <c r="E3425">
        <v>1046531</v>
      </c>
      <c r="F3425">
        <f>_xll.BDP("FNDD8141 Mtge","CPN")</f>
        <v>6</v>
      </c>
      <c r="G3425">
        <f>_xll.BDP("FNDD8141 Mtge","MTG_FACTOR")</f>
        <v>0.98718695999999995</v>
      </c>
      <c r="H3425">
        <f>_xll.BDP("FNDD8141 Mtge","MTG_WAL")</f>
        <v>3.2431000000000001</v>
      </c>
      <c r="I3425" t="str">
        <f>_xll.BDP("FNDD8141 Mtge","MTG_ORIG_WAL")</f>
        <v>#N/A N/A</v>
      </c>
    </row>
    <row r="3426" spans="1:9" x14ac:dyDescent="0.25">
      <c r="A3426" t="str">
        <f>_xll.BDP("FNDD8145 Mtge","ID_CUSIP")</f>
        <v>3140B9BP3</v>
      </c>
      <c r="B3426" t="str">
        <f>_xll.BDP("FNDD8145 Mtge","SECURITY_NAME")</f>
        <v>FN DD8145</v>
      </c>
      <c r="C3426" t="str">
        <f>_xll.BDP("FNDD8145 Mtge","GENERIC_TICKER_VINTAGE")</f>
        <v>FNCL 6 2025</v>
      </c>
      <c r="D3426" t="str">
        <f>_xll.BDP("FNDD8145 Mtge","CRNCY")</f>
        <v>USD</v>
      </c>
      <c r="E3426">
        <v>16400116</v>
      </c>
      <c r="F3426">
        <f>_xll.BDP("FNDD8145 Mtge","CPN")</f>
        <v>6</v>
      </c>
      <c r="G3426">
        <f>_xll.BDP("FNDD8145 Mtge","MTG_FACTOR")</f>
        <v>0.88812020000000003</v>
      </c>
      <c r="H3426">
        <f>_xll.BDP("FNDD8145 Mtge","MTG_WAL")</f>
        <v>3.2431000000000001</v>
      </c>
      <c r="I3426" t="str">
        <f>_xll.BDP("FNDD8145 Mtge","MTG_ORIG_WAL")</f>
        <v>#N/A N/A</v>
      </c>
    </row>
    <row r="3427" spans="1:9" x14ac:dyDescent="0.25">
      <c r="A3427" t="str">
        <f>_xll.BDP("FNDD8148 Mtge","ID_CUSIP")</f>
        <v>3140B9BS7</v>
      </c>
      <c r="B3427" t="str">
        <f>_xll.BDP("FNDD8148 Mtge","SECURITY_NAME")</f>
        <v>FN DD8148</v>
      </c>
      <c r="C3427" t="str">
        <f>_xll.BDP("FNDD8148 Mtge","GENERIC_TICKER_VINTAGE")</f>
        <v>FNCL 6 2025</v>
      </c>
      <c r="D3427" t="str">
        <f>_xll.BDP("FNDD8148 Mtge","CRNCY")</f>
        <v>USD</v>
      </c>
      <c r="E3427">
        <v>15643332</v>
      </c>
      <c r="F3427">
        <f>_xll.BDP("FNDD8148 Mtge","CPN")</f>
        <v>6</v>
      </c>
      <c r="G3427">
        <f>_xll.BDP("FNDD8148 Mtge","MTG_FACTOR")</f>
        <v>0.97007810000000005</v>
      </c>
      <c r="H3427">
        <f>_xll.BDP("FNDD8148 Mtge","MTG_WAL")</f>
        <v>3.2383999999999999</v>
      </c>
      <c r="I3427" t="str">
        <f>_xll.BDP("FNDD8148 Mtge","MTG_ORIG_WAL")</f>
        <v>#N/A N/A</v>
      </c>
    </row>
    <row r="3428" spans="1:9" x14ac:dyDescent="0.25">
      <c r="A3428" t="str">
        <f>_xll.BDP("FNDD8152 Mtge","ID_CUSIP")</f>
        <v>3140B9BW8</v>
      </c>
      <c r="B3428" t="str">
        <f>_xll.BDP("FNDD8152 Mtge","SECURITY_NAME")</f>
        <v>FN DD8152</v>
      </c>
      <c r="C3428" t="str">
        <f>_xll.BDP("FNDD8152 Mtge","GENERIC_TICKER_VINTAGE")</f>
        <v>FNCL 6 2025</v>
      </c>
      <c r="D3428" t="str">
        <f>_xll.BDP("FNDD8152 Mtge","CRNCY")</f>
        <v>USD</v>
      </c>
      <c r="E3428">
        <v>1451442</v>
      </c>
      <c r="F3428">
        <f>_xll.BDP("FNDD8152 Mtge","CPN")</f>
        <v>6</v>
      </c>
      <c r="G3428">
        <f>_xll.BDP("FNDD8152 Mtge","MTG_FACTOR")</f>
        <v>0.72648539999999995</v>
      </c>
      <c r="H3428">
        <f>_xll.BDP("FNDD8152 Mtge","MTG_WAL")</f>
        <v>3.2471000000000001</v>
      </c>
      <c r="I3428" t="str">
        <f>_xll.BDP("FNDD8152 Mtge","MTG_ORIG_WAL")</f>
        <v>#N/A N/A</v>
      </c>
    </row>
    <row r="3429" spans="1:9" x14ac:dyDescent="0.25">
      <c r="A3429" t="str">
        <f>_xll.BDP("FNDD8156 Mtge","ID_CUSIP")</f>
        <v>3140B9B24</v>
      </c>
      <c r="B3429" t="str">
        <f>_xll.BDP("FNDD8156 Mtge","SECURITY_NAME")</f>
        <v>FN DD8156</v>
      </c>
      <c r="C3429" t="str">
        <f>_xll.BDP("FNDD8156 Mtge","GENERIC_TICKER_VINTAGE")</f>
        <v>FNCL 6 2025</v>
      </c>
      <c r="D3429" t="str">
        <f>_xll.BDP("FNDD8156 Mtge","CRNCY")</f>
        <v>USD</v>
      </c>
      <c r="E3429">
        <v>2187242</v>
      </c>
      <c r="F3429">
        <f>_xll.BDP("FNDD8156 Mtge","CPN")</f>
        <v>6</v>
      </c>
      <c r="G3429">
        <f>_xll.BDP("FNDD8156 Mtge","MTG_FACTOR")</f>
        <v>0.98897124000000003</v>
      </c>
      <c r="H3429">
        <f>_xll.BDP("FNDD8156 Mtge","MTG_WAL")</f>
        <v>3.2934999999999999</v>
      </c>
      <c r="I3429" t="str">
        <f>_xll.BDP("FNDD8156 Mtge","MTG_ORIG_WAL")</f>
        <v>#N/A N/A</v>
      </c>
    </row>
    <row r="3430" spans="1:9" x14ac:dyDescent="0.25">
      <c r="A3430" t="str">
        <f>_xll.BDP("FNDD8159 Mtge","ID_CUSIP")</f>
        <v>3140B9B57</v>
      </c>
      <c r="B3430" t="str">
        <f>_xll.BDP("FNDD8159 Mtge","SECURITY_NAME")</f>
        <v>FN DD8159</v>
      </c>
      <c r="C3430" t="str">
        <f>_xll.BDP("FNDD8159 Mtge","GENERIC_TICKER_VINTAGE")</f>
        <v>FNCL 6 2025</v>
      </c>
      <c r="D3430" t="str">
        <f>_xll.BDP("FNDD8159 Mtge","CRNCY")</f>
        <v>USD</v>
      </c>
      <c r="E3430">
        <v>1876168</v>
      </c>
      <c r="F3430">
        <f>_xll.BDP("FNDD8159 Mtge","CPN")</f>
        <v>6</v>
      </c>
      <c r="G3430">
        <f>_xll.BDP("FNDD8159 Mtge","MTG_FACTOR")</f>
        <v>0.87714946000000005</v>
      </c>
      <c r="H3430">
        <f>_xll.BDP("FNDD8159 Mtge","MTG_WAL")</f>
        <v>3.2473000000000001</v>
      </c>
      <c r="I3430" t="str">
        <f>_xll.BDP("FNDD8159 Mtge","MTG_ORIG_WAL")</f>
        <v>#N/A N/A</v>
      </c>
    </row>
    <row r="3431" spans="1:9" x14ac:dyDescent="0.25">
      <c r="A3431" t="str">
        <f>_xll.BDP("FNDD8162 Mtge","ID_CUSIP")</f>
        <v>3140B9B81</v>
      </c>
      <c r="B3431" t="str">
        <f>_xll.BDP("FNDD8162 Mtge","SECURITY_NAME")</f>
        <v>FN DD8162</v>
      </c>
      <c r="C3431" t="str">
        <f>_xll.BDP("FNDD8162 Mtge","GENERIC_TICKER_VINTAGE")</f>
        <v>FNCL 6 2025</v>
      </c>
      <c r="D3431" t="str">
        <f>_xll.BDP("FNDD8162 Mtge","CRNCY")</f>
        <v>USD</v>
      </c>
      <c r="E3431">
        <v>2816043</v>
      </c>
      <c r="F3431">
        <f>_xll.BDP("FNDD8162 Mtge","CPN")</f>
        <v>6</v>
      </c>
      <c r="G3431">
        <f>_xll.BDP("FNDD8162 Mtge","MTG_FACTOR")</f>
        <v>0.98970707000000002</v>
      </c>
      <c r="H3431">
        <f>_xll.BDP("FNDD8162 Mtge","MTG_WAL")</f>
        <v>3.2940999999999998</v>
      </c>
      <c r="I3431" t="str">
        <f>_xll.BDP("FNDD8162 Mtge","MTG_ORIG_WAL")</f>
        <v>#N/A N/A</v>
      </c>
    </row>
    <row r="3432" spans="1:9" x14ac:dyDescent="0.25">
      <c r="A3432" t="str">
        <f>_xll.BDP("FNDD8166 Mtge","ID_CUSIP")</f>
        <v>3140B9CC1</v>
      </c>
      <c r="B3432" t="str">
        <f>_xll.BDP("FNDD8166 Mtge","SECURITY_NAME")</f>
        <v>FN DD8166</v>
      </c>
      <c r="C3432" t="str">
        <f>_xll.BDP("FNDD8166 Mtge","GENERIC_TICKER_VINTAGE")</f>
        <v>FNCL 6 2025</v>
      </c>
      <c r="D3432" t="str">
        <f>_xll.BDP("FNDD8166 Mtge","CRNCY")</f>
        <v>USD</v>
      </c>
      <c r="E3432">
        <v>6358515</v>
      </c>
      <c r="F3432">
        <f>_xll.BDP("FNDD8166 Mtge","CPN")</f>
        <v>6</v>
      </c>
      <c r="G3432">
        <f>_xll.BDP("FNDD8166 Mtge","MTG_FACTOR")</f>
        <v>0.94281190999999998</v>
      </c>
      <c r="H3432">
        <f>_xll.BDP("FNDD8166 Mtge","MTG_WAL")</f>
        <v>3.2448000000000001</v>
      </c>
      <c r="I3432" t="str">
        <f>_xll.BDP("FNDD8166 Mtge","MTG_ORIG_WAL")</f>
        <v>#N/A N/A</v>
      </c>
    </row>
    <row r="3433" spans="1:9" x14ac:dyDescent="0.25">
      <c r="A3433" t="str">
        <f>_xll.BDP("FNDD8168 Mtge","ID_CUSIP")</f>
        <v>3140B9CE7</v>
      </c>
      <c r="B3433" t="str">
        <f>_xll.BDP("FNDD8168 Mtge","SECURITY_NAME")</f>
        <v>FN DD8168</v>
      </c>
      <c r="C3433" t="str">
        <f>_xll.BDP("FNDD8168 Mtge","GENERIC_TICKER_VINTAGE")</f>
        <v>FNCL 6 2025</v>
      </c>
      <c r="D3433" t="str">
        <f>_xll.BDP("FNDD8168 Mtge","CRNCY")</f>
        <v>USD</v>
      </c>
      <c r="E3433">
        <v>5479387</v>
      </c>
      <c r="F3433">
        <f>_xll.BDP("FNDD8168 Mtge","CPN")</f>
        <v>6</v>
      </c>
      <c r="G3433">
        <f>_xll.BDP("FNDD8168 Mtge","MTG_FACTOR")</f>
        <v>0.88531139999999997</v>
      </c>
      <c r="H3433">
        <f>_xll.BDP("FNDD8168 Mtge","MTG_WAL")</f>
        <v>3.2909999999999999</v>
      </c>
      <c r="I3433" t="str">
        <f>_xll.BDP("FNDD8168 Mtge","MTG_ORIG_WAL")</f>
        <v>#N/A N/A</v>
      </c>
    </row>
    <row r="3434" spans="1:9" x14ac:dyDescent="0.25">
      <c r="A3434" t="str">
        <f>_xll.BDP("FNDD8170 Mtge","ID_CUSIP")</f>
        <v>3140B9CG2</v>
      </c>
      <c r="B3434" t="str">
        <f>_xll.BDP("FNDD8170 Mtge","SECURITY_NAME")</f>
        <v>FN DD8170</v>
      </c>
      <c r="C3434" t="str">
        <f>_xll.BDP("FNDD8170 Mtge","GENERIC_TICKER_VINTAGE")</f>
        <v>FNCL 6 2025</v>
      </c>
      <c r="D3434" t="str">
        <f>_xll.BDP("FNDD8170 Mtge","CRNCY")</f>
        <v>USD</v>
      </c>
      <c r="E3434">
        <v>3446532</v>
      </c>
      <c r="F3434">
        <f>_xll.BDP("FNDD8170 Mtge","CPN")</f>
        <v>6</v>
      </c>
      <c r="G3434">
        <f>_xll.BDP("FNDD8170 Mtge","MTG_FACTOR")</f>
        <v>0.77845127999999997</v>
      </c>
      <c r="H3434">
        <f>_xll.BDP("FNDD8170 Mtge","MTG_WAL")</f>
        <v>3.2482000000000002</v>
      </c>
      <c r="I3434" t="str">
        <f>_xll.BDP("FNDD8170 Mtge","MTG_ORIG_WAL")</f>
        <v>#N/A N/A</v>
      </c>
    </row>
    <row r="3435" spans="1:9" x14ac:dyDescent="0.25">
      <c r="A3435" t="str">
        <f>_xll.BDP("FNDD8179 Mtge","ID_CUSIP")</f>
        <v>3140B9CR8</v>
      </c>
      <c r="B3435" t="str">
        <f>_xll.BDP("FNDD8179 Mtge","SECURITY_NAME")</f>
        <v>FN DD8179</v>
      </c>
      <c r="C3435" t="str">
        <f>_xll.BDP("FNDD8179 Mtge","GENERIC_TICKER_VINTAGE")</f>
        <v>FNCL 6 2025</v>
      </c>
      <c r="D3435" t="str">
        <f>_xll.BDP("FNDD8179 Mtge","CRNCY")</f>
        <v>USD</v>
      </c>
      <c r="E3435">
        <v>2641708</v>
      </c>
      <c r="F3435">
        <f>_xll.BDP("FNDD8179 Mtge","CPN")</f>
        <v>6</v>
      </c>
      <c r="G3435">
        <f>_xll.BDP("FNDD8179 Mtge","MTG_FACTOR")</f>
        <v>0.87705655999999999</v>
      </c>
      <c r="H3435">
        <f>_xll.BDP("FNDD8179 Mtge","MTG_WAL")</f>
        <v>3.2967</v>
      </c>
      <c r="I3435" t="str">
        <f>_xll.BDP("FNDD8179 Mtge","MTG_ORIG_WAL")</f>
        <v>#N/A N/A</v>
      </c>
    </row>
    <row r="3436" spans="1:9" x14ac:dyDescent="0.25">
      <c r="A3436" t="str">
        <f>_xll.BDP("FNDD8186 Mtge","ID_CUSIP")</f>
        <v>3140B9CY3</v>
      </c>
      <c r="B3436" t="str">
        <f>_xll.BDP("FNDD8186 Mtge","SECURITY_NAME")</f>
        <v>FN DD8186</v>
      </c>
      <c r="C3436" t="str">
        <f>_xll.BDP("FNDD8186 Mtge","GENERIC_TICKER_VINTAGE")</f>
        <v>FNCL 6 2025</v>
      </c>
      <c r="D3436" t="str">
        <f>_xll.BDP("FNDD8186 Mtge","CRNCY")</f>
        <v>USD</v>
      </c>
      <c r="E3436">
        <v>16583221</v>
      </c>
      <c r="F3436">
        <f>_xll.BDP("FNDD8186 Mtge","CPN")</f>
        <v>6</v>
      </c>
      <c r="G3436">
        <f>_xll.BDP("FNDD8186 Mtge","MTG_FACTOR")</f>
        <v>0.95780452000000005</v>
      </c>
      <c r="H3436">
        <f>_xll.BDP("FNDD8186 Mtge","MTG_WAL")</f>
        <v>3.2831999999999999</v>
      </c>
      <c r="I3436" t="str">
        <f>_xll.BDP("FNDD8186 Mtge","MTG_ORIG_WAL")</f>
        <v>#N/A N/A</v>
      </c>
    </row>
    <row r="3437" spans="1:9" x14ac:dyDescent="0.25">
      <c r="A3437" t="str">
        <f>_xll.BDP("FNDD8264 Mtge","ID_CUSIP")</f>
        <v>3140B9FE4</v>
      </c>
      <c r="B3437" t="str">
        <f>_xll.BDP("FNDD8264 Mtge","SECURITY_NAME")</f>
        <v>FN DD8264</v>
      </c>
      <c r="C3437" t="str">
        <f>_xll.BDP("FNDD8264 Mtge","GENERIC_TICKER_VINTAGE")</f>
        <v>FNCL 6 2025</v>
      </c>
      <c r="D3437" t="str">
        <f>_xll.BDP("FNDD8264 Mtge","CRNCY")</f>
        <v>USD</v>
      </c>
      <c r="E3437">
        <v>3050710</v>
      </c>
      <c r="F3437">
        <f>_xll.BDP("FNDD8264 Mtge","CPN")</f>
        <v>6</v>
      </c>
      <c r="G3437">
        <f>_xll.BDP("FNDD8264 Mtge","MTG_FACTOR")</f>
        <v>0.87383403000000004</v>
      </c>
      <c r="H3437">
        <f>_xll.BDP("FNDD8264 Mtge","MTG_WAL")</f>
        <v>3.2427000000000001</v>
      </c>
      <c r="I3437" t="str">
        <f>_xll.BDP("FNDD8264 Mtge","MTG_ORIG_WAL")</f>
        <v>#N/A N/A</v>
      </c>
    </row>
    <row r="3438" spans="1:9" x14ac:dyDescent="0.25">
      <c r="A3438" t="str">
        <f>_xll.BDP("FNDD8265 Mtge","ID_CUSIP")</f>
        <v>3140B9FF1</v>
      </c>
      <c r="B3438" t="str">
        <f>_xll.BDP("FNDD8265 Mtge","SECURITY_NAME")</f>
        <v>FN DD8265</v>
      </c>
      <c r="C3438" t="str">
        <f>_xll.BDP("FNDD8265 Mtge","GENERIC_TICKER_VINTAGE")</f>
        <v>FNCL 6 2025</v>
      </c>
      <c r="D3438" t="str">
        <f>_xll.BDP("FNDD8265 Mtge","CRNCY")</f>
        <v>USD</v>
      </c>
      <c r="E3438">
        <v>8214844</v>
      </c>
      <c r="F3438">
        <f>_xll.BDP("FNDD8265 Mtge","CPN")</f>
        <v>6</v>
      </c>
      <c r="G3438">
        <f>_xll.BDP("FNDD8265 Mtge","MTG_FACTOR")</f>
        <v>0.77400537999999997</v>
      </c>
      <c r="H3438">
        <f>_xll.BDP("FNDD8265 Mtge","MTG_WAL")</f>
        <v>3.2441</v>
      </c>
      <c r="I3438" t="str">
        <f>_xll.BDP("FNDD8265 Mtge","MTG_ORIG_WAL")</f>
        <v>#N/A N/A</v>
      </c>
    </row>
    <row r="3439" spans="1:9" x14ac:dyDescent="0.25">
      <c r="A3439" t="str">
        <f>_xll.BDP("FNDD8266 Mtge","ID_CUSIP")</f>
        <v>3140B9FG9</v>
      </c>
      <c r="B3439" t="str">
        <f>_xll.BDP("FNDD8266 Mtge","SECURITY_NAME")</f>
        <v>FN DD8266</v>
      </c>
      <c r="C3439" t="str">
        <f>_xll.BDP("FNDD8266 Mtge","GENERIC_TICKER_VINTAGE")</f>
        <v>FNCL 6 2025</v>
      </c>
      <c r="D3439" t="str">
        <f>_xll.BDP("FNDD8266 Mtge","CRNCY")</f>
        <v>USD</v>
      </c>
      <c r="E3439">
        <v>4530384</v>
      </c>
      <c r="F3439">
        <f>_xll.BDP("FNDD8266 Mtge","CPN")</f>
        <v>6</v>
      </c>
      <c r="G3439">
        <f>_xll.BDP("FNDD8266 Mtge","MTG_FACTOR")</f>
        <v>0.94119470000000005</v>
      </c>
      <c r="H3439">
        <f>_xll.BDP("FNDD8266 Mtge","MTG_WAL")</f>
        <v>3.2444000000000002</v>
      </c>
      <c r="I3439" t="str">
        <f>_xll.BDP("FNDD8266 Mtge","MTG_ORIG_WAL")</f>
        <v>#N/A N/A</v>
      </c>
    </row>
    <row r="3440" spans="1:9" x14ac:dyDescent="0.25">
      <c r="A3440" t="str">
        <f>_xll.BDP("FNDD8267 Mtge","ID_CUSIP")</f>
        <v>3140B9FH7</v>
      </c>
      <c r="B3440" t="str">
        <f>_xll.BDP("FNDD8267 Mtge","SECURITY_NAME")</f>
        <v>FN DD8267</v>
      </c>
      <c r="C3440" t="str">
        <f>_xll.BDP("FNDD8267 Mtge","GENERIC_TICKER_VINTAGE")</f>
        <v>FNCL 6 2025</v>
      </c>
      <c r="D3440" t="str">
        <f>_xll.BDP("FNDD8267 Mtge","CRNCY")</f>
        <v>USD</v>
      </c>
      <c r="E3440">
        <v>9877904</v>
      </c>
      <c r="F3440">
        <f>_xll.BDP("FNDD8267 Mtge","CPN")</f>
        <v>6</v>
      </c>
      <c r="G3440">
        <f>_xll.BDP("FNDD8267 Mtge","MTG_FACTOR")</f>
        <v>0.74595085999999999</v>
      </c>
      <c r="H3440">
        <f>_xll.BDP("FNDD8267 Mtge","MTG_WAL")</f>
        <v>3.2435999999999998</v>
      </c>
      <c r="I3440" t="str">
        <f>_xll.BDP("FNDD8267 Mtge","MTG_ORIG_WAL")</f>
        <v>#N/A N/A</v>
      </c>
    </row>
    <row r="3441" spans="1:9" x14ac:dyDescent="0.25">
      <c r="A3441" t="str">
        <f>_xll.BDP("FNDD8268 Mtge","ID_CUSIP")</f>
        <v>3140B9FJ3</v>
      </c>
      <c r="B3441" t="str">
        <f>_xll.BDP("FNDD8268 Mtge","SECURITY_NAME")</f>
        <v>FN DD8268</v>
      </c>
      <c r="C3441" t="str">
        <f>_xll.BDP("FNDD8268 Mtge","GENERIC_TICKER_VINTAGE")</f>
        <v>FNCL 6 2025</v>
      </c>
      <c r="D3441" t="str">
        <f>_xll.BDP("FNDD8268 Mtge","CRNCY")</f>
        <v>USD</v>
      </c>
      <c r="E3441">
        <v>8091365</v>
      </c>
      <c r="F3441">
        <f>_xll.BDP("FNDD8268 Mtge","CPN")</f>
        <v>6</v>
      </c>
      <c r="G3441">
        <f>_xll.BDP("FNDD8268 Mtge","MTG_FACTOR")</f>
        <v>0.87024623999999995</v>
      </c>
      <c r="H3441">
        <f>_xll.BDP("FNDD8268 Mtge","MTG_WAL")</f>
        <v>3.2397999999999998</v>
      </c>
      <c r="I3441" t="str">
        <f>_xll.BDP("FNDD8268 Mtge","MTG_ORIG_WAL")</f>
        <v>#N/A N/A</v>
      </c>
    </row>
    <row r="3442" spans="1:9" x14ac:dyDescent="0.25">
      <c r="A3442" t="str">
        <f>_xll.BDP("FNDD8269 Mtge","ID_CUSIP")</f>
        <v>3140B9FK0</v>
      </c>
      <c r="B3442" t="str">
        <f>_xll.BDP("FNDD8269 Mtge","SECURITY_NAME")</f>
        <v>FN DD8269</v>
      </c>
      <c r="C3442" t="str">
        <f>_xll.BDP("FNDD8269 Mtge","GENERIC_TICKER_VINTAGE")</f>
        <v>FNCL 6 2025</v>
      </c>
      <c r="D3442" t="str">
        <f>_xll.BDP("FNDD8269 Mtge","CRNCY")</f>
        <v>USD</v>
      </c>
      <c r="E3442">
        <v>6992562</v>
      </c>
      <c r="F3442">
        <f>_xll.BDP("FNDD8269 Mtge","CPN")</f>
        <v>6</v>
      </c>
      <c r="G3442">
        <f>_xll.BDP("FNDD8269 Mtge","MTG_FACTOR")</f>
        <v>0.84920653000000001</v>
      </c>
      <c r="H3442">
        <f>_xll.BDP("FNDD8269 Mtge","MTG_WAL")</f>
        <v>3.2446999999999999</v>
      </c>
      <c r="I3442" t="str">
        <f>_xll.BDP("FNDD8269 Mtge","MTG_ORIG_WAL")</f>
        <v>#N/A N/A</v>
      </c>
    </row>
    <row r="3443" spans="1:9" x14ac:dyDescent="0.25">
      <c r="A3443" t="str">
        <f>_xll.BDP("FNDD8270 Mtge","ID_CUSIP")</f>
        <v>3140B9FL8</v>
      </c>
      <c r="B3443" t="str">
        <f>_xll.BDP("FNDD8270 Mtge","SECURITY_NAME")</f>
        <v>FN DD8270</v>
      </c>
      <c r="C3443" t="str">
        <f>_xll.BDP("FNDD8270 Mtge","GENERIC_TICKER_VINTAGE")</f>
        <v>FNCL 6 2025</v>
      </c>
      <c r="D3443" t="str">
        <f>_xll.BDP("FNDD8270 Mtge","CRNCY")</f>
        <v>USD</v>
      </c>
      <c r="E3443">
        <v>5716231</v>
      </c>
      <c r="F3443">
        <f>_xll.BDP("FNDD8270 Mtge","CPN")</f>
        <v>6</v>
      </c>
      <c r="G3443">
        <f>_xll.BDP("FNDD8270 Mtge","MTG_FACTOR")</f>
        <v>0.75840456999999994</v>
      </c>
      <c r="H3443">
        <f>_xll.BDP("FNDD8270 Mtge","MTG_WAL")</f>
        <v>3.2450999999999999</v>
      </c>
      <c r="I3443" t="str">
        <f>_xll.BDP("FNDD8270 Mtge","MTG_ORIG_WAL")</f>
        <v>#N/A N/A</v>
      </c>
    </row>
    <row r="3444" spans="1:9" x14ac:dyDescent="0.25">
      <c r="A3444" t="str">
        <f>_xll.BDP("FNDD8273 Mtge","ID_CUSIP")</f>
        <v>3140B9FP9</v>
      </c>
      <c r="B3444" t="str">
        <f>_xll.BDP("FNDD8273 Mtge","SECURITY_NAME")</f>
        <v>FN DD8273</v>
      </c>
      <c r="C3444" t="str">
        <f>_xll.BDP("FNDD8273 Mtge","GENERIC_TICKER_VINTAGE")</f>
        <v>FNCL 6 2025</v>
      </c>
      <c r="D3444" t="str">
        <f>_xll.BDP("FNDD8273 Mtge","CRNCY")</f>
        <v>USD</v>
      </c>
      <c r="E3444">
        <v>2900500</v>
      </c>
      <c r="F3444">
        <f>_xll.BDP("FNDD8273 Mtge","CPN")</f>
        <v>6</v>
      </c>
      <c r="G3444">
        <f>_xll.BDP("FNDD8273 Mtge","MTG_FACTOR")</f>
        <v>0.98843996999999995</v>
      </c>
      <c r="H3444">
        <f>_xll.BDP("FNDD8273 Mtge","MTG_WAL")</f>
        <v>3.2454000000000001</v>
      </c>
      <c r="I3444" t="str">
        <f>_xll.BDP("FNDD8273 Mtge","MTG_ORIG_WAL")</f>
        <v>#N/A N/A</v>
      </c>
    </row>
    <row r="3445" spans="1:9" x14ac:dyDescent="0.25">
      <c r="A3445" t="str">
        <f>_xll.BDP("FNDD8275 Mtge","ID_CUSIP")</f>
        <v>3140B9FR5</v>
      </c>
      <c r="B3445" t="str">
        <f>_xll.BDP("FNDD8275 Mtge","SECURITY_NAME")</f>
        <v>FN DD8275</v>
      </c>
      <c r="C3445" t="str">
        <f>_xll.BDP("FNDD8275 Mtge","GENERIC_TICKER_VINTAGE")</f>
        <v>FNCL 6 2025</v>
      </c>
      <c r="D3445" t="str">
        <f>_xll.BDP("FNDD8275 Mtge","CRNCY")</f>
        <v>USD</v>
      </c>
      <c r="E3445">
        <v>4369500</v>
      </c>
      <c r="F3445">
        <f>_xll.BDP("FNDD8275 Mtge","CPN")</f>
        <v>6</v>
      </c>
      <c r="G3445">
        <f>_xll.BDP("FNDD8275 Mtge","MTG_FACTOR")</f>
        <v>0.98942905999999997</v>
      </c>
      <c r="H3445">
        <f>_xll.BDP("FNDD8275 Mtge","MTG_WAL")</f>
        <v>3.2473000000000001</v>
      </c>
      <c r="I3445" t="str">
        <f>_xll.BDP("FNDD8275 Mtge","MTG_ORIG_WAL")</f>
        <v>#N/A N/A</v>
      </c>
    </row>
    <row r="3446" spans="1:9" x14ac:dyDescent="0.25">
      <c r="A3446" t="str">
        <f>_xll.BDP("FNDD8276 Mtge","ID_CUSIP")</f>
        <v>3140B9FS3</v>
      </c>
      <c r="B3446" t="str">
        <f>_xll.BDP("FNDD8276 Mtge","SECURITY_NAME")</f>
        <v>FN DD8276</v>
      </c>
      <c r="C3446" t="str">
        <f>_xll.BDP("FNDD8276 Mtge","GENERIC_TICKER_VINTAGE")</f>
        <v>FNCL 6 2025</v>
      </c>
      <c r="D3446" t="str">
        <f>_xll.BDP("FNDD8276 Mtge","CRNCY")</f>
        <v>USD</v>
      </c>
      <c r="E3446">
        <v>6424978</v>
      </c>
      <c r="F3446">
        <f>_xll.BDP("FNDD8276 Mtge","CPN")</f>
        <v>6</v>
      </c>
      <c r="G3446">
        <f>_xll.BDP("FNDD8276 Mtge","MTG_FACTOR")</f>
        <v>0.88712257999999999</v>
      </c>
      <c r="H3446">
        <f>_xll.BDP("FNDD8276 Mtge","MTG_WAL")</f>
        <v>3.2422</v>
      </c>
      <c r="I3446" t="str">
        <f>_xll.BDP("FNDD8276 Mtge","MTG_ORIG_WAL")</f>
        <v>#N/A N/A</v>
      </c>
    </row>
    <row r="3447" spans="1:9" x14ac:dyDescent="0.25">
      <c r="A3447" t="str">
        <f>_xll.BDP("FNDD8277 Mtge","ID_CUSIP")</f>
        <v>3140B9FT1</v>
      </c>
      <c r="B3447" t="str">
        <f>_xll.BDP("FNDD8277 Mtge","SECURITY_NAME")</f>
        <v>FN DD8277</v>
      </c>
      <c r="C3447" t="str">
        <f>_xll.BDP("FNDD8277 Mtge","GENERIC_TICKER_VINTAGE")</f>
        <v>FNCL 6 2025</v>
      </c>
      <c r="D3447" t="str">
        <f>_xll.BDP("FNDD8277 Mtge","CRNCY")</f>
        <v>USD</v>
      </c>
      <c r="E3447">
        <v>6264187</v>
      </c>
      <c r="F3447">
        <f>_xll.BDP("FNDD8277 Mtge","CPN")</f>
        <v>6</v>
      </c>
      <c r="G3447">
        <f>_xll.BDP("FNDD8277 Mtge","MTG_FACTOR")</f>
        <v>0.91033260999999999</v>
      </c>
      <c r="H3447">
        <f>_xll.BDP("FNDD8277 Mtge","MTG_WAL")</f>
        <v>3.2461000000000002</v>
      </c>
      <c r="I3447" t="str">
        <f>_xll.BDP("FNDD8277 Mtge","MTG_ORIG_WAL")</f>
        <v>#N/A N/A</v>
      </c>
    </row>
    <row r="3448" spans="1:9" x14ac:dyDescent="0.25">
      <c r="A3448" t="str">
        <f>_xll.BDP("FNDD8278 Mtge","ID_CUSIP")</f>
        <v>3140B9FU8</v>
      </c>
      <c r="B3448" t="str">
        <f>_xll.BDP("FNDD8278 Mtge","SECURITY_NAME")</f>
        <v>FN DD8278</v>
      </c>
      <c r="C3448" t="str">
        <f>_xll.BDP("FNDD8278 Mtge","GENERIC_TICKER_VINTAGE")</f>
        <v>FNCL 6 2025</v>
      </c>
      <c r="D3448" t="str">
        <f>_xll.BDP("FNDD8278 Mtge","CRNCY")</f>
        <v>USD</v>
      </c>
      <c r="E3448">
        <v>1945756</v>
      </c>
      <c r="F3448">
        <f>_xll.BDP("FNDD8278 Mtge","CPN")</f>
        <v>6</v>
      </c>
      <c r="G3448">
        <f>_xll.BDP("FNDD8278 Mtge","MTG_FACTOR")</f>
        <v>0.79466802999999997</v>
      </c>
      <c r="H3448">
        <f>_xll.BDP("FNDD8278 Mtge","MTG_WAL")</f>
        <v>3.2524000000000002</v>
      </c>
      <c r="I3448" t="str">
        <f>_xll.BDP("FNDD8278 Mtge","MTG_ORIG_WAL")</f>
        <v>#N/A N/A</v>
      </c>
    </row>
    <row r="3449" spans="1:9" x14ac:dyDescent="0.25">
      <c r="A3449" t="str">
        <f>_xll.BDP("FNDD8279 Mtge","ID_CUSIP")</f>
        <v>3140B9FV6</v>
      </c>
      <c r="B3449" t="str">
        <f>_xll.BDP("FNDD8279 Mtge","SECURITY_NAME")</f>
        <v>FN DD8279</v>
      </c>
      <c r="C3449" t="str">
        <f>_xll.BDP("FNDD8279 Mtge","GENERIC_TICKER_VINTAGE")</f>
        <v>FNCL 6 2025</v>
      </c>
      <c r="D3449" t="str">
        <f>_xll.BDP("FNDD8279 Mtge","CRNCY")</f>
        <v>USD</v>
      </c>
      <c r="E3449">
        <v>3305099</v>
      </c>
      <c r="F3449">
        <f>_xll.BDP("FNDD8279 Mtge","CPN")</f>
        <v>6</v>
      </c>
      <c r="G3449">
        <f>_xll.BDP("FNDD8279 Mtge","MTG_FACTOR")</f>
        <v>0.90404912999999998</v>
      </c>
      <c r="H3449">
        <f>_xll.BDP("FNDD8279 Mtge","MTG_WAL")</f>
        <v>3.2130999999999998</v>
      </c>
      <c r="I3449" t="str">
        <f>_xll.BDP("FNDD8279 Mtge","MTG_ORIG_WAL")</f>
        <v>#N/A N/A</v>
      </c>
    </row>
    <row r="3450" spans="1:9" x14ac:dyDescent="0.25">
      <c r="A3450" t="str">
        <f>_xll.BDP("FNDD8280 Mtge","ID_CUSIP")</f>
        <v>3140B9FW4</v>
      </c>
      <c r="B3450" t="str">
        <f>_xll.BDP("FNDD8280 Mtge","SECURITY_NAME")</f>
        <v>FN DD8280</v>
      </c>
      <c r="C3450" t="str">
        <f>_xll.BDP("FNDD8280 Mtge","GENERIC_TICKER_VINTAGE")</f>
        <v>FNCL 6 2025</v>
      </c>
      <c r="D3450" t="str">
        <f>_xll.BDP("FNDD8280 Mtge","CRNCY")</f>
        <v>USD</v>
      </c>
      <c r="E3450">
        <v>6590359</v>
      </c>
      <c r="F3450">
        <f>_xll.BDP("FNDD8280 Mtge","CPN")</f>
        <v>6</v>
      </c>
      <c r="G3450">
        <f>_xll.BDP("FNDD8280 Mtge","MTG_FACTOR")</f>
        <v>0.86071454999999997</v>
      </c>
      <c r="H3450">
        <f>_xll.BDP("FNDD8280 Mtge","MTG_WAL")</f>
        <v>3.2361</v>
      </c>
      <c r="I3450" t="str">
        <f>_xll.BDP("FNDD8280 Mtge","MTG_ORIG_WAL")</f>
        <v>#N/A N/A</v>
      </c>
    </row>
    <row r="3451" spans="1:9" x14ac:dyDescent="0.25">
      <c r="A3451" t="str">
        <f>_xll.BDP("FNDD8281 Mtge","ID_CUSIP")</f>
        <v>3140B9FX2</v>
      </c>
      <c r="B3451" t="str">
        <f>_xll.BDP("FNDD8281 Mtge","SECURITY_NAME")</f>
        <v>FN DD8281</v>
      </c>
      <c r="C3451" t="str">
        <f>_xll.BDP("FNDD8281 Mtge","GENERIC_TICKER_VINTAGE")</f>
        <v>FNCL 6 2025</v>
      </c>
      <c r="D3451" t="str">
        <f>_xll.BDP("FNDD8281 Mtge","CRNCY")</f>
        <v>USD</v>
      </c>
      <c r="E3451">
        <v>5687302</v>
      </c>
      <c r="F3451">
        <f>_xll.BDP("FNDD8281 Mtge","CPN")</f>
        <v>6</v>
      </c>
      <c r="G3451">
        <f>_xll.BDP("FNDD8281 Mtge","MTG_FACTOR")</f>
        <v>0.89830783000000003</v>
      </c>
      <c r="H3451">
        <f>_xll.BDP("FNDD8281 Mtge","MTG_WAL")</f>
        <v>3.2477</v>
      </c>
      <c r="I3451" t="str">
        <f>_xll.BDP("FNDD8281 Mtge","MTG_ORIG_WAL")</f>
        <v>#N/A N/A</v>
      </c>
    </row>
    <row r="3452" spans="1:9" x14ac:dyDescent="0.25">
      <c r="A3452" t="str">
        <f>_xll.BDP("FNDD8282 Mtge","ID_CUSIP")</f>
        <v>3140B9FY0</v>
      </c>
      <c r="B3452" t="str">
        <f>_xll.BDP("FNDD8282 Mtge","SECURITY_NAME")</f>
        <v>FN DD8282</v>
      </c>
      <c r="C3452" t="str">
        <f>_xll.BDP("FNDD8282 Mtge","GENERIC_TICKER_VINTAGE")</f>
        <v>FNCL 6 2025</v>
      </c>
      <c r="D3452" t="str">
        <f>_xll.BDP("FNDD8282 Mtge","CRNCY")</f>
        <v>USD</v>
      </c>
      <c r="E3452">
        <v>10227618</v>
      </c>
      <c r="F3452">
        <f>_xll.BDP("FNDD8282 Mtge","CPN")</f>
        <v>6</v>
      </c>
      <c r="G3452">
        <f>_xll.BDP("FNDD8282 Mtge","MTG_FACTOR")</f>
        <v>0.85156175999999995</v>
      </c>
      <c r="H3452">
        <f>_xll.BDP("FNDD8282 Mtge","MTG_WAL")</f>
        <v>3.2479</v>
      </c>
      <c r="I3452" t="str">
        <f>_xll.BDP("FNDD8282 Mtge","MTG_ORIG_WAL")</f>
        <v>#N/A N/A</v>
      </c>
    </row>
    <row r="3453" spans="1:9" x14ac:dyDescent="0.25">
      <c r="A3453" t="str">
        <f>_xll.BDP("FNDD8283 Mtge","ID_CUSIP")</f>
        <v>3140B9FZ7</v>
      </c>
      <c r="B3453" t="str">
        <f>_xll.BDP("FNDD8283 Mtge","SECURITY_NAME")</f>
        <v>FN DD8283</v>
      </c>
      <c r="C3453" t="str">
        <f>_xll.BDP("FNDD8283 Mtge","GENERIC_TICKER_VINTAGE")</f>
        <v>FNCL 6 2025</v>
      </c>
      <c r="D3453" t="str">
        <f>_xll.BDP("FNDD8283 Mtge","CRNCY")</f>
        <v>USD</v>
      </c>
      <c r="E3453">
        <v>1768500</v>
      </c>
      <c r="F3453">
        <f>_xll.BDP("FNDD8283 Mtge","CPN")</f>
        <v>6</v>
      </c>
      <c r="G3453">
        <f>_xll.BDP("FNDD8283 Mtge","MTG_FACTOR")</f>
        <v>0.44319904999999998</v>
      </c>
      <c r="H3453">
        <f>_xll.BDP("FNDD8283 Mtge","MTG_WAL")</f>
        <v>3.2168999999999999</v>
      </c>
      <c r="I3453" t="str">
        <f>_xll.BDP("FNDD8283 Mtge","MTG_ORIG_WAL")</f>
        <v>#N/A N/A</v>
      </c>
    </row>
    <row r="3454" spans="1:9" x14ac:dyDescent="0.25">
      <c r="A3454" t="str">
        <f>_xll.BDP("FNDD8299 Mtge","ID_CUSIP")</f>
        <v>3140B9GH6</v>
      </c>
      <c r="B3454" t="str">
        <f>_xll.BDP("FNDD8299 Mtge","SECURITY_NAME")</f>
        <v>FN DD8299</v>
      </c>
      <c r="C3454" t="str">
        <f>_xll.BDP("FNDD8299 Mtge","GENERIC_TICKER_VINTAGE")</f>
        <v>FNCL 6 2025</v>
      </c>
      <c r="D3454" t="str">
        <f>_xll.BDP("FNDD8299 Mtge","CRNCY")</f>
        <v>USD</v>
      </c>
      <c r="E3454">
        <v>4345383</v>
      </c>
      <c r="F3454">
        <f>_xll.BDP("FNDD8299 Mtge","CPN")</f>
        <v>6</v>
      </c>
      <c r="G3454">
        <f>_xll.BDP("FNDD8299 Mtge","MTG_FACTOR")</f>
        <v>0.85955720000000002</v>
      </c>
      <c r="H3454">
        <f>_xll.BDP("FNDD8299 Mtge","MTG_WAL")</f>
        <v>3.2490999999999999</v>
      </c>
      <c r="I3454" t="str">
        <f>_xll.BDP("FNDD8299 Mtge","MTG_ORIG_WAL")</f>
        <v>#N/A N/A</v>
      </c>
    </row>
    <row r="3455" spans="1:9" x14ac:dyDescent="0.25">
      <c r="A3455" t="str">
        <f>_xll.BDP("FNDD8309 Mtge","ID_CUSIP")</f>
        <v>3140B9GT0</v>
      </c>
      <c r="B3455" t="str">
        <f>_xll.BDP("FNDD8309 Mtge","SECURITY_NAME")</f>
        <v>FN DD8309</v>
      </c>
      <c r="C3455" t="str">
        <f>_xll.BDP("FNDD8309 Mtge","GENERIC_TICKER_VINTAGE")</f>
        <v>FNCL 6 2025</v>
      </c>
      <c r="D3455" t="str">
        <f>_xll.BDP("FNDD8309 Mtge","CRNCY")</f>
        <v>USD</v>
      </c>
      <c r="E3455">
        <v>4030467</v>
      </c>
      <c r="F3455">
        <f>_xll.BDP("FNDD8309 Mtge","CPN")</f>
        <v>6</v>
      </c>
      <c r="G3455">
        <f>_xll.BDP("FNDD8309 Mtge","MTG_FACTOR")</f>
        <v>0.93795616999999998</v>
      </c>
      <c r="H3455">
        <f>_xll.BDP("FNDD8309 Mtge","MTG_WAL")</f>
        <v>3.2179000000000002</v>
      </c>
      <c r="I3455" t="str">
        <f>_xll.BDP("FNDD8309 Mtge","MTG_ORIG_WAL")</f>
        <v>#N/A N/A</v>
      </c>
    </row>
    <row r="3456" spans="1:9" x14ac:dyDescent="0.25">
      <c r="A3456" t="str">
        <f>_xll.BDP("FNDD8321 Mtge","ID_CUSIP")</f>
        <v>3140B9G78</v>
      </c>
      <c r="B3456" t="str">
        <f>_xll.BDP("FNDD8321 Mtge","SECURITY_NAME")</f>
        <v>FN DD8321</v>
      </c>
      <c r="C3456" t="str">
        <f>_xll.BDP("FNDD8321 Mtge","GENERIC_TICKER_VINTAGE")</f>
        <v>FNCL 6 2025</v>
      </c>
      <c r="D3456" t="str">
        <f>_xll.BDP("FNDD8321 Mtge","CRNCY")</f>
        <v>USD</v>
      </c>
      <c r="E3456">
        <v>1545739</v>
      </c>
      <c r="F3456">
        <f>_xll.BDP("FNDD8321 Mtge","CPN")</f>
        <v>6</v>
      </c>
      <c r="G3456">
        <f>_xll.BDP("FNDD8321 Mtge","MTG_FACTOR")</f>
        <v>0.98813218999999997</v>
      </c>
      <c r="H3456">
        <f>_xll.BDP("FNDD8321 Mtge","MTG_WAL")</f>
        <v>3.2414999999999998</v>
      </c>
      <c r="I3456" t="str">
        <f>_xll.BDP("FNDD8321 Mtge","MTG_ORIG_WAL")</f>
        <v>#N/A N/A</v>
      </c>
    </row>
    <row r="3457" spans="1:9" x14ac:dyDescent="0.25">
      <c r="A3457" t="str">
        <f>_xll.BDP("FNDD8322 Mtge","ID_CUSIP")</f>
        <v>3140B9G86</v>
      </c>
      <c r="B3457" t="str">
        <f>_xll.BDP("FNDD8322 Mtge","SECURITY_NAME")</f>
        <v>FN DD8322</v>
      </c>
      <c r="C3457" t="str">
        <f>_xll.BDP("FNDD8322 Mtge","GENERIC_TICKER_VINTAGE")</f>
        <v>FNCL 6 2025</v>
      </c>
      <c r="D3457" t="str">
        <f>_xll.BDP("FNDD8322 Mtge","CRNCY")</f>
        <v>USD</v>
      </c>
      <c r="E3457">
        <v>4199957</v>
      </c>
      <c r="F3457">
        <f>_xll.BDP("FNDD8322 Mtge","CPN")</f>
        <v>6</v>
      </c>
      <c r="G3457">
        <f>_xll.BDP("FNDD8322 Mtge","MTG_FACTOR")</f>
        <v>0.82579440000000004</v>
      </c>
      <c r="H3457">
        <f>_xll.BDP("FNDD8322 Mtge","MTG_WAL")</f>
        <v>3.2408000000000001</v>
      </c>
      <c r="I3457" t="str">
        <f>_xll.BDP("FNDD8322 Mtge","MTG_ORIG_WAL")</f>
        <v>#N/A N/A</v>
      </c>
    </row>
    <row r="3458" spans="1:9" x14ac:dyDescent="0.25">
      <c r="A3458" t="str">
        <f>_xll.BDP("FNDD8323 Mtge","ID_CUSIP")</f>
        <v>3140B9G94</v>
      </c>
      <c r="B3458" t="str">
        <f>_xll.BDP("FNDD8323 Mtge","SECURITY_NAME")</f>
        <v>FN DD8323</v>
      </c>
      <c r="C3458" t="str">
        <f>_xll.BDP("FNDD8323 Mtge","GENERIC_TICKER_VINTAGE")</f>
        <v>FNCL 6 2025</v>
      </c>
      <c r="D3458" t="str">
        <f>_xll.BDP("FNDD8323 Mtge","CRNCY")</f>
        <v>USD</v>
      </c>
      <c r="E3458">
        <v>3586670</v>
      </c>
      <c r="F3458">
        <f>_xll.BDP("FNDD8323 Mtge","CPN")</f>
        <v>6</v>
      </c>
      <c r="G3458">
        <f>_xll.BDP("FNDD8323 Mtge","MTG_FACTOR")</f>
        <v>0.91928323999999995</v>
      </c>
      <c r="H3458">
        <f>_xll.BDP("FNDD8323 Mtge","MTG_WAL")</f>
        <v>3.2397</v>
      </c>
      <c r="I3458" t="str">
        <f>_xll.BDP("FNDD8323 Mtge","MTG_ORIG_WAL")</f>
        <v>#N/A N/A</v>
      </c>
    </row>
    <row r="3459" spans="1:9" x14ac:dyDescent="0.25">
      <c r="A3459" t="str">
        <f>_xll.BDP("FNDD8328 Mtge","ID_CUSIP")</f>
        <v>3140B9HE2</v>
      </c>
      <c r="B3459" t="str">
        <f>_xll.BDP("FNDD8328 Mtge","SECURITY_NAME")</f>
        <v>FN DD8328</v>
      </c>
      <c r="C3459" t="str">
        <f>_xll.BDP("FNDD8328 Mtge","GENERIC_TICKER_VINTAGE")</f>
        <v>FNCL 6 2025</v>
      </c>
      <c r="D3459" t="str">
        <f>_xll.BDP("FNDD8328 Mtge","CRNCY")</f>
        <v>USD</v>
      </c>
      <c r="E3459">
        <v>2296620</v>
      </c>
      <c r="F3459">
        <f>_xll.BDP("FNDD8328 Mtge","CPN")</f>
        <v>6</v>
      </c>
      <c r="G3459">
        <f>_xll.BDP("FNDD8328 Mtge","MTG_FACTOR")</f>
        <v>0.99047576999999998</v>
      </c>
      <c r="H3459">
        <f>_xll.BDP("FNDD8328 Mtge","MTG_WAL")</f>
        <v>3.2482000000000002</v>
      </c>
      <c r="I3459" t="str">
        <f>_xll.BDP("FNDD8328 Mtge","MTG_ORIG_WAL")</f>
        <v>#N/A N/A</v>
      </c>
    </row>
    <row r="3460" spans="1:9" x14ac:dyDescent="0.25">
      <c r="A3460" t="str">
        <f>_xll.BDP("FNDD8329 Mtge","ID_CUSIP")</f>
        <v>3140B9HF9</v>
      </c>
      <c r="B3460" t="str">
        <f>_xll.BDP("FNDD8329 Mtge","SECURITY_NAME")</f>
        <v>FN DD8329</v>
      </c>
      <c r="C3460" t="str">
        <f>_xll.BDP("FNDD8329 Mtge","GENERIC_TICKER_VINTAGE")</f>
        <v>FNCL 6 2025</v>
      </c>
      <c r="D3460" t="str">
        <f>_xll.BDP("FNDD8329 Mtge","CRNCY")</f>
        <v>USD</v>
      </c>
      <c r="E3460">
        <v>2048950</v>
      </c>
      <c r="F3460">
        <f>_xll.BDP("FNDD8329 Mtge","CPN")</f>
        <v>6</v>
      </c>
      <c r="G3460">
        <f>_xll.BDP("FNDD8329 Mtge","MTG_FACTOR")</f>
        <v>0.83501495000000003</v>
      </c>
      <c r="H3460">
        <f>_xll.BDP("FNDD8329 Mtge","MTG_WAL")</f>
        <v>3.2456</v>
      </c>
      <c r="I3460" t="str">
        <f>_xll.BDP("FNDD8329 Mtge","MTG_ORIG_WAL")</f>
        <v>#N/A N/A</v>
      </c>
    </row>
    <row r="3461" spans="1:9" x14ac:dyDescent="0.25">
      <c r="A3461" t="str">
        <f>_xll.BDP("FNDD8351 Mtge","ID_CUSIP")</f>
        <v>3140B9H51</v>
      </c>
      <c r="B3461" t="str">
        <f>_xll.BDP("FNDD8351 Mtge","SECURITY_NAME")</f>
        <v>FN DD8351</v>
      </c>
      <c r="C3461" t="str">
        <f>_xll.BDP("FNDD8351 Mtge","GENERIC_TICKER_VINTAGE")</f>
        <v>FNCL 6 2025</v>
      </c>
      <c r="D3461" t="str">
        <f>_xll.BDP("FNDD8351 Mtge","CRNCY")</f>
        <v>USD</v>
      </c>
      <c r="E3461">
        <v>7429388</v>
      </c>
      <c r="F3461">
        <f>_xll.BDP("FNDD8351 Mtge","CPN")</f>
        <v>6</v>
      </c>
      <c r="G3461">
        <f>_xll.BDP("FNDD8351 Mtge","MTG_FACTOR")</f>
        <v>0.98231729999999995</v>
      </c>
      <c r="H3461">
        <f>_xll.BDP("FNDD8351 Mtge","MTG_WAL")</f>
        <v>3.29</v>
      </c>
      <c r="I3461" t="str">
        <f>_xll.BDP("FNDD8351 Mtge","MTG_ORIG_WAL")</f>
        <v>#N/A N/A</v>
      </c>
    </row>
    <row r="3462" spans="1:9" x14ac:dyDescent="0.25">
      <c r="A3462" t="str">
        <f>_xll.BDP("FNDD8354 Mtge","ID_CUSIP")</f>
        <v>3140B9H85</v>
      </c>
      <c r="B3462" t="str">
        <f>_xll.BDP("FNDD8354 Mtge","SECURITY_NAME")</f>
        <v>FN DD8354</v>
      </c>
      <c r="C3462" t="str">
        <f>_xll.BDP("FNDD8354 Mtge","GENERIC_TICKER_VINTAGE")</f>
        <v>FNCL 6 2025</v>
      </c>
      <c r="D3462" t="str">
        <f>_xll.BDP("FNDD8354 Mtge","CRNCY")</f>
        <v>USD</v>
      </c>
      <c r="E3462">
        <v>19513350</v>
      </c>
      <c r="F3462">
        <f>_xll.BDP("FNDD8354 Mtge","CPN")</f>
        <v>6</v>
      </c>
      <c r="G3462">
        <f>_xll.BDP("FNDD8354 Mtge","MTG_FACTOR")</f>
        <v>0.90612378000000005</v>
      </c>
      <c r="H3462">
        <f>_xll.BDP("FNDD8354 Mtge","MTG_WAL")</f>
        <v>3.2953999999999999</v>
      </c>
      <c r="I3462" t="str">
        <f>_xll.BDP("FNDD8354 Mtge","MTG_ORIG_WAL")</f>
        <v>#N/A N/A</v>
      </c>
    </row>
    <row r="3463" spans="1:9" x14ac:dyDescent="0.25">
      <c r="A3463" t="str">
        <f>_xll.BDP("FNDD8381 Mtge","ID_CUSIP")</f>
        <v>3140B9J34</v>
      </c>
      <c r="B3463" t="str">
        <f>_xll.BDP("FNDD8381 Mtge","SECURITY_NAME")</f>
        <v>FN DD8381</v>
      </c>
      <c r="C3463" t="str">
        <f>_xll.BDP("FNDD8381 Mtge","GENERIC_TICKER_VINTAGE")</f>
        <v>FNCL 6 2025</v>
      </c>
      <c r="D3463" t="str">
        <f>_xll.BDP("FNDD8381 Mtge","CRNCY")</f>
        <v>USD</v>
      </c>
      <c r="E3463">
        <v>5146864</v>
      </c>
      <c r="F3463">
        <f>_xll.BDP("FNDD8381 Mtge","CPN")</f>
        <v>6</v>
      </c>
      <c r="G3463">
        <f>_xll.BDP("FNDD8381 Mtge","MTG_FACTOR")</f>
        <v>0.89644557000000002</v>
      </c>
      <c r="H3463">
        <f>_xll.BDP("FNDD8381 Mtge","MTG_WAL")</f>
        <v>3.2835999999999999</v>
      </c>
      <c r="I3463" t="str">
        <f>_xll.BDP("FNDD8381 Mtge","MTG_ORIG_WAL")</f>
        <v>#N/A N/A</v>
      </c>
    </row>
    <row r="3464" spans="1:9" x14ac:dyDescent="0.25">
      <c r="A3464" t="str">
        <f>_xll.BDP("FNDD8385 Mtge","ID_CUSIP")</f>
        <v>3140B9J75</v>
      </c>
      <c r="B3464" t="str">
        <f>_xll.BDP("FNDD8385 Mtge","SECURITY_NAME")</f>
        <v>FN DD8385</v>
      </c>
      <c r="C3464" t="str">
        <f>_xll.BDP("FNDD8385 Mtge","GENERIC_TICKER_VINTAGE")</f>
        <v>FNCL 6 2025</v>
      </c>
      <c r="D3464" t="str">
        <f>_xll.BDP("FNDD8385 Mtge","CRNCY")</f>
        <v>USD</v>
      </c>
      <c r="E3464">
        <v>19862445</v>
      </c>
      <c r="F3464">
        <f>_xll.BDP("FNDD8385 Mtge","CPN")</f>
        <v>6</v>
      </c>
      <c r="G3464">
        <f>_xll.BDP("FNDD8385 Mtge","MTG_FACTOR")</f>
        <v>0.92203383000000005</v>
      </c>
      <c r="H3464">
        <f>_xll.BDP("FNDD8385 Mtge","MTG_WAL")</f>
        <v>3.2808999999999999</v>
      </c>
      <c r="I3464" t="str">
        <f>_xll.BDP("FNDD8385 Mtge","MTG_ORIG_WAL")</f>
        <v>#N/A N/A</v>
      </c>
    </row>
    <row r="3465" spans="1:9" x14ac:dyDescent="0.25">
      <c r="A3465" t="str">
        <f>_xll.BDP("FNDD8387 Mtge","ID_CUSIP")</f>
        <v>3140B9J91</v>
      </c>
      <c r="B3465" t="str">
        <f>_xll.BDP("FNDD8387 Mtge","SECURITY_NAME")</f>
        <v>FN DD8387</v>
      </c>
      <c r="C3465" t="str">
        <f>_xll.BDP("FNDD8387 Mtge","GENERIC_TICKER_VINTAGE")</f>
        <v>FNCL 6 2025</v>
      </c>
      <c r="D3465" t="str">
        <f>_xll.BDP("FNDD8387 Mtge","CRNCY")</f>
        <v>USD</v>
      </c>
      <c r="E3465">
        <v>16671349</v>
      </c>
      <c r="F3465">
        <f>_xll.BDP("FNDD8387 Mtge","CPN")</f>
        <v>6</v>
      </c>
      <c r="G3465">
        <f>_xll.BDP("FNDD8387 Mtge","MTG_FACTOR")</f>
        <v>0.95420804999999997</v>
      </c>
      <c r="H3465">
        <f>_xll.BDP("FNDD8387 Mtge","MTG_WAL")</f>
        <v>3.2875999999999999</v>
      </c>
      <c r="I3465" t="str">
        <f>_xll.BDP("FNDD8387 Mtge","MTG_ORIG_WAL")</f>
        <v>#N/A N/A</v>
      </c>
    </row>
    <row r="3466" spans="1:9" x14ac:dyDescent="0.25">
      <c r="A3466" t="str">
        <f>_xll.BDP("FNDD8388 Mtge","ID_CUSIP")</f>
        <v>3140B9KA6</v>
      </c>
      <c r="B3466" t="str">
        <f>_xll.BDP("FNDD8388 Mtge","SECURITY_NAME")</f>
        <v>FN DD8388</v>
      </c>
      <c r="C3466" t="str">
        <f>_xll.BDP("FNDD8388 Mtge","GENERIC_TICKER_VINTAGE")</f>
        <v>FNCL 6 2025</v>
      </c>
      <c r="D3466" t="str">
        <f>_xll.BDP("FNDD8388 Mtge","CRNCY")</f>
        <v>USD</v>
      </c>
      <c r="E3466">
        <v>19411518</v>
      </c>
      <c r="F3466">
        <f>_xll.BDP("FNDD8388 Mtge","CPN")</f>
        <v>6</v>
      </c>
      <c r="G3466">
        <f>_xll.BDP("FNDD8388 Mtge","MTG_FACTOR")</f>
        <v>0.91247011</v>
      </c>
      <c r="H3466">
        <f>_xll.BDP("FNDD8388 Mtge","MTG_WAL")</f>
        <v>3.2858999999999998</v>
      </c>
      <c r="I3466" t="str">
        <f>_xll.BDP("FNDD8388 Mtge","MTG_ORIG_WAL")</f>
        <v>#N/A N/A</v>
      </c>
    </row>
    <row r="3467" spans="1:9" x14ac:dyDescent="0.25">
      <c r="A3467" t="str">
        <f>_xll.BDP("FNDD8390 Mtge","ID_CUSIP")</f>
        <v>3140B9KC2</v>
      </c>
      <c r="B3467" t="str">
        <f>_xll.BDP("FNDD8390 Mtge","SECURITY_NAME")</f>
        <v>FN DD8390</v>
      </c>
      <c r="C3467" t="str">
        <f>_xll.BDP("FNDD8390 Mtge","GENERIC_TICKER_VINTAGE")</f>
        <v>FNCL 6 2025</v>
      </c>
      <c r="D3467" t="str">
        <f>_xll.BDP("FNDD8390 Mtge","CRNCY")</f>
        <v>USD</v>
      </c>
      <c r="E3467">
        <v>7938350</v>
      </c>
      <c r="F3467">
        <f>_xll.BDP("FNDD8390 Mtge","CPN")</f>
        <v>6</v>
      </c>
      <c r="G3467">
        <f>_xll.BDP("FNDD8390 Mtge","MTG_FACTOR")</f>
        <v>0.97737529999999995</v>
      </c>
      <c r="H3467">
        <f>_xll.BDP("FNDD8390 Mtge","MTG_WAL")</f>
        <v>3.286</v>
      </c>
      <c r="I3467" t="str">
        <f>_xll.BDP("FNDD8390 Mtge","MTG_ORIG_WAL")</f>
        <v>#N/A N/A</v>
      </c>
    </row>
    <row r="3468" spans="1:9" x14ac:dyDescent="0.25">
      <c r="A3468" t="str">
        <f>_xll.BDP("FNDD8392 Mtge","ID_CUSIP")</f>
        <v>3140B9KE8</v>
      </c>
      <c r="B3468" t="str">
        <f>_xll.BDP("FNDD8392 Mtge","SECURITY_NAME")</f>
        <v>FN DD8392</v>
      </c>
      <c r="C3468" t="str">
        <f>_xll.BDP("FNDD8392 Mtge","GENERIC_TICKER_VINTAGE")</f>
        <v>FNCL 6 2025</v>
      </c>
      <c r="D3468" t="str">
        <f>_xll.BDP("FNDD8392 Mtge","CRNCY")</f>
        <v>USD</v>
      </c>
      <c r="E3468">
        <v>80649759</v>
      </c>
      <c r="F3468">
        <f>_xll.BDP("FNDD8392 Mtge","CPN")</f>
        <v>6</v>
      </c>
      <c r="G3468">
        <f>_xll.BDP("FNDD8392 Mtge","MTG_FACTOR")</f>
        <v>0.79559999999999997</v>
      </c>
      <c r="H3468">
        <f>_xll.BDP("FNDD8392 Mtge","MTG_WAL")</f>
        <v>3.2888999999999999</v>
      </c>
      <c r="I3468" t="str">
        <f>_xll.BDP("FNDD8392 Mtge","MTG_ORIG_WAL")</f>
        <v>#N/A N/A</v>
      </c>
    </row>
    <row r="3469" spans="1:9" x14ac:dyDescent="0.25">
      <c r="A3469" t="str">
        <f>_xll.BDP("FNDD8443 Mtge","ID_CUSIP")</f>
        <v>3140B9LZ0</v>
      </c>
      <c r="B3469" t="str">
        <f>_xll.BDP("FNDD8443 Mtge","SECURITY_NAME")</f>
        <v>FN DD8443</v>
      </c>
      <c r="C3469" t="str">
        <f>_xll.BDP("FNDD8443 Mtge","GENERIC_TICKER_VINTAGE")</f>
        <v>FNCL 6 2025</v>
      </c>
      <c r="D3469" t="str">
        <f>_xll.BDP("FNDD8443 Mtge","CRNCY")</f>
        <v>USD</v>
      </c>
      <c r="E3469">
        <v>1425137</v>
      </c>
      <c r="F3469">
        <f>_xll.BDP("FNDD8443 Mtge","CPN")</f>
        <v>6</v>
      </c>
      <c r="G3469">
        <f>_xll.BDP("FNDD8443 Mtge","MTG_FACTOR")</f>
        <v>0.98964302000000004</v>
      </c>
      <c r="H3469">
        <f>_xll.BDP("FNDD8443 Mtge","MTG_WAL")</f>
        <v>3.2469000000000001</v>
      </c>
      <c r="I3469" t="str">
        <f>_xll.BDP("FNDD8443 Mtge","MTG_ORIG_WAL")</f>
        <v>#N/A N/A</v>
      </c>
    </row>
    <row r="3470" spans="1:9" x14ac:dyDescent="0.25">
      <c r="A3470" t="str">
        <f>_xll.BDP("FNDD8444 Mtge","ID_CUSIP")</f>
        <v>3140B9L23</v>
      </c>
      <c r="B3470" t="str">
        <f>_xll.BDP("FNDD8444 Mtge","SECURITY_NAME")</f>
        <v>FN DD8444</v>
      </c>
      <c r="C3470" t="str">
        <f>_xll.BDP("FNDD8444 Mtge","GENERIC_TICKER_VINTAGE")</f>
        <v>FNCL 6 2025</v>
      </c>
      <c r="D3470" t="str">
        <f>_xll.BDP("FNDD8444 Mtge","CRNCY")</f>
        <v>USD</v>
      </c>
      <c r="E3470">
        <v>1482151</v>
      </c>
      <c r="F3470">
        <f>_xll.BDP("FNDD8444 Mtge","CPN")</f>
        <v>6</v>
      </c>
      <c r="G3470">
        <f>_xll.BDP("FNDD8444 Mtge","MTG_FACTOR")</f>
        <v>0.75212999000000003</v>
      </c>
      <c r="H3470">
        <f>_xll.BDP("FNDD8444 Mtge","MTG_WAL")</f>
        <v>3.2463000000000002</v>
      </c>
      <c r="I3470" t="str">
        <f>_xll.BDP("FNDD8444 Mtge","MTG_ORIG_WAL")</f>
        <v>#N/A N/A</v>
      </c>
    </row>
    <row r="3471" spans="1:9" x14ac:dyDescent="0.25">
      <c r="A3471" t="str">
        <f>_xll.BDP("FNDD8446 Mtge","ID_CUSIP")</f>
        <v>3140B9L49</v>
      </c>
      <c r="B3471" t="str">
        <f>_xll.BDP("FNDD8446 Mtge","SECURITY_NAME")</f>
        <v>FN DD8446</v>
      </c>
      <c r="C3471" t="str">
        <f>_xll.BDP("FNDD8446 Mtge","GENERIC_TICKER_VINTAGE")</f>
        <v>FNCL 6 2025</v>
      </c>
      <c r="D3471" t="str">
        <f>_xll.BDP("FNDD8446 Mtge","CRNCY")</f>
        <v>USD</v>
      </c>
      <c r="E3471">
        <v>1001800</v>
      </c>
      <c r="F3471">
        <f>_xll.BDP("FNDD8446 Mtge","CPN")</f>
        <v>6</v>
      </c>
      <c r="G3471">
        <f>_xll.BDP("FNDD8446 Mtge","MTG_FACTOR")</f>
        <v>0.99059744999999999</v>
      </c>
      <c r="H3471">
        <f>_xll.BDP("FNDD8446 Mtge","MTG_WAL")</f>
        <v>3.2494999999999998</v>
      </c>
      <c r="I3471" t="str">
        <f>_xll.BDP("FNDD8446 Mtge","MTG_ORIG_WAL")</f>
        <v>#N/A N/A</v>
      </c>
    </row>
    <row r="3472" spans="1:9" x14ac:dyDescent="0.25">
      <c r="A3472" t="str">
        <f>_xll.BDP("FNDD8461 Mtge","ID_CUSIP")</f>
        <v>3140B9MK2</v>
      </c>
      <c r="B3472" t="str">
        <f>_xll.BDP("FNDD8461 Mtge","SECURITY_NAME")</f>
        <v>FN DD8461</v>
      </c>
      <c r="C3472" t="str">
        <f>_xll.BDP("FNDD8461 Mtge","GENERIC_TICKER_VINTAGE")</f>
        <v>FNCL 6 2025</v>
      </c>
      <c r="D3472" t="str">
        <f>_xll.BDP("FNDD8461 Mtge","CRNCY")</f>
        <v>USD</v>
      </c>
      <c r="E3472">
        <v>1230075</v>
      </c>
      <c r="F3472">
        <f>_xll.BDP("FNDD8461 Mtge","CPN")</f>
        <v>6</v>
      </c>
      <c r="G3472">
        <f>_xll.BDP("FNDD8461 Mtge","MTG_FACTOR")</f>
        <v>0.82256739999999995</v>
      </c>
      <c r="H3472">
        <f>_xll.BDP("FNDD8461 Mtge","MTG_WAL")</f>
        <v>3.1524000000000001</v>
      </c>
      <c r="I3472" t="str">
        <f>_xll.BDP("FNDD8461 Mtge","MTG_ORIG_WAL")</f>
        <v>#N/A N/A</v>
      </c>
    </row>
    <row r="3473" spans="1:9" x14ac:dyDescent="0.25">
      <c r="A3473" t="str">
        <f>_xll.BDP("FNDD8497 Mtge","ID_CUSIP")</f>
        <v>3140B9NP0</v>
      </c>
      <c r="B3473" t="str">
        <f>_xll.BDP("FNDD8497 Mtge","SECURITY_NAME")</f>
        <v>FN DD8497</v>
      </c>
      <c r="C3473" t="str">
        <f>_xll.BDP("FNDD8497 Mtge","GENERIC_TICKER_VINTAGE")</f>
        <v>FNCL 6 2025</v>
      </c>
      <c r="D3473" t="str">
        <f>_xll.BDP("FNDD8497 Mtge","CRNCY")</f>
        <v>USD</v>
      </c>
      <c r="E3473">
        <v>9087270</v>
      </c>
      <c r="F3473">
        <f>_xll.BDP("FNDD8497 Mtge","CPN")</f>
        <v>6</v>
      </c>
      <c r="G3473">
        <f>_xll.BDP("FNDD8497 Mtge","MTG_FACTOR")</f>
        <v>0.87586706000000003</v>
      </c>
      <c r="H3473">
        <f>_xll.BDP("FNDD8497 Mtge","MTG_WAL")</f>
        <v>3.2193999999999998</v>
      </c>
      <c r="I3473" t="str">
        <f>_xll.BDP("FNDD8497 Mtge","MTG_ORIG_WAL")</f>
        <v>#N/A N/A</v>
      </c>
    </row>
    <row r="3474" spans="1:9" x14ac:dyDescent="0.25">
      <c r="A3474" t="str">
        <f>_xll.BDP("FNDD8499 Mtge","ID_CUSIP")</f>
        <v>3140B9NR6</v>
      </c>
      <c r="B3474" t="str">
        <f>_xll.BDP("FNDD8499 Mtge","SECURITY_NAME")</f>
        <v>FN DD8499</v>
      </c>
      <c r="C3474" t="str">
        <f>_xll.BDP("FNDD8499 Mtge","GENERIC_TICKER_VINTAGE")</f>
        <v>FNCL 6 2025</v>
      </c>
      <c r="D3474" t="str">
        <f>_xll.BDP("FNDD8499 Mtge","CRNCY")</f>
        <v>USD</v>
      </c>
      <c r="E3474">
        <v>1613962</v>
      </c>
      <c r="F3474">
        <f>_xll.BDP("FNDD8499 Mtge","CPN")</f>
        <v>6</v>
      </c>
      <c r="G3474">
        <f>_xll.BDP("FNDD8499 Mtge","MTG_FACTOR")</f>
        <v>0.74187055000000002</v>
      </c>
      <c r="H3474">
        <f>_xll.BDP("FNDD8499 Mtge","MTG_WAL")</f>
        <v>3.2934000000000001</v>
      </c>
      <c r="I3474" t="str">
        <f>_xll.BDP("FNDD8499 Mtge","MTG_ORIG_WAL")</f>
        <v>#N/A N/A</v>
      </c>
    </row>
    <row r="3475" spans="1:9" x14ac:dyDescent="0.25">
      <c r="A3475" t="str">
        <f>_xll.BDP("FNDD8500 Mtge","ID_CUSIP")</f>
        <v>3140B9NS4</v>
      </c>
      <c r="B3475" t="str">
        <f>_xll.BDP("FNDD8500 Mtge","SECURITY_NAME")</f>
        <v>FN DD8500</v>
      </c>
      <c r="C3475" t="str">
        <f>_xll.BDP("FNDD8500 Mtge","GENERIC_TICKER_VINTAGE")</f>
        <v>FNCL 6 2025</v>
      </c>
      <c r="D3475" t="str">
        <f>_xll.BDP("FNDD8500 Mtge","CRNCY")</f>
        <v>USD</v>
      </c>
      <c r="E3475">
        <v>30700859</v>
      </c>
      <c r="F3475">
        <f>_xll.BDP("FNDD8500 Mtge","CPN")</f>
        <v>6</v>
      </c>
      <c r="G3475">
        <f>_xll.BDP("FNDD8500 Mtge","MTG_FACTOR")</f>
        <v>0.86111367999999999</v>
      </c>
      <c r="H3475">
        <f>_xll.BDP("FNDD8500 Mtge","MTG_WAL")</f>
        <v>3.2938000000000001</v>
      </c>
      <c r="I3475" t="str">
        <f>_xll.BDP("FNDD8500 Mtge","MTG_ORIG_WAL")</f>
        <v>#N/A N/A</v>
      </c>
    </row>
    <row r="3476" spans="1:9" x14ac:dyDescent="0.25">
      <c r="A3476" t="str">
        <f>_xll.BDP("FNDD8501 Mtge","ID_CUSIP")</f>
        <v>3140B9NT2</v>
      </c>
      <c r="B3476" t="str">
        <f>_xll.BDP("FNDD8501 Mtge","SECURITY_NAME")</f>
        <v>FN DD8501</v>
      </c>
      <c r="C3476" t="str">
        <f>_xll.BDP("FNDD8501 Mtge","GENERIC_TICKER_VINTAGE")</f>
        <v>FNCL 6 2025</v>
      </c>
      <c r="D3476" t="str">
        <f>_xll.BDP("FNDD8501 Mtge","CRNCY")</f>
        <v>USD</v>
      </c>
      <c r="E3476">
        <v>5149603</v>
      </c>
      <c r="F3476">
        <f>_xll.BDP("FNDD8501 Mtge","CPN")</f>
        <v>6</v>
      </c>
      <c r="G3476">
        <f>_xll.BDP("FNDD8501 Mtge","MTG_FACTOR")</f>
        <v>0.99133579000000005</v>
      </c>
      <c r="H3476">
        <f>_xll.BDP("FNDD8501 Mtge","MTG_WAL")</f>
        <v>3.2949999999999999</v>
      </c>
      <c r="I3476" t="str">
        <f>_xll.BDP("FNDD8501 Mtge","MTG_ORIG_WAL")</f>
        <v>#N/A N/A</v>
      </c>
    </row>
    <row r="3477" spans="1:9" x14ac:dyDescent="0.25">
      <c r="A3477" t="str">
        <f>_xll.BDP("FNDD8503 Mtge","ID_CUSIP")</f>
        <v>3140B9NV7</v>
      </c>
      <c r="B3477" t="str">
        <f>_xll.BDP("FNDD8503 Mtge","SECURITY_NAME")</f>
        <v>FN DD8503</v>
      </c>
      <c r="C3477" t="str">
        <f>_xll.BDP("FNDD8503 Mtge","GENERIC_TICKER_VINTAGE")</f>
        <v>FNCL 6 2025</v>
      </c>
      <c r="D3477" t="str">
        <f>_xll.BDP("FNDD8503 Mtge","CRNCY")</f>
        <v>USD</v>
      </c>
      <c r="E3477">
        <v>130999713</v>
      </c>
      <c r="F3477">
        <f>_xll.BDP("FNDD8503 Mtge","CPN")</f>
        <v>6</v>
      </c>
      <c r="G3477">
        <f>_xll.BDP("FNDD8503 Mtge","MTG_FACTOR")</f>
        <v>0.88461023999999999</v>
      </c>
      <c r="H3477">
        <f>_xll.BDP("FNDD8503 Mtge","MTG_WAL")</f>
        <v>3.2924000000000002</v>
      </c>
      <c r="I3477" t="str">
        <f>_xll.BDP("FNDD8503 Mtge","MTG_ORIG_WAL")</f>
        <v>#N/A N/A</v>
      </c>
    </row>
    <row r="3478" spans="1:9" x14ac:dyDescent="0.25">
      <c r="A3478" t="str">
        <f>_xll.BDP("FNDD8504 Mtge","ID_CUSIP")</f>
        <v>3140B9NW5</v>
      </c>
      <c r="B3478" t="str">
        <f>_xll.BDP("FNDD8504 Mtge","SECURITY_NAME")</f>
        <v>FN DD8504</v>
      </c>
      <c r="C3478" t="str">
        <f>_xll.BDP("FNDD8504 Mtge","GENERIC_TICKER_VINTAGE")</f>
        <v>FNCL 6 2025</v>
      </c>
      <c r="D3478" t="str">
        <f>_xll.BDP("FNDD8504 Mtge","CRNCY")</f>
        <v>USD</v>
      </c>
      <c r="E3478">
        <v>12595633</v>
      </c>
      <c r="F3478">
        <f>_xll.BDP("FNDD8504 Mtge","CPN")</f>
        <v>6</v>
      </c>
      <c r="G3478">
        <f>_xll.BDP("FNDD8504 Mtge","MTG_FACTOR")</f>
        <v>0.90595281000000005</v>
      </c>
      <c r="H3478">
        <f>_xll.BDP("FNDD8504 Mtge","MTG_WAL")</f>
        <v>3.2852000000000001</v>
      </c>
      <c r="I3478" t="str">
        <f>_xll.BDP("FNDD8504 Mtge","MTG_ORIG_WAL")</f>
        <v>#N/A N/A</v>
      </c>
    </row>
    <row r="3479" spans="1:9" x14ac:dyDescent="0.25">
      <c r="A3479" t="str">
        <f>_xll.BDP("FNDD8505 Mtge","ID_CUSIP")</f>
        <v>3140B9NX3</v>
      </c>
      <c r="B3479" t="str">
        <f>_xll.BDP("FNDD8505 Mtge","SECURITY_NAME")</f>
        <v>FN DD8505</v>
      </c>
      <c r="C3479" t="str">
        <f>_xll.BDP("FNDD8505 Mtge","GENERIC_TICKER_VINTAGE")</f>
        <v>FNCL 6 2025</v>
      </c>
      <c r="D3479" t="str">
        <f>_xll.BDP("FNDD8505 Mtge","CRNCY")</f>
        <v>USD</v>
      </c>
      <c r="E3479">
        <v>9927744</v>
      </c>
      <c r="F3479">
        <f>_xll.BDP("FNDD8505 Mtge","CPN")</f>
        <v>6</v>
      </c>
      <c r="G3479">
        <f>_xll.BDP("FNDD8505 Mtge","MTG_FACTOR")</f>
        <v>0.94250893999999996</v>
      </c>
      <c r="H3479">
        <f>_xll.BDP("FNDD8505 Mtge","MTG_WAL")</f>
        <v>3.2480000000000002</v>
      </c>
      <c r="I3479" t="str">
        <f>_xll.BDP("FNDD8505 Mtge","MTG_ORIG_WAL")</f>
        <v>#N/A N/A</v>
      </c>
    </row>
    <row r="3480" spans="1:9" x14ac:dyDescent="0.25">
      <c r="A3480" t="str">
        <f>_xll.BDP("FNDD8510 Mtge","ID_CUSIP")</f>
        <v>3140B9N47</v>
      </c>
      <c r="B3480" t="str">
        <f>_xll.BDP("FNDD8510 Mtge","SECURITY_NAME")</f>
        <v>FN DD8510</v>
      </c>
      <c r="C3480" t="str">
        <f>_xll.BDP("FNDD8510 Mtge","GENERIC_TICKER_VINTAGE")</f>
        <v>FNCL 6 2025</v>
      </c>
      <c r="D3480" t="str">
        <f>_xll.BDP("FNDD8510 Mtge","CRNCY")</f>
        <v>USD</v>
      </c>
      <c r="E3480">
        <v>8939717</v>
      </c>
      <c r="F3480">
        <f>_xll.BDP("FNDD8510 Mtge","CPN")</f>
        <v>6</v>
      </c>
      <c r="G3480">
        <f>_xll.BDP("FNDD8510 Mtge","MTG_FACTOR")</f>
        <v>0.88062602000000001</v>
      </c>
      <c r="H3480">
        <f>_xll.BDP("FNDD8510 Mtge","MTG_WAL")</f>
        <v>3.2932000000000001</v>
      </c>
      <c r="I3480" t="str">
        <f>_xll.BDP("FNDD8510 Mtge","MTG_ORIG_WAL")</f>
        <v>#N/A N/A</v>
      </c>
    </row>
    <row r="3481" spans="1:9" x14ac:dyDescent="0.25">
      <c r="A3481" t="str">
        <f>_xll.BDP("FNDD8532 Mtge","ID_CUSIP")</f>
        <v>3140B9PS2</v>
      </c>
      <c r="B3481" t="str">
        <f>_xll.BDP("FNDD8532 Mtge","SECURITY_NAME")</f>
        <v>FN DD8532</v>
      </c>
      <c r="C3481" t="str">
        <f>_xll.BDP("FNDD8532 Mtge","GENERIC_TICKER_VINTAGE")</f>
        <v>FNCL 6 2025</v>
      </c>
      <c r="D3481" t="str">
        <f>_xll.BDP("FNDD8532 Mtge","CRNCY")</f>
        <v>USD</v>
      </c>
      <c r="E3481">
        <v>1492680</v>
      </c>
      <c r="F3481">
        <f>_xll.BDP("FNDD8532 Mtge","CPN")</f>
        <v>6</v>
      </c>
      <c r="G3481">
        <f>_xll.BDP("FNDD8532 Mtge","MTG_FACTOR")</f>
        <v>0.98499678000000002</v>
      </c>
      <c r="H3481">
        <f>_xll.BDP("FNDD8532 Mtge","MTG_WAL")</f>
        <v>3.2892000000000001</v>
      </c>
      <c r="I3481" t="str">
        <f>_xll.BDP("FNDD8532 Mtge","MTG_ORIG_WAL")</f>
        <v>#N/A N/A</v>
      </c>
    </row>
    <row r="3482" spans="1:9" x14ac:dyDescent="0.25">
      <c r="A3482" t="str">
        <f>_xll.BDP("FNDD8533 Mtge","ID_CUSIP")</f>
        <v>3140B9PT0</v>
      </c>
      <c r="B3482" t="str">
        <f>_xll.BDP("FNDD8533 Mtge","SECURITY_NAME")</f>
        <v>FN DD8533</v>
      </c>
      <c r="C3482" t="str">
        <f>_xll.BDP("FNDD8533 Mtge","GENERIC_TICKER_VINTAGE")</f>
        <v>FNCL 6 2025</v>
      </c>
      <c r="D3482" t="str">
        <f>_xll.BDP("FNDD8533 Mtge","CRNCY")</f>
        <v>USD</v>
      </c>
      <c r="E3482">
        <v>1125886</v>
      </c>
      <c r="F3482">
        <f>_xll.BDP("FNDD8533 Mtge","CPN")</f>
        <v>6</v>
      </c>
      <c r="G3482">
        <f>_xll.BDP("FNDD8533 Mtge","MTG_FACTOR")</f>
        <v>0.98178392000000003</v>
      </c>
      <c r="H3482">
        <f>_xll.BDP("FNDD8533 Mtge","MTG_WAL")</f>
        <v>3.2865000000000002</v>
      </c>
      <c r="I3482" t="str">
        <f>_xll.BDP("FNDD8533 Mtge","MTG_ORIG_WAL")</f>
        <v>#N/A N/A</v>
      </c>
    </row>
    <row r="3483" spans="1:9" x14ac:dyDescent="0.25">
      <c r="A3483" t="str">
        <f>_xll.BDP("FNDD8534 Mtge","ID_CUSIP")</f>
        <v>3140B9PU7</v>
      </c>
      <c r="B3483" t="str">
        <f>_xll.BDP("FNDD8534 Mtge","SECURITY_NAME")</f>
        <v>FN DD8534</v>
      </c>
      <c r="C3483" t="str">
        <f>_xll.BDP("FNDD8534 Mtge","GENERIC_TICKER_VINTAGE")</f>
        <v>FNCL 6 2025</v>
      </c>
      <c r="D3483" t="str">
        <f>_xll.BDP("FNDD8534 Mtge","CRNCY")</f>
        <v>USD</v>
      </c>
      <c r="E3483">
        <v>1358459</v>
      </c>
      <c r="F3483">
        <f>_xll.BDP("FNDD8534 Mtge","CPN")</f>
        <v>6</v>
      </c>
      <c r="G3483">
        <f>_xll.BDP("FNDD8534 Mtge","MTG_FACTOR")</f>
        <v>0.99139458999999996</v>
      </c>
      <c r="H3483">
        <f>_xll.BDP("FNDD8534 Mtge","MTG_WAL")</f>
        <v>3.2957999999999998</v>
      </c>
      <c r="I3483" t="str">
        <f>_xll.BDP("FNDD8534 Mtge","MTG_ORIG_WAL")</f>
        <v>#N/A N/A</v>
      </c>
    </row>
    <row r="3484" spans="1:9" x14ac:dyDescent="0.25">
      <c r="A3484" t="str">
        <f>_xll.BDP("FNDD8535 Mtge","ID_CUSIP")</f>
        <v>3140B9PV5</v>
      </c>
      <c r="B3484" t="str">
        <f>_xll.BDP("FNDD8535 Mtge","SECURITY_NAME")</f>
        <v>FN DD8535</v>
      </c>
      <c r="C3484" t="str">
        <f>_xll.BDP("FNDD8535 Mtge","GENERIC_TICKER_VINTAGE")</f>
        <v>FNCL 6 2025</v>
      </c>
      <c r="D3484" t="str">
        <f>_xll.BDP("FNDD8535 Mtge","CRNCY")</f>
        <v>USD</v>
      </c>
      <c r="E3484">
        <v>1251225</v>
      </c>
      <c r="F3484">
        <f>_xll.BDP("FNDD8535 Mtge","CPN")</f>
        <v>6</v>
      </c>
      <c r="G3484">
        <f>_xll.BDP("FNDD8535 Mtge","MTG_FACTOR")</f>
        <v>0.99136022000000001</v>
      </c>
      <c r="H3484">
        <f>_xll.BDP("FNDD8535 Mtge","MTG_WAL")</f>
        <v>3.2484999999999999</v>
      </c>
      <c r="I3484" t="str">
        <f>_xll.BDP("FNDD8535 Mtge","MTG_ORIG_WAL")</f>
        <v>#N/A N/A</v>
      </c>
    </row>
    <row r="3485" spans="1:9" x14ac:dyDescent="0.25">
      <c r="A3485" t="str">
        <f>_xll.BDP("FNDD8536 Mtge","ID_CUSIP")</f>
        <v>3140B9PW3</v>
      </c>
      <c r="B3485" t="str">
        <f>_xll.BDP("FNDD8536 Mtge","SECURITY_NAME")</f>
        <v>FN DD8536</v>
      </c>
      <c r="C3485" t="str">
        <f>_xll.BDP("FNDD8536 Mtge","GENERIC_TICKER_VINTAGE")</f>
        <v>FNCL 6 2025</v>
      </c>
      <c r="D3485" t="str">
        <f>_xll.BDP("FNDD8536 Mtge","CRNCY")</f>
        <v>USD</v>
      </c>
      <c r="E3485">
        <v>2915445</v>
      </c>
      <c r="F3485">
        <f>_xll.BDP("FNDD8536 Mtge","CPN")</f>
        <v>6</v>
      </c>
      <c r="G3485">
        <f>_xll.BDP("FNDD8536 Mtge","MTG_FACTOR")</f>
        <v>0.86561451</v>
      </c>
      <c r="H3485">
        <f>_xll.BDP("FNDD8536 Mtge","MTG_WAL")</f>
        <v>3.2480000000000002</v>
      </c>
      <c r="I3485" t="str">
        <f>_xll.BDP("FNDD8536 Mtge","MTG_ORIG_WAL")</f>
        <v>#N/A N/A</v>
      </c>
    </row>
    <row r="3486" spans="1:9" x14ac:dyDescent="0.25">
      <c r="A3486" t="str">
        <f>_xll.BDP("FNDD8537 Mtge","ID_CUSIP")</f>
        <v>3140B9PX1</v>
      </c>
      <c r="B3486" t="str">
        <f>_xll.BDP("FNDD8537 Mtge","SECURITY_NAME")</f>
        <v>FN DD8537</v>
      </c>
      <c r="C3486" t="str">
        <f>_xll.BDP("FNDD8537 Mtge","GENERIC_TICKER_VINTAGE")</f>
        <v>FNCL 6 2025</v>
      </c>
      <c r="D3486" t="str">
        <f>_xll.BDP("FNDD8537 Mtge","CRNCY")</f>
        <v>USD</v>
      </c>
      <c r="E3486">
        <v>1061229</v>
      </c>
      <c r="F3486">
        <f>_xll.BDP("FNDD8537 Mtge","CPN")</f>
        <v>6</v>
      </c>
      <c r="G3486">
        <f>_xll.BDP("FNDD8537 Mtge","MTG_FACTOR")</f>
        <v>0.77780470999999995</v>
      </c>
      <c r="H3486">
        <f>_xll.BDP("FNDD8537 Mtge","MTG_WAL")</f>
        <v>3.2395</v>
      </c>
      <c r="I3486" t="str">
        <f>_xll.BDP("FNDD8537 Mtge","MTG_ORIG_WAL")</f>
        <v>#N/A N/A</v>
      </c>
    </row>
    <row r="3487" spans="1:9" x14ac:dyDescent="0.25">
      <c r="A3487" t="str">
        <f>_xll.BDP("FNDD8538 Mtge","ID_CUSIP")</f>
        <v>3140B9PY9</v>
      </c>
      <c r="B3487" t="str">
        <f>_xll.BDP("FNDD8538 Mtge","SECURITY_NAME")</f>
        <v>FN DD8538</v>
      </c>
      <c r="C3487" t="str">
        <f>_xll.BDP("FNDD8538 Mtge","GENERIC_TICKER_VINTAGE")</f>
        <v>FNCL 6 2025</v>
      </c>
      <c r="D3487" t="str">
        <f>_xll.BDP("FNDD8538 Mtge","CRNCY")</f>
        <v>USD</v>
      </c>
      <c r="E3487">
        <v>1116895</v>
      </c>
      <c r="F3487">
        <f>_xll.BDP("FNDD8538 Mtge","CPN")</f>
        <v>6</v>
      </c>
      <c r="G3487">
        <f>_xll.BDP("FNDD8538 Mtge","MTG_FACTOR")</f>
        <v>0.99061502000000001</v>
      </c>
      <c r="H3487">
        <f>_xll.BDP("FNDD8538 Mtge","MTG_WAL")</f>
        <v>3.2471000000000001</v>
      </c>
      <c r="I3487" t="str">
        <f>_xll.BDP("FNDD8538 Mtge","MTG_ORIG_WAL")</f>
        <v>#N/A N/A</v>
      </c>
    </row>
    <row r="3488" spans="1:9" x14ac:dyDescent="0.25">
      <c r="A3488" t="str">
        <f>_xll.BDP("FNDD8564 Mtge","ID_CUSIP")</f>
        <v>3140B9QS1</v>
      </c>
      <c r="B3488" t="str">
        <f>_xll.BDP("FNDD8564 Mtge","SECURITY_NAME")</f>
        <v>FN DD8564</v>
      </c>
      <c r="C3488" t="str">
        <f>_xll.BDP("FNDD8564 Mtge","GENERIC_TICKER_VINTAGE")</f>
        <v>FNCL 6 2025</v>
      </c>
      <c r="D3488" t="str">
        <f>_xll.BDP("FNDD8564 Mtge","CRNCY")</f>
        <v>USD</v>
      </c>
      <c r="E3488">
        <v>3047027</v>
      </c>
      <c r="F3488">
        <f>_xll.BDP("FNDD8564 Mtge","CPN")</f>
        <v>6</v>
      </c>
      <c r="G3488">
        <f>_xll.BDP("FNDD8564 Mtge","MTG_FACTOR")</f>
        <v>0.99084245999999998</v>
      </c>
      <c r="H3488">
        <f>_xll.BDP("FNDD8564 Mtge","MTG_WAL")</f>
        <v>3.2961</v>
      </c>
      <c r="I3488" t="str">
        <f>_xll.BDP("FNDD8564 Mtge","MTG_ORIG_WAL")</f>
        <v>#N/A N/A</v>
      </c>
    </row>
    <row r="3489" spans="1:9" x14ac:dyDescent="0.25">
      <c r="A3489" t="str">
        <f>_xll.BDP("FNDD8565 Mtge","ID_CUSIP")</f>
        <v>3140B9QT9</v>
      </c>
      <c r="B3489" t="str">
        <f>_xll.BDP("FNDD8565 Mtge","SECURITY_NAME")</f>
        <v>FN DD8565</v>
      </c>
      <c r="C3489" t="str">
        <f>_xll.BDP("FNDD8565 Mtge","GENERIC_TICKER_VINTAGE")</f>
        <v>FNCL 6 2025</v>
      </c>
      <c r="D3489" t="str">
        <f>_xll.BDP("FNDD8565 Mtge","CRNCY")</f>
        <v>USD</v>
      </c>
      <c r="E3489">
        <v>2953539</v>
      </c>
      <c r="F3489">
        <f>_xll.BDP("FNDD8565 Mtge","CPN")</f>
        <v>6</v>
      </c>
      <c r="G3489">
        <f>_xll.BDP("FNDD8565 Mtge","MTG_FACTOR")</f>
        <v>0.59503806000000004</v>
      </c>
      <c r="H3489">
        <f>_xll.BDP("FNDD8565 Mtge","MTG_WAL")</f>
        <v>3.2949999999999999</v>
      </c>
      <c r="I3489" t="str">
        <f>_xll.BDP("FNDD8565 Mtge","MTG_ORIG_WAL")</f>
        <v>#N/A N/A</v>
      </c>
    </row>
    <row r="3490" spans="1:9" x14ac:dyDescent="0.25">
      <c r="A3490" t="str">
        <f>_xll.BDP("FNDD8579 Mtge","ID_CUSIP")</f>
        <v>3140B9Q93</v>
      </c>
      <c r="B3490" t="str">
        <f>_xll.BDP("FNDD8579 Mtge","SECURITY_NAME")</f>
        <v>FN DD8579</v>
      </c>
      <c r="C3490" t="str">
        <f>_xll.BDP("FNDD8579 Mtge","GENERIC_TICKER_VINTAGE")</f>
        <v>FNCL 6 2025</v>
      </c>
      <c r="D3490" t="str">
        <f>_xll.BDP("FNDD8579 Mtge","CRNCY")</f>
        <v>USD</v>
      </c>
      <c r="E3490">
        <v>12540304</v>
      </c>
      <c r="F3490">
        <f>_xll.BDP("FNDD8579 Mtge","CPN")</f>
        <v>6</v>
      </c>
      <c r="G3490">
        <f>_xll.BDP("FNDD8579 Mtge","MTG_FACTOR")</f>
        <v>0.87339177999999995</v>
      </c>
      <c r="H3490">
        <f>_xll.BDP("FNDD8579 Mtge","MTG_WAL")</f>
        <v>3.2949000000000002</v>
      </c>
      <c r="I3490" t="str">
        <f>_xll.BDP("FNDD8579 Mtge","MTG_ORIG_WAL")</f>
        <v>#N/A N/A</v>
      </c>
    </row>
    <row r="3491" spans="1:9" x14ac:dyDescent="0.25">
      <c r="A3491" t="str">
        <f>_xll.BDP("FNDD8582 Mtge","ID_CUSIP")</f>
        <v>3140B9RC5</v>
      </c>
      <c r="B3491" t="str">
        <f>_xll.BDP("FNDD8582 Mtge","SECURITY_NAME")</f>
        <v>FN DD8582</v>
      </c>
      <c r="C3491" t="str">
        <f>_xll.BDP("FNDD8582 Mtge","GENERIC_TICKER_VINTAGE")</f>
        <v>FNCL 6 2025</v>
      </c>
      <c r="D3491" t="str">
        <f>_xll.BDP("FNDD8582 Mtge","CRNCY")</f>
        <v>USD</v>
      </c>
      <c r="E3491">
        <v>6512706</v>
      </c>
      <c r="F3491">
        <f>_xll.BDP("FNDD8582 Mtge","CPN")</f>
        <v>6</v>
      </c>
      <c r="G3491">
        <f>_xll.BDP("FNDD8582 Mtge","MTG_FACTOR")</f>
        <v>0.52462730999999996</v>
      </c>
      <c r="H3491">
        <f>_xll.BDP("FNDD8582 Mtge","MTG_WAL")</f>
        <v>3.2957999999999998</v>
      </c>
      <c r="I3491" t="str">
        <f>_xll.BDP("FNDD8582 Mtge","MTG_ORIG_WAL")</f>
        <v>#N/A N/A</v>
      </c>
    </row>
    <row r="3492" spans="1:9" x14ac:dyDescent="0.25">
      <c r="A3492" t="str">
        <f>_xll.BDP("FNDD8583 Mtge","ID_CUSIP")</f>
        <v>3140B9RD3</v>
      </c>
      <c r="B3492" t="str">
        <f>_xll.BDP("FNDD8583 Mtge","SECURITY_NAME")</f>
        <v>FN DD8583</v>
      </c>
      <c r="C3492" t="str">
        <f>_xll.BDP("FNDD8583 Mtge","GENERIC_TICKER_VINTAGE")</f>
        <v>FNCL 6 2025</v>
      </c>
      <c r="D3492" t="str">
        <f>_xll.BDP("FNDD8583 Mtge","CRNCY")</f>
        <v>USD</v>
      </c>
      <c r="E3492">
        <v>7527801</v>
      </c>
      <c r="F3492">
        <f>_xll.BDP("FNDD8583 Mtge","CPN")</f>
        <v>6</v>
      </c>
      <c r="G3492">
        <f>_xll.BDP("FNDD8583 Mtge","MTG_FACTOR")</f>
        <v>0.82188925999999995</v>
      </c>
      <c r="H3492">
        <f>_xll.BDP("FNDD8583 Mtge","MTG_WAL")</f>
        <v>3.2507999999999999</v>
      </c>
      <c r="I3492" t="str">
        <f>_xll.BDP("FNDD8583 Mtge","MTG_ORIG_WAL")</f>
        <v>#N/A N/A</v>
      </c>
    </row>
    <row r="3493" spans="1:9" x14ac:dyDescent="0.25">
      <c r="A3493" t="str">
        <f>_xll.BDP("FNDD8590 Mtge","ID_CUSIP")</f>
        <v>3140B9RL5</v>
      </c>
      <c r="B3493" t="str">
        <f>_xll.BDP("FNDD8590 Mtge","SECURITY_NAME")</f>
        <v>FN DD8590</v>
      </c>
      <c r="C3493" t="str">
        <f>_xll.BDP("FNDD8590 Mtge","GENERIC_TICKER_VINTAGE")</f>
        <v>FNCL 6 2025</v>
      </c>
      <c r="D3493" t="str">
        <f>_xll.BDP("FNDD8590 Mtge","CRNCY")</f>
        <v>USD</v>
      </c>
      <c r="E3493">
        <v>2093965</v>
      </c>
      <c r="F3493">
        <f>_xll.BDP("FNDD8590 Mtge","CPN")</f>
        <v>6</v>
      </c>
      <c r="G3493">
        <f>_xll.BDP("FNDD8590 Mtge","MTG_FACTOR")</f>
        <v>0.98591877999999999</v>
      </c>
      <c r="H3493">
        <f>_xll.BDP("FNDD8590 Mtge","MTG_WAL")</f>
        <v>3.2909000000000002</v>
      </c>
      <c r="I3493" t="str">
        <f>_xll.BDP("FNDD8590 Mtge","MTG_ORIG_WAL")</f>
        <v>#N/A N/A</v>
      </c>
    </row>
    <row r="3494" spans="1:9" x14ac:dyDescent="0.25">
      <c r="A3494" t="str">
        <f>_xll.BDP("FNDD8599 Mtge","ID_CUSIP")</f>
        <v>3140B9RV3</v>
      </c>
      <c r="B3494" t="str">
        <f>_xll.BDP("FNDD8599 Mtge","SECURITY_NAME")</f>
        <v>FN DD8599</v>
      </c>
      <c r="C3494" t="str">
        <f>_xll.BDP("FNDD8599 Mtge","GENERIC_TICKER_VINTAGE")</f>
        <v>FNCL 6 2025</v>
      </c>
      <c r="D3494" t="str">
        <f>_xll.BDP("FNDD8599 Mtge","CRNCY")</f>
        <v>USD</v>
      </c>
      <c r="E3494">
        <v>5683998</v>
      </c>
      <c r="F3494">
        <f>_xll.BDP("FNDD8599 Mtge","CPN")</f>
        <v>6</v>
      </c>
      <c r="G3494">
        <f>_xll.BDP("FNDD8599 Mtge","MTG_FACTOR")</f>
        <v>0.83850751000000001</v>
      </c>
      <c r="H3494">
        <f>_xll.BDP("FNDD8599 Mtge","MTG_WAL")</f>
        <v>3.2909000000000002</v>
      </c>
      <c r="I3494" t="str">
        <f>_xll.BDP("FNDD8599 Mtge","MTG_ORIG_WAL")</f>
        <v>#N/A N/A</v>
      </c>
    </row>
    <row r="3495" spans="1:9" x14ac:dyDescent="0.25">
      <c r="A3495" t="str">
        <f>_xll.BDP("FNDD8609 Mtge","ID_CUSIP")</f>
        <v>3140B9R76</v>
      </c>
      <c r="B3495" t="str">
        <f>_xll.BDP("FNDD8609 Mtge","SECURITY_NAME")</f>
        <v>FN DD8609</v>
      </c>
      <c r="C3495" t="str">
        <f>_xll.BDP("FNDD8609 Mtge","GENERIC_TICKER_VINTAGE")</f>
        <v>FNCL 6 2025</v>
      </c>
      <c r="D3495" t="str">
        <f>_xll.BDP("FNDD8609 Mtge","CRNCY")</f>
        <v>USD</v>
      </c>
      <c r="E3495">
        <v>5409709</v>
      </c>
      <c r="F3495">
        <f>_xll.BDP("FNDD8609 Mtge","CPN")</f>
        <v>6</v>
      </c>
      <c r="G3495">
        <f>_xll.BDP("FNDD8609 Mtge","MTG_FACTOR")</f>
        <v>0.98945088000000003</v>
      </c>
      <c r="H3495">
        <f>_xll.BDP("FNDD8609 Mtge","MTG_WAL")</f>
        <v>3.2955999999999999</v>
      </c>
      <c r="I3495" t="str">
        <f>_xll.BDP("FNDD8609 Mtge","MTG_ORIG_WAL")</f>
        <v>#N/A N/A</v>
      </c>
    </row>
    <row r="3496" spans="1:9" x14ac:dyDescent="0.25">
      <c r="A3496" t="str">
        <f>_xll.BDP("FNDD8623 Mtge","ID_CUSIP")</f>
        <v>3140B9SM2</v>
      </c>
      <c r="B3496" t="str">
        <f>_xll.BDP("FNDD8623 Mtge","SECURITY_NAME")</f>
        <v>FN DD8623</v>
      </c>
      <c r="C3496" t="str">
        <f>_xll.BDP("FNDD8623 Mtge","GENERIC_TICKER_VINTAGE")</f>
        <v>FNCL 6 2025</v>
      </c>
      <c r="D3496" t="str">
        <f>_xll.BDP("FNDD8623 Mtge","CRNCY")</f>
        <v>USD</v>
      </c>
      <c r="E3496">
        <v>12180883</v>
      </c>
      <c r="F3496">
        <f>_xll.BDP("FNDD8623 Mtge","CPN")</f>
        <v>6</v>
      </c>
      <c r="G3496">
        <f>_xll.BDP("FNDD8623 Mtge","MTG_FACTOR")</f>
        <v>0.93853662999999998</v>
      </c>
      <c r="H3496">
        <f>_xll.BDP("FNDD8623 Mtge","MTG_WAL")</f>
        <v>3.2928000000000002</v>
      </c>
      <c r="I3496" t="str">
        <f>_xll.BDP("FNDD8623 Mtge","MTG_ORIG_WAL")</f>
        <v>#N/A N/A</v>
      </c>
    </row>
    <row r="3497" spans="1:9" x14ac:dyDescent="0.25">
      <c r="A3497" t="str">
        <f>_xll.BDP("FNDD8639 Mtge","ID_CUSIP")</f>
        <v>3140B9S59</v>
      </c>
      <c r="B3497" t="str">
        <f>_xll.BDP("FNDD8639 Mtge","SECURITY_NAME")</f>
        <v>FN DD8639</v>
      </c>
      <c r="C3497" t="str">
        <f>_xll.BDP("FNDD8639 Mtge","GENERIC_TICKER_VINTAGE")</f>
        <v>FNCL 6 2025</v>
      </c>
      <c r="D3497" t="str">
        <f>_xll.BDP("FNDD8639 Mtge","CRNCY")</f>
        <v>USD</v>
      </c>
      <c r="E3497">
        <v>8005628</v>
      </c>
      <c r="F3497">
        <f>_xll.BDP("FNDD8639 Mtge","CPN")</f>
        <v>6</v>
      </c>
      <c r="G3497">
        <f>_xll.BDP("FNDD8639 Mtge","MTG_FACTOR")</f>
        <v>0.91228993999999997</v>
      </c>
      <c r="H3497">
        <f>_xll.BDP("FNDD8639 Mtge","MTG_WAL")</f>
        <v>3.2965</v>
      </c>
      <c r="I3497" t="str">
        <f>_xll.BDP("FNDD8639 Mtge","MTG_ORIG_WAL")</f>
        <v>#N/A N/A</v>
      </c>
    </row>
    <row r="3498" spans="1:9" x14ac:dyDescent="0.25">
      <c r="A3498" t="str">
        <f>_xll.BDP("FNDD8646 Mtge","ID_CUSIP")</f>
        <v>3140B9TC3</v>
      </c>
      <c r="B3498" t="str">
        <f>_xll.BDP("FNDD8646 Mtge","SECURITY_NAME")</f>
        <v>FN DD8646</v>
      </c>
      <c r="C3498" t="str">
        <f>_xll.BDP("FNDD8646 Mtge","GENERIC_TICKER_VINTAGE")</f>
        <v>FNCL 6 2025</v>
      </c>
      <c r="D3498" t="str">
        <f>_xll.BDP("FNDD8646 Mtge","CRNCY")</f>
        <v>USD</v>
      </c>
      <c r="E3498">
        <v>11541010</v>
      </c>
      <c r="F3498">
        <f>_xll.BDP("FNDD8646 Mtge","CPN")</f>
        <v>6</v>
      </c>
      <c r="G3498">
        <f>_xll.BDP("FNDD8646 Mtge","MTG_FACTOR")</f>
        <v>0.91223520000000002</v>
      </c>
      <c r="H3498">
        <f>_xll.BDP("FNDD8646 Mtge","MTG_WAL")</f>
        <v>3.2947000000000002</v>
      </c>
      <c r="I3498" t="str">
        <f>_xll.BDP("FNDD8646 Mtge","MTG_ORIG_WAL")</f>
        <v>#N/A N/A</v>
      </c>
    </row>
    <row r="3499" spans="1:9" x14ac:dyDescent="0.25">
      <c r="A3499" t="str">
        <f>_xll.BDP("FNDD8647 Mtge","ID_CUSIP")</f>
        <v>3140B9TD1</v>
      </c>
      <c r="B3499" t="str">
        <f>_xll.BDP("FNDD8647 Mtge","SECURITY_NAME")</f>
        <v>FN DD8647</v>
      </c>
      <c r="C3499" t="str">
        <f>_xll.BDP("FNDD8647 Mtge","GENERIC_TICKER_VINTAGE")</f>
        <v>FNCL 6 2025</v>
      </c>
      <c r="D3499" t="str">
        <f>_xll.BDP("FNDD8647 Mtge","CRNCY")</f>
        <v>USD</v>
      </c>
      <c r="E3499">
        <v>15851831</v>
      </c>
      <c r="F3499">
        <f>_xll.BDP("FNDD8647 Mtge","CPN")</f>
        <v>6</v>
      </c>
      <c r="G3499">
        <f>_xll.BDP("FNDD8647 Mtge","MTG_FACTOR")</f>
        <v>0.94710004000000003</v>
      </c>
      <c r="H3499">
        <f>_xll.BDP("FNDD8647 Mtge","MTG_WAL")</f>
        <v>3.2951000000000001</v>
      </c>
      <c r="I3499" t="str">
        <f>_xll.BDP("FNDD8647 Mtge","MTG_ORIG_WAL")</f>
        <v>#N/A N/A</v>
      </c>
    </row>
    <row r="3500" spans="1:9" x14ac:dyDescent="0.25">
      <c r="A3500" t="str">
        <f>_xll.BDP("FNDD8660 Mtge","ID_CUSIP")</f>
        <v>3140B9TS8</v>
      </c>
      <c r="B3500" t="str">
        <f>_xll.BDP("FNDD8660 Mtge","SECURITY_NAME")</f>
        <v>FN DD8660</v>
      </c>
      <c r="C3500" t="str">
        <f>_xll.BDP("FNDD8660 Mtge","GENERIC_TICKER_VINTAGE")</f>
        <v>FNCL 6 2025</v>
      </c>
      <c r="D3500" t="str">
        <f>_xll.BDP("FNDD8660 Mtge","CRNCY")</f>
        <v>USD</v>
      </c>
      <c r="E3500">
        <v>1562972</v>
      </c>
      <c r="F3500">
        <f>_xll.BDP("FNDD8660 Mtge","CPN")</f>
        <v>6</v>
      </c>
      <c r="G3500">
        <f>_xll.BDP("FNDD8660 Mtge","MTG_FACTOR")</f>
        <v>0.98958588999999997</v>
      </c>
      <c r="H3500">
        <f>_xll.BDP("FNDD8660 Mtge","MTG_WAL")</f>
        <v>3.2477999999999998</v>
      </c>
      <c r="I3500" t="str">
        <f>_xll.BDP("FNDD8660 Mtge","MTG_ORIG_WAL")</f>
        <v>#N/A N/A</v>
      </c>
    </row>
    <row r="3501" spans="1:9" x14ac:dyDescent="0.25">
      <c r="A3501" t="str">
        <f>_xll.BDP("FNDD8790 Mtge","ID_CUSIP")</f>
        <v>3140B9XU8</v>
      </c>
      <c r="B3501" t="str">
        <f>_xll.BDP("FNDD8790 Mtge","SECURITY_NAME")</f>
        <v>FN DD8790</v>
      </c>
      <c r="C3501" t="str">
        <f>_xll.BDP("FNDD8790 Mtge","GENERIC_TICKER_VINTAGE")</f>
        <v>FNCL 6 2025</v>
      </c>
      <c r="D3501" t="str">
        <f>_xll.BDP("FNDD8790 Mtge","CRNCY")</f>
        <v>USD</v>
      </c>
      <c r="E3501">
        <v>3418488</v>
      </c>
      <c r="F3501">
        <f>_xll.BDP("FNDD8790 Mtge","CPN")</f>
        <v>6</v>
      </c>
      <c r="G3501">
        <f>_xll.BDP("FNDD8790 Mtge","MTG_FACTOR")</f>
        <v>0.89441207</v>
      </c>
      <c r="H3501">
        <f>_xll.BDP("FNDD8790 Mtge","MTG_WAL")</f>
        <v>3.2033999999999998</v>
      </c>
      <c r="I3501" t="str">
        <f>_xll.BDP("FNDD8790 Mtge","MTG_ORIG_WAL")</f>
        <v>#N/A N/A</v>
      </c>
    </row>
    <row r="3502" spans="1:9" x14ac:dyDescent="0.25">
      <c r="A3502" t="str">
        <f>_xll.BDP("FNDD8808 Mtge","ID_CUSIP")</f>
        <v>3140B9YE3</v>
      </c>
      <c r="B3502" t="str">
        <f>_xll.BDP("FNDD8808 Mtge","SECURITY_NAME")</f>
        <v>FN DD8808</v>
      </c>
      <c r="C3502" t="str">
        <f>_xll.BDP("FNDD8808 Mtge","GENERIC_TICKER_VINTAGE")</f>
        <v>FNCL 6 2025</v>
      </c>
      <c r="D3502" t="str">
        <f>_xll.BDP("FNDD8808 Mtge","CRNCY")</f>
        <v>USD</v>
      </c>
      <c r="E3502">
        <v>15456355</v>
      </c>
      <c r="F3502">
        <f>_xll.BDP("FNDD8808 Mtge","CPN")</f>
        <v>6</v>
      </c>
      <c r="G3502">
        <f>_xll.BDP("FNDD8808 Mtge","MTG_FACTOR")</f>
        <v>0.99179021999999994</v>
      </c>
      <c r="H3502">
        <f>_xll.BDP("FNDD8808 Mtge","MTG_WAL")</f>
        <v>3.3426</v>
      </c>
      <c r="I3502" t="str">
        <f>_xll.BDP("FNDD8808 Mtge","MTG_ORIG_WAL")</f>
        <v>#N/A N/A</v>
      </c>
    </row>
    <row r="3503" spans="1:9" x14ac:dyDescent="0.25">
      <c r="A3503" t="str">
        <f>_xll.BDP("FNDD8816 Mtge","ID_CUSIP")</f>
        <v>3140B9YN3</v>
      </c>
      <c r="B3503" t="str">
        <f>_xll.BDP("FNDD8816 Mtge","SECURITY_NAME")</f>
        <v>FN DD8816</v>
      </c>
      <c r="C3503" t="str">
        <f>_xll.BDP("FNDD8816 Mtge","GENERIC_TICKER_VINTAGE")</f>
        <v>FNCL 6 2025</v>
      </c>
      <c r="D3503" t="str">
        <f>_xll.BDP("FNDD8816 Mtge","CRNCY")</f>
        <v>USD</v>
      </c>
      <c r="E3503">
        <v>1007058</v>
      </c>
      <c r="F3503">
        <f>_xll.BDP("FNDD8816 Mtge","CPN")</f>
        <v>6</v>
      </c>
      <c r="G3503">
        <f>_xll.BDP("FNDD8816 Mtge","MTG_FACTOR")</f>
        <v>0.99082764000000001</v>
      </c>
      <c r="H3503">
        <f>_xll.BDP("FNDD8816 Mtge","MTG_WAL")</f>
        <v>3.3414000000000001</v>
      </c>
      <c r="I3503" t="str">
        <f>_xll.BDP("FNDD8816 Mtge","MTG_ORIG_WAL")</f>
        <v>#N/A N/A</v>
      </c>
    </row>
    <row r="3504" spans="1:9" x14ac:dyDescent="0.25">
      <c r="A3504" t="str">
        <f>_xll.BDP("FNDD8822 Mtge","ID_CUSIP")</f>
        <v>3140B9YU7</v>
      </c>
      <c r="B3504" t="str">
        <f>_xll.BDP("FNDD8822 Mtge","SECURITY_NAME")</f>
        <v>FN DD8822</v>
      </c>
      <c r="C3504" t="str">
        <f>_xll.BDP("FNDD8822 Mtge","GENERIC_TICKER_VINTAGE")</f>
        <v>FNCL 6 2025</v>
      </c>
      <c r="D3504" t="str">
        <f>_xll.BDP("FNDD8822 Mtge","CRNCY")</f>
        <v>USD</v>
      </c>
      <c r="E3504">
        <v>14458085</v>
      </c>
      <c r="F3504">
        <f>_xll.BDP("FNDD8822 Mtge","CPN")</f>
        <v>6</v>
      </c>
      <c r="G3504">
        <f>_xll.BDP("FNDD8822 Mtge","MTG_FACTOR")</f>
        <v>0.89304607000000003</v>
      </c>
      <c r="H3504">
        <f>_xll.BDP("FNDD8822 Mtge","MTG_WAL")</f>
        <v>3.3489</v>
      </c>
      <c r="I3504" t="str">
        <f>_xll.BDP("FNDD8822 Mtge","MTG_ORIG_WAL")</f>
        <v>#N/A N/A</v>
      </c>
    </row>
    <row r="3505" spans="1:9" x14ac:dyDescent="0.25">
      <c r="A3505" t="str">
        <f>_xll.BDP("FNDD8836 Mtge","ID_CUSIP")</f>
        <v>3140B9ZA0</v>
      </c>
      <c r="B3505" t="str">
        <f>_xll.BDP("FNDD8836 Mtge","SECURITY_NAME")</f>
        <v>FN DD8836</v>
      </c>
      <c r="C3505" t="str">
        <f>_xll.BDP("FNDD8836 Mtge","GENERIC_TICKER_VINTAGE")</f>
        <v>FNCL 6 2025</v>
      </c>
      <c r="D3505" t="str">
        <f>_xll.BDP("FNDD8836 Mtge","CRNCY")</f>
        <v>USD</v>
      </c>
      <c r="E3505">
        <v>2640003</v>
      </c>
      <c r="F3505">
        <f>_xll.BDP("FNDD8836 Mtge","CPN")</f>
        <v>6</v>
      </c>
      <c r="G3505">
        <f>_xll.BDP("FNDD8836 Mtge","MTG_FACTOR")</f>
        <v>0.99330224</v>
      </c>
      <c r="H3505">
        <f>_xll.BDP("FNDD8836 Mtge","MTG_WAL")</f>
        <v>3.3481999999999998</v>
      </c>
      <c r="I3505" t="str">
        <f>_xll.BDP("FNDD8836 Mtge","MTG_ORIG_WAL")</f>
        <v>#N/A N/A</v>
      </c>
    </row>
    <row r="3506" spans="1:9" x14ac:dyDescent="0.25">
      <c r="A3506" t="str">
        <f>_xll.BDP("FNDD8996 Mtge","ID_CUSIP")</f>
        <v>3140B97J2</v>
      </c>
      <c r="B3506" t="str">
        <f>_xll.BDP("FNDD8996 Mtge","SECURITY_NAME")</f>
        <v>FN DD8996</v>
      </c>
      <c r="C3506" t="str">
        <f>_xll.BDP("FNDD8996 Mtge","GENERIC_TICKER_VINTAGE")</f>
        <v>FNCL 6 2025</v>
      </c>
      <c r="D3506" t="str">
        <f>_xll.BDP("FNDD8996 Mtge","CRNCY")</f>
        <v>USD</v>
      </c>
      <c r="E3506">
        <v>16018806</v>
      </c>
      <c r="F3506">
        <f>_xll.BDP("FNDD8996 Mtge","CPN")</f>
        <v>6</v>
      </c>
      <c r="G3506">
        <f>_xll.BDP("FNDD8996 Mtge","MTG_FACTOR")</f>
        <v>0.97017529000000002</v>
      </c>
      <c r="H3506">
        <f>_xll.BDP("FNDD8996 Mtge","MTG_WAL")</f>
        <v>3.246</v>
      </c>
      <c r="I3506" t="str">
        <f>_xll.BDP("FNDD8996 Mtge","MTG_ORIG_WAL")</f>
        <v>#N/A N/A</v>
      </c>
    </row>
    <row r="3507" spans="1:9" x14ac:dyDescent="0.25">
      <c r="A3507" t="str">
        <f>_xll.BDP("FNDD8997 Mtge","ID_CUSIP")</f>
        <v>3140B97K9</v>
      </c>
      <c r="B3507" t="str">
        <f>_xll.BDP("FNDD8997 Mtge","SECURITY_NAME")</f>
        <v>FN DD8997</v>
      </c>
      <c r="C3507" t="str">
        <f>_xll.BDP("FNDD8997 Mtge","GENERIC_TICKER_VINTAGE")</f>
        <v>FNCL 6 2025</v>
      </c>
      <c r="D3507" t="str">
        <f>_xll.BDP("FNDD8997 Mtge","CRNCY")</f>
        <v>USD</v>
      </c>
      <c r="E3507">
        <v>23963386</v>
      </c>
      <c r="F3507">
        <f>_xll.BDP("FNDD8997 Mtge","CPN")</f>
        <v>6</v>
      </c>
      <c r="G3507">
        <f>_xll.BDP("FNDD8997 Mtge","MTG_FACTOR")</f>
        <v>0.98271934999999999</v>
      </c>
      <c r="H3507">
        <f>_xll.BDP("FNDD8997 Mtge","MTG_WAL")</f>
        <v>3.2462</v>
      </c>
      <c r="I3507" t="str">
        <f>_xll.BDP("FNDD8997 Mtge","MTG_ORIG_WAL")</f>
        <v>#N/A N/A</v>
      </c>
    </row>
    <row r="3508" spans="1:9" x14ac:dyDescent="0.25">
      <c r="A3508" t="str">
        <f>_xll.BDP("FNDD9103 Mtge","ID_CUSIP")</f>
        <v>3140BADH6</v>
      </c>
      <c r="B3508" t="str">
        <f>_xll.BDP("FNDD9103 Mtge","SECURITY_NAME")</f>
        <v>FN DD9103</v>
      </c>
      <c r="C3508" t="str">
        <f>_xll.BDP("FNDD9103 Mtge","GENERIC_TICKER_VINTAGE")</f>
        <v>FNCL 6 2025</v>
      </c>
      <c r="D3508" t="str">
        <f>_xll.BDP("FNDD9103 Mtge","CRNCY")</f>
        <v>USD</v>
      </c>
      <c r="E3508">
        <v>11591447</v>
      </c>
      <c r="F3508">
        <f>_xll.BDP("FNDD9103 Mtge","CPN")</f>
        <v>6</v>
      </c>
      <c r="G3508">
        <f>_xll.BDP("FNDD9103 Mtge","MTG_FACTOR")</f>
        <v>0.92873757000000001</v>
      </c>
      <c r="H3508">
        <f>_xll.BDP("FNDD9103 Mtge","MTG_WAL")</f>
        <v>3.2797999999999998</v>
      </c>
      <c r="I3508" t="str">
        <f>_xll.BDP("FNDD9103 Mtge","MTG_ORIG_WAL")</f>
        <v>#N/A N/A</v>
      </c>
    </row>
    <row r="3509" spans="1:9" x14ac:dyDescent="0.25">
      <c r="A3509" t="str">
        <f>_xll.BDP("FNDD9104 Mtge","ID_CUSIP")</f>
        <v>3140BADJ2</v>
      </c>
      <c r="B3509" t="str">
        <f>_xll.BDP("FNDD9104 Mtge","SECURITY_NAME")</f>
        <v>FN DD9104</v>
      </c>
      <c r="C3509" t="str">
        <f>_xll.BDP("FNDD9104 Mtge","GENERIC_TICKER_VINTAGE")</f>
        <v>FNCL 6 2025</v>
      </c>
      <c r="D3509" t="str">
        <f>_xll.BDP("FNDD9104 Mtge","CRNCY")</f>
        <v>USD</v>
      </c>
      <c r="E3509">
        <v>9851733</v>
      </c>
      <c r="F3509">
        <f>_xll.BDP("FNDD9104 Mtge","CPN")</f>
        <v>6</v>
      </c>
      <c r="G3509">
        <f>_xll.BDP("FNDD9104 Mtge","MTG_FACTOR")</f>
        <v>0.71557826999999996</v>
      </c>
      <c r="H3509">
        <f>_xll.BDP("FNDD9104 Mtge","MTG_WAL")</f>
        <v>3.2877000000000001</v>
      </c>
      <c r="I3509" t="str">
        <f>_xll.BDP("FNDD9104 Mtge","MTG_ORIG_WAL")</f>
        <v>#N/A N/A</v>
      </c>
    </row>
    <row r="3510" spans="1:9" x14ac:dyDescent="0.25">
      <c r="A3510" t="str">
        <f>_xll.BDP("FNDD9107 Mtge","ID_CUSIP")</f>
        <v>3140BADM5</v>
      </c>
      <c r="B3510" t="str">
        <f>_xll.BDP("FNDD9107 Mtge","SECURITY_NAME")</f>
        <v>FN DD9107</v>
      </c>
      <c r="C3510" t="str">
        <f>_xll.BDP("FNDD9107 Mtge","GENERIC_TICKER_VINTAGE")</f>
        <v>FNCL 6 2025</v>
      </c>
      <c r="D3510" t="str">
        <f>_xll.BDP("FNDD9107 Mtge","CRNCY")</f>
        <v>USD</v>
      </c>
      <c r="E3510">
        <v>3573862</v>
      </c>
      <c r="F3510">
        <f>_xll.BDP("FNDD9107 Mtge","CPN")</f>
        <v>6</v>
      </c>
      <c r="G3510">
        <f>_xll.BDP("FNDD9107 Mtge","MTG_FACTOR")</f>
        <v>0.92951992999999999</v>
      </c>
      <c r="H3510">
        <f>_xll.BDP("FNDD9107 Mtge","MTG_WAL")</f>
        <v>3.2301000000000002</v>
      </c>
      <c r="I3510" t="str">
        <f>_xll.BDP("FNDD9107 Mtge","MTG_ORIG_WAL")</f>
        <v>#N/A N/A</v>
      </c>
    </row>
    <row r="3511" spans="1:9" x14ac:dyDescent="0.25">
      <c r="A3511" t="str">
        <f>_xll.BDP("FNDD9109 Mtge","ID_CUSIP")</f>
        <v>3140BADP8</v>
      </c>
      <c r="B3511" t="str">
        <f>_xll.BDP("FNDD9109 Mtge","SECURITY_NAME")</f>
        <v>FN DD9109</v>
      </c>
      <c r="C3511" t="str">
        <f>_xll.BDP("FNDD9109 Mtge","GENERIC_TICKER_VINTAGE")</f>
        <v>FNCL 6 2025</v>
      </c>
      <c r="D3511" t="str">
        <f>_xll.BDP("FNDD9109 Mtge","CRNCY")</f>
        <v>USD</v>
      </c>
      <c r="E3511">
        <v>3224346</v>
      </c>
      <c r="F3511">
        <f>_xll.BDP("FNDD9109 Mtge","CPN")</f>
        <v>6</v>
      </c>
      <c r="G3511">
        <f>_xll.BDP("FNDD9109 Mtge","MTG_FACTOR")</f>
        <v>0.86164688</v>
      </c>
      <c r="H3511">
        <f>_xll.BDP("FNDD9109 Mtge","MTG_WAL")</f>
        <v>3.2443</v>
      </c>
      <c r="I3511" t="str">
        <f>_xll.BDP("FNDD9109 Mtge","MTG_ORIG_WAL")</f>
        <v>#N/A N/A</v>
      </c>
    </row>
    <row r="3512" spans="1:9" x14ac:dyDescent="0.25">
      <c r="A3512" t="str">
        <f>_xll.BDP("FNDD9110 Mtge","ID_CUSIP")</f>
        <v>3140BADQ6</v>
      </c>
      <c r="B3512" t="str">
        <f>_xll.BDP("FNDD9110 Mtge","SECURITY_NAME")</f>
        <v>FN DD9110</v>
      </c>
      <c r="C3512" t="str">
        <f>_xll.BDP("FNDD9110 Mtge","GENERIC_TICKER_VINTAGE")</f>
        <v>FNCL 6 2025</v>
      </c>
      <c r="D3512" t="str">
        <f>_xll.BDP("FNDD9110 Mtge","CRNCY")</f>
        <v>USD</v>
      </c>
      <c r="E3512">
        <v>2452550</v>
      </c>
      <c r="F3512">
        <f>_xll.BDP("FNDD9110 Mtge","CPN")</f>
        <v>6</v>
      </c>
      <c r="G3512">
        <f>_xll.BDP("FNDD9110 Mtge","MTG_FACTOR")</f>
        <v>0.86869297999999995</v>
      </c>
      <c r="H3512">
        <f>_xll.BDP("FNDD9110 Mtge","MTG_WAL")</f>
        <v>3.2719</v>
      </c>
      <c r="I3512" t="str">
        <f>_xll.BDP("FNDD9110 Mtge","MTG_ORIG_WAL")</f>
        <v>#N/A N/A</v>
      </c>
    </row>
    <row r="3513" spans="1:9" x14ac:dyDescent="0.25">
      <c r="A3513" t="str">
        <f>_xll.BDP("FNDD9149 Mtge","ID_CUSIP")</f>
        <v>3140BAEX0</v>
      </c>
      <c r="B3513" t="str">
        <f>_xll.BDP("FNDD9149 Mtge","SECURITY_NAME")</f>
        <v>FN DD9149</v>
      </c>
      <c r="C3513" t="str">
        <f>_xll.BDP("FNDD9149 Mtge","GENERIC_TICKER_VINTAGE")</f>
        <v>FNCL 6 2025</v>
      </c>
      <c r="D3513" t="str">
        <f>_xll.BDP("FNDD9149 Mtge","CRNCY")</f>
        <v>USD</v>
      </c>
      <c r="E3513">
        <v>1497793</v>
      </c>
      <c r="F3513">
        <f>_xll.BDP("FNDD9149 Mtge","CPN")</f>
        <v>6</v>
      </c>
      <c r="G3513">
        <f>_xll.BDP("FNDD9149 Mtge","MTG_FACTOR")</f>
        <v>0.91071301999999998</v>
      </c>
      <c r="H3513">
        <f>_xll.BDP("FNDD9149 Mtge","MTG_WAL")</f>
        <v>3.2566000000000002</v>
      </c>
      <c r="I3513" t="str">
        <f>_xll.BDP("FNDD9149 Mtge","MTG_ORIG_WAL")</f>
        <v>#N/A N/A</v>
      </c>
    </row>
    <row r="3514" spans="1:9" x14ac:dyDescent="0.25">
      <c r="A3514" t="str">
        <f>_xll.BDP("FNDD9151 Mtge","ID_CUSIP")</f>
        <v>3140BAEZ5</v>
      </c>
      <c r="B3514" t="str">
        <f>_xll.BDP("FNDD9151 Mtge","SECURITY_NAME")</f>
        <v>FN DD9151</v>
      </c>
      <c r="C3514" t="str">
        <f>_xll.BDP("FNDD9151 Mtge","GENERIC_TICKER_VINTAGE")</f>
        <v>FNCL 6 2025</v>
      </c>
      <c r="D3514" t="str">
        <f>_xll.BDP("FNDD9151 Mtge","CRNCY")</f>
        <v>USD</v>
      </c>
      <c r="E3514">
        <v>2270037</v>
      </c>
      <c r="F3514">
        <f>_xll.BDP("FNDD9151 Mtge","CPN")</f>
        <v>6</v>
      </c>
      <c r="G3514">
        <f>_xll.BDP("FNDD9151 Mtge","MTG_FACTOR")</f>
        <v>0.94635437</v>
      </c>
      <c r="H3514">
        <f>_xll.BDP("FNDD9151 Mtge","MTG_WAL")</f>
        <v>3.2764000000000002</v>
      </c>
      <c r="I3514" t="str">
        <f>_xll.BDP("FNDD9151 Mtge","MTG_ORIG_WAL")</f>
        <v>#N/A N/A</v>
      </c>
    </row>
    <row r="3515" spans="1:9" x14ac:dyDescent="0.25">
      <c r="A3515" t="str">
        <f>_xll.BDP("FNDD9154 Mtge","ID_CUSIP")</f>
        <v>3140BAE44</v>
      </c>
      <c r="B3515" t="str">
        <f>_xll.BDP("FNDD9154 Mtge","SECURITY_NAME")</f>
        <v>FN DD9154</v>
      </c>
      <c r="C3515" t="str">
        <f>_xll.BDP("FNDD9154 Mtge","GENERIC_TICKER_VINTAGE")</f>
        <v>FNCL 6 2025</v>
      </c>
      <c r="D3515" t="str">
        <f>_xll.BDP("FNDD9154 Mtge","CRNCY")</f>
        <v>USD</v>
      </c>
      <c r="E3515">
        <v>1253257</v>
      </c>
      <c r="F3515">
        <f>_xll.BDP("FNDD9154 Mtge","CPN")</f>
        <v>6</v>
      </c>
      <c r="G3515">
        <f>_xll.BDP("FNDD9154 Mtge","MTG_FACTOR")</f>
        <v>0.27596198</v>
      </c>
      <c r="H3515">
        <f>_xll.BDP("FNDD9154 Mtge","MTG_WAL")</f>
        <v>3.2785000000000002</v>
      </c>
      <c r="I3515" t="str">
        <f>_xll.BDP("FNDD9154 Mtge","MTG_ORIG_WAL")</f>
        <v>#N/A N/A</v>
      </c>
    </row>
    <row r="3516" spans="1:9" x14ac:dyDescent="0.25">
      <c r="A3516" t="str">
        <f>_xll.BDP("FNDD9155 Mtge","ID_CUSIP")</f>
        <v>3140BAE51</v>
      </c>
      <c r="B3516" t="str">
        <f>_xll.BDP("FNDD9155 Mtge","SECURITY_NAME")</f>
        <v>FN DD9155</v>
      </c>
      <c r="C3516" t="str">
        <f>_xll.BDP("FNDD9155 Mtge","GENERIC_TICKER_VINTAGE")</f>
        <v>FNCL 6 2025</v>
      </c>
      <c r="D3516" t="str">
        <f>_xll.BDP("FNDD9155 Mtge","CRNCY")</f>
        <v>USD</v>
      </c>
      <c r="E3516">
        <v>2707835</v>
      </c>
      <c r="F3516">
        <f>_xll.BDP("FNDD9155 Mtge","CPN")</f>
        <v>6</v>
      </c>
      <c r="G3516">
        <f>_xll.BDP("FNDD9155 Mtge","MTG_FACTOR")</f>
        <v>0.98907871999999997</v>
      </c>
      <c r="H3516">
        <f>_xll.BDP("FNDD9155 Mtge","MTG_WAL")</f>
        <v>3.2930999999999999</v>
      </c>
      <c r="I3516" t="str">
        <f>_xll.BDP("FNDD9155 Mtge","MTG_ORIG_WAL")</f>
        <v>#N/A N/A</v>
      </c>
    </row>
    <row r="3517" spans="1:9" x14ac:dyDescent="0.25">
      <c r="A3517" t="str">
        <f>_xll.BDP("FNDD9157 Mtge","ID_CUSIP")</f>
        <v>3140BAE77</v>
      </c>
      <c r="B3517" t="str">
        <f>_xll.BDP("FNDD9157 Mtge","SECURITY_NAME")</f>
        <v>FN DD9157</v>
      </c>
      <c r="C3517" t="str">
        <f>_xll.BDP("FNDD9157 Mtge","GENERIC_TICKER_VINTAGE")</f>
        <v>FNCL 6 2025</v>
      </c>
      <c r="D3517" t="str">
        <f>_xll.BDP("FNDD9157 Mtge","CRNCY")</f>
        <v>USD</v>
      </c>
      <c r="E3517">
        <v>3151020</v>
      </c>
      <c r="F3517">
        <f>_xll.BDP("FNDD9157 Mtge","CPN")</f>
        <v>6</v>
      </c>
      <c r="G3517">
        <f>_xll.BDP("FNDD9157 Mtge","MTG_FACTOR")</f>
        <v>0.57014697000000003</v>
      </c>
      <c r="H3517">
        <f>_xll.BDP("FNDD9157 Mtge","MTG_WAL")</f>
        <v>3.2783000000000002</v>
      </c>
      <c r="I3517" t="str">
        <f>_xll.BDP("FNDD9157 Mtge","MTG_ORIG_WAL")</f>
        <v>#N/A N/A</v>
      </c>
    </row>
    <row r="3518" spans="1:9" x14ac:dyDescent="0.25">
      <c r="A3518" t="str">
        <f>_xll.BDP("FNDD9161 Mtge","ID_CUSIP")</f>
        <v>3140BAFB7</v>
      </c>
      <c r="B3518" t="str">
        <f>_xll.BDP("FNDD9161 Mtge","SECURITY_NAME")</f>
        <v>FN DD9161</v>
      </c>
      <c r="C3518" t="str">
        <f>_xll.BDP("FNDD9161 Mtge","GENERIC_TICKER_VINTAGE")</f>
        <v>FNCL 6 2025</v>
      </c>
      <c r="D3518" t="str">
        <f>_xll.BDP("FNDD9161 Mtge","CRNCY")</f>
        <v>USD</v>
      </c>
      <c r="E3518">
        <v>1058550</v>
      </c>
      <c r="F3518">
        <f>_xll.BDP("FNDD9161 Mtge","CPN")</f>
        <v>6</v>
      </c>
      <c r="G3518">
        <f>_xll.BDP("FNDD9161 Mtge","MTG_FACTOR")</f>
        <v>0.98183279999999995</v>
      </c>
      <c r="H3518">
        <f>_xll.BDP("FNDD9161 Mtge","MTG_WAL")</f>
        <v>3.2867999999999999</v>
      </c>
      <c r="I3518" t="str">
        <f>_xll.BDP("FNDD9161 Mtge","MTG_ORIG_WAL")</f>
        <v>#N/A N/A</v>
      </c>
    </row>
    <row r="3519" spans="1:9" x14ac:dyDescent="0.25">
      <c r="A3519" t="str">
        <f>_xll.BDP("FNDD9204 Mtge","ID_CUSIP")</f>
        <v>3140BAGN0</v>
      </c>
      <c r="B3519" t="str">
        <f>_xll.BDP("FNDD9204 Mtge","SECURITY_NAME")</f>
        <v>FN DD9204</v>
      </c>
      <c r="C3519" t="str">
        <f>_xll.BDP("FNDD9204 Mtge","GENERIC_TICKER_VINTAGE")</f>
        <v>FNCL 6 2025</v>
      </c>
      <c r="D3519" t="str">
        <f>_xll.BDP("FNDD9204 Mtge","CRNCY")</f>
        <v>USD</v>
      </c>
      <c r="E3519">
        <v>2127816</v>
      </c>
      <c r="F3519">
        <f>_xll.BDP("FNDD9204 Mtge","CPN")</f>
        <v>6</v>
      </c>
      <c r="G3519">
        <f>_xll.BDP("FNDD9204 Mtge","MTG_FACTOR")</f>
        <v>0.93289327</v>
      </c>
      <c r="H3519">
        <f>_xll.BDP("FNDD9204 Mtge","MTG_WAL")</f>
        <v>3.2484999999999999</v>
      </c>
      <c r="I3519" t="str">
        <f>_xll.BDP("FNDD9204 Mtge","MTG_ORIG_WAL")</f>
        <v>#N/A N/A</v>
      </c>
    </row>
    <row r="3520" spans="1:9" x14ac:dyDescent="0.25">
      <c r="A3520" t="str">
        <f>_xll.BDP("FNDD9211 Mtge","ID_CUSIP")</f>
        <v>3140BAGV2</v>
      </c>
      <c r="B3520" t="str">
        <f>_xll.BDP("FNDD9211 Mtge","SECURITY_NAME")</f>
        <v>FN DD9211</v>
      </c>
      <c r="C3520" t="str">
        <f>_xll.BDP("FNDD9211 Mtge","GENERIC_TICKER_VINTAGE")</f>
        <v>FNCL 6 2025</v>
      </c>
      <c r="D3520" t="str">
        <f>_xll.BDP("FNDD9211 Mtge","CRNCY")</f>
        <v>USD</v>
      </c>
      <c r="E3520">
        <v>10825244</v>
      </c>
      <c r="F3520">
        <f>_xll.BDP("FNDD9211 Mtge","CPN")</f>
        <v>6</v>
      </c>
      <c r="G3520">
        <f>_xll.BDP("FNDD9211 Mtge","MTG_FACTOR")</f>
        <v>0.74995763999999998</v>
      </c>
      <c r="H3520">
        <f>_xll.BDP("FNDD9211 Mtge","MTG_WAL")</f>
        <v>3.2885</v>
      </c>
      <c r="I3520" t="str">
        <f>_xll.BDP("FNDD9211 Mtge","MTG_ORIG_WAL")</f>
        <v>#N/A N/A</v>
      </c>
    </row>
    <row r="3521" spans="1:9" x14ac:dyDescent="0.25">
      <c r="A3521" t="str">
        <f>_xll.BDP("FNDD9212 Mtge","ID_CUSIP")</f>
        <v>3140BAGW0</v>
      </c>
      <c r="B3521" t="str">
        <f>_xll.BDP("FNDD9212 Mtge","SECURITY_NAME")</f>
        <v>FN DD9212</v>
      </c>
      <c r="C3521" t="str">
        <f>_xll.BDP("FNDD9212 Mtge","GENERIC_TICKER_VINTAGE")</f>
        <v>FNCL 6 2025</v>
      </c>
      <c r="D3521" t="str">
        <f>_xll.BDP("FNDD9212 Mtge","CRNCY")</f>
        <v>USD</v>
      </c>
      <c r="E3521">
        <v>20575540</v>
      </c>
      <c r="F3521">
        <f>_xll.BDP("FNDD9212 Mtge","CPN")</f>
        <v>6</v>
      </c>
      <c r="G3521">
        <f>_xll.BDP("FNDD9212 Mtge","MTG_FACTOR")</f>
        <v>0.92689056000000003</v>
      </c>
      <c r="H3521">
        <f>_xll.BDP("FNDD9212 Mtge","MTG_WAL")</f>
        <v>3.2930999999999999</v>
      </c>
      <c r="I3521" t="str">
        <f>_xll.BDP("FNDD9212 Mtge","MTG_ORIG_WAL")</f>
        <v>#N/A N/A</v>
      </c>
    </row>
    <row r="3522" spans="1:9" x14ac:dyDescent="0.25">
      <c r="A3522" t="str">
        <f>_xll.BDP("FNDD9215 Mtge","ID_CUSIP")</f>
        <v>3140BAGZ3</v>
      </c>
      <c r="B3522" t="str">
        <f>_xll.BDP("FNDD9215 Mtge","SECURITY_NAME")</f>
        <v>FN DD9215</v>
      </c>
      <c r="C3522" t="str">
        <f>_xll.BDP("FNDD9215 Mtge","GENERIC_TICKER_VINTAGE")</f>
        <v>FNCL 6 2025</v>
      </c>
      <c r="D3522" t="str">
        <f>_xll.BDP("FNDD9215 Mtge","CRNCY")</f>
        <v>USD</v>
      </c>
      <c r="E3522">
        <v>3112922</v>
      </c>
      <c r="F3522">
        <f>_xll.BDP("FNDD9215 Mtge","CPN")</f>
        <v>6</v>
      </c>
      <c r="G3522">
        <f>_xll.BDP("FNDD9215 Mtge","MTG_FACTOR")</f>
        <v>0.98641500000000004</v>
      </c>
      <c r="H3522">
        <f>_xll.BDP("FNDD9215 Mtge","MTG_WAL")</f>
        <v>3.2890999999999999</v>
      </c>
      <c r="I3522" t="str">
        <f>_xll.BDP("FNDD9215 Mtge","MTG_ORIG_WAL")</f>
        <v>#N/A N/A</v>
      </c>
    </row>
    <row r="3523" spans="1:9" x14ac:dyDescent="0.25">
      <c r="A3523" t="str">
        <f>_xll.BDP("FNDD9217 Mtge","ID_CUSIP")</f>
        <v>3140BAG34</v>
      </c>
      <c r="B3523" t="str">
        <f>_xll.BDP("FNDD9217 Mtge","SECURITY_NAME")</f>
        <v>FN DD9217</v>
      </c>
      <c r="C3523" t="str">
        <f>_xll.BDP("FNDD9217 Mtge","GENERIC_TICKER_VINTAGE")</f>
        <v>FNCL 6 2025</v>
      </c>
      <c r="D3523" t="str">
        <f>_xll.BDP("FNDD9217 Mtge","CRNCY")</f>
        <v>USD</v>
      </c>
      <c r="E3523">
        <v>3170659</v>
      </c>
      <c r="F3523">
        <f>_xll.BDP("FNDD9217 Mtge","CPN")</f>
        <v>6</v>
      </c>
      <c r="G3523">
        <f>_xll.BDP("FNDD9217 Mtge","MTG_FACTOR")</f>
        <v>0.75712146000000002</v>
      </c>
      <c r="H3523">
        <f>_xll.BDP("FNDD9217 Mtge","MTG_WAL")</f>
        <v>3.2902</v>
      </c>
      <c r="I3523" t="str">
        <f>_xll.BDP("FNDD9217 Mtge","MTG_ORIG_WAL")</f>
        <v>#N/A N/A</v>
      </c>
    </row>
    <row r="3524" spans="1:9" x14ac:dyDescent="0.25">
      <c r="A3524" t="str">
        <f>_xll.BDP("FNDD9218 Mtge","ID_CUSIP")</f>
        <v>3140BAG42</v>
      </c>
      <c r="B3524" t="str">
        <f>_xll.BDP("FNDD9218 Mtge","SECURITY_NAME")</f>
        <v>FN DD9218</v>
      </c>
      <c r="C3524" t="str">
        <f>_xll.BDP("FNDD9218 Mtge","GENERIC_TICKER_VINTAGE")</f>
        <v>FNCL 6 2025</v>
      </c>
      <c r="D3524" t="str">
        <f>_xll.BDP("FNDD9218 Mtge","CRNCY")</f>
        <v>USD</v>
      </c>
      <c r="E3524">
        <v>4038258</v>
      </c>
      <c r="F3524">
        <f>_xll.BDP("FNDD9218 Mtge","CPN")</f>
        <v>6</v>
      </c>
      <c r="G3524">
        <f>_xll.BDP("FNDD9218 Mtge","MTG_FACTOR")</f>
        <v>0.74156909999999998</v>
      </c>
      <c r="H3524">
        <f>_xll.BDP("FNDD9218 Mtge","MTG_WAL")</f>
        <v>3.2932999999999999</v>
      </c>
      <c r="I3524" t="str">
        <f>_xll.BDP("FNDD9218 Mtge","MTG_ORIG_WAL")</f>
        <v>#N/A N/A</v>
      </c>
    </row>
    <row r="3525" spans="1:9" x14ac:dyDescent="0.25">
      <c r="A3525" t="str">
        <f>_xll.BDP("FNDD9220 Mtge","ID_CUSIP")</f>
        <v>3140BAG67</v>
      </c>
      <c r="B3525" t="str">
        <f>_xll.BDP("FNDD9220 Mtge","SECURITY_NAME")</f>
        <v>FN DD9220</v>
      </c>
      <c r="C3525" t="str">
        <f>_xll.BDP("FNDD9220 Mtge","GENERIC_TICKER_VINTAGE")</f>
        <v>FNCL 6 2025</v>
      </c>
      <c r="D3525" t="str">
        <f>_xll.BDP("FNDD9220 Mtge","CRNCY")</f>
        <v>USD</v>
      </c>
      <c r="E3525">
        <v>15536479</v>
      </c>
      <c r="F3525">
        <f>_xll.BDP("FNDD9220 Mtge","CPN")</f>
        <v>6</v>
      </c>
      <c r="G3525">
        <f>_xll.BDP("FNDD9220 Mtge","MTG_FACTOR")</f>
        <v>0.83776326000000001</v>
      </c>
      <c r="H3525">
        <f>_xll.BDP("FNDD9220 Mtge","MTG_WAL")</f>
        <v>3.2875000000000001</v>
      </c>
      <c r="I3525" t="str">
        <f>_xll.BDP("FNDD9220 Mtge","MTG_ORIG_WAL")</f>
        <v>#N/A N/A</v>
      </c>
    </row>
    <row r="3526" spans="1:9" x14ac:dyDescent="0.25">
      <c r="A3526" t="str">
        <f>_xll.BDP("FNDD9225 Mtge","ID_CUSIP")</f>
        <v>3140BAHB5</v>
      </c>
      <c r="B3526" t="str">
        <f>_xll.BDP("FNDD9225 Mtge","SECURITY_NAME")</f>
        <v>FN DD9225</v>
      </c>
      <c r="C3526" t="str">
        <f>_xll.BDP("FNDD9225 Mtge","GENERIC_TICKER_VINTAGE")</f>
        <v>FNCL 6 2025</v>
      </c>
      <c r="D3526" t="str">
        <f>_xll.BDP("FNDD9225 Mtge","CRNCY")</f>
        <v>USD</v>
      </c>
      <c r="E3526">
        <v>2296469</v>
      </c>
      <c r="F3526">
        <f>_xll.BDP("FNDD9225 Mtge","CPN")</f>
        <v>6</v>
      </c>
      <c r="G3526">
        <f>_xll.BDP("FNDD9225 Mtge","MTG_FACTOR")</f>
        <v>0.98812933000000003</v>
      </c>
      <c r="H3526">
        <f>_xll.BDP("FNDD9225 Mtge","MTG_WAL")</f>
        <v>3.2934999999999999</v>
      </c>
      <c r="I3526" t="str">
        <f>_xll.BDP("FNDD9225 Mtge","MTG_ORIG_WAL")</f>
        <v>#N/A N/A</v>
      </c>
    </row>
    <row r="3527" spans="1:9" x14ac:dyDescent="0.25">
      <c r="A3527" t="str">
        <f>_xll.BDP("FNDD9236 Mtge","ID_CUSIP")</f>
        <v>3140BAHN9</v>
      </c>
      <c r="B3527" t="str">
        <f>_xll.BDP("FNDD9236 Mtge","SECURITY_NAME")</f>
        <v>FN DD9236</v>
      </c>
      <c r="C3527" t="str">
        <f>_xll.BDP("FNDD9236 Mtge","GENERIC_TICKER_VINTAGE")</f>
        <v>FNCL 6 2025</v>
      </c>
      <c r="D3527" t="str">
        <f>_xll.BDP("FNDD9236 Mtge","CRNCY")</f>
        <v>USD</v>
      </c>
      <c r="E3527">
        <v>2529133</v>
      </c>
      <c r="F3527">
        <f>_xll.BDP("FNDD9236 Mtge","CPN")</f>
        <v>6</v>
      </c>
      <c r="G3527">
        <f>_xll.BDP("FNDD9236 Mtge","MTG_FACTOR")</f>
        <v>0.98076076000000001</v>
      </c>
      <c r="H3527">
        <f>_xll.BDP("FNDD9236 Mtge","MTG_WAL")</f>
        <v>3.2867000000000002</v>
      </c>
      <c r="I3527" t="str">
        <f>_xll.BDP("FNDD9236 Mtge","MTG_ORIG_WAL")</f>
        <v>#N/A N/A</v>
      </c>
    </row>
    <row r="3528" spans="1:9" x14ac:dyDescent="0.25">
      <c r="A3528" t="str">
        <f>_xll.BDP("FNDD9246 Mtge","ID_CUSIP")</f>
        <v>3140BAHY5</v>
      </c>
      <c r="B3528" t="str">
        <f>_xll.BDP("FNDD9246 Mtge","SECURITY_NAME")</f>
        <v>FN DD9246</v>
      </c>
      <c r="C3528" t="str">
        <f>_xll.BDP("FNDD9246 Mtge","GENERIC_TICKER_VINTAGE")</f>
        <v>FNCL 6 2025</v>
      </c>
      <c r="D3528" t="str">
        <f>_xll.BDP("FNDD9246 Mtge","CRNCY")</f>
        <v>USD</v>
      </c>
      <c r="E3528">
        <v>2993433</v>
      </c>
      <c r="F3528">
        <f>_xll.BDP("FNDD9246 Mtge","CPN")</f>
        <v>6</v>
      </c>
      <c r="G3528">
        <f>_xll.BDP("FNDD9246 Mtge","MTG_FACTOR")</f>
        <v>0.98714672999999997</v>
      </c>
      <c r="H3528">
        <f>_xll.BDP("FNDD9246 Mtge","MTG_WAL")</f>
        <v>3.2904</v>
      </c>
      <c r="I3528" t="str">
        <f>_xll.BDP("FNDD9246 Mtge","MTG_ORIG_WAL")</f>
        <v>#N/A N/A</v>
      </c>
    </row>
    <row r="3529" spans="1:9" x14ac:dyDescent="0.25">
      <c r="A3529" t="str">
        <f>_xll.BDP("FNDD9247 Mtge","ID_CUSIP")</f>
        <v>3140BAHZ2</v>
      </c>
      <c r="B3529" t="str">
        <f>_xll.BDP("FNDD9247 Mtge","SECURITY_NAME")</f>
        <v>FN DD9247</v>
      </c>
      <c r="C3529" t="str">
        <f>_xll.BDP("FNDD9247 Mtge","GENERIC_TICKER_VINTAGE")</f>
        <v>FNCL 6 2025</v>
      </c>
      <c r="D3529" t="str">
        <f>_xll.BDP("FNDD9247 Mtge","CRNCY")</f>
        <v>USD</v>
      </c>
      <c r="E3529">
        <v>1208205</v>
      </c>
      <c r="F3529">
        <f>_xll.BDP("FNDD9247 Mtge","CPN")</f>
        <v>6</v>
      </c>
      <c r="G3529">
        <f>_xll.BDP("FNDD9247 Mtge","MTG_FACTOR")</f>
        <v>0.99137969999999997</v>
      </c>
      <c r="H3529">
        <f>_xll.BDP("FNDD9247 Mtge","MTG_WAL")</f>
        <v>3.2947000000000002</v>
      </c>
      <c r="I3529" t="str">
        <f>_xll.BDP("FNDD9247 Mtge","MTG_ORIG_WAL")</f>
        <v>#N/A N/A</v>
      </c>
    </row>
    <row r="3530" spans="1:9" x14ac:dyDescent="0.25">
      <c r="A3530" t="str">
        <f>_xll.BDP("FNDD9253 Mtge","ID_CUSIP")</f>
        <v>3140BAH74</v>
      </c>
      <c r="B3530" t="str">
        <f>_xll.BDP("FNDD9253 Mtge","SECURITY_NAME")</f>
        <v>FN DD9253</v>
      </c>
      <c r="C3530" t="str">
        <f>_xll.BDP("FNDD9253 Mtge","GENERIC_TICKER_VINTAGE")</f>
        <v>FNCL 6 2025</v>
      </c>
      <c r="D3530" t="str">
        <f>_xll.BDP("FNDD9253 Mtge","CRNCY")</f>
        <v>USD</v>
      </c>
      <c r="E3530">
        <v>1077272</v>
      </c>
      <c r="F3530">
        <f>_xll.BDP("FNDD9253 Mtge","CPN")</f>
        <v>6</v>
      </c>
      <c r="G3530">
        <f>_xll.BDP("FNDD9253 Mtge","MTG_FACTOR")</f>
        <v>0.99122029</v>
      </c>
      <c r="H3530">
        <f>_xll.BDP("FNDD9253 Mtge","MTG_WAL")</f>
        <v>3.2936000000000001</v>
      </c>
      <c r="I3530" t="str">
        <f>_xll.BDP("FNDD9253 Mtge","MTG_ORIG_WAL")</f>
        <v>#N/A N/A</v>
      </c>
    </row>
    <row r="3531" spans="1:9" x14ac:dyDescent="0.25">
      <c r="A3531" t="str">
        <f>_xll.BDP("FNDD9256 Mtge","ID_CUSIP")</f>
        <v>3140BAJA5</v>
      </c>
      <c r="B3531" t="str">
        <f>_xll.BDP("FNDD9256 Mtge","SECURITY_NAME")</f>
        <v>FN DD9256</v>
      </c>
      <c r="C3531" t="str">
        <f>_xll.BDP("FNDD9256 Mtge","GENERIC_TICKER_VINTAGE")</f>
        <v>FNCL 6 2025</v>
      </c>
      <c r="D3531" t="str">
        <f>_xll.BDP("FNDD9256 Mtge","CRNCY")</f>
        <v>USD</v>
      </c>
      <c r="E3531">
        <v>7719822</v>
      </c>
      <c r="F3531">
        <f>_xll.BDP("FNDD9256 Mtge","CPN")</f>
        <v>6</v>
      </c>
      <c r="G3531">
        <f>_xll.BDP("FNDD9256 Mtge","MTG_FACTOR")</f>
        <v>0.85161229999999999</v>
      </c>
      <c r="H3531">
        <f>_xll.BDP("FNDD9256 Mtge","MTG_WAL")</f>
        <v>3.2902</v>
      </c>
      <c r="I3531" t="str">
        <f>_xll.BDP("FNDD9256 Mtge","MTG_ORIG_WAL")</f>
        <v>#N/A N/A</v>
      </c>
    </row>
    <row r="3532" spans="1:9" x14ac:dyDescent="0.25">
      <c r="A3532" t="str">
        <f>_xll.BDP("FNDD9268 Mtge","ID_CUSIP")</f>
        <v>3140BAJN7</v>
      </c>
      <c r="B3532" t="str">
        <f>_xll.BDP("FNDD9268 Mtge","SECURITY_NAME")</f>
        <v>FN DD9268</v>
      </c>
      <c r="C3532" t="str">
        <f>_xll.BDP("FNDD9268 Mtge","GENERIC_TICKER_VINTAGE")</f>
        <v>FNCL 6 2025</v>
      </c>
      <c r="D3532" t="str">
        <f>_xll.BDP("FNDD9268 Mtge","CRNCY")</f>
        <v>USD</v>
      </c>
      <c r="E3532">
        <v>3436820</v>
      </c>
      <c r="F3532">
        <f>_xll.BDP("FNDD9268 Mtge","CPN")</f>
        <v>6</v>
      </c>
      <c r="G3532">
        <f>_xll.BDP("FNDD9268 Mtge","MTG_FACTOR")</f>
        <v>0.82552362000000001</v>
      </c>
      <c r="H3532">
        <f>_xll.BDP("FNDD9268 Mtge","MTG_WAL")</f>
        <v>3.2463000000000002</v>
      </c>
      <c r="I3532" t="str">
        <f>_xll.BDP("FNDD9268 Mtge","MTG_ORIG_WAL")</f>
        <v>#N/A N/A</v>
      </c>
    </row>
    <row r="3533" spans="1:9" x14ac:dyDescent="0.25">
      <c r="A3533" t="str">
        <f>_xll.BDP("FNDD9271 Mtge","ID_CUSIP")</f>
        <v>3140BAJR8</v>
      </c>
      <c r="B3533" t="str">
        <f>_xll.BDP("FNDD9271 Mtge","SECURITY_NAME")</f>
        <v>FN DD9271</v>
      </c>
      <c r="C3533" t="str">
        <f>_xll.BDP("FNDD9271 Mtge","GENERIC_TICKER_VINTAGE")</f>
        <v>FNCL 6 2025</v>
      </c>
      <c r="D3533" t="str">
        <f>_xll.BDP("FNDD9271 Mtge","CRNCY")</f>
        <v>USD</v>
      </c>
      <c r="E3533">
        <v>1508184</v>
      </c>
      <c r="F3533">
        <f>_xll.BDP("FNDD9271 Mtge","CPN")</f>
        <v>6</v>
      </c>
      <c r="G3533">
        <f>_xll.BDP("FNDD9271 Mtge","MTG_FACTOR")</f>
        <v>0.94534198999999997</v>
      </c>
      <c r="H3533">
        <f>_xll.BDP("FNDD9271 Mtge","MTG_WAL")</f>
        <v>3.2446999999999999</v>
      </c>
      <c r="I3533" t="str">
        <f>_xll.BDP("FNDD9271 Mtge","MTG_ORIG_WAL")</f>
        <v>#N/A N/A</v>
      </c>
    </row>
    <row r="3534" spans="1:9" x14ac:dyDescent="0.25">
      <c r="A3534" t="str">
        <f>_xll.BDP("FNDD9273 Mtge","ID_CUSIP")</f>
        <v>3140BAJT4</v>
      </c>
      <c r="B3534" t="str">
        <f>_xll.BDP("FNDD9273 Mtge","SECURITY_NAME")</f>
        <v>FN DD9273</v>
      </c>
      <c r="C3534" t="str">
        <f>_xll.BDP("FNDD9273 Mtge","GENERIC_TICKER_VINTAGE")</f>
        <v>FNCL 6 2025</v>
      </c>
      <c r="D3534" t="str">
        <f>_xll.BDP("FNDD9273 Mtge","CRNCY")</f>
        <v>USD</v>
      </c>
      <c r="E3534">
        <v>4178768</v>
      </c>
      <c r="F3534">
        <f>_xll.BDP("FNDD9273 Mtge","CPN")</f>
        <v>6</v>
      </c>
      <c r="G3534">
        <f>_xll.BDP("FNDD9273 Mtge","MTG_FACTOR")</f>
        <v>0.89545934000000005</v>
      </c>
      <c r="H3534">
        <f>_xll.BDP("FNDD9273 Mtge","MTG_WAL")</f>
        <v>3.2439</v>
      </c>
      <c r="I3534" t="str">
        <f>_xll.BDP("FNDD9273 Mtge","MTG_ORIG_WAL")</f>
        <v>#N/A N/A</v>
      </c>
    </row>
    <row r="3535" spans="1:9" x14ac:dyDescent="0.25">
      <c r="A3535" t="str">
        <f>_xll.BDP("FNDD9275 Mtge","ID_CUSIP")</f>
        <v>3140BAJV9</v>
      </c>
      <c r="B3535" t="str">
        <f>_xll.BDP("FNDD9275 Mtge","SECURITY_NAME")</f>
        <v>FN DD9275</v>
      </c>
      <c r="C3535" t="str">
        <f>_xll.BDP("FNDD9275 Mtge","GENERIC_TICKER_VINTAGE")</f>
        <v>FNCL 6 2025</v>
      </c>
      <c r="D3535" t="str">
        <f>_xll.BDP("FNDD9275 Mtge","CRNCY")</f>
        <v>USD</v>
      </c>
      <c r="E3535">
        <v>6921246</v>
      </c>
      <c r="F3535">
        <f>_xll.BDP("FNDD9275 Mtge","CPN")</f>
        <v>6</v>
      </c>
      <c r="G3535">
        <f>_xll.BDP("FNDD9275 Mtge","MTG_FACTOR")</f>
        <v>0.93202423000000001</v>
      </c>
      <c r="H3535">
        <f>_xll.BDP("FNDD9275 Mtge","MTG_WAL")</f>
        <v>3.2351999999999999</v>
      </c>
      <c r="I3535" t="str">
        <f>_xll.BDP("FNDD9275 Mtge","MTG_ORIG_WAL")</f>
        <v>#N/A N/A</v>
      </c>
    </row>
    <row r="3536" spans="1:9" x14ac:dyDescent="0.25">
      <c r="A3536" t="str">
        <f>_xll.BDP("FNDD9276 Mtge","ID_CUSIP")</f>
        <v>3140BAJW7</v>
      </c>
      <c r="B3536" t="str">
        <f>_xll.BDP("FNDD9276 Mtge","SECURITY_NAME")</f>
        <v>FN DD9276</v>
      </c>
      <c r="C3536" t="str">
        <f>_xll.BDP("FNDD9276 Mtge","GENERIC_TICKER_VINTAGE")</f>
        <v>FNCL 6 2025</v>
      </c>
      <c r="D3536" t="str">
        <f>_xll.BDP("FNDD9276 Mtge","CRNCY")</f>
        <v>USD</v>
      </c>
      <c r="E3536">
        <v>5010819</v>
      </c>
      <c r="F3536">
        <f>_xll.BDP("FNDD9276 Mtge","CPN")</f>
        <v>6</v>
      </c>
      <c r="G3536">
        <f>_xll.BDP("FNDD9276 Mtge","MTG_FACTOR")</f>
        <v>0.85120755999999997</v>
      </c>
      <c r="H3536">
        <f>_xll.BDP("FNDD9276 Mtge","MTG_WAL")</f>
        <v>3.2456</v>
      </c>
      <c r="I3536" t="str">
        <f>_xll.BDP("FNDD9276 Mtge","MTG_ORIG_WAL")</f>
        <v>#N/A N/A</v>
      </c>
    </row>
    <row r="3537" spans="1:9" x14ac:dyDescent="0.25">
      <c r="A3537" t="str">
        <f>_xll.BDP("FNDD9277 Mtge","ID_CUSIP")</f>
        <v>3140BAJX5</v>
      </c>
      <c r="B3537" t="str">
        <f>_xll.BDP("FNDD9277 Mtge","SECURITY_NAME")</f>
        <v>FN DD9277</v>
      </c>
      <c r="C3537" t="str">
        <f>_xll.BDP("FNDD9277 Mtge","GENERIC_TICKER_VINTAGE")</f>
        <v>FNCL 6 2025</v>
      </c>
      <c r="D3537" t="str">
        <f>_xll.BDP("FNDD9277 Mtge","CRNCY")</f>
        <v>USD</v>
      </c>
      <c r="E3537">
        <v>18170201</v>
      </c>
      <c r="F3537">
        <f>_xll.BDP("FNDD9277 Mtge","CPN")</f>
        <v>6</v>
      </c>
      <c r="G3537">
        <f>_xll.BDP("FNDD9277 Mtge","MTG_FACTOR")</f>
        <v>0.94231176999999999</v>
      </c>
      <c r="H3537">
        <f>_xll.BDP("FNDD9277 Mtge","MTG_WAL")</f>
        <v>3.2423999999999999</v>
      </c>
      <c r="I3537" t="str">
        <f>_xll.BDP("FNDD9277 Mtge","MTG_ORIG_WAL")</f>
        <v>#N/A N/A</v>
      </c>
    </row>
    <row r="3538" spans="1:9" x14ac:dyDescent="0.25">
      <c r="A3538" t="str">
        <f>_xll.BDP("FNDD9296 Mtge","ID_CUSIP")</f>
        <v>3140BAKJ4</v>
      </c>
      <c r="B3538" t="str">
        <f>_xll.BDP("FNDD9296 Mtge","SECURITY_NAME")</f>
        <v>FN DD9296</v>
      </c>
      <c r="C3538" t="str">
        <f>_xll.BDP("FNDD9296 Mtge","GENERIC_TICKER_VINTAGE")</f>
        <v>FNCL 6 2025</v>
      </c>
      <c r="D3538" t="str">
        <f>_xll.BDP("FNDD9296 Mtge","CRNCY")</f>
        <v>USD</v>
      </c>
      <c r="E3538">
        <v>2881807</v>
      </c>
      <c r="F3538">
        <f>_xll.BDP("FNDD9296 Mtge","CPN")</f>
        <v>6</v>
      </c>
      <c r="G3538">
        <f>_xll.BDP("FNDD9296 Mtge","MTG_FACTOR")</f>
        <v>0.99034029999999995</v>
      </c>
      <c r="H3538">
        <f>_xll.BDP("FNDD9296 Mtge","MTG_WAL")</f>
        <v>3.2033999999999998</v>
      </c>
      <c r="I3538" t="str">
        <f>_xll.BDP("FNDD9296 Mtge","MTG_ORIG_WAL")</f>
        <v>#N/A N/A</v>
      </c>
    </row>
    <row r="3539" spans="1:9" x14ac:dyDescent="0.25">
      <c r="A3539" t="str">
        <f>_xll.BDP("FNDD9298 Mtge","ID_CUSIP")</f>
        <v>3140BAKL9</v>
      </c>
      <c r="B3539" t="str">
        <f>_xll.BDP("FNDD9298 Mtge","SECURITY_NAME")</f>
        <v>FN DD9298</v>
      </c>
      <c r="C3539" t="str">
        <f>_xll.BDP("FNDD9298 Mtge","GENERIC_TICKER_VINTAGE")</f>
        <v>FNCL 6 2025</v>
      </c>
      <c r="D3539" t="str">
        <f>_xll.BDP("FNDD9298 Mtge","CRNCY")</f>
        <v>USD</v>
      </c>
      <c r="E3539">
        <v>5242375</v>
      </c>
      <c r="F3539">
        <f>_xll.BDP("FNDD9298 Mtge","CPN")</f>
        <v>6</v>
      </c>
      <c r="G3539">
        <f>_xll.BDP("FNDD9298 Mtge","MTG_FACTOR")</f>
        <v>0.78883124000000004</v>
      </c>
      <c r="H3539">
        <f>_xll.BDP("FNDD9298 Mtge","MTG_WAL")</f>
        <v>3.2418</v>
      </c>
      <c r="I3539" t="str">
        <f>_xll.BDP("FNDD9298 Mtge","MTG_ORIG_WAL")</f>
        <v>#N/A N/A</v>
      </c>
    </row>
    <row r="3540" spans="1:9" x14ac:dyDescent="0.25">
      <c r="A3540" t="str">
        <f>_xll.BDP("FNDD9301 Mtge","ID_CUSIP")</f>
        <v>3140BAKP0</v>
      </c>
      <c r="B3540" t="str">
        <f>_xll.BDP("FNDD9301 Mtge","SECURITY_NAME")</f>
        <v>FN DD9301</v>
      </c>
      <c r="C3540" t="str">
        <f>_xll.BDP("FNDD9301 Mtge","GENERIC_TICKER_VINTAGE")</f>
        <v>FNCL 6 2025</v>
      </c>
      <c r="D3540" t="str">
        <f>_xll.BDP("FNDD9301 Mtge","CRNCY")</f>
        <v>USD</v>
      </c>
      <c r="E3540">
        <v>6973584</v>
      </c>
      <c r="F3540">
        <f>_xll.BDP("FNDD9301 Mtge","CPN")</f>
        <v>6</v>
      </c>
      <c r="G3540">
        <f>_xll.BDP("FNDD9301 Mtge","MTG_FACTOR")</f>
        <v>0.91836757000000002</v>
      </c>
      <c r="H3540">
        <f>_xll.BDP("FNDD9301 Mtge","MTG_WAL")</f>
        <v>3.2953999999999999</v>
      </c>
      <c r="I3540" t="str">
        <f>_xll.BDP("FNDD9301 Mtge","MTG_ORIG_WAL")</f>
        <v>#N/A N/A</v>
      </c>
    </row>
    <row r="3541" spans="1:9" x14ac:dyDescent="0.25">
      <c r="A3541" t="str">
        <f>_xll.BDP("FNDD9304 Mtge","ID_CUSIP")</f>
        <v>3140BAKS4</v>
      </c>
      <c r="B3541" t="str">
        <f>_xll.BDP("FNDD9304 Mtge","SECURITY_NAME")</f>
        <v>FN DD9304</v>
      </c>
      <c r="C3541" t="str">
        <f>_xll.BDP("FNDD9304 Mtge","GENERIC_TICKER_VINTAGE")</f>
        <v>FNCL 6 2025</v>
      </c>
      <c r="D3541" t="str">
        <f>_xll.BDP("FNDD9304 Mtge","CRNCY")</f>
        <v>USD</v>
      </c>
      <c r="E3541">
        <v>2666983</v>
      </c>
      <c r="F3541">
        <f>_xll.BDP("FNDD9304 Mtge","CPN")</f>
        <v>6</v>
      </c>
      <c r="G3541">
        <f>_xll.BDP("FNDD9304 Mtge","MTG_FACTOR")</f>
        <v>0.99125859999999999</v>
      </c>
      <c r="H3541">
        <f>_xll.BDP("FNDD9304 Mtge","MTG_WAL")</f>
        <v>3.2484000000000002</v>
      </c>
      <c r="I3541" t="str">
        <f>_xll.BDP("FNDD9304 Mtge","MTG_ORIG_WAL")</f>
        <v>#N/A N/A</v>
      </c>
    </row>
    <row r="3542" spans="1:9" x14ac:dyDescent="0.25">
      <c r="A3542" t="str">
        <f>_xll.BDP("FNDD9307 Mtge","ID_CUSIP")</f>
        <v>3140BAKV7</v>
      </c>
      <c r="B3542" t="str">
        <f>_xll.BDP("FNDD9307 Mtge","SECURITY_NAME")</f>
        <v>FN DD9307</v>
      </c>
      <c r="C3542" t="str">
        <f>_xll.BDP("FNDD9307 Mtge","GENERIC_TICKER_VINTAGE")</f>
        <v>FNCL 6 2025</v>
      </c>
      <c r="D3542" t="str">
        <f>_xll.BDP("FNDD9307 Mtge","CRNCY")</f>
        <v>USD</v>
      </c>
      <c r="E3542">
        <v>1351720</v>
      </c>
      <c r="F3542">
        <f>_xll.BDP("FNDD9307 Mtge","CPN")</f>
        <v>6</v>
      </c>
      <c r="G3542">
        <f>_xll.BDP("FNDD9307 Mtge","MTG_FACTOR")</f>
        <v>0.54537513000000004</v>
      </c>
      <c r="H3542">
        <f>_xll.BDP("FNDD9307 Mtge","MTG_WAL")</f>
        <v>3.2467999999999999</v>
      </c>
      <c r="I3542" t="str">
        <f>_xll.BDP("FNDD9307 Mtge","MTG_ORIG_WAL")</f>
        <v>#N/A N/A</v>
      </c>
    </row>
    <row r="3543" spans="1:9" x14ac:dyDescent="0.25">
      <c r="A3543" t="str">
        <f>_xll.BDP("FNDD9310 Mtge","ID_CUSIP")</f>
        <v>3140BAKY1</v>
      </c>
      <c r="B3543" t="str">
        <f>_xll.BDP("FNDD9310 Mtge","SECURITY_NAME")</f>
        <v>FN DD9310</v>
      </c>
      <c r="C3543" t="str">
        <f>_xll.BDP("FNDD9310 Mtge","GENERIC_TICKER_VINTAGE")</f>
        <v>FNCL 6 2025</v>
      </c>
      <c r="D3543" t="str">
        <f>_xll.BDP("FNDD9310 Mtge","CRNCY")</f>
        <v>USD</v>
      </c>
      <c r="E3543">
        <v>1141870</v>
      </c>
      <c r="F3543">
        <f>_xll.BDP("FNDD9310 Mtge","CPN")</f>
        <v>6</v>
      </c>
      <c r="G3543">
        <f>_xll.BDP("FNDD9310 Mtge","MTG_FACTOR")</f>
        <v>0.96968310999999996</v>
      </c>
      <c r="H3543">
        <f>_xll.BDP("FNDD9310 Mtge","MTG_WAL")</f>
        <v>3.2317999999999998</v>
      </c>
      <c r="I3543" t="str">
        <f>_xll.BDP("FNDD9310 Mtge","MTG_ORIG_WAL")</f>
        <v>#N/A N/A</v>
      </c>
    </row>
    <row r="3544" spans="1:9" x14ac:dyDescent="0.25">
      <c r="A3544" t="str">
        <f>_xll.BDP("FNDD9311 Mtge","ID_CUSIP")</f>
        <v>3140BAKZ8</v>
      </c>
      <c r="B3544" t="str">
        <f>_xll.BDP("FNDD9311 Mtge","SECURITY_NAME")</f>
        <v>FN DD9311</v>
      </c>
      <c r="C3544" t="str">
        <f>_xll.BDP("FNDD9311 Mtge","GENERIC_TICKER_VINTAGE")</f>
        <v>FNCL 6 2025</v>
      </c>
      <c r="D3544" t="str">
        <f>_xll.BDP("FNDD9311 Mtge","CRNCY")</f>
        <v>USD</v>
      </c>
      <c r="E3544">
        <v>2309922</v>
      </c>
      <c r="F3544">
        <f>_xll.BDP("FNDD9311 Mtge","CPN")</f>
        <v>6</v>
      </c>
      <c r="G3544">
        <f>_xll.BDP("FNDD9311 Mtge","MTG_FACTOR")</f>
        <v>0.80946850999999997</v>
      </c>
      <c r="H3544">
        <f>_xll.BDP("FNDD9311 Mtge","MTG_WAL")</f>
        <v>3.2456999999999998</v>
      </c>
      <c r="I3544" t="str">
        <f>_xll.BDP("FNDD9311 Mtge","MTG_ORIG_WAL")</f>
        <v>#N/A N/A</v>
      </c>
    </row>
    <row r="3545" spans="1:9" x14ac:dyDescent="0.25">
      <c r="A3545" t="str">
        <f>_xll.BDP("FNDD9312 Mtge","ID_CUSIP")</f>
        <v>3140BAK21</v>
      </c>
      <c r="B3545" t="str">
        <f>_xll.BDP("FNDD9312 Mtge","SECURITY_NAME")</f>
        <v>FN DD9312</v>
      </c>
      <c r="C3545" t="str">
        <f>_xll.BDP("FNDD9312 Mtge","GENERIC_TICKER_VINTAGE")</f>
        <v>FNCL 6 2025</v>
      </c>
      <c r="D3545" t="str">
        <f>_xll.BDP("FNDD9312 Mtge","CRNCY")</f>
        <v>USD</v>
      </c>
      <c r="E3545">
        <v>9128341</v>
      </c>
      <c r="F3545">
        <f>_xll.BDP("FNDD9312 Mtge","CPN")</f>
        <v>6</v>
      </c>
      <c r="G3545">
        <f>_xll.BDP("FNDD9312 Mtge","MTG_FACTOR")</f>
        <v>0.87930326999999997</v>
      </c>
      <c r="H3545">
        <f>_xll.BDP("FNDD9312 Mtge","MTG_WAL")</f>
        <v>3.2446999999999999</v>
      </c>
      <c r="I3545" t="str">
        <f>_xll.BDP("FNDD9312 Mtge","MTG_ORIG_WAL")</f>
        <v>#N/A N/A</v>
      </c>
    </row>
    <row r="3546" spans="1:9" x14ac:dyDescent="0.25">
      <c r="A3546" t="str">
        <f>_xll.BDP("FNDD9321 Mtge","ID_CUSIP")</f>
        <v>3140BALB0</v>
      </c>
      <c r="B3546" t="str">
        <f>_xll.BDP("FNDD9321 Mtge","SECURITY_NAME")</f>
        <v>FN DD9321</v>
      </c>
      <c r="C3546" t="str">
        <f>_xll.BDP("FNDD9321 Mtge","GENERIC_TICKER_VINTAGE")</f>
        <v>FNCL 6 2025</v>
      </c>
      <c r="D3546" t="str">
        <f>_xll.BDP("FNDD9321 Mtge","CRNCY")</f>
        <v>USD</v>
      </c>
      <c r="E3546">
        <v>1029059</v>
      </c>
      <c r="F3546">
        <f>_xll.BDP("FNDD9321 Mtge","CPN")</f>
        <v>6</v>
      </c>
      <c r="G3546">
        <f>_xll.BDP("FNDD9321 Mtge","MTG_FACTOR")</f>
        <v>0.99054271000000005</v>
      </c>
      <c r="H3546">
        <f>_xll.BDP("FNDD9321 Mtge","MTG_WAL")</f>
        <v>3.2892999999999999</v>
      </c>
      <c r="I3546" t="str">
        <f>_xll.BDP("FNDD9321 Mtge","MTG_ORIG_WAL")</f>
        <v>#N/A N/A</v>
      </c>
    </row>
    <row r="3547" spans="1:9" x14ac:dyDescent="0.25">
      <c r="A3547" t="str">
        <f>_xll.BDP("FNDD9347 Mtge","ID_CUSIP")</f>
        <v>3140BAL53</v>
      </c>
      <c r="B3547" t="str">
        <f>_xll.BDP("FNDD9347 Mtge","SECURITY_NAME")</f>
        <v>FN DD9347</v>
      </c>
      <c r="C3547" t="str">
        <f>_xll.BDP("FNDD9347 Mtge","GENERIC_TICKER_VINTAGE")</f>
        <v>FNCL 6 2025</v>
      </c>
      <c r="D3547" t="str">
        <f>_xll.BDP("FNDD9347 Mtge","CRNCY")</f>
        <v>USD</v>
      </c>
      <c r="E3547">
        <v>6577289</v>
      </c>
      <c r="F3547">
        <f>_xll.BDP("FNDD9347 Mtge","CPN")</f>
        <v>6</v>
      </c>
      <c r="G3547">
        <f>_xll.BDP("FNDD9347 Mtge","MTG_FACTOR")</f>
        <v>0.98928402000000004</v>
      </c>
      <c r="H3547">
        <f>_xll.BDP("FNDD9347 Mtge","MTG_WAL")</f>
        <v>3.2888000000000002</v>
      </c>
      <c r="I3547" t="str">
        <f>_xll.BDP("FNDD9347 Mtge","MTG_ORIG_WAL")</f>
        <v>#N/A N/A</v>
      </c>
    </row>
    <row r="3548" spans="1:9" x14ac:dyDescent="0.25">
      <c r="A3548" t="str">
        <f>_xll.BDP("FNDD9350 Mtge","ID_CUSIP")</f>
        <v>3140BAL87</v>
      </c>
      <c r="B3548" t="str">
        <f>_xll.BDP("FNDD9350 Mtge","SECURITY_NAME")</f>
        <v>FN DD9350</v>
      </c>
      <c r="C3548" t="str">
        <f>_xll.BDP("FNDD9350 Mtge","GENERIC_TICKER_VINTAGE")</f>
        <v>FNCL 6 2025</v>
      </c>
      <c r="D3548" t="str">
        <f>_xll.BDP("FNDD9350 Mtge","CRNCY")</f>
        <v>USD</v>
      </c>
      <c r="E3548">
        <v>8293780</v>
      </c>
      <c r="F3548">
        <f>_xll.BDP("FNDD9350 Mtge","CPN")</f>
        <v>6</v>
      </c>
      <c r="G3548">
        <f>_xll.BDP("FNDD9350 Mtge","MTG_FACTOR")</f>
        <v>0.92005303999999999</v>
      </c>
      <c r="H3548">
        <f>_xll.BDP("FNDD9350 Mtge","MTG_WAL")</f>
        <v>3.2900999999999998</v>
      </c>
      <c r="I3548" t="str">
        <f>_xll.BDP("FNDD9350 Mtge","MTG_ORIG_WAL")</f>
        <v>#N/A N/A</v>
      </c>
    </row>
    <row r="3549" spans="1:9" x14ac:dyDescent="0.25">
      <c r="A3549" t="str">
        <f>_xll.BDP("FNDD9352 Mtge","ID_CUSIP")</f>
        <v>3140BAMA1</v>
      </c>
      <c r="B3549" t="str">
        <f>_xll.BDP("FNDD9352 Mtge","SECURITY_NAME")</f>
        <v>FN DD9352</v>
      </c>
      <c r="C3549" t="str">
        <f>_xll.BDP("FNDD9352 Mtge","GENERIC_TICKER_VINTAGE")</f>
        <v>FNCL 6 2025</v>
      </c>
      <c r="D3549" t="str">
        <f>_xll.BDP("FNDD9352 Mtge","CRNCY")</f>
        <v>USD</v>
      </c>
      <c r="E3549">
        <v>2074071</v>
      </c>
      <c r="F3549">
        <f>_xll.BDP("FNDD9352 Mtge","CPN")</f>
        <v>6</v>
      </c>
      <c r="G3549">
        <f>_xll.BDP("FNDD9352 Mtge","MTG_FACTOR")</f>
        <v>0.99221190000000004</v>
      </c>
      <c r="H3549">
        <f>_xll.BDP("FNDD9352 Mtge","MTG_WAL")</f>
        <v>3.2494000000000001</v>
      </c>
      <c r="I3549" t="str">
        <f>_xll.BDP("FNDD9352 Mtge","MTG_ORIG_WAL")</f>
        <v>#N/A N/A</v>
      </c>
    </row>
    <row r="3550" spans="1:9" x14ac:dyDescent="0.25">
      <c r="A3550" t="str">
        <f>_xll.BDP("FNDD9354 Mtge","ID_CUSIP")</f>
        <v>3140BAMC7</v>
      </c>
      <c r="B3550" t="str">
        <f>_xll.BDP("FNDD9354 Mtge","SECURITY_NAME")</f>
        <v>FN DD9354</v>
      </c>
      <c r="C3550" t="str">
        <f>_xll.BDP("FNDD9354 Mtge","GENERIC_TICKER_VINTAGE")</f>
        <v>FNCL 6 2025</v>
      </c>
      <c r="D3550" t="str">
        <f>_xll.BDP("FNDD9354 Mtge","CRNCY")</f>
        <v>USD</v>
      </c>
      <c r="E3550">
        <v>2595950</v>
      </c>
      <c r="F3550">
        <f>_xll.BDP("FNDD9354 Mtge","CPN")</f>
        <v>6</v>
      </c>
      <c r="G3550">
        <f>_xll.BDP("FNDD9354 Mtge","MTG_FACTOR")</f>
        <v>0.96074420999999999</v>
      </c>
      <c r="H3550">
        <f>_xll.BDP("FNDD9354 Mtge","MTG_WAL")</f>
        <v>3.3363</v>
      </c>
      <c r="I3550" t="str">
        <f>_xll.BDP("FNDD9354 Mtge","MTG_ORIG_WAL")</f>
        <v>#N/A N/A</v>
      </c>
    </row>
    <row r="3551" spans="1:9" x14ac:dyDescent="0.25">
      <c r="A3551" t="str">
        <f>_xll.BDP("FNDD9361 Mtge","ID_CUSIP")</f>
        <v>3140BAMK9</v>
      </c>
      <c r="B3551" t="str">
        <f>_xll.BDP("FNDD9361 Mtge","SECURITY_NAME")</f>
        <v>FN DD9361</v>
      </c>
      <c r="C3551" t="str">
        <f>_xll.BDP("FNDD9361 Mtge","GENERIC_TICKER_VINTAGE")</f>
        <v>FNCL 6 2025</v>
      </c>
      <c r="D3551" t="str">
        <f>_xll.BDP("FNDD9361 Mtge","CRNCY")</f>
        <v>USD</v>
      </c>
      <c r="E3551">
        <v>1027730</v>
      </c>
      <c r="F3551">
        <f>_xll.BDP("FNDD9361 Mtge","CPN")</f>
        <v>6</v>
      </c>
      <c r="G3551">
        <f>_xll.BDP("FNDD9361 Mtge","MTG_FACTOR")</f>
        <v>0.97609455000000001</v>
      </c>
      <c r="H3551">
        <f>_xll.BDP("FNDD9361 Mtge","MTG_WAL")</f>
        <v>3.2768000000000002</v>
      </c>
      <c r="I3551" t="str">
        <f>_xll.BDP("FNDD9361 Mtge","MTG_ORIG_WAL")</f>
        <v>#N/A N/A</v>
      </c>
    </row>
    <row r="3552" spans="1:9" x14ac:dyDescent="0.25">
      <c r="A3552" t="str">
        <f>_xll.BDP("FNDD9362 Mtge","ID_CUSIP")</f>
        <v>3140BAML7</v>
      </c>
      <c r="B3552" t="str">
        <f>_xll.BDP("FNDD9362 Mtge","SECURITY_NAME")</f>
        <v>FN DD9362</v>
      </c>
      <c r="C3552" t="str">
        <f>_xll.BDP("FNDD9362 Mtge","GENERIC_TICKER_VINTAGE")</f>
        <v>FNCL 6 2025</v>
      </c>
      <c r="D3552" t="str">
        <f>_xll.BDP("FNDD9362 Mtge","CRNCY")</f>
        <v>USD</v>
      </c>
      <c r="E3552">
        <v>1682765</v>
      </c>
      <c r="F3552">
        <f>_xll.BDP("FNDD9362 Mtge","CPN")</f>
        <v>6</v>
      </c>
      <c r="G3552">
        <f>_xll.BDP("FNDD9362 Mtge","MTG_FACTOR")</f>
        <v>0.99030784999999999</v>
      </c>
      <c r="H3552">
        <f>_xll.BDP("FNDD9362 Mtge","MTG_WAL")</f>
        <v>3.2875000000000001</v>
      </c>
      <c r="I3552" t="str">
        <f>_xll.BDP("FNDD9362 Mtge","MTG_ORIG_WAL")</f>
        <v>#N/A N/A</v>
      </c>
    </row>
    <row r="3553" spans="1:9" x14ac:dyDescent="0.25">
      <c r="A3553" t="str">
        <f>_xll.BDP("FNDD9363 Mtge","ID_CUSIP")</f>
        <v>3140BAMM5</v>
      </c>
      <c r="B3553" t="str">
        <f>_xll.BDP("FNDD9363 Mtge","SECURITY_NAME")</f>
        <v>FN DD9363</v>
      </c>
      <c r="C3553" t="str">
        <f>_xll.BDP("FNDD9363 Mtge","GENERIC_TICKER_VINTAGE")</f>
        <v>FNCL 6 2025</v>
      </c>
      <c r="D3553" t="str">
        <f>_xll.BDP("FNDD9363 Mtge","CRNCY")</f>
        <v>USD</v>
      </c>
      <c r="E3553">
        <v>1134190</v>
      </c>
      <c r="F3553">
        <f>_xll.BDP("FNDD9363 Mtge","CPN")</f>
        <v>6</v>
      </c>
      <c r="G3553">
        <f>_xll.BDP("FNDD9363 Mtge","MTG_FACTOR")</f>
        <v>0.99145665999999999</v>
      </c>
      <c r="H3553">
        <f>_xll.BDP("FNDD9363 Mtge","MTG_WAL")</f>
        <v>3.2890999999999999</v>
      </c>
      <c r="I3553" t="str">
        <f>_xll.BDP("FNDD9363 Mtge","MTG_ORIG_WAL")</f>
        <v>#N/A N/A</v>
      </c>
    </row>
    <row r="3554" spans="1:9" x14ac:dyDescent="0.25">
      <c r="A3554" t="str">
        <f>_xll.BDP("FNDD9375 Mtge","ID_CUSIP")</f>
        <v>3140BAMZ6</v>
      </c>
      <c r="B3554" t="str">
        <f>_xll.BDP("FNDD9375 Mtge","SECURITY_NAME")</f>
        <v>FN DD9375</v>
      </c>
      <c r="C3554" t="str">
        <f>_xll.BDP("FNDD9375 Mtge","GENERIC_TICKER_VINTAGE")</f>
        <v>FNCL 6 2025</v>
      </c>
      <c r="D3554" t="str">
        <f>_xll.BDP("FNDD9375 Mtge","CRNCY")</f>
        <v>USD</v>
      </c>
      <c r="E3554">
        <v>1288000</v>
      </c>
      <c r="F3554">
        <f>_xll.BDP("FNDD9375 Mtge","CPN")</f>
        <v>6</v>
      </c>
      <c r="G3554">
        <f>_xll.BDP("FNDD9375 Mtge","MTG_FACTOR")</f>
        <v>0.37420869000000001</v>
      </c>
      <c r="H3554">
        <f>_xll.BDP("FNDD9375 Mtge","MTG_WAL")</f>
        <v>3.2947000000000002</v>
      </c>
      <c r="I3554" t="str">
        <f>_xll.BDP("FNDD9375 Mtge","MTG_ORIG_WAL")</f>
        <v>#N/A N/A</v>
      </c>
    </row>
    <row r="3555" spans="1:9" x14ac:dyDescent="0.25">
      <c r="A3555" t="str">
        <f>_xll.BDP("FNDD9376 Mtge","ID_CUSIP")</f>
        <v>3140BAM29</v>
      </c>
      <c r="B3555" t="str">
        <f>_xll.BDP("FNDD9376 Mtge","SECURITY_NAME")</f>
        <v>FN DD9376</v>
      </c>
      <c r="C3555" t="str">
        <f>_xll.BDP("FNDD9376 Mtge","GENERIC_TICKER_VINTAGE")</f>
        <v>FNCL 6 2025</v>
      </c>
      <c r="D3555" t="str">
        <f>_xll.BDP("FNDD9376 Mtge","CRNCY")</f>
        <v>USD</v>
      </c>
      <c r="E3555">
        <v>1927000</v>
      </c>
      <c r="F3555">
        <f>_xll.BDP("FNDD9376 Mtge","CPN")</f>
        <v>6</v>
      </c>
      <c r="G3555">
        <f>_xll.BDP("FNDD9376 Mtge","MTG_FACTOR")</f>
        <v>0.99116254000000004</v>
      </c>
      <c r="H3555">
        <f>_xll.BDP("FNDD9376 Mtge","MTG_WAL")</f>
        <v>3.2959000000000001</v>
      </c>
      <c r="I3555" t="str">
        <f>_xll.BDP("FNDD9376 Mtge","MTG_ORIG_WAL")</f>
        <v>#N/A N/A</v>
      </c>
    </row>
    <row r="3556" spans="1:9" x14ac:dyDescent="0.25">
      <c r="A3556" t="str">
        <f>_xll.BDP("FNDD9377 Mtge","ID_CUSIP")</f>
        <v>3140BAM37</v>
      </c>
      <c r="B3556" t="str">
        <f>_xll.BDP("FNDD9377 Mtge","SECURITY_NAME")</f>
        <v>FN DD9377</v>
      </c>
      <c r="C3556" t="str">
        <f>_xll.BDP("FNDD9377 Mtge","GENERIC_TICKER_VINTAGE")</f>
        <v>FNCL 6 2025</v>
      </c>
      <c r="D3556" t="str">
        <f>_xll.BDP("FNDD9377 Mtge","CRNCY")</f>
        <v>USD</v>
      </c>
      <c r="E3556">
        <v>1269325</v>
      </c>
      <c r="F3556">
        <f>_xll.BDP("FNDD9377 Mtge","CPN")</f>
        <v>6</v>
      </c>
      <c r="G3556">
        <f>_xll.BDP("FNDD9377 Mtge","MTG_FACTOR")</f>
        <v>0.98939138999999998</v>
      </c>
      <c r="H3556">
        <f>_xll.BDP("FNDD9377 Mtge","MTG_WAL")</f>
        <v>3.2934999999999999</v>
      </c>
      <c r="I3556" t="str">
        <f>_xll.BDP("FNDD9377 Mtge","MTG_ORIG_WAL")</f>
        <v>#N/A N/A</v>
      </c>
    </row>
    <row r="3557" spans="1:9" x14ac:dyDescent="0.25">
      <c r="A3557" t="str">
        <f>_xll.BDP("FNDD9382 Mtge","ID_CUSIP")</f>
        <v>3140BAM86</v>
      </c>
      <c r="B3557" t="str">
        <f>_xll.BDP("FNDD9382 Mtge","SECURITY_NAME")</f>
        <v>FN DD9382</v>
      </c>
      <c r="C3557" t="str">
        <f>_xll.BDP("FNDD9382 Mtge","GENERIC_TICKER_VINTAGE")</f>
        <v>FNCL 6 2025</v>
      </c>
      <c r="D3557" t="str">
        <f>_xll.BDP("FNDD9382 Mtge","CRNCY")</f>
        <v>USD</v>
      </c>
      <c r="E3557">
        <v>1093130</v>
      </c>
      <c r="F3557">
        <f>_xll.BDP("FNDD9382 Mtge","CPN")</f>
        <v>6</v>
      </c>
      <c r="G3557">
        <f>_xll.BDP("FNDD9382 Mtge","MTG_FACTOR")</f>
        <v>0.99137143000000005</v>
      </c>
      <c r="H3557">
        <f>_xll.BDP("FNDD9382 Mtge","MTG_WAL")</f>
        <v>3.2953000000000001</v>
      </c>
      <c r="I3557" t="str">
        <f>_xll.BDP("FNDD9382 Mtge","MTG_ORIG_WAL")</f>
        <v>#N/A N/A</v>
      </c>
    </row>
    <row r="3558" spans="1:9" x14ac:dyDescent="0.25">
      <c r="A3558" t="str">
        <f>_xll.BDP("FNDD9392 Mtge","ID_CUSIP")</f>
        <v>3140BANJ1</v>
      </c>
      <c r="B3558" t="str">
        <f>_xll.BDP("FNDD9392 Mtge","SECURITY_NAME")</f>
        <v>FN DD9392</v>
      </c>
      <c r="C3558" t="str">
        <f>_xll.BDP("FNDD9392 Mtge","GENERIC_TICKER_VINTAGE")</f>
        <v>FNCL 6 2025</v>
      </c>
      <c r="D3558" t="str">
        <f>_xll.BDP("FNDD9392 Mtge","CRNCY")</f>
        <v>USD</v>
      </c>
      <c r="E3558">
        <v>1118800</v>
      </c>
      <c r="F3558">
        <f>_xll.BDP("FNDD9392 Mtge","CPN")</f>
        <v>6</v>
      </c>
      <c r="G3558">
        <f>_xll.BDP("FNDD9392 Mtge","MTG_FACTOR")</f>
        <v>0.99045068999999997</v>
      </c>
      <c r="H3558">
        <f>_xll.BDP("FNDD9392 Mtge","MTG_WAL")</f>
        <v>3.2966000000000002</v>
      </c>
      <c r="I3558" t="str">
        <f>_xll.BDP("FNDD9392 Mtge","MTG_ORIG_WAL")</f>
        <v>#N/A N/A</v>
      </c>
    </row>
    <row r="3559" spans="1:9" x14ac:dyDescent="0.25">
      <c r="A3559" t="str">
        <f>_xll.BDP("FNDD9393 Mtge","ID_CUSIP")</f>
        <v>3140BANK8</v>
      </c>
      <c r="B3559" t="str">
        <f>_xll.BDP("FNDD9393 Mtge","SECURITY_NAME")</f>
        <v>FN DD9393</v>
      </c>
      <c r="C3559" t="str">
        <f>_xll.BDP("FNDD9393 Mtge","GENERIC_TICKER_VINTAGE")</f>
        <v>FNCL 6 2025</v>
      </c>
      <c r="D3559" t="str">
        <f>_xll.BDP("FNDD9393 Mtge","CRNCY")</f>
        <v>USD</v>
      </c>
      <c r="E3559">
        <v>1572300</v>
      </c>
      <c r="F3559">
        <f>_xll.BDP("FNDD9393 Mtge","CPN")</f>
        <v>6</v>
      </c>
      <c r="G3559">
        <f>_xll.BDP("FNDD9393 Mtge","MTG_FACTOR")</f>
        <v>0.98842872999999998</v>
      </c>
      <c r="H3559">
        <f>_xll.BDP("FNDD9393 Mtge","MTG_WAL")</f>
        <v>3.2921</v>
      </c>
      <c r="I3559" t="str">
        <f>_xll.BDP("FNDD9393 Mtge","MTG_ORIG_WAL")</f>
        <v>#N/A N/A</v>
      </c>
    </row>
    <row r="3560" spans="1:9" x14ac:dyDescent="0.25">
      <c r="A3560" t="str">
        <f>_xll.BDP("FNDD9394 Mtge","ID_CUSIP")</f>
        <v>3140BANL6</v>
      </c>
      <c r="B3560" t="str">
        <f>_xll.BDP("FNDD9394 Mtge","SECURITY_NAME")</f>
        <v>FN DD9394</v>
      </c>
      <c r="C3560" t="str">
        <f>_xll.BDP("FNDD9394 Mtge","GENERIC_TICKER_VINTAGE")</f>
        <v>FNCL 6 2025</v>
      </c>
      <c r="D3560" t="str">
        <f>_xll.BDP("FNDD9394 Mtge","CRNCY")</f>
        <v>USD</v>
      </c>
      <c r="E3560">
        <v>1072550</v>
      </c>
      <c r="F3560">
        <f>_xll.BDP("FNDD9394 Mtge","CPN")</f>
        <v>6</v>
      </c>
      <c r="G3560">
        <f>_xll.BDP("FNDD9394 Mtge","MTG_FACTOR")</f>
        <v>0.99133420000000005</v>
      </c>
      <c r="H3560">
        <f>_xll.BDP("FNDD9394 Mtge","MTG_WAL")</f>
        <v>3.2949000000000002</v>
      </c>
      <c r="I3560" t="str">
        <f>_xll.BDP("FNDD9394 Mtge","MTG_ORIG_WAL")</f>
        <v>#N/A N/A</v>
      </c>
    </row>
    <row r="3561" spans="1:9" x14ac:dyDescent="0.25">
      <c r="A3561" t="str">
        <f>_xll.BDP("FNDD9395 Mtge","ID_CUSIP")</f>
        <v>3140BANM4</v>
      </c>
      <c r="B3561" t="str">
        <f>_xll.BDP("FNDD9395 Mtge","SECURITY_NAME")</f>
        <v>FN DD9395</v>
      </c>
      <c r="C3561" t="str">
        <f>_xll.BDP("FNDD9395 Mtge","GENERIC_TICKER_VINTAGE")</f>
        <v>FNCL 6 2025</v>
      </c>
      <c r="D3561" t="str">
        <f>_xll.BDP("FNDD9395 Mtge","CRNCY")</f>
        <v>USD</v>
      </c>
      <c r="E3561">
        <v>1142250</v>
      </c>
      <c r="F3561">
        <f>_xll.BDP("FNDD9395 Mtge","CPN")</f>
        <v>6</v>
      </c>
      <c r="G3561">
        <f>_xll.BDP("FNDD9395 Mtge","MTG_FACTOR")</f>
        <v>0.99111802000000004</v>
      </c>
      <c r="H3561">
        <f>_xll.BDP("FNDD9395 Mtge","MTG_WAL")</f>
        <v>3.2967</v>
      </c>
      <c r="I3561" t="str">
        <f>_xll.BDP("FNDD9395 Mtge","MTG_ORIG_WAL")</f>
        <v>#N/A N/A</v>
      </c>
    </row>
    <row r="3562" spans="1:9" x14ac:dyDescent="0.25">
      <c r="A3562" t="str">
        <f>_xll.BDP("FNDD9396 Mtge","ID_CUSIP")</f>
        <v>3140BANN2</v>
      </c>
      <c r="B3562" t="str">
        <f>_xll.BDP("FNDD9396 Mtge","SECURITY_NAME")</f>
        <v>FN DD9396</v>
      </c>
      <c r="C3562" t="str">
        <f>_xll.BDP("FNDD9396 Mtge","GENERIC_TICKER_VINTAGE")</f>
        <v>FNCL 6 2025</v>
      </c>
      <c r="D3562" t="str">
        <f>_xll.BDP("FNDD9396 Mtge","CRNCY")</f>
        <v>USD</v>
      </c>
      <c r="E3562">
        <v>1433250</v>
      </c>
      <c r="F3562">
        <f>_xll.BDP("FNDD9396 Mtge","CPN")</f>
        <v>6</v>
      </c>
      <c r="G3562">
        <f>_xll.BDP("FNDD9396 Mtge","MTG_FACTOR")</f>
        <v>0.78156312999999999</v>
      </c>
      <c r="H3562">
        <f>_xll.BDP("FNDD9396 Mtge","MTG_WAL")</f>
        <v>3.2928000000000002</v>
      </c>
      <c r="I3562" t="str">
        <f>_xll.BDP("FNDD9396 Mtge","MTG_ORIG_WAL")</f>
        <v>#N/A N/A</v>
      </c>
    </row>
    <row r="3563" spans="1:9" x14ac:dyDescent="0.25">
      <c r="A3563" t="str">
        <f>_xll.BDP("FNDD9397 Mtge","ID_CUSIP")</f>
        <v>3140BANP7</v>
      </c>
      <c r="B3563" t="str">
        <f>_xll.BDP("FNDD9397 Mtge","SECURITY_NAME")</f>
        <v>FN DD9397</v>
      </c>
      <c r="C3563" t="str">
        <f>_xll.BDP("FNDD9397 Mtge","GENERIC_TICKER_VINTAGE")</f>
        <v>FNCL 6 2025</v>
      </c>
      <c r="D3563" t="str">
        <f>_xll.BDP("FNDD9397 Mtge","CRNCY")</f>
        <v>USD</v>
      </c>
      <c r="E3563">
        <v>1353500</v>
      </c>
      <c r="F3563">
        <f>_xll.BDP("FNDD9397 Mtge","CPN")</f>
        <v>6</v>
      </c>
      <c r="G3563">
        <f>_xll.BDP("FNDD9397 Mtge","MTG_FACTOR")</f>
        <v>0.74919740999999995</v>
      </c>
      <c r="H3563">
        <f>_xll.BDP("FNDD9397 Mtge","MTG_WAL")</f>
        <v>3.2955000000000001</v>
      </c>
      <c r="I3563" t="str">
        <f>_xll.BDP("FNDD9397 Mtge","MTG_ORIG_WAL")</f>
        <v>#N/A N/A</v>
      </c>
    </row>
    <row r="3564" spans="1:9" x14ac:dyDescent="0.25">
      <c r="A3564" t="str">
        <f>_xll.BDP("FNDD9398 Mtge","ID_CUSIP")</f>
        <v>3140BANQ5</v>
      </c>
      <c r="B3564" t="str">
        <f>_xll.BDP("FNDD9398 Mtge","SECURITY_NAME")</f>
        <v>FN DD9398</v>
      </c>
      <c r="C3564" t="str">
        <f>_xll.BDP("FNDD9398 Mtge","GENERIC_TICKER_VINTAGE")</f>
        <v>FNCL 6 2025</v>
      </c>
      <c r="D3564" t="str">
        <f>_xll.BDP("FNDD9398 Mtge","CRNCY")</f>
        <v>USD</v>
      </c>
      <c r="E3564">
        <v>1941500</v>
      </c>
      <c r="F3564">
        <f>_xll.BDP("FNDD9398 Mtge","CPN")</f>
        <v>6</v>
      </c>
      <c r="G3564">
        <f>_xll.BDP("FNDD9398 Mtge","MTG_FACTOR")</f>
        <v>0.79722464999999998</v>
      </c>
      <c r="H3564">
        <f>_xll.BDP("FNDD9398 Mtge","MTG_WAL")</f>
        <v>3.2961</v>
      </c>
      <c r="I3564" t="str">
        <f>_xll.BDP("FNDD9398 Mtge","MTG_ORIG_WAL")</f>
        <v>#N/A N/A</v>
      </c>
    </row>
    <row r="3565" spans="1:9" x14ac:dyDescent="0.25">
      <c r="A3565" t="str">
        <f>_xll.BDP("FNDD9405 Mtge","ID_CUSIP")</f>
        <v>3140BANX0</v>
      </c>
      <c r="B3565" t="str">
        <f>_xll.BDP("FNDD9405 Mtge","SECURITY_NAME")</f>
        <v>FN DD9405</v>
      </c>
      <c r="C3565" t="str">
        <f>_xll.BDP("FNDD9405 Mtge","GENERIC_TICKER_VINTAGE")</f>
        <v>FNCL 6 2025</v>
      </c>
      <c r="D3565" t="str">
        <f>_xll.BDP("FNDD9405 Mtge","CRNCY")</f>
        <v>USD</v>
      </c>
      <c r="E3565">
        <v>1059697</v>
      </c>
      <c r="F3565">
        <f>_xll.BDP("FNDD9405 Mtge","CPN")</f>
        <v>6</v>
      </c>
      <c r="G3565">
        <f>_xll.BDP("FNDD9405 Mtge","MTG_FACTOR")</f>
        <v>0.96592851000000002</v>
      </c>
      <c r="H3565">
        <f>_xll.BDP("FNDD9405 Mtge","MTG_WAL")</f>
        <v>3.2751000000000001</v>
      </c>
      <c r="I3565" t="str">
        <f>_xll.BDP("FNDD9405 Mtge","MTG_ORIG_WAL")</f>
        <v>#N/A N/A</v>
      </c>
    </row>
    <row r="3566" spans="1:9" x14ac:dyDescent="0.25">
      <c r="A3566" t="str">
        <f>_xll.BDP("FNDD9412 Mtge","ID_CUSIP")</f>
        <v>3140BAN69</v>
      </c>
      <c r="B3566" t="str">
        <f>_xll.BDP("FNDD9412 Mtge","SECURITY_NAME")</f>
        <v>FN DD9412</v>
      </c>
      <c r="C3566" t="str">
        <f>_xll.BDP("FNDD9412 Mtge","GENERIC_TICKER_VINTAGE")</f>
        <v>FNCL 6 2025</v>
      </c>
      <c r="D3566" t="str">
        <f>_xll.BDP("FNDD9412 Mtge","CRNCY")</f>
        <v>USD</v>
      </c>
      <c r="E3566">
        <v>1719000</v>
      </c>
      <c r="F3566">
        <f>_xll.BDP("FNDD9412 Mtge","CPN")</f>
        <v>6</v>
      </c>
      <c r="G3566">
        <f>_xll.BDP("FNDD9412 Mtge","MTG_FACTOR")</f>
        <v>0.99079790999999995</v>
      </c>
      <c r="H3566">
        <f>_xll.BDP("FNDD9412 Mtge","MTG_WAL")</f>
        <v>3.2942999999999998</v>
      </c>
      <c r="I3566" t="str">
        <f>_xll.BDP("FNDD9412 Mtge","MTG_ORIG_WAL")</f>
        <v>#N/A N/A</v>
      </c>
    </row>
    <row r="3567" spans="1:9" x14ac:dyDescent="0.25">
      <c r="A3567" t="str">
        <f>_xll.BDP("FNDD9413 Mtge","ID_CUSIP")</f>
        <v>3140BAN77</v>
      </c>
      <c r="B3567" t="str">
        <f>_xll.BDP("FNDD9413 Mtge","SECURITY_NAME")</f>
        <v>FN DD9413</v>
      </c>
      <c r="C3567" t="str">
        <f>_xll.BDP("FNDD9413 Mtge","GENERIC_TICKER_VINTAGE")</f>
        <v>FNCL 6 2025</v>
      </c>
      <c r="D3567" t="str">
        <f>_xll.BDP("FNDD9413 Mtge","CRNCY")</f>
        <v>USD</v>
      </c>
      <c r="E3567">
        <v>1172400</v>
      </c>
      <c r="F3567">
        <f>_xll.BDP("FNDD9413 Mtge","CPN")</f>
        <v>6</v>
      </c>
      <c r="G3567">
        <f>_xll.BDP("FNDD9413 Mtge","MTG_FACTOR")</f>
        <v>0.99116599000000005</v>
      </c>
      <c r="H3567">
        <f>_xll.BDP("FNDD9413 Mtge","MTG_WAL")</f>
        <v>3.2961</v>
      </c>
      <c r="I3567" t="str">
        <f>_xll.BDP("FNDD9413 Mtge","MTG_ORIG_WAL")</f>
        <v>#N/A N/A</v>
      </c>
    </row>
    <row r="3568" spans="1:9" x14ac:dyDescent="0.25">
      <c r="A3568" t="str">
        <f>_xll.BDP("FNDD9414 Mtge","ID_CUSIP")</f>
        <v>3140BAN85</v>
      </c>
      <c r="B3568" t="str">
        <f>_xll.BDP("FNDD9414 Mtge","SECURITY_NAME")</f>
        <v>FN DD9414</v>
      </c>
      <c r="C3568" t="str">
        <f>_xll.BDP("FNDD9414 Mtge","GENERIC_TICKER_VINTAGE")</f>
        <v>FNCL 6 2025</v>
      </c>
      <c r="D3568" t="str">
        <f>_xll.BDP("FNDD9414 Mtge","CRNCY")</f>
        <v>USD</v>
      </c>
      <c r="E3568">
        <v>1694000</v>
      </c>
      <c r="F3568">
        <f>_xll.BDP("FNDD9414 Mtge","CPN")</f>
        <v>6</v>
      </c>
      <c r="G3568">
        <f>_xll.BDP("FNDD9414 Mtge","MTG_FACTOR")</f>
        <v>0.99033895999999999</v>
      </c>
      <c r="H3568">
        <f>_xll.BDP("FNDD9414 Mtge","MTG_WAL")</f>
        <v>3.2934000000000001</v>
      </c>
      <c r="I3568" t="str">
        <f>_xll.BDP("FNDD9414 Mtge","MTG_ORIG_WAL")</f>
        <v>#N/A N/A</v>
      </c>
    </row>
    <row r="3569" spans="1:9" x14ac:dyDescent="0.25">
      <c r="A3569" t="str">
        <f>_xll.BDP("FNDD9415 Mtge","ID_CUSIP")</f>
        <v>3140BAN93</v>
      </c>
      <c r="B3569" t="str">
        <f>_xll.BDP("FNDD9415 Mtge","SECURITY_NAME")</f>
        <v>FN DD9415</v>
      </c>
      <c r="C3569" t="str">
        <f>_xll.BDP("FNDD9415 Mtge","GENERIC_TICKER_VINTAGE")</f>
        <v>FNCL 6 2025</v>
      </c>
      <c r="D3569" t="str">
        <f>_xll.BDP("FNDD9415 Mtge","CRNCY")</f>
        <v>USD</v>
      </c>
      <c r="E3569">
        <v>1912797</v>
      </c>
      <c r="F3569">
        <f>_xll.BDP("FNDD9415 Mtge","CPN")</f>
        <v>6</v>
      </c>
      <c r="G3569">
        <f>_xll.BDP("FNDD9415 Mtge","MTG_FACTOR")</f>
        <v>0.79288846999999996</v>
      </c>
      <c r="H3569">
        <f>_xll.BDP("FNDD9415 Mtge","MTG_WAL")</f>
        <v>3.2915999999999999</v>
      </c>
      <c r="I3569" t="str">
        <f>_xll.BDP("FNDD9415 Mtge","MTG_ORIG_WAL")</f>
        <v>#N/A N/A</v>
      </c>
    </row>
    <row r="3570" spans="1:9" x14ac:dyDescent="0.25">
      <c r="A3570" t="str">
        <f>_xll.BDP("FNDD9420 Mtge","ID_CUSIP")</f>
        <v>3140BAPE0</v>
      </c>
      <c r="B3570" t="str">
        <f>_xll.BDP("FNDD9420 Mtge","SECURITY_NAME")</f>
        <v>FN DD9420</v>
      </c>
      <c r="C3570" t="str">
        <f>_xll.BDP("FNDD9420 Mtge","GENERIC_TICKER_VINTAGE")</f>
        <v>FNCL 6 2025</v>
      </c>
      <c r="D3570" t="str">
        <f>_xll.BDP("FNDD9420 Mtge","CRNCY")</f>
        <v>USD</v>
      </c>
      <c r="E3570">
        <v>1439250</v>
      </c>
      <c r="F3570">
        <f>_xll.BDP("FNDD9420 Mtge","CPN")</f>
        <v>6</v>
      </c>
      <c r="G3570">
        <f>_xll.BDP("FNDD9420 Mtge","MTG_FACTOR")</f>
        <v>0.99142644000000002</v>
      </c>
      <c r="H3570">
        <f>_xll.BDP("FNDD9420 Mtge","MTG_WAL")</f>
        <v>3.2970000000000002</v>
      </c>
      <c r="I3570" t="str">
        <f>_xll.BDP("FNDD9420 Mtge","MTG_ORIG_WAL")</f>
        <v>#N/A N/A</v>
      </c>
    </row>
    <row r="3571" spans="1:9" x14ac:dyDescent="0.25">
      <c r="A3571" t="str">
        <f>_xll.BDP("FNDD9421 Mtge","ID_CUSIP")</f>
        <v>3140BAPF7</v>
      </c>
      <c r="B3571" t="str">
        <f>_xll.BDP("FNDD9421 Mtge","SECURITY_NAME")</f>
        <v>FN DD9421</v>
      </c>
      <c r="C3571" t="str">
        <f>_xll.BDP("FNDD9421 Mtge","GENERIC_TICKER_VINTAGE")</f>
        <v>FNCL 6 2025</v>
      </c>
      <c r="D3571" t="str">
        <f>_xll.BDP("FNDD9421 Mtge","CRNCY")</f>
        <v>USD</v>
      </c>
      <c r="E3571">
        <v>1271200</v>
      </c>
      <c r="F3571">
        <f>_xll.BDP("FNDD9421 Mtge","CPN")</f>
        <v>6</v>
      </c>
      <c r="G3571">
        <f>_xll.BDP("FNDD9421 Mtge","MTG_FACTOR")</f>
        <v>0.74181375999999999</v>
      </c>
      <c r="H3571">
        <f>_xll.BDP("FNDD9421 Mtge","MTG_WAL")</f>
        <v>3.2953000000000001</v>
      </c>
      <c r="I3571" t="str">
        <f>_xll.BDP("FNDD9421 Mtge","MTG_ORIG_WAL")</f>
        <v>#N/A N/A</v>
      </c>
    </row>
    <row r="3572" spans="1:9" x14ac:dyDescent="0.25">
      <c r="A3572" t="str">
        <f>_xll.BDP("FNDD9422 Mtge","ID_CUSIP")</f>
        <v>3140BAPG5</v>
      </c>
      <c r="B3572" t="str">
        <f>_xll.BDP("FNDD9422 Mtge","SECURITY_NAME")</f>
        <v>FN DD9422</v>
      </c>
      <c r="C3572" t="str">
        <f>_xll.BDP("FNDD9422 Mtge","GENERIC_TICKER_VINTAGE")</f>
        <v>FNCL 6 2025</v>
      </c>
      <c r="D3572" t="str">
        <f>_xll.BDP("FNDD9422 Mtge","CRNCY")</f>
        <v>USD</v>
      </c>
      <c r="E3572">
        <v>1314650</v>
      </c>
      <c r="F3572">
        <f>_xll.BDP("FNDD9422 Mtge","CPN")</f>
        <v>6</v>
      </c>
      <c r="G3572">
        <f>_xll.BDP("FNDD9422 Mtge","MTG_FACTOR")</f>
        <v>0.99097343000000004</v>
      </c>
      <c r="H3572">
        <f>_xll.BDP("FNDD9422 Mtge","MTG_WAL")</f>
        <v>3.2959999999999998</v>
      </c>
      <c r="I3572" t="str">
        <f>_xll.BDP("FNDD9422 Mtge","MTG_ORIG_WAL")</f>
        <v>#N/A N/A</v>
      </c>
    </row>
    <row r="3573" spans="1:9" x14ac:dyDescent="0.25">
      <c r="A3573" t="str">
        <f>_xll.BDP("FNDD9423 Mtge","ID_CUSIP")</f>
        <v>3140BAPH3</v>
      </c>
      <c r="B3573" t="str">
        <f>_xll.BDP("FNDD9423 Mtge","SECURITY_NAME")</f>
        <v>FN DD9423</v>
      </c>
      <c r="C3573" t="str">
        <f>_xll.BDP("FNDD9423 Mtge","GENERIC_TICKER_VINTAGE")</f>
        <v>FNCL 6 2025</v>
      </c>
      <c r="D3573" t="str">
        <f>_xll.BDP("FNDD9423 Mtge","CRNCY")</f>
        <v>USD</v>
      </c>
      <c r="E3573">
        <v>1077740</v>
      </c>
      <c r="F3573">
        <f>_xll.BDP("FNDD9423 Mtge","CPN")</f>
        <v>6</v>
      </c>
      <c r="G3573">
        <f>_xll.BDP("FNDD9423 Mtge","MTG_FACTOR")</f>
        <v>0.99125167000000003</v>
      </c>
      <c r="H3573">
        <f>_xll.BDP("FNDD9423 Mtge","MTG_WAL")</f>
        <v>3.2970000000000002</v>
      </c>
      <c r="I3573" t="str">
        <f>_xll.BDP("FNDD9423 Mtge","MTG_ORIG_WAL")</f>
        <v>#N/A N/A</v>
      </c>
    </row>
    <row r="3574" spans="1:9" x14ac:dyDescent="0.25">
      <c r="A3574" t="str">
        <f>_xll.BDP("FNDD9435 Mtge","ID_CUSIP")</f>
        <v>3140BAPV2</v>
      </c>
      <c r="B3574" t="str">
        <f>_xll.BDP("FNDD9435 Mtge","SECURITY_NAME")</f>
        <v>FN DD9435</v>
      </c>
      <c r="C3574" t="str">
        <f>_xll.BDP("FNDD9435 Mtge","GENERIC_TICKER_VINTAGE")</f>
        <v>FNCL 6 2025</v>
      </c>
      <c r="D3574" t="str">
        <f>_xll.BDP("FNDD9435 Mtge","CRNCY")</f>
        <v>USD</v>
      </c>
      <c r="E3574">
        <v>1630548</v>
      </c>
      <c r="F3574">
        <f>_xll.BDP("FNDD9435 Mtge","CPN")</f>
        <v>6</v>
      </c>
      <c r="G3574">
        <f>_xll.BDP("FNDD9435 Mtge","MTG_FACTOR")</f>
        <v>0.98481311000000005</v>
      </c>
      <c r="H3574">
        <f>_xll.BDP("FNDD9435 Mtge","MTG_WAL")</f>
        <v>3.2887</v>
      </c>
      <c r="I3574" t="str">
        <f>_xll.BDP("FNDD9435 Mtge","MTG_ORIG_WAL")</f>
        <v>#N/A N/A</v>
      </c>
    </row>
    <row r="3575" spans="1:9" x14ac:dyDescent="0.25">
      <c r="A3575" t="str">
        <f>_xll.BDP("FNDD9436 Mtge","ID_CUSIP")</f>
        <v>3140BAPW0</v>
      </c>
      <c r="B3575" t="str">
        <f>_xll.BDP("FNDD9436 Mtge","SECURITY_NAME")</f>
        <v>FN DD9436</v>
      </c>
      <c r="C3575" t="str">
        <f>_xll.BDP("FNDD9436 Mtge","GENERIC_TICKER_VINTAGE")</f>
        <v>FNCL 6 2025</v>
      </c>
      <c r="D3575" t="str">
        <f>_xll.BDP("FNDD9436 Mtge","CRNCY")</f>
        <v>USD</v>
      </c>
      <c r="E3575">
        <v>1416250</v>
      </c>
      <c r="F3575">
        <f>_xll.BDP("FNDD9436 Mtge","CPN")</f>
        <v>6</v>
      </c>
      <c r="G3575">
        <f>_xll.BDP("FNDD9436 Mtge","MTG_FACTOR")</f>
        <v>0.99061091999999995</v>
      </c>
      <c r="H3575">
        <f>_xll.BDP("FNDD9436 Mtge","MTG_WAL")</f>
        <v>3.294</v>
      </c>
      <c r="I3575" t="str">
        <f>_xll.BDP("FNDD9436 Mtge","MTG_ORIG_WAL")</f>
        <v>#N/A N/A</v>
      </c>
    </row>
    <row r="3576" spans="1:9" x14ac:dyDescent="0.25">
      <c r="A3576" t="str">
        <f>_xll.BDP("FNDD9444 Mtge","ID_CUSIP")</f>
        <v>3140BAP67</v>
      </c>
      <c r="B3576" t="str">
        <f>_xll.BDP("FNDD9444 Mtge","SECURITY_NAME")</f>
        <v>FN DD9444</v>
      </c>
      <c r="C3576" t="str">
        <f>_xll.BDP("FNDD9444 Mtge","GENERIC_TICKER_VINTAGE")</f>
        <v>FNCL 6 2025</v>
      </c>
      <c r="D3576" t="str">
        <f>_xll.BDP("FNDD9444 Mtge","CRNCY")</f>
        <v>USD</v>
      </c>
      <c r="E3576">
        <v>1333994</v>
      </c>
      <c r="F3576">
        <f>_xll.BDP("FNDD9444 Mtge","CPN")</f>
        <v>6</v>
      </c>
      <c r="G3576">
        <f>_xll.BDP("FNDD9444 Mtge","MTG_FACTOR")</f>
        <v>0.95494018999999997</v>
      </c>
      <c r="H3576">
        <f>_xll.BDP("FNDD9444 Mtge","MTG_WAL")</f>
        <v>3.2677999999999998</v>
      </c>
      <c r="I3576" t="str">
        <f>_xll.BDP("FNDD9444 Mtge","MTG_ORIG_WAL")</f>
        <v>#N/A N/A</v>
      </c>
    </row>
    <row r="3577" spans="1:9" x14ac:dyDescent="0.25">
      <c r="A3577" t="str">
        <f>_xll.BDP("FNDD9445 Mtge","ID_CUSIP")</f>
        <v>3140BAP75</v>
      </c>
      <c r="B3577" t="str">
        <f>_xll.BDP("FNDD9445 Mtge","SECURITY_NAME")</f>
        <v>FN DD9445</v>
      </c>
      <c r="C3577" t="str">
        <f>_xll.BDP("FNDD9445 Mtge","GENERIC_TICKER_VINTAGE")</f>
        <v>FNCL 6 2025</v>
      </c>
      <c r="D3577" t="str">
        <f>_xll.BDP("FNDD9445 Mtge","CRNCY")</f>
        <v>USD</v>
      </c>
      <c r="E3577">
        <v>1085000</v>
      </c>
      <c r="F3577">
        <f>_xll.BDP("FNDD9445 Mtge","CPN")</f>
        <v>6</v>
      </c>
      <c r="G3577">
        <f>_xll.BDP("FNDD9445 Mtge","MTG_FACTOR")</f>
        <v>0.99137348000000003</v>
      </c>
      <c r="H3577">
        <f>_xll.BDP("FNDD9445 Mtge","MTG_WAL")</f>
        <v>3.2953000000000001</v>
      </c>
      <c r="I3577" t="str">
        <f>_xll.BDP("FNDD9445 Mtge","MTG_ORIG_WAL")</f>
        <v>#N/A N/A</v>
      </c>
    </row>
    <row r="3578" spans="1:9" x14ac:dyDescent="0.25">
      <c r="A3578" t="str">
        <f>_xll.BDP("FNDD9446 Mtge","ID_CUSIP")</f>
        <v>3140BAP83</v>
      </c>
      <c r="B3578" t="str">
        <f>_xll.BDP("FNDD9446 Mtge","SECURITY_NAME")</f>
        <v>FN DD9446</v>
      </c>
      <c r="C3578" t="str">
        <f>_xll.BDP("FNDD9446 Mtge","GENERIC_TICKER_VINTAGE")</f>
        <v>FNCL 6 2025</v>
      </c>
      <c r="D3578" t="str">
        <f>_xll.BDP("FNDD9446 Mtge","CRNCY")</f>
        <v>USD</v>
      </c>
      <c r="E3578">
        <v>1085900</v>
      </c>
      <c r="F3578">
        <f>_xll.BDP("FNDD9446 Mtge","CPN")</f>
        <v>6</v>
      </c>
      <c r="G3578">
        <f>_xll.BDP("FNDD9446 Mtge","MTG_FACTOR")</f>
        <v>0.98756177000000001</v>
      </c>
      <c r="H3578">
        <f>_xll.BDP("FNDD9446 Mtge","MTG_WAL")</f>
        <v>3.2900999999999998</v>
      </c>
      <c r="I3578" t="str">
        <f>_xll.BDP("FNDD9446 Mtge","MTG_ORIG_WAL")</f>
        <v>#N/A N/A</v>
      </c>
    </row>
    <row r="3579" spans="1:9" x14ac:dyDescent="0.25">
      <c r="A3579" t="str">
        <f>_xll.BDP("FNDD9447 Mtge","ID_CUSIP")</f>
        <v>3140BAP91</v>
      </c>
      <c r="B3579" t="str">
        <f>_xll.BDP("FNDD9447 Mtge","SECURITY_NAME")</f>
        <v>FN DD9447</v>
      </c>
      <c r="C3579" t="str">
        <f>_xll.BDP("FNDD9447 Mtge","GENERIC_TICKER_VINTAGE")</f>
        <v>FNCL 6 2025</v>
      </c>
      <c r="D3579" t="str">
        <f>_xll.BDP("FNDD9447 Mtge","CRNCY")</f>
        <v>USD</v>
      </c>
      <c r="E3579">
        <v>1163500</v>
      </c>
      <c r="F3579">
        <f>_xll.BDP("FNDD9447 Mtge","CPN")</f>
        <v>6</v>
      </c>
      <c r="G3579">
        <f>_xll.BDP("FNDD9447 Mtge","MTG_FACTOR")</f>
        <v>0.66169268999999997</v>
      </c>
      <c r="H3579">
        <f>_xll.BDP("FNDD9447 Mtge","MTG_WAL")</f>
        <v>3.2966000000000002</v>
      </c>
      <c r="I3579" t="str">
        <f>_xll.BDP("FNDD9447 Mtge","MTG_ORIG_WAL")</f>
        <v>#N/A N/A</v>
      </c>
    </row>
    <row r="3580" spans="1:9" x14ac:dyDescent="0.25">
      <c r="A3580" t="str">
        <f>_xll.BDP("FNDD9454 Mtge","ID_CUSIP")</f>
        <v>3140BAQG4</v>
      </c>
      <c r="B3580" t="str">
        <f>_xll.BDP("FNDD9454 Mtge","SECURITY_NAME")</f>
        <v>FN DD9454</v>
      </c>
      <c r="C3580" t="str">
        <f>_xll.BDP("FNDD9454 Mtge","GENERIC_TICKER_VINTAGE")</f>
        <v>FNCL 6 2025</v>
      </c>
      <c r="D3580" t="str">
        <f>_xll.BDP("FNDD9454 Mtge","CRNCY")</f>
        <v>USD</v>
      </c>
      <c r="E3580">
        <v>2115807</v>
      </c>
      <c r="F3580">
        <f>_xll.BDP("FNDD9454 Mtge","CPN")</f>
        <v>6</v>
      </c>
      <c r="G3580">
        <f>_xll.BDP("FNDD9454 Mtge","MTG_FACTOR")</f>
        <v>0.99153042999999996</v>
      </c>
      <c r="H3580">
        <f>_xll.BDP("FNDD9454 Mtge","MTG_WAL")</f>
        <v>3.2976999999999999</v>
      </c>
      <c r="I3580" t="str">
        <f>_xll.BDP("FNDD9454 Mtge","MTG_ORIG_WAL")</f>
        <v>#N/A N/A</v>
      </c>
    </row>
    <row r="3581" spans="1:9" x14ac:dyDescent="0.25">
      <c r="A3581" t="str">
        <f>_xll.BDP("FNDD9455 Mtge","ID_CUSIP")</f>
        <v>3140BAQH2</v>
      </c>
      <c r="B3581" t="str">
        <f>_xll.BDP("FNDD9455 Mtge","SECURITY_NAME")</f>
        <v>FN DD9455</v>
      </c>
      <c r="C3581" t="str">
        <f>_xll.BDP("FNDD9455 Mtge","GENERIC_TICKER_VINTAGE")</f>
        <v>FNCL 6 2025</v>
      </c>
      <c r="D3581" t="str">
        <f>_xll.BDP("FNDD9455 Mtge","CRNCY")</f>
        <v>USD</v>
      </c>
      <c r="E3581">
        <v>1149899</v>
      </c>
      <c r="F3581">
        <f>_xll.BDP("FNDD9455 Mtge","CPN")</f>
        <v>6</v>
      </c>
      <c r="G3581">
        <f>_xll.BDP("FNDD9455 Mtge","MTG_FACTOR")</f>
        <v>0.99010589999999998</v>
      </c>
      <c r="H3581">
        <f>_xll.BDP("FNDD9455 Mtge","MTG_WAL")</f>
        <v>3.2932000000000001</v>
      </c>
      <c r="I3581" t="str">
        <f>_xll.BDP("FNDD9455 Mtge","MTG_ORIG_WAL")</f>
        <v>#N/A N/A</v>
      </c>
    </row>
    <row r="3582" spans="1:9" x14ac:dyDescent="0.25">
      <c r="A3582" t="str">
        <f>_xll.BDP("FNDD9456 Mtge","ID_CUSIP")</f>
        <v>3140BAQJ8</v>
      </c>
      <c r="B3582" t="str">
        <f>_xll.BDP("FNDD9456 Mtge","SECURITY_NAME")</f>
        <v>FN DD9456</v>
      </c>
      <c r="C3582" t="str">
        <f>_xll.BDP("FNDD9456 Mtge","GENERIC_TICKER_VINTAGE")</f>
        <v>FNCL 6 2025</v>
      </c>
      <c r="D3582" t="str">
        <f>_xll.BDP("FNDD9456 Mtge","CRNCY")</f>
        <v>USD</v>
      </c>
      <c r="E3582">
        <v>1329750</v>
      </c>
      <c r="F3582">
        <f>_xll.BDP("FNDD9456 Mtge","CPN")</f>
        <v>6</v>
      </c>
      <c r="G3582">
        <f>_xll.BDP("FNDD9456 Mtge","MTG_FACTOR")</f>
        <v>0.98893242999999997</v>
      </c>
      <c r="H3582">
        <f>_xll.BDP("FNDD9456 Mtge","MTG_WAL")</f>
        <v>3.2924000000000002</v>
      </c>
      <c r="I3582" t="str">
        <f>_xll.BDP("FNDD9456 Mtge","MTG_ORIG_WAL")</f>
        <v>#N/A N/A</v>
      </c>
    </row>
    <row r="3583" spans="1:9" x14ac:dyDescent="0.25">
      <c r="A3583" t="str">
        <f>_xll.BDP("FNDD9457 Mtge","ID_CUSIP")</f>
        <v>3140BAQK5</v>
      </c>
      <c r="B3583" t="str">
        <f>_xll.BDP("FNDD9457 Mtge","SECURITY_NAME")</f>
        <v>FN DD9457</v>
      </c>
      <c r="C3583" t="str">
        <f>_xll.BDP("FNDD9457 Mtge","GENERIC_TICKER_VINTAGE")</f>
        <v>FNCL 6 2025</v>
      </c>
      <c r="D3583" t="str">
        <f>_xll.BDP("FNDD9457 Mtge","CRNCY")</f>
        <v>USD</v>
      </c>
      <c r="E3583">
        <v>1517200</v>
      </c>
      <c r="F3583">
        <f>_xll.BDP("FNDD9457 Mtge","CPN")</f>
        <v>6</v>
      </c>
      <c r="G3583">
        <f>_xll.BDP("FNDD9457 Mtge","MTG_FACTOR")</f>
        <v>0.98966873</v>
      </c>
      <c r="H3583">
        <f>_xll.BDP("FNDD9457 Mtge","MTG_WAL")</f>
        <v>3.2946</v>
      </c>
      <c r="I3583" t="str">
        <f>_xll.BDP("FNDD9457 Mtge","MTG_ORIG_WAL")</f>
        <v>#N/A N/A</v>
      </c>
    </row>
    <row r="3584" spans="1:9" x14ac:dyDescent="0.25">
      <c r="A3584" t="str">
        <f>_xll.BDP("FNDD9468 Mtge","ID_CUSIP")</f>
        <v>3140BAQW9</v>
      </c>
      <c r="B3584" t="str">
        <f>_xll.BDP("FNDD9468 Mtge","SECURITY_NAME")</f>
        <v>FN DD9468</v>
      </c>
      <c r="C3584" t="str">
        <f>_xll.BDP("FNDD9468 Mtge","GENERIC_TICKER_VINTAGE")</f>
        <v>FNCL 6 2025</v>
      </c>
      <c r="D3584" t="str">
        <f>_xll.BDP("FNDD9468 Mtge","CRNCY")</f>
        <v>USD</v>
      </c>
      <c r="E3584">
        <v>2946078</v>
      </c>
      <c r="F3584">
        <f>_xll.BDP("FNDD9468 Mtge","CPN")</f>
        <v>6</v>
      </c>
      <c r="G3584">
        <f>_xll.BDP("FNDD9468 Mtge","MTG_FACTOR")</f>
        <v>0.86893162000000002</v>
      </c>
      <c r="H3584">
        <f>_xll.BDP("FNDD9468 Mtge","MTG_WAL")</f>
        <v>3.2957999999999998</v>
      </c>
      <c r="I3584" t="str">
        <f>_xll.BDP("FNDD9468 Mtge","MTG_ORIG_WAL")</f>
        <v>#N/A N/A</v>
      </c>
    </row>
    <row r="3585" spans="1:9" x14ac:dyDescent="0.25">
      <c r="A3585" t="str">
        <f>_xll.BDP("FNDD9469 Mtge","ID_CUSIP")</f>
        <v>3140BAQX7</v>
      </c>
      <c r="B3585" t="str">
        <f>_xll.BDP("FNDD9469 Mtge","SECURITY_NAME")</f>
        <v>FN DD9469</v>
      </c>
      <c r="C3585" t="str">
        <f>_xll.BDP("FNDD9469 Mtge","GENERIC_TICKER_VINTAGE")</f>
        <v>FNCL 6 2025</v>
      </c>
      <c r="D3585" t="str">
        <f>_xll.BDP("FNDD9469 Mtge","CRNCY")</f>
        <v>USD</v>
      </c>
      <c r="E3585">
        <v>3510000</v>
      </c>
      <c r="F3585">
        <f>_xll.BDP("FNDD9469 Mtge","CPN")</f>
        <v>6</v>
      </c>
      <c r="G3585">
        <f>_xll.BDP("FNDD9469 Mtge","MTG_FACTOR")</f>
        <v>0.79203040000000002</v>
      </c>
      <c r="H3585">
        <f>_xll.BDP("FNDD9469 Mtge","MTG_WAL")</f>
        <v>3.2953999999999999</v>
      </c>
      <c r="I3585" t="str">
        <f>_xll.BDP("FNDD9469 Mtge","MTG_ORIG_WAL")</f>
        <v>#N/A N/A</v>
      </c>
    </row>
    <row r="3586" spans="1:9" x14ac:dyDescent="0.25">
      <c r="A3586" t="str">
        <f>_xll.BDP("FNDD9470 Mtge","ID_CUSIP")</f>
        <v>3140BAQY5</v>
      </c>
      <c r="B3586" t="str">
        <f>_xll.BDP("FNDD9470 Mtge","SECURITY_NAME")</f>
        <v>FN DD9470</v>
      </c>
      <c r="C3586" t="str">
        <f>_xll.BDP("FNDD9470 Mtge","GENERIC_TICKER_VINTAGE")</f>
        <v>FNCL 6 2025</v>
      </c>
      <c r="D3586" t="str">
        <f>_xll.BDP("FNDD9470 Mtge","CRNCY")</f>
        <v>USD</v>
      </c>
      <c r="E3586">
        <v>1028980</v>
      </c>
      <c r="F3586">
        <f>_xll.BDP("FNDD9470 Mtge","CPN")</f>
        <v>6</v>
      </c>
      <c r="G3586">
        <f>_xll.BDP("FNDD9470 Mtge","MTG_FACTOR")</f>
        <v>0.99066496000000004</v>
      </c>
      <c r="H3586">
        <f>_xll.BDP("FNDD9470 Mtge","MTG_WAL")</f>
        <v>3.2949999999999999</v>
      </c>
      <c r="I3586" t="str">
        <f>_xll.BDP("FNDD9470 Mtge","MTG_ORIG_WAL")</f>
        <v>#N/A N/A</v>
      </c>
    </row>
    <row r="3587" spans="1:9" x14ac:dyDescent="0.25">
      <c r="A3587" t="str">
        <f>_xll.BDP("FNDD9471 Mtge","ID_CUSIP")</f>
        <v>3140BAQZ2</v>
      </c>
      <c r="B3587" t="str">
        <f>_xll.BDP("FNDD9471 Mtge","SECURITY_NAME")</f>
        <v>FN DD9471</v>
      </c>
      <c r="C3587" t="str">
        <f>_xll.BDP("FNDD9471 Mtge","GENERIC_TICKER_VINTAGE")</f>
        <v>FNCL 6 2025</v>
      </c>
      <c r="D3587" t="str">
        <f>_xll.BDP("FNDD9471 Mtge","CRNCY")</f>
        <v>USD</v>
      </c>
      <c r="E3587">
        <v>1477222</v>
      </c>
      <c r="F3587">
        <f>_xll.BDP("FNDD9471 Mtge","CPN")</f>
        <v>6</v>
      </c>
      <c r="G3587">
        <f>_xll.BDP("FNDD9471 Mtge","MTG_FACTOR")</f>
        <v>0.73973754999999997</v>
      </c>
      <c r="H3587">
        <f>_xll.BDP("FNDD9471 Mtge","MTG_WAL")</f>
        <v>3.2938999999999998</v>
      </c>
      <c r="I3587" t="str">
        <f>_xll.BDP("FNDD9471 Mtge","MTG_ORIG_WAL")</f>
        <v>#N/A N/A</v>
      </c>
    </row>
    <row r="3588" spans="1:9" x14ac:dyDescent="0.25">
      <c r="A3588" t="str">
        <f>_xll.BDP("FNDD9476 Mtge","ID_CUSIP")</f>
        <v>3140BAQ66</v>
      </c>
      <c r="B3588" t="str">
        <f>_xll.BDP("FNDD9476 Mtge","SECURITY_NAME")</f>
        <v>FN DD9476</v>
      </c>
      <c r="C3588" t="str">
        <f>_xll.BDP("FNDD9476 Mtge","GENERIC_TICKER_VINTAGE")</f>
        <v>FNCL 6 2025</v>
      </c>
      <c r="D3588" t="str">
        <f>_xll.BDP("FNDD9476 Mtge","CRNCY")</f>
        <v>USD</v>
      </c>
      <c r="E3588">
        <v>1104112</v>
      </c>
      <c r="F3588">
        <f>_xll.BDP("FNDD9476 Mtge","CPN")</f>
        <v>6</v>
      </c>
      <c r="G3588">
        <f>_xll.BDP("FNDD9476 Mtge","MTG_FACTOR")</f>
        <v>0.99173758999999995</v>
      </c>
      <c r="H3588">
        <f>_xll.BDP("FNDD9476 Mtge","MTG_WAL")</f>
        <v>3.1570999999999998</v>
      </c>
      <c r="I3588" t="str">
        <f>_xll.BDP("FNDD9476 Mtge","MTG_ORIG_WAL")</f>
        <v>#N/A N/A</v>
      </c>
    </row>
    <row r="3589" spans="1:9" x14ac:dyDescent="0.25">
      <c r="A3589" t="str">
        <f>_xll.BDP("FNDD9479 Mtge","ID_CUSIP")</f>
        <v>3140BAQ90</v>
      </c>
      <c r="B3589" t="str">
        <f>_xll.BDP("FNDD9479 Mtge","SECURITY_NAME")</f>
        <v>FN DD9479</v>
      </c>
      <c r="C3589" t="str">
        <f>_xll.BDP("FNDD9479 Mtge","GENERIC_TICKER_VINTAGE")</f>
        <v>FNCL 6 2025</v>
      </c>
      <c r="D3589" t="str">
        <f>_xll.BDP("FNDD9479 Mtge","CRNCY")</f>
        <v>USD</v>
      </c>
      <c r="E3589">
        <v>1210277</v>
      </c>
      <c r="F3589">
        <f>_xll.BDP("FNDD9479 Mtge","CPN")</f>
        <v>6</v>
      </c>
      <c r="G3589">
        <f>_xll.BDP("FNDD9479 Mtge","MTG_FACTOR")</f>
        <v>0.78650799999999998</v>
      </c>
      <c r="H3589">
        <f>_xll.BDP("FNDD9479 Mtge","MTG_WAL")</f>
        <v>3.1808000000000001</v>
      </c>
      <c r="I3589" t="str">
        <f>_xll.BDP("FNDD9479 Mtge","MTG_ORIG_WAL")</f>
        <v>#N/A N/A</v>
      </c>
    </row>
    <row r="3590" spans="1:9" x14ac:dyDescent="0.25">
      <c r="A3590" t="str">
        <f>_xll.BDP("FNDD9574 Mtge","ID_CUSIP")</f>
        <v>3140BAT89</v>
      </c>
      <c r="B3590" t="str">
        <f>_xll.BDP("FNDD9574 Mtge","SECURITY_NAME")</f>
        <v>FN DD9574</v>
      </c>
      <c r="C3590" t="str">
        <f>_xll.BDP("FNDD9574 Mtge","GENERIC_TICKER_VINTAGE")</f>
        <v>FNCL 6 2025</v>
      </c>
      <c r="D3590" t="str">
        <f>_xll.BDP("FNDD9574 Mtge","CRNCY")</f>
        <v>USD</v>
      </c>
      <c r="E3590">
        <v>1141733</v>
      </c>
      <c r="F3590">
        <f>_xll.BDP("FNDD9574 Mtge","CPN")</f>
        <v>6</v>
      </c>
      <c r="G3590">
        <f>_xll.BDP("FNDD9574 Mtge","MTG_FACTOR")</f>
        <v>0.98975309</v>
      </c>
      <c r="H3590">
        <f>_xll.BDP("FNDD9574 Mtge","MTG_WAL")</f>
        <v>3.2035999999999998</v>
      </c>
      <c r="I3590" t="str">
        <f>_xll.BDP("FNDD9574 Mtge","MTG_ORIG_WAL")</f>
        <v>#N/A N/A</v>
      </c>
    </row>
    <row r="3591" spans="1:9" x14ac:dyDescent="0.25">
      <c r="A3591" t="str">
        <f>_xll.BDP("FNDD9575 Mtge","ID_CUSIP")</f>
        <v>3140BAT97</v>
      </c>
      <c r="B3591" t="str">
        <f>_xll.BDP("FNDD9575 Mtge","SECURITY_NAME")</f>
        <v>FN DD9575</v>
      </c>
      <c r="C3591" t="str">
        <f>_xll.BDP("FNDD9575 Mtge","GENERIC_TICKER_VINTAGE")</f>
        <v>FNCL 6 2025</v>
      </c>
      <c r="D3591" t="str">
        <f>_xll.BDP("FNDD9575 Mtge","CRNCY")</f>
        <v>USD</v>
      </c>
      <c r="E3591">
        <v>1260975</v>
      </c>
      <c r="F3591">
        <f>_xll.BDP("FNDD9575 Mtge","CPN")</f>
        <v>6</v>
      </c>
      <c r="G3591">
        <f>_xll.BDP("FNDD9575 Mtge","MTG_FACTOR")</f>
        <v>0.98741089999999998</v>
      </c>
      <c r="H3591">
        <f>_xll.BDP("FNDD9575 Mtge","MTG_WAL")</f>
        <v>3.2927</v>
      </c>
      <c r="I3591" t="str">
        <f>_xll.BDP("FNDD9575 Mtge","MTG_ORIG_WAL")</f>
        <v>#N/A N/A</v>
      </c>
    </row>
    <row r="3592" spans="1:9" x14ac:dyDescent="0.25">
      <c r="A3592" t="str">
        <f>_xll.BDP("FNDD9576 Mtge","ID_CUSIP")</f>
        <v>3140BAUA2</v>
      </c>
      <c r="B3592" t="str">
        <f>_xll.BDP("FNDD9576 Mtge","SECURITY_NAME")</f>
        <v>FN DD9576</v>
      </c>
      <c r="C3592" t="str">
        <f>_xll.BDP("FNDD9576 Mtge","GENERIC_TICKER_VINTAGE")</f>
        <v>FNCL 6 2025</v>
      </c>
      <c r="D3592" t="str">
        <f>_xll.BDP("FNDD9576 Mtge","CRNCY")</f>
        <v>USD</v>
      </c>
      <c r="E3592">
        <v>1347675</v>
      </c>
      <c r="F3592">
        <f>_xll.BDP("FNDD9576 Mtge","CPN")</f>
        <v>6</v>
      </c>
      <c r="G3592">
        <f>_xll.BDP("FNDD9576 Mtge","MTG_FACTOR")</f>
        <v>0.99139038000000002</v>
      </c>
      <c r="H3592">
        <f>_xll.BDP("FNDD9576 Mtge","MTG_WAL")</f>
        <v>3.2490999999999999</v>
      </c>
      <c r="I3592" t="str">
        <f>_xll.BDP("FNDD9576 Mtge","MTG_ORIG_WAL")</f>
        <v>#N/A N/A</v>
      </c>
    </row>
    <row r="3593" spans="1:9" x14ac:dyDescent="0.25">
      <c r="A3593" t="str">
        <f>_xll.BDP("FNDD9585 Mtge","ID_CUSIP")</f>
        <v>3140BAUK0</v>
      </c>
      <c r="B3593" t="str">
        <f>_xll.BDP("FNDD9585 Mtge","SECURITY_NAME")</f>
        <v>FN DD9585</v>
      </c>
      <c r="C3593" t="str">
        <f>_xll.BDP("FNDD9585 Mtge","GENERIC_TICKER_VINTAGE")</f>
        <v>FNCL 6 2025</v>
      </c>
      <c r="D3593" t="str">
        <f>_xll.BDP("FNDD9585 Mtge","CRNCY")</f>
        <v>USD</v>
      </c>
      <c r="E3593">
        <v>594018</v>
      </c>
      <c r="F3593">
        <f>_xll.BDP("FNDD9585 Mtge","CPN")</f>
        <v>6</v>
      </c>
      <c r="G3593">
        <f>_xll.BDP("FNDD9585 Mtge","MTG_FACTOR")</f>
        <v>0.99111157999999999</v>
      </c>
      <c r="H3593">
        <f>_xll.BDP("FNDD9585 Mtge","MTG_WAL")</f>
        <v>3.2458</v>
      </c>
      <c r="I3593" t="str">
        <f>_xll.BDP("FNDD9585 Mtge","MTG_ORIG_WAL")</f>
        <v>#N/A N/A</v>
      </c>
    </row>
    <row r="3594" spans="1:9" x14ac:dyDescent="0.25">
      <c r="A3594" t="str">
        <f>_xll.BDP("FNDD9592 Mtge","ID_CUSIP")</f>
        <v>3140BAUS3</v>
      </c>
      <c r="B3594" t="str">
        <f>_xll.BDP("FNDD9592 Mtge","SECURITY_NAME")</f>
        <v>FN DD9592</v>
      </c>
      <c r="C3594" t="str">
        <f>_xll.BDP("FNDD9592 Mtge","GENERIC_TICKER_VINTAGE")</f>
        <v>FNCL 6 2025</v>
      </c>
      <c r="D3594" t="str">
        <f>_xll.BDP("FNDD9592 Mtge","CRNCY")</f>
        <v>USD</v>
      </c>
      <c r="E3594">
        <v>4955618</v>
      </c>
      <c r="F3594">
        <f>_xll.BDP("FNDD9592 Mtge","CPN")</f>
        <v>6</v>
      </c>
      <c r="G3594">
        <f>_xll.BDP("FNDD9592 Mtge","MTG_FACTOR")</f>
        <v>0.98977641000000005</v>
      </c>
      <c r="H3594">
        <f>_xll.BDP("FNDD9592 Mtge","MTG_WAL")</f>
        <v>3.2911000000000001</v>
      </c>
      <c r="I3594" t="str">
        <f>_xll.BDP("FNDD9592 Mtge","MTG_ORIG_WAL")</f>
        <v>#N/A N/A</v>
      </c>
    </row>
    <row r="3595" spans="1:9" x14ac:dyDescent="0.25">
      <c r="A3595" t="str">
        <f>_xll.BDP("FNDD9593 Mtge","ID_CUSIP")</f>
        <v>3140BAUT1</v>
      </c>
      <c r="B3595" t="str">
        <f>_xll.BDP("FNDD9593 Mtge","SECURITY_NAME")</f>
        <v>FN DD9593</v>
      </c>
      <c r="C3595" t="str">
        <f>_xll.BDP("FNDD9593 Mtge","GENERIC_TICKER_VINTAGE")</f>
        <v>FNCL 6 2025</v>
      </c>
      <c r="D3595" t="str">
        <f>_xll.BDP("FNDD9593 Mtge","CRNCY")</f>
        <v>USD</v>
      </c>
      <c r="E3595">
        <v>10913199</v>
      </c>
      <c r="F3595">
        <f>_xll.BDP("FNDD9593 Mtge","CPN")</f>
        <v>6</v>
      </c>
      <c r="G3595">
        <f>_xll.BDP("FNDD9593 Mtge","MTG_FACTOR")</f>
        <v>0.93749842999999999</v>
      </c>
      <c r="H3595">
        <f>_xll.BDP("FNDD9593 Mtge","MTG_WAL")</f>
        <v>3.2890000000000001</v>
      </c>
      <c r="I3595" t="str">
        <f>_xll.BDP("FNDD9593 Mtge","MTG_ORIG_WAL")</f>
        <v>#N/A N/A</v>
      </c>
    </row>
    <row r="3596" spans="1:9" x14ac:dyDescent="0.25">
      <c r="A3596" t="str">
        <f>_xll.BDP("FNDD9596 Mtge","ID_CUSIP")</f>
        <v>3140BAUW4</v>
      </c>
      <c r="B3596" t="str">
        <f>_xll.BDP("FNDD9596 Mtge","SECURITY_NAME")</f>
        <v>FN DD9596</v>
      </c>
      <c r="C3596" t="str">
        <f>_xll.BDP("FNDD9596 Mtge","GENERIC_TICKER_VINTAGE")</f>
        <v>FNCL 6 2025</v>
      </c>
      <c r="D3596" t="str">
        <f>_xll.BDP("FNDD9596 Mtge","CRNCY")</f>
        <v>USD</v>
      </c>
      <c r="E3596">
        <v>11220714</v>
      </c>
      <c r="F3596">
        <f>_xll.BDP("FNDD9596 Mtge","CPN")</f>
        <v>6</v>
      </c>
      <c r="G3596">
        <f>_xll.BDP("FNDD9596 Mtge","MTG_FACTOR")</f>
        <v>0.93736251999999998</v>
      </c>
      <c r="H3596">
        <f>_xll.BDP("FNDD9596 Mtge","MTG_WAL")</f>
        <v>3.2869000000000002</v>
      </c>
      <c r="I3596" t="str">
        <f>_xll.BDP("FNDD9596 Mtge","MTG_ORIG_WAL")</f>
        <v>#N/A N/A</v>
      </c>
    </row>
    <row r="3597" spans="1:9" x14ac:dyDescent="0.25">
      <c r="A3597" t="str">
        <f>_xll.BDP("FNDD9601 Mtge","ID_CUSIP")</f>
        <v>3140BAU38</v>
      </c>
      <c r="B3597" t="str">
        <f>_xll.BDP("FNDD9601 Mtge","SECURITY_NAME")</f>
        <v>FN DD9601</v>
      </c>
      <c r="C3597" t="str">
        <f>_xll.BDP("FNDD9601 Mtge","GENERIC_TICKER_VINTAGE")</f>
        <v>FNCL 6 2025</v>
      </c>
      <c r="D3597" t="str">
        <f>_xll.BDP("FNDD9601 Mtge","CRNCY")</f>
        <v>USD</v>
      </c>
      <c r="E3597">
        <v>1102623</v>
      </c>
      <c r="F3597">
        <f>_xll.BDP("FNDD9601 Mtge","CPN")</f>
        <v>6</v>
      </c>
      <c r="G3597">
        <f>_xll.BDP("FNDD9601 Mtge","MTG_FACTOR")</f>
        <v>0.98915074000000003</v>
      </c>
      <c r="H3597">
        <f>_xll.BDP("FNDD9601 Mtge","MTG_WAL")</f>
        <v>3.2917000000000001</v>
      </c>
      <c r="I3597" t="str">
        <f>_xll.BDP("FNDD9601 Mtge","MTG_ORIG_WAL")</f>
        <v>#N/A N/A</v>
      </c>
    </row>
    <row r="3598" spans="1:9" x14ac:dyDescent="0.25">
      <c r="A3598" t="str">
        <f>_xll.BDP("FNDD9602 Mtge","ID_CUSIP")</f>
        <v>3140BAU46</v>
      </c>
      <c r="B3598" t="str">
        <f>_xll.BDP("FNDD9602 Mtge","SECURITY_NAME")</f>
        <v>FN DD9602</v>
      </c>
      <c r="C3598" t="str">
        <f>_xll.BDP("FNDD9602 Mtge","GENERIC_TICKER_VINTAGE")</f>
        <v>FNCL 6 2025</v>
      </c>
      <c r="D3598" t="str">
        <f>_xll.BDP("FNDD9602 Mtge","CRNCY")</f>
        <v>USD</v>
      </c>
      <c r="E3598">
        <v>1147285</v>
      </c>
      <c r="F3598">
        <f>_xll.BDP("FNDD9602 Mtge","CPN")</f>
        <v>6</v>
      </c>
      <c r="G3598">
        <f>_xll.BDP("FNDD9602 Mtge","MTG_FACTOR")</f>
        <v>0.85278710000000002</v>
      </c>
      <c r="H3598">
        <f>_xll.BDP("FNDD9602 Mtge","MTG_WAL")</f>
        <v>3.2471999999999999</v>
      </c>
      <c r="I3598" t="str">
        <f>_xll.BDP("FNDD9602 Mtge","MTG_ORIG_WAL")</f>
        <v>#N/A N/A</v>
      </c>
    </row>
    <row r="3599" spans="1:9" x14ac:dyDescent="0.25">
      <c r="A3599" t="str">
        <f>_xll.BDP("FNDD9609 Mtge","ID_CUSIP")</f>
        <v>3140BAVB9</v>
      </c>
      <c r="B3599" t="str">
        <f>_xll.BDP("FNDD9609 Mtge","SECURITY_NAME")</f>
        <v>FN DD9609</v>
      </c>
      <c r="C3599" t="str">
        <f>_xll.BDP("FNDD9609 Mtge","GENERIC_TICKER_VINTAGE")</f>
        <v>FNCL 6 2025</v>
      </c>
      <c r="D3599" t="str">
        <f>_xll.BDP("FNDD9609 Mtge","CRNCY")</f>
        <v>USD</v>
      </c>
      <c r="E3599">
        <v>3788475</v>
      </c>
      <c r="F3599">
        <f>_xll.BDP("FNDD9609 Mtge","CPN")</f>
        <v>6</v>
      </c>
      <c r="G3599">
        <f>_xll.BDP("FNDD9609 Mtge","MTG_FACTOR")</f>
        <v>0.67327541000000002</v>
      </c>
      <c r="H3599">
        <f>_xll.BDP("FNDD9609 Mtge","MTG_WAL")</f>
        <v>3.2364000000000002</v>
      </c>
      <c r="I3599" t="str">
        <f>_xll.BDP("FNDD9609 Mtge","MTG_ORIG_WAL")</f>
        <v>#N/A N/A</v>
      </c>
    </row>
    <row r="3600" spans="1:9" x14ac:dyDescent="0.25">
      <c r="A3600" t="str">
        <f>_xll.BDP("FNDD9622 Mtge","ID_CUSIP")</f>
        <v>3140BAVQ6</v>
      </c>
      <c r="B3600" t="str">
        <f>_xll.BDP("FNDD9622 Mtge","SECURITY_NAME")</f>
        <v>FN DD9622</v>
      </c>
      <c r="C3600" t="str">
        <f>_xll.BDP("FNDD9622 Mtge","GENERIC_TICKER_VINTAGE")</f>
        <v>FNCL 6 2025</v>
      </c>
      <c r="D3600" t="str">
        <f>_xll.BDP("FNDD9622 Mtge","CRNCY")</f>
        <v>USD</v>
      </c>
      <c r="E3600">
        <v>1287477</v>
      </c>
      <c r="F3600">
        <f>_xll.BDP("FNDD9622 Mtge","CPN")</f>
        <v>6</v>
      </c>
      <c r="G3600">
        <f>_xll.BDP("FNDD9622 Mtge","MTG_FACTOR")</f>
        <v>0.99059902</v>
      </c>
      <c r="H3600">
        <f>_xll.BDP("FNDD9622 Mtge","MTG_WAL")</f>
        <v>3.2957999999999998</v>
      </c>
      <c r="I3600" t="str">
        <f>_xll.BDP("FNDD9622 Mtge","MTG_ORIG_WAL")</f>
        <v>#N/A N/A</v>
      </c>
    </row>
    <row r="3601" spans="1:9" x14ac:dyDescent="0.25">
      <c r="A3601" t="str">
        <f>_xll.BDP("FNDD9638 Mtge","ID_CUSIP")</f>
        <v>3140BAV86</v>
      </c>
      <c r="B3601" t="str">
        <f>_xll.BDP("FNDD9638 Mtge","SECURITY_NAME")</f>
        <v>FN DD9638</v>
      </c>
      <c r="C3601" t="str">
        <f>_xll.BDP("FNDD9638 Mtge","GENERIC_TICKER_VINTAGE")</f>
        <v>FNCL 6 2025</v>
      </c>
      <c r="D3601" t="str">
        <f>_xll.BDP("FNDD9638 Mtge","CRNCY")</f>
        <v>USD</v>
      </c>
      <c r="E3601">
        <v>1105734</v>
      </c>
      <c r="F3601">
        <f>_xll.BDP("FNDD9638 Mtge","CPN")</f>
        <v>6</v>
      </c>
      <c r="G3601">
        <f>_xll.BDP("FNDD9638 Mtge","MTG_FACTOR")</f>
        <v>0.98952636000000005</v>
      </c>
      <c r="H3601">
        <f>_xll.BDP("FNDD9638 Mtge","MTG_WAL")</f>
        <v>3.2894000000000001</v>
      </c>
      <c r="I3601" t="str">
        <f>_xll.BDP("FNDD9638 Mtge","MTG_ORIG_WAL")</f>
        <v>#N/A N/A</v>
      </c>
    </row>
    <row r="3602" spans="1:9" x14ac:dyDescent="0.25">
      <c r="A3602" t="str">
        <f>_xll.BDP("FNDD9639 Mtge","ID_CUSIP")</f>
        <v>3140BAV94</v>
      </c>
      <c r="B3602" t="str">
        <f>_xll.BDP("FNDD9639 Mtge","SECURITY_NAME")</f>
        <v>FN DD9639</v>
      </c>
      <c r="C3602" t="str">
        <f>_xll.BDP("FNDD9639 Mtge","GENERIC_TICKER_VINTAGE")</f>
        <v>FNCL 6 2025</v>
      </c>
      <c r="D3602" t="str">
        <f>_xll.BDP("FNDD9639 Mtge","CRNCY")</f>
        <v>USD</v>
      </c>
      <c r="E3602">
        <v>2233249</v>
      </c>
      <c r="F3602">
        <f>_xll.BDP("FNDD9639 Mtge","CPN")</f>
        <v>6</v>
      </c>
      <c r="G3602">
        <f>_xll.BDP("FNDD9639 Mtge","MTG_FACTOR")</f>
        <v>0.98905929000000004</v>
      </c>
      <c r="H3602">
        <f>_xll.BDP("FNDD9639 Mtge","MTG_WAL")</f>
        <v>3.2894000000000001</v>
      </c>
      <c r="I3602" t="str">
        <f>_xll.BDP("FNDD9639 Mtge","MTG_ORIG_WAL")</f>
        <v>#N/A N/A</v>
      </c>
    </row>
    <row r="3603" spans="1:9" x14ac:dyDescent="0.25">
      <c r="A3603" t="str">
        <f>_xll.BDP("FNDD9640 Mtge","ID_CUSIP")</f>
        <v>3140BAWA0</v>
      </c>
      <c r="B3603" t="str">
        <f>_xll.BDP("FNDD9640 Mtge","SECURITY_NAME")</f>
        <v>FN DD9640</v>
      </c>
      <c r="C3603" t="str">
        <f>_xll.BDP("FNDD9640 Mtge","GENERIC_TICKER_VINTAGE")</f>
        <v>FNCL 6 2025</v>
      </c>
      <c r="D3603" t="str">
        <f>_xll.BDP("FNDD9640 Mtge","CRNCY")</f>
        <v>USD</v>
      </c>
      <c r="E3603">
        <v>1939152</v>
      </c>
      <c r="F3603">
        <f>_xll.BDP("FNDD9640 Mtge","CPN")</f>
        <v>6</v>
      </c>
      <c r="G3603">
        <f>_xll.BDP("FNDD9640 Mtge","MTG_FACTOR")</f>
        <v>0.98835543999999997</v>
      </c>
      <c r="H3603">
        <f>_xll.BDP("FNDD9640 Mtge","MTG_WAL")</f>
        <v>3.3389000000000002</v>
      </c>
      <c r="I3603" t="str">
        <f>_xll.BDP("FNDD9640 Mtge","MTG_ORIG_WAL")</f>
        <v>#N/A N/A</v>
      </c>
    </row>
    <row r="3604" spans="1:9" x14ac:dyDescent="0.25">
      <c r="A3604" t="str">
        <f>_xll.BDP("FNDD9643 Mtge","ID_CUSIP")</f>
        <v>3140BAWD4</v>
      </c>
      <c r="B3604" t="str">
        <f>_xll.BDP("FNDD9643 Mtge","SECURITY_NAME")</f>
        <v>FN DD9643</v>
      </c>
      <c r="C3604" t="str">
        <f>_xll.BDP("FNDD9643 Mtge","GENERIC_TICKER_VINTAGE")</f>
        <v>FNCL 6 2025</v>
      </c>
      <c r="D3604" t="str">
        <f>_xll.BDP("FNDD9643 Mtge","CRNCY")</f>
        <v>USD</v>
      </c>
      <c r="E3604">
        <v>3159022</v>
      </c>
      <c r="F3604">
        <f>_xll.BDP("FNDD9643 Mtge","CPN")</f>
        <v>6</v>
      </c>
      <c r="G3604">
        <f>_xll.BDP("FNDD9643 Mtge","MTG_FACTOR")</f>
        <v>0.82198831999999999</v>
      </c>
      <c r="H3604">
        <f>_xll.BDP("FNDD9643 Mtge","MTG_WAL")</f>
        <v>3.2946</v>
      </c>
      <c r="I3604" t="str">
        <f>_xll.BDP("FNDD9643 Mtge","MTG_ORIG_WAL")</f>
        <v>#N/A N/A</v>
      </c>
    </row>
    <row r="3605" spans="1:9" x14ac:dyDescent="0.25">
      <c r="A3605" t="str">
        <f>_xll.BDP("FNDD9647 Mtge","ID_CUSIP")</f>
        <v>3140BAWH5</v>
      </c>
      <c r="B3605" t="str">
        <f>_xll.BDP("FNDD9647 Mtge","SECURITY_NAME")</f>
        <v>FN DD9647</v>
      </c>
      <c r="C3605" t="str">
        <f>_xll.BDP("FNDD9647 Mtge","GENERIC_TICKER_VINTAGE")</f>
        <v>FNCL 6 2025</v>
      </c>
      <c r="D3605" t="str">
        <f>_xll.BDP("FNDD9647 Mtge","CRNCY")</f>
        <v>USD</v>
      </c>
      <c r="E3605">
        <v>2391009</v>
      </c>
      <c r="F3605">
        <f>_xll.BDP("FNDD9647 Mtge","CPN")</f>
        <v>6</v>
      </c>
      <c r="G3605">
        <f>_xll.BDP("FNDD9647 Mtge","MTG_FACTOR")</f>
        <v>0.99037249000000005</v>
      </c>
      <c r="H3605">
        <f>_xll.BDP("FNDD9647 Mtge","MTG_WAL")</f>
        <v>3.2936000000000001</v>
      </c>
      <c r="I3605" t="str">
        <f>_xll.BDP("FNDD9647 Mtge","MTG_ORIG_WAL")</f>
        <v>#N/A N/A</v>
      </c>
    </row>
    <row r="3606" spans="1:9" x14ac:dyDescent="0.25">
      <c r="A3606" t="str">
        <f>_xll.BDP("FNDD9648 Mtge","ID_CUSIP")</f>
        <v>3140BAWJ1</v>
      </c>
      <c r="B3606" t="str">
        <f>_xll.BDP("FNDD9648 Mtge","SECURITY_NAME")</f>
        <v>FN DD9648</v>
      </c>
      <c r="C3606" t="str">
        <f>_xll.BDP("FNDD9648 Mtge","GENERIC_TICKER_VINTAGE")</f>
        <v>FNCL 6 2025</v>
      </c>
      <c r="D3606" t="str">
        <f>_xll.BDP("FNDD9648 Mtge","CRNCY")</f>
        <v>USD</v>
      </c>
      <c r="E3606">
        <v>7255369</v>
      </c>
      <c r="F3606">
        <f>_xll.BDP("FNDD9648 Mtge","CPN")</f>
        <v>6</v>
      </c>
      <c r="G3606">
        <f>_xll.BDP("FNDD9648 Mtge","MTG_FACTOR")</f>
        <v>0.83367594</v>
      </c>
      <c r="H3606">
        <f>_xll.BDP("FNDD9648 Mtge","MTG_WAL")</f>
        <v>3.2827999999999999</v>
      </c>
      <c r="I3606" t="str">
        <f>_xll.BDP("FNDD9648 Mtge","MTG_ORIG_WAL")</f>
        <v>#N/A N/A</v>
      </c>
    </row>
    <row r="3607" spans="1:9" x14ac:dyDescent="0.25">
      <c r="A3607" t="str">
        <f>_xll.BDP("FNDD9651 Mtge","ID_CUSIP")</f>
        <v>3140BAWM4</v>
      </c>
      <c r="B3607" t="str">
        <f>_xll.BDP("FNDD9651 Mtge","SECURITY_NAME")</f>
        <v>FN DD9651</v>
      </c>
      <c r="C3607" t="str">
        <f>_xll.BDP("FNDD9651 Mtge","GENERIC_TICKER_VINTAGE")</f>
        <v>FNCL 6 2025</v>
      </c>
      <c r="D3607" t="str">
        <f>_xll.BDP("FNDD9651 Mtge","CRNCY")</f>
        <v>USD</v>
      </c>
      <c r="E3607">
        <v>1125000</v>
      </c>
      <c r="F3607">
        <f>_xll.BDP("FNDD9651 Mtge","CPN")</f>
        <v>6</v>
      </c>
      <c r="G3607">
        <f>_xll.BDP("FNDD9651 Mtge","MTG_FACTOR")</f>
        <v>0.99262954999999997</v>
      </c>
      <c r="H3607">
        <f>_xll.BDP("FNDD9651 Mtge","MTG_WAL")</f>
        <v>3.3500999999999999</v>
      </c>
      <c r="I3607" t="str">
        <f>_xll.BDP("FNDD9651 Mtge","MTG_ORIG_WAL")</f>
        <v>#N/A N/A</v>
      </c>
    </row>
    <row r="3608" spans="1:9" x14ac:dyDescent="0.25">
      <c r="A3608" t="str">
        <f>_xll.BDP("FNDD9666 Mtge","ID_CUSIP")</f>
        <v>3140BAW44</v>
      </c>
      <c r="B3608" t="str">
        <f>_xll.BDP("FNDD9666 Mtge","SECURITY_NAME")</f>
        <v>FN DD9666</v>
      </c>
      <c r="C3608" t="str">
        <f>_xll.BDP("FNDD9666 Mtge","GENERIC_TICKER_VINTAGE")</f>
        <v>FNCL 6 2025</v>
      </c>
      <c r="D3608" t="str">
        <f>_xll.BDP("FNDD9666 Mtge","CRNCY")</f>
        <v>USD</v>
      </c>
      <c r="E3608">
        <v>8773835</v>
      </c>
      <c r="F3608">
        <f>_xll.BDP("FNDD9666 Mtge","CPN")</f>
        <v>6</v>
      </c>
      <c r="G3608">
        <f>_xll.BDP("FNDD9666 Mtge","MTG_FACTOR")</f>
        <v>0.81417318999999999</v>
      </c>
      <c r="H3608">
        <f>_xll.BDP("FNDD9666 Mtge","MTG_WAL")</f>
        <v>3.2964000000000002</v>
      </c>
      <c r="I3608" t="str">
        <f>_xll.BDP("FNDD9666 Mtge","MTG_ORIG_WAL")</f>
        <v>#N/A N/A</v>
      </c>
    </row>
    <row r="3609" spans="1:9" x14ac:dyDescent="0.25">
      <c r="A3609" t="str">
        <f>_xll.BDP("FNDD9685 Mtge","ID_CUSIP")</f>
        <v>3140BAXP6</v>
      </c>
      <c r="B3609" t="str">
        <f>_xll.BDP("FNDD9685 Mtge","SECURITY_NAME")</f>
        <v>FN DD9685</v>
      </c>
      <c r="C3609" t="str">
        <f>_xll.BDP("FNDD9685 Mtge","GENERIC_TICKER_VINTAGE")</f>
        <v>FNCL 6 2025</v>
      </c>
      <c r="D3609" t="str">
        <f>_xll.BDP("FNDD9685 Mtge","CRNCY")</f>
        <v>USD</v>
      </c>
      <c r="E3609">
        <v>1103104</v>
      </c>
      <c r="F3609">
        <f>_xll.BDP("FNDD9685 Mtge","CPN")</f>
        <v>6</v>
      </c>
      <c r="G3609">
        <f>_xll.BDP("FNDD9685 Mtge","MTG_FACTOR")</f>
        <v>0.99292537000000003</v>
      </c>
      <c r="H3609">
        <f>_xll.BDP("FNDD9685 Mtge","MTG_WAL")</f>
        <v>3.3441999999999998</v>
      </c>
      <c r="I3609" t="str">
        <f>_xll.BDP("FNDD9685 Mtge","MTG_ORIG_WAL")</f>
        <v>#N/A N/A</v>
      </c>
    </row>
    <row r="3610" spans="1:9" x14ac:dyDescent="0.25">
      <c r="A3610" t="str">
        <f>_xll.BDP("FNDD9692 Mtge","ID_CUSIP")</f>
        <v>3140BAXW1</v>
      </c>
      <c r="B3610" t="str">
        <f>_xll.BDP("FNDD9692 Mtge","SECURITY_NAME")</f>
        <v>FN DD9692</v>
      </c>
      <c r="C3610" t="str">
        <f>_xll.BDP("FNDD9692 Mtge","GENERIC_TICKER_VINTAGE")</f>
        <v>FNCL 6 2025</v>
      </c>
      <c r="D3610" t="str">
        <f>_xll.BDP("FNDD9692 Mtge","CRNCY")</f>
        <v>USD</v>
      </c>
      <c r="E3610">
        <v>3367528</v>
      </c>
      <c r="F3610">
        <f>_xll.BDP("FNDD9692 Mtge","CPN")</f>
        <v>6</v>
      </c>
      <c r="G3610">
        <f>_xll.BDP("FNDD9692 Mtge","MTG_FACTOR")</f>
        <v>0.90735025999999996</v>
      </c>
      <c r="H3610">
        <f>_xll.BDP("FNDD9692 Mtge","MTG_WAL")</f>
        <v>3.2890000000000001</v>
      </c>
      <c r="I3610" t="str">
        <f>_xll.BDP("FNDD9692 Mtge","MTG_ORIG_WAL")</f>
        <v>#N/A N/A</v>
      </c>
    </row>
    <row r="3611" spans="1:9" x14ac:dyDescent="0.25">
      <c r="A3611" t="str">
        <f>_xll.BDP("FNDD9694 Mtge","ID_CUSIP")</f>
        <v>3140BAXY7</v>
      </c>
      <c r="B3611" t="str">
        <f>_xll.BDP("FNDD9694 Mtge","SECURITY_NAME")</f>
        <v>FN DD9694</v>
      </c>
      <c r="C3611" t="str">
        <f>_xll.BDP("FNDD9694 Mtge","GENERIC_TICKER_VINTAGE")</f>
        <v>FNCL 6 2025</v>
      </c>
      <c r="D3611" t="str">
        <f>_xll.BDP("FNDD9694 Mtge","CRNCY")</f>
        <v>USD</v>
      </c>
      <c r="E3611">
        <v>7198643</v>
      </c>
      <c r="F3611">
        <f>_xll.BDP("FNDD9694 Mtge","CPN")</f>
        <v>6</v>
      </c>
      <c r="G3611">
        <f>_xll.BDP("FNDD9694 Mtge","MTG_FACTOR")</f>
        <v>0.96115894999999996</v>
      </c>
      <c r="H3611">
        <f>_xll.BDP("FNDD9694 Mtge","MTG_WAL")</f>
        <v>3.2919</v>
      </c>
      <c r="I3611" t="str">
        <f>_xll.BDP("FNDD9694 Mtge","MTG_ORIG_WAL")</f>
        <v>#N/A N/A</v>
      </c>
    </row>
    <row r="3612" spans="1:9" x14ac:dyDescent="0.25">
      <c r="A3612" t="str">
        <f>_xll.BDP("FNDD9695 Mtge","ID_CUSIP")</f>
        <v>3140BAXZ4</v>
      </c>
      <c r="B3612" t="str">
        <f>_xll.BDP("FNDD9695 Mtge","SECURITY_NAME")</f>
        <v>FN DD9695</v>
      </c>
      <c r="C3612" t="str">
        <f>_xll.BDP("FNDD9695 Mtge","GENERIC_TICKER_VINTAGE")</f>
        <v>FNCL 6 2025</v>
      </c>
      <c r="D3612" t="str">
        <f>_xll.BDP("FNDD9695 Mtge","CRNCY")</f>
        <v>USD</v>
      </c>
      <c r="E3612">
        <v>9045135</v>
      </c>
      <c r="F3612">
        <f>_xll.BDP("FNDD9695 Mtge","CPN")</f>
        <v>6</v>
      </c>
      <c r="G3612">
        <f>_xll.BDP("FNDD9695 Mtge","MTG_FACTOR")</f>
        <v>0.93647932</v>
      </c>
      <c r="H3612">
        <f>_xll.BDP("FNDD9695 Mtge","MTG_WAL")</f>
        <v>3.2898999999999998</v>
      </c>
      <c r="I3612" t="str">
        <f>_xll.BDP("FNDD9695 Mtge","MTG_ORIG_WAL")</f>
        <v>#N/A N/A</v>
      </c>
    </row>
    <row r="3613" spans="1:9" x14ac:dyDescent="0.25">
      <c r="A3613" t="str">
        <f>_xll.BDP("FNDD9696 Mtge","ID_CUSIP")</f>
        <v>3140BAX27</v>
      </c>
      <c r="B3613" t="str">
        <f>_xll.BDP("FNDD9696 Mtge","SECURITY_NAME")</f>
        <v>FN DD9696</v>
      </c>
      <c r="C3613" t="str">
        <f>_xll.BDP("FNDD9696 Mtge","GENERIC_TICKER_VINTAGE")</f>
        <v>FNCL 6 2025</v>
      </c>
      <c r="D3613" t="str">
        <f>_xll.BDP("FNDD9696 Mtge","CRNCY")</f>
        <v>USD</v>
      </c>
      <c r="E3613">
        <v>5502482</v>
      </c>
      <c r="F3613">
        <f>_xll.BDP("FNDD9696 Mtge","CPN")</f>
        <v>6</v>
      </c>
      <c r="G3613">
        <f>_xll.BDP("FNDD9696 Mtge","MTG_FACTOR")</f>
        <v>0.98099037</v>
      </c>
      <c r="H3613">
        <f>_xll.BDP("FNDD9696 Mtge","MTG_WAL")</f>
        <v>3.2905000000000002</v>
      </c>
      <c r="I3613" t="str">
        <f>_xll.BDP("FNDD9696 Mtge","MTG_ORIG_WAL")</f>
        <v>#N/A N/A</v>
      </c>
    </row>
    <row r="3614" spans="1:9" x14ac:dyDescent="0.25">
      <c r="A3614" t="str">
        <f>_xll.BDP("FNDD9698 Mtge","ID_CUSIP")</f>
        <v>3140BAX43</v>
      </c>
      <c r="B3614" t="str">
        <f>_xll.BDP("FNDD9698 Mtge","SECURITY_NAME")</f>
        <v>FN DD9698</v>
      </c>
      <c r="C3614" t="str">
        <f>_xll.BDP("FNDD9698 Mtge","GENERIC_TICKER_VINTAGE")</f>
        <v>FNCL 6 2025</v>
      </c>
      <c r="D3614" t="str">
        <f>_xll.BDP("FNDD9698 Mtge","CRNCY")</f>
        <v>USD</v>
      </c>
      <c r="E3614">
        <v>6850869</v>
      </c>
      <c r="F3614">
        <f>_xll.BDP("FNDD9698 Mtge","CPN")</f>
        <v>6</v>
      </c>
      <c r="G3614">
        <f>_xll.BDP("FNDD9698 Mtge","MTG_FACTOR")</f>
        <v>0.89947142999999996</v>
      </c>
      <c r="H3614">
        <f>_xll.BDP("FNDD9698 Mtge","MTG_WAL")</f>
        <v>3.2936000000000001</v>
      </c>
      <c r="I3614" t="str">
        <f>_xll.BDP("FNDD9698 Mtge","MTG_ORIG_WAL")</f>
        <v>#N/A N/A</v>
      </c>
    </row>
    <row r="3615" spans="1:9" x14ac:dyDescent="0.25">
      <c r="A3615" t="str">
        <f>_xll.BDP("FNDD9711 Mtge","ID_CUSIP")</f>
        <v>3140BAYH3</v>
      </c>
      <c r="B3615" t="str">
        <f>_xll.BDP("FNDD9711 Mtge","SECURITY_NAME")</f>
        <v>FN DD9711</v>
      </c>
      <c r="C3615" t="str">
        <f>_xll.BDP("FNDD9711 Mtge","GENERIC_TICKER_VINTAGE")</f>
        <v>FNCL 6 2025</v>
      </c>
      <c r="D3615" t="str">
        <f>_xll.BDP("FNDD9711 Mtge","CRNCY")</f>
        <v>USD</v>
      </c>
      <c r="E3615">
        <v>3414170</v>
      </c>
      <c r="F3615">
        <f>_xll.BDP("FNDD9711 Mtge","CPN")</f>
        <v>6</v>
      </c>
      <c r="G3615">
        <f>_xll.BDP("FNDD9711 Mtge","MTG_FACTOR")</f>
        <v>0.99045022999999999</v>
      </c>
      <c r="H3615">
        <f>_xll.BDP("FNDD9711 Mtge","MTG_WAL")</f>
        <v>3.2871000000000001</v>
      </c>
      <c r="I3615" t="str">
        <f>_xll.BDP("FNDD9711 Mtge","MTG_ORIG_WAL")</f>
        <v>#N/A N/A</v>
      </c>
    </row>
    <row r="3616" spans="1:9" x14ac:dyDescent="0.25">
      <c r="A3616" t="str">
        <f>_xll.BDP("FNDD9713 Mtge","ID_CUSIP")</f>
        <v>3140BAYK6</v>
      </c>
      <c r="B3616" t="str">
        <f>_xll.BDP("FNDD9713 Mtge","SECURITY_NAME")</f>
        <v>FN DD9713</v>
      </c>
      <c r="C3616" t="str">
        <f>_xll.BDP("FNDD9713 Mtge","GENERIC_TICKER_VINTAGE")</f>
        <v>FNCL 6 2025</v>
      </c>
      <c r="D3616" t="str">
        <f>_xll.BDP("FNDD9713 Mtge","CRNCY")</f>
        <v>USD</v>
      </c>
      <c r="E3616">
        <v>2898254</v>
      </c>
      <c r="F3616">
        <f>_xll.BDP("FNDD9713 Mtge","CPN")</f>
        <v>6</v>
      </c>
      <c r="G3616">
        <f>_xll.BDP("FNDD9713 Mtge","MTG_FACTOR")</f>
        <v>0.98996324000000002</v>
      </c>
      <c r="H3616">
        <f>_xll.BDP("FNDD9713 Mtge","MTG_WAL")</f>
        <v>3.2915999999999999</v>
      </c>
      <c r="I3616" t="str">
        <f>_xll.BDP("FNDD9713 Mtge","MTG_ORIG_WAL")</f>
        <v>#N/A N/A</v>
      </c>
    </row>
    <row r="3617" spans="1:9" x14ac:dyDescent="0.25">
      <c r="A3617" t="str">
        <f>_xll.BDP("FNDD9714 Mtge","ID_CUSIP")</f>
        <v>3140BAYL4</v>
      </c>
      <c r="B3617" t="str">
        <f>_xll.BDP("FNDD9714 Mtge","SECURITY_NAME")</f>
        <v>FN DD9714</v>
      </c>
      <c r="C3617" t="str">
        <f>_xll.BDP("FNDD9714 Mtge","GENERIC_TICKER_VINTAGE")</f>
        <v>FNCL 6 2025</v>
      </c>
      <c r="D3617" t="str">
        <f>_xll.BDP("FNDD9714 Mtge","CRNCY")</f>
        <v>USD</v>
      </c>
      <c r="E3617">
        <v>1529893</v>
      </c>
      <c r="F3617">
        <f>_xll.BDP("FNDD9714 Mtge","CPN")</f>
        <v>6</v>
      </c>
      <c r="G3617">
        <f>_xll.BDP("FNDD9714 Mtge","MTG_FACTOR")</f>
        <v>0.99115898999999996</v>
      </c>
      <c r="H3617">
        <f>_xll.BDP("FNDD9714 Mtge","MTG_WAL")</f>
        <v>3.2900999999999998</v>
      </c>
      <c r="I3617" t="str">
        <f>_xll.BDP("FNDD9714 Mtge","MTG_ORIG_WAL")</f>
        <v>#N/A N/A</v>
      </c>
    </row>
    <row r="3618" spans="1:9" x14ac:dyDescent="0.25">
      <c r="A3618" t="str">
        <f>_xll.BDP("FNDD9717 Mtge","ID_CUSIP")</f>
        <v>3140BAYP5</v>
      </c>
      <c r="B3618" t="str">
        <f>_xll.BDP("FNDD9717 Mtge","SECURITY_NAME")</f>
        <v>FN DD9717</v>
      </c>
      <c r="C3618" t="str">
        <f>_xll.BDP("FNDD9717 Mtge","GENERIC_TICKER_VINTAGE")</f>
        <v>FNCL 6 2025</v>
      </c>
      <c r="D3618" t="str">
        <f>_xll.BDP("FNDD9717 Mtge","CRNCY")</f>
        <v>USD</v>
      </c>
      <c r="E3618">
        <v>7347275</v>
      </c>
      <c r="F3618">
        <f>_xll.BDP("FNDD9717 Mtge","CPN")</f>
        <v>6</v>
      </c>
      <c r="G3618">
        <f>_xll.BDP("FNDD9717 Mtge","MTG_FACTOR")</f>
        <v>0.90942078000000004</v>
      </c>
      <c r="H3618">
        <f>_xll.BDP("FNDD9717 Mtge","MTG_WAL")</f>
        <v>3.2746</v>
      </c>
      <c r="I3618" t="str">
        <f>_xll.BDP("FNDD9717 Mtge","MTG_ORIG_WAL")</f>
        <v>#N/A N/A</v>
      </c>
    </row>
    <row r="3619" spans="1:9" x14ac:dyDescent="0.25">
      <c r="A3619" t="str">
        <f>_xll.BDP("FNDD9718 Mtge","ID_CUSIP")</f>
        <v>3140BAYQ3</v>
      </c>
      <c r="B3619" t="str">
        <f>_xll.BDP("FNDD9718 Mtge","SECURITY_NAME")</f>
        <v>FN DD9718</v>
      </c>
      <c r="C3619" t="str">
        <f>_xll.BDP("FNDD9718 Mtge","GENERIC_TICKER_VINTAGE")</f>
        <v>FNCL 6 2025</v>
      </c>
      <c r="D3619" t="str">
        <f>_xll.BDP("FNDD9718 Mtge","CRNCY")</f>
        <v>USD</v>
      </c>
      <c r="E3619">
        <v>8846473</v>
      </c>
      <c r="F3619">
        <f>_xll.BDP("FNDD9718 Mtge","CPN")</f>
        <v>6</v>
      </c>
      <c r="G3619">
        <f>_xll.BDP("FNDD9718 Mtge","MTG_FACTOR")</f>
        <v>0.92602642999999996</v>
      </c>
      <c r="H3619">
        <f>_xll.BDP("FNDD9718 Mtge","MTG_WAL")</f>
        <v>3.2825000000000002</v>
      </c>
      <c r="I3619" t="str">
        <f>_xll.BDP("FNDD9718 Mtge","MTG_ORIG_WAL")</f>
        <v>#N/A N/A</v>
      </c>
    </row>
    <row r="3620" spans="1:9" x14ac:dyDescent="0.25">
      <c r="A3620" t="str">
        <f>_xll.BDP("FNDD9759 Mtge","ID_CUSIP")</f>
        <v>3140BAZZ2</v>
      </c>
      <c r="B3620" t="str">
        <f>_xll.BDP("FNDD9759 Mtge","SECURITY_NAME")</f>
        <v>FN DD9759</v>
      </c>
      <c r="C3620" t="str">
        <f>_xll.BDP("FNDD9759 Mtge","GENERIC_TICKER_VINTAGE")</f>
        <v>FNCL 6 2025</v>
      </c>
      <c r="D3620" t="str">
        <f>_xll.BDP("FNDD9759 Mtge","CRNCY")</f>
        <v>USD</v>
      </c>
      <c r="E3620">
        <v>9444167</v>
      </c>
      <c r="F3620">
        <f>_xll.BDP("FNDD9759 Mtge","CPN")</f>
        <v>6</v>
      </c>
      <c r="G3620">
        <f>_xll.BDP("FNDD9759 Mtge","MTG_FACTOR")</f>
        <v>0.74541234999999995</v>
      </c>
      <c r="H3620">
        <f>_xll.BDP("FNDD9759 Mtge","MTG_WAL")</f>
        <v>3.3984999999999999</v>
      </c>
      <c r="I3620" t="str">
        <f>_xll.BDP("FNDD9759 Mtge","MTG_ORIG_WAL")</f>
        <v>#N/A N/A</v>
      </c>
    </row>
    <row r="3621" spans="1:9" x14ac:dyDescent="0.25">
      <c r="A3621" t="str">
        <f>_xll.BDP("FNDD9811 Mtge","ID_CUSIP")</f>
        <v>3140BA3V6</v>
      </c>
      <c r="B3621" t="str">
        <f>_xll.BDP("FNDD9811 Mtge","SECURITY_NAME")</f>
        <v>FN DD9811</v>
      </c>
      <c r="C3621" t="str">
        <f>_xll.BDP("FNDD9811 Mtge","GENERIC_TICKER_VINTAGE")</f>
        <v>FNCL 6 2025</v>
      </c>
      <c r="D3621" t="str">
        <f>_xll.BDP("FNDD9811 Mtge","CRNCY")</f>
        <v>USD</v>
      </c>
      <c r="E3621">
        <v>13289766</v>
      </c>
      <c r="F3621">
        <f>_xll.BDP("FNDD9811 Mtge","CPN")</f>
        <v>6</v>
      </c>
      <c r="G3621">
        <f>_xll.BDP("FNDD9811 Mtge","MTG_FACTOR")</f>
        <v>0.80418378999999995</v>
      </c>
      <c r="H3621">
        <f>_xll.BDP("FNDD9811 Mtge","MTG_WAL")</f>
        <v>3.2456</v>
      </c>
      <c r="I3621" t="str">
        <f>_xll.BDP("FNDD9811 Mtge","MTG_ORIG_WAL")</f>
        <v>#N/A N/A</v>
      </c>
    </row>
    <row r="3622" spans="1:9" x14ac:dyDescent="0.25">
      <c r="A3622" t="str">
        <f>_xll.BDP("FNDD9812 Mtge","ID_CUSIP")</f>
        <v>3140BA3W4</v>
      </c>
      <c r="B3622" t="str">
        <f>_xll.BDP("FNDD9812 Mtge","SECURITY_NAME")</f>
        <v>FN DD9812</v>
      </c>
      <c r="C3622" t="str">
        <f>_xll.BDP("FNDD9812 Mtge","GENERIC_TICKER_VINTAGE")</f>
        <v>FNCL 6 2025</v>
      </c>
      <c r="D3622" t="str">
        <f>_xll.BDP("FNDD9812 Mtge","CRNCY")</f>
        <v>USD</v>
      </c>
      <c r="E3622">
        <v>2151619</v>
      </c>
      <c r="F3622">
        <f>_xll.BDP("FNDD9812 Mtge","CPN")</f>
        <v>6</v>
      </c>
      <c r="G3622">
        <f>_xll.BDP("FNDD9812 Mtge","MTG_FACTOR")</f>
        <v>0.97879192999999998</v>
      </c>
      <c r="H3622">
        <f>_xll.BDP("FNDD9812 Mtge","MTG_WAL")</f>
        <v>3.2385000000000002</v>
      </c>
      <c r="I3622" t="str">
        <f>_xll.BDP("FNDD9812 Mtge","MTG_ORIG_WAL")</f>
        <v>#N/A N/A</v>
      </c>
    </row>
    <row r="3623" spans="1:9" x14ac:dyDescent="0.25">
      <c r="A3623" t="str">
        <f>_xll.BDP("FNDD9818 Mtge","ID_CUSIP")</f>
        <v>3140BA4C7</v>
      </c>
      <c r="B3623" t="str">
        <f>_xll.BDP("FNDD9818 Mtge","SECURITY_NAME")</f>
        <v>FN DD9818</v>
      </c>
      <c r="C3623" t="str">
        <f>_xll.BDP("FNDD9818 Mtge","GENERIC_TICKER_VINTAGE")</f>
        <v>FNCL 6 2025</v>
      </c>
      <c r="D3623" t="str">
        <f>_xll.BDP("FNDD9818 Mtge","CRNCY")</f>
        <v>USD</v>
      </c>
      <c r="E3623">
        <v>1674281</v>
      </c>
      <c r="F3623">
        <f>_xll.BDP("FNDD9818 Mtge","CPN")</f>
        <v>6</v>
      </c>
      <c r="G3623">
        <f>_xll.BDP("FNDD9818 Mtge","MTG_FACTOR")</f>
        <v>0.87906167999999996</v>
      </c>
      <c r="H3623">
        <f>_xll.BDP("FNDD9818 Mtge","MTG_WAL")</f>
        <v>3.246</v>
      </c>
      <c r="I3623" t="str">
        <f>_xll.BDP("FNDD9818 Mtge","MTG_ORIG_WAL")</f>
        <v>#N/A N/A</v>
      </c>
    </row>
    <row r="3624" spans="1:9" x14ac:dyDescent="0.25">
      <c r="A3624" t="str">
        <f>_xll.BDP("FNDD9819 Mtge","ID_CUSIP")</f>
        <v>3140BA4D5</v>
      </c>
      <c r="B3624" t="str">
        <f>_xll.BDP("FNDD9819 Mtge","SECURITY_NAME")</f>
        <v>FN DD9819</v>
      </c>
      <c r="C3624" t="str">
        <f>_xll.BDP("FNDD9819 Mtge","GENERIC_TICKER_VINTAGE")</f>
        <v>FNCL 6 2025</v>
      </c>
      <c r="D3624" t="str">
        <f>_xll.BDP("FNDD9819 Mtge","CRNCY")</f>
        <v>USD</v>
      </c>
      <c r="E3624">
        <v>1913189</v>
      </c>
      <c r="F3624">
        <f>_xll.BDP("FNDD9819 Mtge","CPN")</f>
        <v>6</v>
      </c>
      <c r="G3624">
        <f>_xll.BDP("FNDD9819 Mtge","MTG_FACTOR")</f>
        <v>0.89397804000000003</v>
      </c>
      <c r="H3624">
        <f>_xll.BDP("FNDD9819 Mtge","MTG_WAL")</f>
        <v>3.2320000000000002</v>
      </c>
      <c r="I3624" t="str">
        <f>_xll.BDP("FNDD9819 Mtge","MTG_ORIG_WAL")</f>
        <v>#N/A N/A</v>
      </c>
    </row>
    <row r="3625" spans="1:9" x14ac:dyDescent="0.25">
      <c r="A3625" t="str">
        <f>_xll.BDP("FNDD9830 Mtge","ID_CUSIP")</f>
        <v>3140BA4Q6</v>
      </c>
      <c r="B3625" t="str">
        <f>_xll.BDP("FNDD9830 Mtge","SECURITY_NAME")</f>
        <v>FN DD9830</v>
      </c>
      <c r="C3625" t="str">
        <f>_xll.BDP("FNDD9830 Mtge","GENERIC_TICKER_VINTAGE")</f>
        <v>FNCL 6 2025</v>
      </c>
      <c r="D3625" t="str">
        <f>_xll.BDP("FNDD9830 Mtge","CRNCY")</f>
        <v>USD</v>
      </c>
      <c r="E3625">
        <v>1449749</v>
      </c>
      <c r="F3625">
        <f>_xll.BDP("FNDD9830 Mtge","CPN")</f>
        <v>6</v>
      </c>
      <c r="G3625">
        <f>_xll.BDP("FNDD9830 Mtge","MTG_FACTOR")</f>
        <v>0.52721998999999997</v>
      </c>
      <c r="H3625">
        <f>_xll.BDP("FNDD9830 Mtge","MTG_WAL")</f>
        <v>3.0562999999999998</v>
      </c>
      <c r="I3625" t="str">
        <f>_xll.BDP("FNDD9830 Mtge","MTG_ORIG_WAL")</f>
        <v>#N/A N/A</v>
      </c>
    </row>
    <row r="3626" spans="1:9" x14ac:dyDescent="0.25">
      <c r="A3626" t="str">
        <f>_xll.BDP("FNDD9887 Mtge","ID_CUSIP")</f>
        <v>3140BA6Z4</v>
      </c>
      <c r="B3626" t="str">
        <f>_xll.BDP("FNDD9887 Mtge","SECURITY_NAME")</f>
        <v>FN DD9887</v>
      </c>
      <c r="C3626" t="str">
        <f>_xll.BDP("FNDD9887 Mtge","GENERIC_TICKER_VINTAGE")</f>
        <v>FNCL 6 2025</v>
      </c>
      <c r="D3626" t="str">
        <f>_xll.BDP("FNDD9887 Mtge","CRNCY")</f>
        <v>USD</v>
      </c>
      <c r="E3626">
        <v>1315471</v>
      </c>
      <c r="F3626">
        <f>_xll.BDP("FNDD9887 Mtge","CPN")</f>
        <v>6</v>
      </c>
      <c r="G3626">
        <f>_xll.BDP("FNDD9887 Mtge","MTG_FACTOR")</f>
        <v>0.99243241000000004</v>
      </c>
      <c r="H3626">
        <f>_xll.BDP("FNDD9887 Mtge","MTG_WAL")</f>
        <v>3.3965000000000001</v>
      </c>
      <c r="I3626" t="str">
        <f>_xll.BDP("FNDD9887 Mtge","MTG_ORIG_WAL")</f>
        <v>#N/A N/A</v>
      </c>
    </row>
    <row r="3627" spans="1:9" x14ac:dyDescent="0.25">
      <c r="A3627" t="str">
        <f>_xll.BDP("FNDD9893 Mtge","ID_CUSIP")</f>
        <v>3140BA7F7</v>
      </c>
      <c r="B3627" t="str">
        <f>_xll.BDP("FNDD9893 Mtge","SECURITY_NAME")</f>
        <v>FN DD9893</v>
      </c>
      <c r="C3627" t="str">
        <f>_xll.BDP("FNDD9893 Mtge","GENERIC_TICKER_VINTAGE")</f>
        <v>FNCL 6 2025</v>
      </c>
      <c r="D3627" t="str">
        <f>_xll.BDP("FNDD9893 Mtge","CRNCY")</f>
        <v>USD</v>
      </c>
      <c r="E3627">
        <v>1098361</v>
      </c>
      <c r="F3627">
        <f>_xll.BDP("FNDD9893 Mtge","CPN")</f>
        <v>6</v>
      </c>
      <c r="G3627">
        <f>_xll.BDP("FNDD9893 Mtge","MTG_FACTOR")</f>
        <v>0.97817359999999998</v>
      </c>
      <c r="H3627">
        <f>_xll.BDP("FNDD9893 Mtge","MTG_WAL")</f>
        <v>3.2801</v>
      </c>
      <c r="I3627" t="str">
        <f>_xll.BDP("FNDD9893 Mtge","MTG_ORIG_WAL")</f>
        <v>#N/A N/A</v>
      </c>
    </row>
    <row r="3628" spans="1:9" x14ac:dyDescent="0.25">
      <c r="A3628" t="str">
        <f>_xll.BDP("FNDD9915 Mtge","ID_CUSIP")</f>
        <v>3140BBAR5</v>
      </c>
      <c r="B3628" t="str">
        <f>_xll.BDP("FNDD9915 Mtge","SECURITY_NAME")</f>
        <v>FN DD9915</v>
      </c>
      <c r="C3628" t="str">
        <f>_xll.BDP("FNDD9915 Mtge","GENERIC_TICKER_VINTAGE")</f>
        <v>FNCL 6 2025</v>
      </c>
      <c r="D3628" t="str">
        <f>_xll.BDP("FNDD9915 Mtge","CRNCY")</f>
        <v>USD</v>
      </c>
      <c r="E3628">
        <v>11291830</v>
      </c>
      <c r="F3628">
        <f>_xll.BDP("FNDD9915 Mtge","CPN")</f>
        <v>6</v>
      </c>
      <c r="G3628">
        <f>_xll.BDP("FNDD9915 Mtge","MTG_FACTOR")</f>
        <v>0.94086027999999999</v>
      </c>
      <c r="H3628">
        <f>_xll.BDP("FNDD9915 Mtge","MTG_WAL")</f>
        <v>3.3929999999999998</v>
      </c>
      <c r="I3628" t="str">
        <f>_xll.BDP("FNDD9915 Mtge","MTG_ORIG_WAL")</f>
        <v>#N/A N/A</v>
      </c>
    </row>
    <row r="3629" spans="1:9" x14ac:dyDescent="0.25">
      <c r="A3629" t="str">
        <f>_xll.BDP("FNDD9922 Mtge","ID_CUSIP")</f>
        <v>3140BBAY0</v>
      </c>
      <c r="B3629" t="str">
        <f>_xll.BDP("FNDD9922 Mtge","SECURITY_NAME")</f>
        <v>FN DD9922</v>
      </c>
      <c r="C3629" t="str">
        <f>_xll.BDP("FNDD9922 Mtge","GENERIC_TICKER_VINTAGE")</f>
        <v>FNCL 6 2025</v>
      </c>
      <c r="D3629" t="str">
        <f>_xll.BDP("FNDD9922 Mtge","CRNCY")</f>
        <v>USD</v>
      </c>
      <c r="E3629">
        <v>1064763</v>
      </c>
      <c r="F3629">
        <f>_xll.BDP("FNDD9922 Mtge","CPN")</f>
        <v>6</v>
      </c>
      <c r="G3629">
        <f>_xll.BDP("FNDD9922 Mtge","MTG_FACTOR")</f>
        <v>0.99009515999999997</v>
      </c>
      <c r="H3629">
        <f>_xll.BDP("FNDD9922 Mtge","MTG_WAL")</f>
        <v>3.2938999999999998</v>
      </c>
      <c r="I3629" t="str">
        <f>_xll.BDP("FNDD9922 Mtge","MTG_ORIG_WAL")</f>
        <v>#N/A N/A</v>
      </c>
    </row>
    <row r="3630" spans="1:9" x14ac:dyDescent="0.25">
      <c r="A3630" t="str">
        <f>_xll.BDP("FNDD9924 Mtge","ID_CUSIP")</f>
        <v>3140BBA20</v>
      </c>
      <c r="B3630" t="str">
        <f>_xll.BDP("FNDD9924 Mtge","SECURITY_NAME")</f>
        <v>FN DD9924</v>
      </c>
      <c r="C3630" t="str">
        <f>_xll.BDP("FNDD9924 Mtge","GENERIC_TICKER_VINTAGE")</f>
        <v>FNCL 6 2025</v>
      </c>
      <c r="D3630" t="str">
        <f>_xll.BDP("FNDD9924 Mtge","CRNCY")</f>
        <v>USD</v>
      </c>
      <c r="E3630">
        <v>1146772</v>
      </c>
      <c r="F3630">
        <f>_xll.BDP("FNDD9924 Mtge","CPN")</f>
        <v>6</v>
      </c>
      <c r="G3630">
        <f>_xll.BDP("FNDD9924 Mtge","MTG_FACTOR")</f>
        <v>0.98722094000000005</v>
      </c>
      <c r="H3630">
        <f>_xll.BDP("FNDD9924 Mtge","MTG_WAL")</f>
        <v>3.2928999999999999</v>
      </c>
      <c r="I3630" t="str">
        <f>_xll.BDP("FNDD9924 Mtge","MTG_ORIG_WAL")</f>
        <v>#N/A N/A</v>
      </c>
    </row>
    <row r="3631" spans="1:9" x14ac:dyDescent="0.25">
      <c r="A3631" t="str">
        <f>_xll.BDP("FNDD9933 Mtge","ID_CUSIP")</f>
        <v>3140BBBB9</v>
      </c>
      <c r="B3631" t="str">
        <f>_xll.BDP("FNDD9933 Mtge","SECURITY_NAME")</f>
        <v>FN DD9933</v>
      </c>
      <c r="C3631" t="str">
        <f>_xll.BDP("FNDD9933 Mtge","GENERIC_TICKER_VINTAGE")</f>
        <v>FNCL 6 2025</v>
      </c>
      <c r="D3631" t="str">
        <f>_xll.BDP("FNDD9933 Mtge","CRNCY")</f>
        <v>USD</v>
      </c>
      <c r="E3631">
        <v>1148988</v>
      </c>
      <c r="F3631">
        <f>_xll.BDP("FNDD9933 Mtge","CPN")</f>
        <v>6</v>
      </c>
      <c r="G3631">
        <f>_xll.BDP("FNDD9933 Mtge","MTG_FACTOR")</f>
        <v>0.93800273999999995</v>
      </c>
      <c r="H3631">
        <f>_xll.BDP("FNDD9933 Mtge","MTG_WAL")</f>
        <v>3.2277</v>
      </c>
      <c r="I3631" t="str">
        <f>_xll.BDP("FNDD9933 Mtge","MTG_ORIG_WAL")</f>
        <v>#N/A N/A</v>
      </c>
    </row>
    <row r="3632" spans="1:9" x14ac:dyDescent="0.25">
      <c r="A3632" t="str">
        <f>_xll.BDP("FNDD9934 Mtge","ID_CUSIP")</f>
        <v>3140BBBC7</v>
      </c>
      <c r="B3632" t="str">
        <f>_xll.BDP("FNDD9934 Mtge","SECURITY_NAME")</f>
        <v>FN DD9934</v>
      </c>
      <c r="C3632" t="str">
        <f>_xll.BDP("FNDD9934 Mtge","GENERIC_TICKER_VINTAGE")</f>
        <v>FNCL 6 2025</v>
      </c>
      <c r="D3632" t="str">
        <f>_xll.BDP("FNDD9934 Mtge","CRNCY")</f>
        <v>USD</v>
      </c>
      <c r="E3632">
        <v>1071147</v>
      </c>
      <c r="F3632">
        <f>_xll.BDP("FNDD9934 Mtge","CPN")</f>
        <v>6</v>
      </c>
      <c r="G3632">
        <f>_xll.BDP("FNDD9934 Mtge","MTG_FACTOR")</f>
        <v>0.78286442000000001</v>
      </c>
      <c r="H3632">
        <f>_xll.BDP("FNDD9934 Mtge","MTG_WAL")</f>
        <v>3.2946</v>
      </c>
      <c r="I3632" t="str">
        <f>_xll.BDP("FNDD9934 Mtge","MTG_ORIG_WAL")</f>
        <v>#N/A N/A</v>
      </c>
    </row>
    <row r="3633" spans="1:9" x14ac:dyDescent="0.25">
      <c r="A3633" t="str">
        <f>_xll.BDP("FNDD9935 Mtge","ID_CUSIP")</f>
        <v>3140BBBD5</v>
      </c>
      <c r="B3633" t="str">
        <f>_xll.BDP("FNDD9935 Mtge","SECURITY_NAME")</f>
        <v>FN DD9935</v>
      </c>
      <c r="C3633" t="str">
        <f>_xll.BDP("FNDD9935 Mtge","GENERIC_TICKER_VINTAGE")</f>
        <v>FNCL 6 2025</v>
      </c>
      <c r="D3633" t="str">
        <f>_xll.BDP("FNDD9935 Mtge","CRNCY")</f>
        <v>USD</v>
      </c>
      <c r="E3633">
        <v>2168214</v>
      </c>
      <c r="F3633">
        <f>_xll.BDP("FNDD9935 Mtge","CPN")</f>
        <v>6</v>
      </c>
      <c r="G3633">
        <f>_xll.BDP("FNDD9935 Mtge","MTG_FACTOR")</f>
        <v>0.64972927999999996</v>
      </c>
      <c r="H3633">
        <f>_xll.BDP("FNDD9935 Mtge","MTG_WAL")</f>
        <v>3.2927</v>
      </c>
      <c r="I3633" t="str">
        <f>_xll.BDP("FNDD9935 Mtge","MTG_ORIG_WAL")</f>
        <v>#N/A N/A</v>
      </c>
    </row>
    <row r="3634" spans="1:9" x14ac:dyDescent="0.25">
      <c r="A3634" t="str">
        <f>_xll.BDP("FNDD9936 Mtge","ID_CUSIP")</f>
        <v>3140BBBE3</v>
      </c>
      <c r="B3634" t="str">
        <f>_xll.BDP("FNDD9936 Mtge","SECURITY_NAME")</f>
        <v>FN DD9936</v>
      </c>
      <c r="C3634" t="str">
        <f>_xll.BDP("FNDD9936 Mtge","GENERIC_TICKER_VINTAGE")</f>
        <v>FNCL 6 2025</v>
      </c>
      <c r="D3634" t="str">
        <f>_xll.BDP("FNDD9936 Mtge","CRNCY")</f>
        <v>USD</v>
      </c>
      <c r="E3634">
        <v>1804450</v>
      </c>
      <c r="F3634">
        <f>_xll.BDP("FNDD9936 Mtge","CPN")</f>
        <v>6</v>
      </c>
      <c r="G3634">
        <f>_xll.BDP("FNDD9936 Mtge","MTG_FACTOR")</f>
        <v>0.84618245000000003</v>
      </c>
      <c r="H3634">
        <f>_xll.BDP("FNDD9936 Mtge","MTG_WAL")</f>
        <v>3.2953000000000001</v>
      </c>
      <c r="I3634" t="str">
        <f>_xll.BDP("FNDD9936 Mtge","MTG_ORIG_WAL")</f>
        <v>#N/A N/A</v>
      </c>
    </row>
    <row r="3635" spans="1:9" x14ac:dyDescent="0.25">
      <c r="A3635" t="str">
        <f>_xll.BDP("FNDD9938 Mtge","ID_CUSIP")</f>
        <v>3140BBBG8</v>
      </c>
      <c r="B3635" t="str">
        <f>_xll.BDP("FNDD9938 Mtge","SECURITY_NAME")</f>
        <v>FN DD9938</v>
      </c>
      <c r="C3635" t="str">
        <f>_xll.BDP("FNDD9938 Mtge","GENERIC_TICKER_VINTAGE")</f>
        <v>FNCL 6 2025</v>
      </c>
      <c r="D3635" t="str">
        <f>_xll.BDP("FNDD9938 Mtge","CRNCY")</f>
        <v>USD</v>
      </c>
      <c r="E3635">
        <v>1557386</v>
      </c>
      <c r="F3635">
        <f>_xll.BDP("FNDD9938 Mtge","CPN")</f>
        <v>6</v>
      </c>
      <c r="G3635">
        <f>_xll.BDP("FNDD9938 Mtge","MTG_FACTOR")</f>
        <v>0.99115143000000006</v>
      </c>
      <c r="H3635">
        <f>_xll.BDP("FNDD9938 Mtge","MTG_WAL")</f>
        <v>3.2945000000000002</v>
      </c>
      <c r="I3635" t="str">
        <f>_xll.BDP("FNDD9938 Mtge","MTG_ORIG_WAL")</f>
        <v>#N/A N/A</v>
      </c>
    </row>
    <row r="3636" spans="1:9" x14ac:dyDescent="0.25">
      <c r="A3636" t="str">
        <f>_xll.BDP("FNDD9940 Mtge","ID_CUSIP")</f>
        <v>3140BBBJ2</v>
      </c>
      <c r="B3636" t="str">
        <f>_xll.BDP("FNDD9940 Mtge","SECURITY_NAME")</f>
        <v>FN DD9940</v>
      </c>
      <c r="C3636" t="str">
        <f>_xll.BDP("FNDD9940 Mtge","GENERIC_TICKER_VINTAGE")</f>
        <v>FNCL 6 2025</v>
      </c>
      <c r="D3636" t="str">
        <f>_xll.BDP("FNDD9940 Mtge","CRNCY")</f>
        <v>USD</v>
      </c>
      <c r="E3636">
        <v>10421061</v>
      </c>
      <c r="F3636">
        <f>_xll.BDP("FNDD9940 Mtge","CPN")</f>
        <v>6</v>
      </c>
      <c r="G3636">
        <f>_xll.BDP("FNDD9940 Mtge","MTG_FACTOR")</f>
        <v>0.64823200000000003</v>
      </c>
      <c r="H3636">
        <f>_xll.BDP("FNDD9940 Mtge","MTG_WAL")</f>
        <v>3.2946</v>
      </c>
      <c r="I3636" t="str">
        <f>_xll.BDP("FNDD9940 Mtge","MTG_ORIG_WAL")</f>
        <v>#N/A N/A</v>
      </c>
    </row>
    <row r="3637" spans="1:9" x14ac:dyDescent="0.25">
      <c r="A3637" t="str">
        <f>_xll.BDP("FNDD9947 Mtge","ID_CUSIP")</f>
        <v>3140BBBR4</v>
      </c>
      <c r="B3637" t="str">
        <f>_xll.BDP("FNDD9947 Mtge","SECURITY_NAME")</f>
        <v>FN DD9947</v>
      </c>
      <c r="C3637" t="str">
        <f>_xll.BDP("FNDD9947 Mtge","GENERIC_TICKER_VINTAGE")</f>
        <v>FNCL 6 2025</v>
      </c>
      <c r="D3637" t="str">
        <f>_xll.BDP("FNDD9947 Mtge","CRNCY")</f>
        <v>USD</v>
      </c>
      <c r="E3637">
        <v>4971970</v>
      </c>
      <c r="F3637">
        <f>_xll.BDP("FNDD9947 Mtge","CPN")</f>
        <v>6</v>
      </c>
      <c r="G3637">
        <f>_xll.BDP("FNDD9947 Mtge","MTG_FACTOR")</f>
        <v>0.74462187999999996</v>
      </c>
      <c r="H3637">
        <f>_xll.BDP("FNDD9947 Mtge","MTG_WAL")</f>
        <v>3.2961999999999998</v>
      </c>
      <c r="I3637" t="str">
        <f>_xll.BDP("FNDD9947 Mtge","MTG_ORIG_WAL")</f>
        <v>#N/A N/A</v>
      </c>
    </row>
    <row r="3638" spans="1:9" x14ac:dyDescent="0.25">
      <c r="A3638" t="str">
        <f>_xll.BDP("FNDD9949 Mtge","ID_CUSIP")</f>
        <v>3140BBBT0</v>
      </c>
      <c r="B3638" t="str">
        <f>_xll.BDP("FNDD9949 Mtge","SECURITY_NAME")</f>
        <v>FN DD9949</v>
      </c>
      <c r="C3638" t="str">
        <f>_xll.BDP("FNDD9949 Mtge","GENERIC_TICKER_VINTAGE")</f>
        <v>FNCL 6 2025</v>
      </c>
      <c r="D3638" t="str">
        <f>_xll.BDP("FNDD9949 Mtge","CRNCY")</f>
        <v>USD</v>
      </c>
      <c r="E3638">
        <v>10076608</v>
      </c>
      <c r="F3638">
        <f>_xll.BDP("FNDD9949 Mtge","CPN")</f>
        <v>6</v>
      </c>
      <c r="G3638">
        <f>_xll.BDP("FNDD9949 Mtge","MTG_FACTOR")</f>
        <v>0.89437438000000002</v>
      </c>
      <c r="H3638">
        <f>_xll.BDP("FNDD9949 Mtge","MTG_WAL")</f>
        <v>3.2953000000000001</v>
      </c>
      <c r="I3638" t="str">
        <f>_xll.BDP("FNDD9949 Mtge","MTG_ORIG_WAL")</f>
        <v>#N/A N/A</v>
      </c>
    </row>
    <row r="3639" spans="1:9" x14ac:dyDescent="0.25">
      <c r="A3639" t="str">
        <f>_xll.BDP("FNDD9951 Mtge","ID_CUSIP")</f>
        <v>3140BBBV5</v>
      </c>
      <c r="B3639" t="str">
        <f>_xll.BDP("FNDD9951 Mtge","SECURITY_NAME")</f>
        <v>FN DD9951</v>
      </c>
      <c r="C3639" t="str">
        <f>_xll.BDP("FNDD9951 Mtge","GENERIC_TICKER_VINTAGE")</f>
        <v>FNCL 6 2025</v>
      </c>
      <c r="D3639" t="str">
        <f>_xll.BDP("FNDD9951 Mtge","CRNCY")</f>
        <v>USD</v>
      </c>
      <c r="E3639">
        <v>6378436</v>
      </c>
      <c r="F3639">
        <f>_xll.BDP("FNDD9951 Mtge","CPN")</f>
        <v>6</v>
      </c>
      <c r="G3639">
        <f>_xll.BDP("FNDD9951 Mtge","MTG_FACTOR")</f>
        <v>0.88629093999999997</v>
      </c>
      <c r="H3639">
        <f>_xll.BDP("FNDD9951 Mtge","MTG_WAL")</f>
        <v>3.2492999999999999</v>
      </c>
      <c r="I3639" t="str">
        <f>_xll.BDP("FNDD9951 Mtge","MTG_ORIG_WAL")</f>
        <v>#N/A N/A</v>
      </c>
    </row>
    <row r="3640" spans="1:9" x14ac:dyDescent="0.25">
      <c r="A3640" t="str">
        <f>_xll.BDP("FNDD9956 Mtge","ID_CUSIP")</f>
        <v>3140BBB29</v>
      </c>
      <c r="B3640" t="str">
        <f>_xll.BDP("FNDD9956 Mtge","SECURITY_NAME")</f>
        <v>FN DD9956</v>
      </c>
      <c r="C3640" t="str">
        <f>_xll.BDP("FNDD9956 Mtge","GENERIC_TICKER_VINTAGE")</f>
        <v>FNCL 6 2025</v>
      </c>
      <c r="D3640" t="str">
        <f>_xll.BDP("FNDD9956 Mtge","CRNCY")</f>
        <v>USD</v>
      </c>
      <c r="E3640">
        <v>2348508</v>
      </c>
      <c r="F3640">
        <f>_xll.BDP("FNDD9956 Mtge","CPN")</f>
        <v>6</v>
      </c>
      <c r="G3640">
        <f>_xll.BDP("FNDD9956 Mtge","MTG_FACTOR")</f>
        <v>0.98812966000000002</v>
      </c>
      <c r="H3640">
        <f>_xll.BDP("FNDD9956 Mtge","MTG_WAL")</f>
        <v>3.286</v>
      </c>
      <c r="I3640" t="str">
        <f>_xll.BDP("FNDD9956 Mtge","MTG_ORIG_WAL")</f>
        <v>#N/A N/A</v>
      </c>
    </row>
    <row r="3641" spans="1:9" x14ac:dyDescent="0.25">
      <c r="A3641" t="str">
        <f>_xll.BDP("FNDD9957 Mtge","ID_CUSIP")</f>
        <v>3140BBB37</v>
      </c>
      <c r="B3641" t="str">
        <f>_xll.BDP("FNDD9957 Mtge","SECURITY_NAME")</f>
        <v>FN DD9957</v>
      </c>
      <c r="C3641" t="str">
        <f>_xll.BDP("FNDD9957 Mtge","GENERIC_TICKER_VINTAGE")</f>
        <v>FNCL 6 2025</v>
      </c>
      <c r="D3641" t="str">
        <f>_xll.BDP("FNDD9957 Mtge","CRNCY")</f>
        <v>USD</v>
      </c>
      <c r="E3641">
        <v>3754871</v>
      </c>
      <c r="F3641">
        <f>_xll.BDP("FNDD9957 Mtge","CPN")</f>
        <v>6</v>
      </c>
      <c r="G3641">
        <f>_xll.BDP("FNDD9957 Mtge","MTG_FACTOR")</f>
        <v>0.84183215</v>
      </c>
      <c r="H3641">
        <f>_xll.BDP("FNDD9957 Mtge","MTG_WAL")</f>
        <v>3.2984</v>
      </c>
      <c r="I3641" t="str">
        <f>_xll.BDP("FNDD9957 Mtge","MTG_ORIG_WAL")</f>
        <v>#N/A N/A</v>
      </c>
    </row>
    <row r="3642" spans="1:9" x14ac:dyDescent="0.25">
      <c r="A3642" t="str">
        <f>_xll.BDP("FNDD9972 Mtge","ID_CUSIP")</f>
        <v>3140BBCJ1</v>
      </c>
      <c r="B3642" t="str">
        <f>_xll.BDP("FNDD9972 Mtge","SECURITY_NAME")</f>
        <v>FN DD9972</v>
      </c>
      <c r="C3642" t="str">
        <f>_xll.BDP("FNDD9972 Mtge","GENERIC_TICKER_VINTAGE")</f>
        <v>FNCL 6 2025</v>
      </c>
      <c r="D3642" t="str">
        <f>_xll.BDP("FNDD9972 Mtge","CRNCY")</f>
        <v>USD</v>
      </c>
      <c r="E3642">
        <v>1243330</v>
      </c>
      <c r="F3642">
        <f>_xll.BDP("FNDD9972 Mtge","CPN")</f>
        <v>6</v>
      </c>
      <c r="G3642">
        <f>_xll.BDP("FNDD9972 Mtge","MTG_FACTOR")</f>
        <v>0.73632333000000005</v>
      </c>
      <c r="H3642">
        <f>_xll.BDP("FNDD9972 Mtge","MTG_WAL")</f>
        <v>3.2898999999999998</v>
      </c>
      <c r="I3642" t="str">
        <f>_xll.BDP("FNDD9972 Mtge","MTG_ORIG_WAL")</f>
        <v>#N/A N/A</v>
      </c>
    </row>
    <row r="3643" spans="1:9" x14ac:dyDescent="0.25">
      <c r="A3643" t="str">
        <f>_xll.BDP("FNDD9986 Mtge","ID_CUSIP")</f>
        <v>3140BBCY8</v>
      </c>
      <c r="B3643" t="str">
        <f>_xll.BDP("FNDD9986 Mtge","SECURITY_NAME")</f>
        <v>FN DD9986</v>
      </c>
      <c r="C3643" t="str">
        <f>_xll.BDP("FNDD9986 Mtge","GENERIC_TICKER_VINTAGE")</f>
        <v>FNCL 6 2025</v>
      </c>
      <c r="D3643" t="str">
        <f>_xll.BDP("FNDD9986 Mtge","CRNCY")</f>
        <v>USD</v>
      </c>
      <c r="E3643">
        <v>1161306</v>
      </c>
      <c r="F3643">
        <f>_xll.BDP("FNDD9986 Mtge","CPN")</f>
        <v>6</v>
      </c>
      <c r="G3643">
        <f>_xll.BDP("FNDD9986 Mtge","MTG_FACTOR")</f>
        <v>0.99116514</v>
      </c>
      <c r="H3643">
        <f>_xll.BDP("FNDD9986 Mtge","MTG_WAL")</f>
        <v>3.2963</v>
      </c>
      <c r="I3643" t="str">
        <f>_xll.BDP("FNDD9986 Mtge","MTG_ORIG_WAL")</f>
        <v>#N/A N/A</v>
      </c>
    </row>
    <row r="3644" spans="1:9" x14ac:dyDescent="0.25">
      <c r="A3644" t="str">
        <f>_xll.BDP("FNDD9993 Mtge","ID_CUSIP")</f>
        <v>3140BBC77</v>
      </c>
      <c r="B3644" t="str">
        <f>_xll.BDP("FNDD9993 Mtge","SECURITY_NAME")</f>
        <v>FN DD9993</v>
      </c>
      <c r="C3644" t="str">
        <f>_xll.BDP("FNDD9993 Mtge","GENERIC_TICKER_VINTAGE")</f>
        <v>FNCL 6 2025</v>
      </c>
      <c r="D3644" t="str">
        <f>_xll.BDP("FNDD9993 Mtge","CRNCY")</f>
        <v>USD</v>
      </c>
      <c r="E3644">
        <v>3709512</v>
      </c>
      <c r="F3644">
        <f>_xll.BDP("FNDD9993 Mtge","CPN")</f>
        <v>6</v>
      </c>
      <c r="G3644">
        <f>_xll.BDP("FNDD9993 Mtge","MTG_FACTOR")</f>
        <v>0.97986695000000001</v>
      </c>
      <c r="H3644">
        <f>_xll.BDP("FNDD9993 Mtge","MTG_WAL")</f>
        <v>3.2881</v>
      </c>
      <c r="I3644" t="str">
        <f>_xll.BDP("FNDD9993 Mtge","MTG_ORIG_WAL")</f>
        <v>#N/A N/A</v>
      </c>
    </row>
    <row r="3645" spans="1:9" x14ac:dyDescent="0.25">
      <c r="A3645" t="str">
        <f>_xll.BDP("FNDD9995 Mtge","ID_CUSIP")</f>
        <v>3140BBC93</v>
      </c>
      <c r="B3645" t="str">
        <f>_xll.BDP("FNDD9995 Mtge","SECURITY_NAME")</f>
        <v>FN DD9995</v>
      </c>
      <c r="C3645" t="str">
        <f>_xll.BDP("FNDD9995 Mtge","GENERIC_TICKER_VINTAGE")</f>
        <v>FNCL 6 2025</v>
      </c>
      <c r="D3645" t="str">
        <f>_xll.BDP("FNDD9995 Mtge","CRNCY")</f>
        <v>USD</v>
      </c>
      <c r="E3645">
        <v>3780808</v>
      </c>
      <c r="F3645">
        <f>_xll.BDP("FNDD9995 Mtge","CPN")</f>
        <v>6</v>
      </c>
      <c r="G3645">
        <f>_xll.BDP("FNDD9995 Mtge","MTG_FACTOR")</f>
        <v>0.97691773000000004</v>
      </c>
      <c r="H3645">
        <f>_xll.BDP("FNDD9995 Mtge","MTG_WAL")</f>
        <v>3.2879999999999998</v>
      </c>
      <c r="I3645" t="str">
        <f>_xll.BDP("FNDD9995 Mtge","MTG_ORIG_WAL")</f>
        <v>#N/A N/A</v>
      </c>
    </row>
    <row r="3646" spans="1:9" x14ac:dyDescent="0.25">
      <c r="A3646" t="str">
        <f>_xll.BDP("FNDE0008 Mtge","ID_CUSIP")</f>
        <v>3140BCAJ1</v>
      </c>
      <c r="B3646" t="str">
        <f>_xll.BDP("FNDE0008 Mtge","SECURITY_NAME")</f>
        <v>FN DE0008</v>
      </c>
      <c r="C3646" t="str">
        <f>_xll.BDP("FNDE0008 Mtge","GENERIC_TICKER_VINTAGE")</f>
        <v>FNCL 6 2025</v>
      </c>
      <c r="D3646" t="str">
        <f>_xll.BDP("FNDE0008 Mtge","CRNCY")</f>
        <v>USD</v>
      </c>
      <c r="E3646">
        <v>2097068</v>
      </c>
      <c r="F3646">
        <f>_xll.BDP("FNDE0008 Mtge","CPN")</f>
        <v>6</v>
      </c>
      <c r="G3646">
        <f>_xll.BDP("FNDE0008 Mtge","MTG_FACTOR")</f>
        <v>0.90615597000000003</v>
      </c>
      <c r="H3646">
        <f>_xll.BDP("FNDE0008 Mtge","MTG_WAL")</f>
        <v>3.2982999999999998</v>
      </c>
      <c r="I3646" t="str">
        <f>_xll.BDP("FNDE0008 Mtge","MTG_ORIG_WAL")</f>
        <v>#N/A N/A</v>
      </c>
    </row>
    <row r="3647" spans="1:9" x14ac:dyDescent="0.25">
      <c r="A3647" t="str">
        <f>_xll.BDP("FNDE0009 Mtge","ID_CUSIP")</f>
        <v>3140BCAK8</v>
      </c>
      <c r="B3647" t="str">
        <f>_xll.BDP("FNDE0009 Mtge","SECURITY_NAME")</f>
        <v>FN DE0009</v>
      </c>
      <c r="C3647" t="str">
        <f>_xll.BDP("FNDE0009 Mtge","GENERIC_TICKER_VINTAGE")</f>
        <v>FNCL 6 2025</v>
      </c>
      <c r="D3647" t="str">
        <f>_xll.BDP("FNDE0009 Mtge","CRNCY")</f>
        <v>USD</v>
      </c>
      <c r="E3647">
        <v>1912520</v>
      </c>
      <c r="F3647">
        <f>_xll.BDP("FNDE0009 Mtge","CPN")</f>
        <v>6</v>
      </c>
      <c r="G3647">
        <f>_xll.BDP("FNDE0009 Mtge","MTG_FACTOR")</f>
        <v>0.99026767000000004</v>
      </c>
      <c r="H3647">
        <f>_xll.BDP("FNDE0009 Mtge","MTG_WAL")</f>
        <v>3.2953000000000001</v>
      </c>
      <c r="I3647" t="str">
        <f>_xll.BDP("FNDE0009 Mtge","MTG_ORIG_WAL")</f>
        <v>#N/A N/A</v>
      </c>
    </row>
    <row r="3648" spans="1:9" x14ac:dyDescent="0.25">
      <c r="A3648" t="str">
        <f>_xll.BDP("FNDE0010 Mtge","ID_CUSIP")</f>
        <v>3140BCAL6</v>
      </c>
      <c r="B3648" t="str">
        <f>_xll.BDP("FNDE0010 Mtge","SECURITY_NAME")</f>
        <v>FN DE0010</v>
      </c>
      <c r="C3648" t="str">
        <f>_xll.BDP("FNDE0010 Mtge","GENERIC_TICKER_VINTAGE")</f>
        <v>FNCL 6 2025</v>
      </c>
      <c r="D3648" t="str">
        <f>_xll.BDP("FNDE0010 Mtge","CRNCY")</f>
        <v>USD</v>
      </c>
      <c r="E3648">
        <v>1646669</v>
      </c>
      <c r="F3648">
        <f>_xll.BDP("FNDE0010 Mtge","CPN")</f>
        <v>6</v>
      </c>
      <c r="G3648">
        <f>_xll.BDP("FNDE0010 Mtge","MTG_FACTOR")</f>
        <v>0.79165487000000001</v>
      </c>
      <c r="H3648">
        <f>_xll.BDP("FNDE0010 Mtge","MTG_WAL")</f>
        <v>3.298</v>
      </c>
      <c r="I3648" t="str">
        <f>_xll.BDP("FNDE0010 Mtge","MTG_ORIG_WAL")</f>
        <v>#N/A N/A</v>
      </c>
    </row>
    <row r="3649" spans="1:9" x14ac:dyDescent="0.25">
      <c r="A3649" t="str">
        <f>_xll.BDP("FNDE0032 Mtge","ID_CUSIP")</f>
        <v>3140BCBA9</v>
      </c>
      <c r="B3649" t="str">
        <f>_xll.BDP("FNDE0032 Mtge","SECURITY_NAME")</f>
        <v>FN DE0032</v>
      </c>
      <c r="C3649" t="str">
        <f>_xll.BDP("FNDE0032 Mtge","GENERIC_TICKER_VINTAGE")</f>
        <v>FNCL 6 2025</v>
      </c>
      <c r="D3649" t="str">
        <f>_xll.BDP("FNDE0032 Mtge","CRNCY")</f>
        <v>USD</v>
      </c>
      <c r="E3649">
        <v>2371590</v>
      </c>
      <c r="F3649">
        <f>_xll.BDP("FNDE0032 Mtge","CPN")</f>
        <v>6</v>
      </c>
      <c r="G3649">
        <f>_xll.BDP("FNDE0032 Mtge","MTG_FACTOR")</f>
        <v>0.98568568999999995</v>
      </c>
      <c r="H3649">
        <f>_xll.BDP("FNDE0032 Mtge","MTG_WAL")</f>
        <v>3.3393000000000002</v>
      </c>
      <c r="I3649" t="str">
        <f>_xll.BDP("FNDE0032 Mtge","MTG_ORIG_WAL")</f>
        <v>#N/A N/A</v>
      </c>
    </row>
    <row r="3650" spans="1:9" x14ac:dyDescent="0.25">
      <c r="A3650" t="str">
        <f>_xll.BDP("FNDE0040 Mtge","ID_CUSIP")</f>
        <v>3140BCBJ0</v>
      </c>
      <c r="B3650" t="str">
        <f>_xll.BDP("FNDE0040 Mtge","SECURITY_NAME")</f>
        <v>FN DE0040</v>
      </c>
      <c r="C3650" t="str">
        <f>_xll.BDP("FNDE0040 Mtge","GENERIC_TICKER_VINTAGE")</f>
        <v>FNCL 6 2025</v>
      </c>
      <c r="D3650" t="str">
        <f>_xll.BDP("FNDE0040 Mtge","CRNCY")</f>
        <v>USD</v>
      </c>
      <c r="E3650">
        <v>4547549</v>
      </c>
      <c r="F3650">
        <f>_xll.BDP("FNDE0040 Mtge","CPN")</f>
        <v>6</v>
      </c>
      <c r="G3650">
        <f>_xll.BDP("FNDE0040 Mtge","MTG_FACTOR")</f>
        <v>0.99133793999999997</v>
      </c>
      <c r="H3650">
        <f>_xll.BDP("FNDE0040 Mtge","MTG_WAL")</f>
        <v>3.2968000000000002</v>
      </c>
      <c r="I3650" t="str">
        <f>_xll.BDP("FNDE0040 Mtge","MTG_ORIG_WAL")</f>
        <v>#N/A N/A</v>
      </c>
    </row>
    <row r="3651" spans="1:9" x14ac:dyDescent="0.25">
      <c r="A3651" t="str">
        <f>_xll.BDP("FNDE0042 Mtge","ID_CUSIP")</f>
        <v>3140BCBL5</v>
      </c>
      <c r="B3651" t="str">
        <f>_xll.BDP("FNDE0042 Mtge","SECURITY_NAME")</f>
        <v>FN DE0042</v>
      </c>
      <c r="C3651" t="str">
        <f>_xll.BDP("FNDE0042 Mtge","GENERIC_TICKER_VINTAGE")</f>
        <v>FNCL 6 2025</v>
      </c>
      <c r="D3651" t="str">
        <f>_xll.BDP("FNDE0042 Mtge","CRNCY")</f>
        <v>USD</v>
      </c>
      <c r="E3651">
        <v>2010053</v>
      </c>
      <c r="F3651">
        <f>_xll.BDP("FNDE0042 Mtge","CPN")</f>
        <v>6</v>
      </c>
      <c r="G3651">
        <f>_xll.BDP("FNDE0042 Mtge","MTG_FACTOR")</f>
        <v>0.84513726</v>
      </c>
      <c r="H3651">
        <f>_xll.BDP("FNDE0042 Mtge","MTG_WAL")</f>
        <v>3.2905000000000002</v>
      </c>
      <c r="I3651" t="str">
        <f>_xll.BDP("FNDE0042 Mtge","MTG_ORIG_WAL")</f>
        <v>#N/A N/A</v>
      </c>
    </row>
    <row r="3652" spans="1:9" x14ac:dyDescent="0.25">
      <c r="A3652" t="str">
        <f>_xll.BDP("FNDE0048 Mtge","ID_CUSIP")</f>
        <v>3140BCBS0</v>
      </c>
      <c r="B3652" t="str">
        <f>_xll.BDP("FNDE0048 Mtge","SECURITY_NAME")</f>
        <v>FN DE0048</v>
      </c>
      <c r="C3652" t="str">
        <f>_xll.BDP("FNDE0048 Mtge","GENERIC_TICKER_VINTAGE")</f>
        <v>FNCL 6 2025</v>
      </c>
      <c r="D3652" t="str">
        <f>_xll.BDP("FNDE0048 Mtge","CRNCY")</f>
        <v>USD</v>
      </c>
      <c r="E3652">
        <v>2216758</v>
      </c>
      <c r="F3652">
        <f>_xll.BDP("FNDE0048 Mtge","CPN")</f>
        <v>6</v>
      </c>
      <c r="G3652">
        <f>_xll.BDP("FNDE0048 Mtge","MTG_FACTOR")</f>
        <v>0.98971944999999995</v>
      </c>
      <c r="H3652">
        <f>_xll.BDP("FNDE0048 Mtge","MTG_WAL")</f>
        <v>3.3416000000000001</v>
      </c>
      <c r="I3652" t="str">
        <f>_xll.BDP("FNDE0048 Mtge","MTG_ORIG_WAL")</f>
        <v>#N/A N/A</v>
      </c>
    </row>
    <row r="3653" spans="1:9" x14ac:dyDescent="0.25">
      <c r="A3653" t="str">
        <f>_xll.BDP("FNDE0050 Mtge","ID_CUSIP")</f>
        <v>3140BCBU5</v>
      </c>
      <c r="B3653" t="str">
        <f>_xll.BDP("FNDE0050 Mtge","SECURITY_NAME")</f>
        <v>FN DE0050</v>
      </c>
      <c r="C3653" t="str">
        <f>_xll.BDP("FNDE0050 Mtge","GENERIC_TICKER_VINTAGE")</f>
        <v>FNCL 6 2025</v>
      </c>
      <c r="D3653" t="str">
        <f>_xll.BDP("FNDE0050 Mtge","CRNCY")</f>
        <v>USD</v>
      </c>
      <c r="E3653">
        <v>2655969</v>
      </c>
      <c r="F3653">
        <f>_xll.BDP("FNDE0050 Mtge","CPN")</f>
        <v>6</v>
      </c>
      <c r="G3653">
        <f>_xll.BDP("FNDE0050 Mtge","MTG_FACTOR")</f>
        <v>0.98097025999999998</v>
      </c>
      <c r="H3653">
        <f>_xll.BDP("FNDE0050 Mtge","MTG_WAL")</f>
        <v>3.3361999999999998</v>
      </c>
      <c r="I3653" t="str">
        <f>_xll.BDP("FNDE0050 Mtge","MTG_ORIG_WAL")</f>
        <v>#N/A N/A</v>
      </c>
    </row>
    <row r="3654" spans="1:9" x14ac:dyDescent="0.25">
      <c r="A3654" t="str">
        <f>_xll.BDP("FNDE0054 Mtge","ID_CUSIP")</f>
        <v>3140BCBY7</v>
      </c>
      <c r="B3654" t="str">
        <f>_xll.BDP("FNDE0054 Mtge","SECURITY_NAME")</f>
        <v>FN DE0054</v>
      </c>
      <c r="C3654" t="str">
        <f>_xll.BDP("FNDE0054 Mtge","GENERIC_TICKER_VINTAGE")</f>
        <v>FNCL 6 2025</v>
      </c>
      <c r="D3654" t="str">
        <f>_xll.BDP("FNDE0054 Mtge","CRNCY")</f>
        <v>USD</v>
      </c>
      <c r="E3654">
        <v>1091422</v>
      </c>
      <c r="F3654">
        <f>_xll.BDP("FNDE0054 Mtge","CPN")</f>
        <v>6</v>
      </c>
      <c r="G3654">
        <f>_xll.BDP("FNDE0054 Mtge","MTG_FACTOR")</f>
        <v>0.99207425000000005</v>
      </c>
      <c r="H3654">
        <f>_xll.BDP("FNDE0054 Mtge","MTG_WAL")</f>
        <v>3.2953999999999999</v>
      </c>
      <c r="I3654" t="str">
        <f>_xll.BDP("FNDE0054 Mtge","MTG_ORIG_WAL")</f>
        <v>#N/A N/A</v>
      </c>
    </row>
    <row r="3655" spans="1:9" x14ac:dyDescent="0.25">
      <c r="A3655" t="str">
        <f>_xll.BDP("FNDE0056 Mtge","ID_CUSIP")</f>
        <v>3140BCB27</v>
      </c>
      <c r="B3655" t="str">
        <f>_xll.BDP("FNDE0056 Mtge","SECURITY_NAME")</f>
        <v>FN DE0056</v>
      </c>
      <c r="C3655" t="str">
        <f>_xll.BDP("FNDE0056 Mtge","GENERIC_TICKER_VINTAGE")</f>
        <v>FNCL 6 2025</v>
      </c>
      <c r="D3655" t="str">
        <f>_xll.BDP("FNDE0056 Mtge","CRNCY")</f>
        <v>USD</v>
      </c>
      <c r="E3655">
        <v>2311074</v>
      </c>
      <c r="F3655">
        <f>_xll.BDP("FNDE0056 Mtge","CPN")</f>
        <v>6</v>
      </c>
      <c r="G3655">
        <f>_xll.BDP("FNDE0056 Mtge","MTG_FACTOR")</f>
        <v>0.92086604000000005</v>
      </c>
      <c r="H3655">
        <f>_xll.BDP("FNDE0056 Mtge","MTG_WAL")</f>
        <v>3.2951000000000001</v>
      </c>
      <c r="I3655" t="str">
        <f>_xll.BDP("FNDE0056 Mtge","MTG_ORIG_WAL")</f>
        <v>#N/A N/A</v>
      </c>
    </row>
    <row r="3656" spans="1:9" x14ac:dyDescent="0.25">
      <c r="A3656" t="str">
        <f>_xll.BDP("FNDE0060 Mtge","ID_CUSIP")</f>
        <v>3140BCB68</v>
      </c>
      <c r="B3656" t="str">
        <f>_xll.BDP("FNDE0060 Mtge","SECURITY_NAME")</f>
        <v>FN DE0060</v>
      </c>
      <c r="C3656" t="str">
        <f>_xll.BDP("FNDE0060 Mtge","GENERIC_TICKER_VINTAGE")</f>
        <v>FNCL 6 2025</v>
      </c>
      <c r="D3656" t="str">
        <f>_xll.BDP("FNDE0060 Mtge","CRNCY")</f>
        <v>USD</v>
      </c>
      <c r="E3656">
        <v>5301789</v>
      </c>
      <c r="F3656">
        <f>_xll.BDP("FNDE0060 Mtge","CPN")</f>
        <v>6</v>
      </c>
      <c r="G3656">
        <f>_xll.BDP("FNDE0060 Mtge","MTG_FACTOR")</f>
        <v>0.79553788999999997</v>
      </c>
      <c r="H3656">
        <f>_xll.BDP("FNDE0060 Mtge","MTG_WAL")</f>
        <v>3.2966000000000002</v>
      </c>
      <c r="I3656" t="str">
        <f>_xll.BDP("FNDE0060 Mtge","MTG_ORIG_WAL")</f>
        <v>#N/A N/A</v>
      </c>
    </row>
    <row r="3657" spans="1:9" x14ac:dyDescent="0.25">
      <c r="A3657" t="str">
        <f>_xll.BDP("FNDE0085 Mtge","ID_CUSIP")</f>
        <v>3140BCCX8</v>
      </c>
      <c r="B3657" t="str">
        <f>_xll.BDP("FNDE0085 Mtge","SECURITY_NAME")</f>
        <v>FN DE0085</v>
      </c>
      <c r="C3657" t="str">
        <f>_xll.BDP("FNDE0085 Mtge","GENERIC_TICKER_VINTAGE")</f>
        <v>FNCL 6 2025</v>
      </c>
      <c r="D3657" t="str">
        <f>_xll.BDP("FNDE0085 Mtge","CRNCY")</f>
        <v>USD</v>
      </c>
      <c r="E3657">
        <v>17637347</v>
      </c>
      <c r="F3657">
        <f>_xll.BDP("FNDE0085 Mtge","CPN")</f>
        <v>6</v>
      </c>
      <c r="G3657">
        <f>_xll.BDP("FNDE0085 Mtge","MTG_FACTOR")</f>
        <v>0.66703031999999995</v>
      </c>
      <c r="H3657">
        <f>_xll.BDP("FNDE0085 Mtge","MTG_WAL")</f>
        <v>3.2927</v>
      </c>
      <c r="I3657" t="str">
        <f>_xll.BDP("FNDE0085 Mtge","MTG_ORIG_WAL")</f>
        <v>#N/A N/A</v>
      </c>
    </row>
    <row r="3658" spans="1:9" x14ac:dyDescent="0.25">
      <c r="A3658" t="str">
        <f>_xll.BDP("FNDE0091 Mtge","ID_CUSIP")</f>
        <v>3140BCC59</v>
      </c>
      <c r="B3658" t="str">
        <f>_xll.BDP("FNDE0091 Mtge","SECURITY_NAME")</f>
        <v>FN DE0091</v>
      </c>
      <c r="C3658" t="str">
        <f>_xll.BDP("FNDE0091 Mtge","GENERIC_TICKER_VINTAGE")</f>
        <v>FNCL 6 2025</v>
      </c>
      <c r="D3658" t="str">
        <f>_xll.BDP("FNDE0091 Mtge","CRNCY")</f>
        <v>USD</v>
      </c>
      <c r="E3658">
        <v>13442462</v>
      </c>
      <c r="F3658">
        <f>_xll.BDP("FNDE0091 Mtge","CPN")</f>
        <v>6</v>
      </c>
      <c r="G3658">
        <f>_xll.BDP("FNDE0091 Mtge","MTG_FACTOR")</f>
        <v>0.95627373000000004</v>
      </c>
      <c r="H3658">
        <f>_xll.BDP("FNDE0091 Mtge","MTG_WAL")</f>
        <v>3.3405999999999998</v>
      </c>
      <c r="I3658" t="str">
        <f>_xll.BDP("FNDE0091 Mtge","MTG_ORIG_WAL")</f>
        <v>#N/A N/A</v>
      </c>
    </row>
    <row r="3659" spans="1:9" x14ac:dyDescent="0.25">
      <c r="A3659" t="str">
        <f>_xll.BDP("FNDE0101 Mtge","ID_CUSIP")</f>
        <v>3140BCDF6</v>
      </c>
      <c r="B3659" t="str">
        <f>_xll.BDP("FNDE0101 Mtge","SECURITY_NAME")</f>
        <v>FN DE0101</v>
      </c>
      <c r="C3659" t="str">
        <f>_xll.BDP("FNDE0101 Mtge","GENERIC_TICKER_VINTAGE")</f>
        <v>FNCL 6 2025</v>
      </c>
      <c r="D3659" t="str">
        <f>_xll.BDP("FNDE0101 Mtge","CRNCY")</f>
        <v>USD</v>
      </c>
      <c r="E3659">
        <v>7064978</v>
      </c>
      <c r="F3659">
        <f>_xll.BDP("FNDE0101 Mtge","CPN")</f>
        <v>6</v>
      </c>
      <c r="G3659">
        <f>_xll.BDP("FNDE0101 Mtge","MTG_FACTOR")</f>
        <v>0.98283900000000002</v>
      </c>
      <c r="H3659">
        <f>_xll.BDP("FNDE0101 Mtge","MTG_WAL")</f>
        <v>3.2892999999999999</v>
      </c>
      <c r="I3659" t="str">
        <f>_xll.BDP("FNDE0101 Mtge","MTG_ORIG_WAL")</f>
        <v>#N/A N/A</v>
      </c>
    </row>
    <row r="3660" spans="1:9" x14ac:dyDescent="0.25">
      <c r="A3660" t="str">
        <f>_xll.BDP("FNDE0104 Mtge","ID_CUSIP")</f>
        <v>3140BCDJ8</v>
      </c>
      <c r="B3660" t="str">
        <f>_xll.BDP("FNDE0104 Mtge","SECURITY_NAME")</f>
        <v>FN DE0104</v>
      </c>
      <c r="C3660" t="str">
        <f>_xll.BDP("FNDE0104 Mtge","GENERIC_TICKER_VINTAGE")</f>
        <v>FNCL 6 2025</v>
      </c>
      <c r="D3660" t="str">
        <f>_xll.BDP("FNDE0104 Mtge","CRNCY")</f>
        <v>USD</v>
      </c>
      <c r="E3660">
        <v>5542367</v>
      </c>
      <c r="F3660">
        <f>_xll.BDP("FNDE0104 Mtge","CPN")</f>
        <v>6</v>
      </c>
      <c r="G3660">
        <f>_xll.BDP("FNDE0104 Mtge","MTG_FACTOR")</f>
        <v>0.96837426999999998</v>
      </c>
      <c r="H3660">
        <f>_xll.BDP("FNDE0104 Mtge","MTG_WAL")</f>
        <v>3.3285</v>
      </c>
      <c r="I3660" t="str">
        <f>_xll.BDP("FNDE0104 Mtge","MTG_ORIG_WAL")</f>
        <v>#N/A N/A</v>
      </c>
    </row>
    <row r="3661" spans="1:9" x14ac:dyDescent="0.25">
      <c r="A3661" t="str">
        <f>_xll.BDP("FNDE0106 Mtge","ID_CUSIP")</f>
        <v>3140BCDL3</v>
      </c>
      <c r="B3661" t="str">
        <f>_xll.BDP("FNDE0106 Mtge","SECURITY_NAME")</f>
        <v>FN DE0106</v>
      </c>
      <c r="C3661" t="str">
        <f>_xll.BDP("FNDE0106 Mtge","GENERIC_TICKER_VINTAGE")</f>
        <v>FNCL 6 2025</v>
      </c>
      <c r="D3661" t="str">
        <f>_xll.BDP("FNDE0106 Mtge","CRNCY")</f>
        <v>USD</v>
      </c>
      <c r="E3661">
        <v>5085597</v>
      </c>
      <c r="F3661">
        <f>_xll.BDP("FNDE0106 Mtge","CPN")</f>
        <v>6</v>
      </c>
      <c r="G3661">
        <f>_xll.BDP("FNDE0106 Mtge","MTG_FACTOR")</f>
        <v>0.85500693999999999</v>
      </c>
      <c r="H3661">
        <f>_xll.BDP("FNDE0106 Mtge","MTG_WAL")</f>
        <v>3.3403</v>
      </c>
      <c r="I3661" t="str">
        <f>_xll.BDP("FNDE0106 Mtge","MTG_ORIG_WAL")</f>
        <v>#N/A N/A</v>
      </c>
    </row>
    <row r="3662" spans="1:9" x14ac:dyDescent="0.25">
      <c r="A3662" t="str">
        <f>_xll.BDP("FNDE0120 Mtge","ID_CUSIP")</f>
        <v>3140BCD25</v>
      </c>
      <c r="B3662" t="str">
        <f>_xll.BDP("FNDE0120 Mtge","SECURITY_NAME")</f>
        <v>FN DE0120</v>
      </c>
      <c r="C3662" t="str">
        <f>_xll.BDP("FNDE0120 Mtge","GENERIC_TICKER_VINTAGE")</f>
        <v>FNCL 6 2025</v>
      </c>
      <c r="D3662" t="str">
        <f>_xll.BDP("FNDE0120 Mtge","CRNCY")</f>
        <v>USD</v>
      </c>
      <c r="E3662">
        <v>3048539</v>
      </c>
      <c r="F3662">
        <f>_xll.BDP("FNDE0120 Mtge","CPN")</f>
        <v>6</v>
      </c>
      <c r="G3662">
        <f>_xll.BDP("FNDE0120 Mtge","MTG_FACTOR")</f>
        <v>0.79471369000000003</v>
      </c>
      <c r="H3662">
        <f>_xll.BDP("FNDE0120 Mtge","MTG_WAL")</f>
        <v>3.2959999999999998</v>
      </c>
      <c r="I3662" t="str">
        <f>_xll.BDP("FNDE0120 Mtge","MTG_ORIG_WAL")</f>
        <v>#N/A N/A</v>
      </c>
    </row>
    <row r="3663" spans="1:9" x14ac:dyDescent="0.25">
      <c r="A3663" t="str">
        <f>_xll.BDP("FNDE0129 Mtge","ID_CUSIP")</f>
        <v>3140BCEB4</v>
      </c>
      <c r="B3663" t="str">
        <f>_xll.BDP("FNDE0129 Mtge","SECURITY_NAME")</f>
        <v>FN DE0129</v>
      </c>
      <c r="C3663" t="str">
        <f>_xll.BDP("FNDE0129 Mtge","GENERIC_TICKER_VINTAGE")</f>
        <v>FNCL 6 2025</v>
      </c>
      <c r="D3663" t="str">
        <f>_xll.BDP("FNDE0129 Mtge","CRNCY")</f>
        <v>USD</v>
      </c>
      <c r="E3663">
        <v>3679247</v>
      </c>
      <c r="F3663">
        <f>_xll.BDP("FNDE0129 Mtge","CPN")</f>
        <v>6</v>
      </c>
      <c r="G3663">
        <f>_xll.BDP("FNDE0129 Mtge","MTG_FACTOR")</f>
        <v>0.98823640999999995</v>
      </c>
      <c r="H3663">
        <f>_xll.BDP("FNDE0129 Mtge","MTG_WAL")</f>
        <v>3.2951000000000001</v>
      </c>
      <c r="I3663" t="str">
        <f>_xll.BDP("FNDE0129 Mtge","MTG_ORIG_WAL")</f>
        <v>#N/A N/A</v>
      </c>
    </row>
    <row r="3664" spans="1:9" x14ac:dyDescent="0.25">
      <c r="A3664" t="str">
        <f>_xll.BDP("FNDE0130 Mtge","ID_CUSIP")</f>
        <v>3140BCEC2</v>
      </c>
      <c r="B3664" t="str">
        <f>_xll.BDP("FNDE0130 Mtge","SECURITY_NAME")</f>
        <v>FN DE0130</v>
      </c>
      <c r="C3664" t="str">
        <f>_xll.BDP("FNDE0130 Mtge","GENERIC_TICKER_VINTAGE")</f>
        <v>FNCL 6 2025</v>
      </c>
      <c r="D3664" t="str">
        <f>_xll.BDP("FNDE0130 Mtge","CRNCY")</f>
        <v>USD</v>
      </c>
      <c r="E3664">
        <v>4908780</v>
      </c>
      <c r="F3664">
        <f>_xll.BDP("FNDE0130 Mtge","CPN")</f>
        <v>6</v>
      </c>
      <c r="G3664">
        <f>_xll.BDP("FNDE0130 Mtge","MTG_FACTOR")</f>
        <v>0.89209919999999998</v>
      </c>
      <c r="H3664">
        <f>_xll.BDP("FNDE0130 Mtge","MTG_WAL")</f>
        <v>3.2970999999999999</v>
      </c>
      <c r="I3664" t="str">
        <f>_xll.BDP("FNDE0130 Mtge","MTG_ORIG_WAL")</f>
        <v>#N/A N/A</v>
      </c>
    </row>
    <row r="3665" spans="1:9" x14ac:dyDescent="0.25">
      <c r="A3665" t="str">
        <f>_xll.BDP("FNDE0131 Mtge","ID_CUSIP")</f>
        <v>3140BCED0</v>
      </c>
      <c r="B3665" t="str">
        <f>_xll.BDP("FNDE0131 Mtge","SECURITY_NAME")</f>
        <v>FN DE0131</v>
      </c>
      <c r="C3665" t="str">
        <f>_xll.BDP("FNDE0131 Mtge","GENERIC_TICKER_VINTAGE")</f>
        <v>FNCL 6 2025</v>
      </c>
      <c r="D3665" t="str">
        <f>_xll.BDP("FNDE0131 Mtge","CRNCY")</f>
        <v>USD</v>
      </c>
      <c r="E3665">
        <v>5711756</v>
      </c>
      <c r="F3665">
        <f>_xll.BDP("FNDE0131 Mtge","CPN")</f>
        <v>6</v>
      </c>
      <c r="G3665">
        <f>_xll.BDP("FNDE0131 Mtge","MTG_FACTOR")</f>
        <v>0.98923594000000004</v>
      </c>
      <c r="H3665">
        <f>_xll.BDP("FNDE0131 Mtge","MTG_WAL")</f>
        <v>3.2869000000000002</v>
      </c>
      <c r="I3665" t="str">
        <f>_xll.BDP("FNDE0131 Mtge","MTG_ORIG_WAL")</f>
        <v>#N/A N/A</v>
      </c>
    </row>
    <row r="3666" spans="1:9" x14ac:dyDescent="0.25">
      <c r="A3666" t="str">
        <f>_xll.BDP("FNDE0141 Mtge","ID_CUSIP")</f>
        <v>3140BCEP3</v>
      </c>
      <c r="B3666" t="str">
        <f>_xll.BDP("FNDE0141 Mtge","SECURITY_NAME")</f>
        <v>FN DE0141</v>
      </c>
      <c r="C3666" t="str">
        <f>_xll.BDP("FNDE0141 Mtge","GENERIC_TICKER_VINTAGE")</f>
        <v>FNCL 6 2025</v>
      </c>
      <c r="D3666" t="str">
        <f>_xll.BDP("FNDE0141 Mtge","CRNCY")</f>
        <v>USD</v>
      </c>
      <c r="E3666">
        <v>1040131</v>
      </c>
      <c r="F3666">
        <f>_xll.BDP("FNDE0141 Mtge","CPN")</f>
        <v>6</v>
      </c>
      <c r="G3666">
        <f>_xll.BDP("FNDE0141 Mtge","MTG_FACTOR")</f>
        <v>0.67194714</v>
      </c>
      <c r="H3666">
        <f>_xll.BDP("FNDE0141 Mtge","MTG_WAL")</f>
        <v>3.2427000000000001</v>
      </c>
      <c r="I3666" t="str">
        <f>_xll.BDP("FNDE0141 Mtge","MTG_ORIG_WAL")</f>
        <v>#N/A N/A</v>
      </c>
    </row>
    <row r="3667" spans="1:9" x14ac:dyDescent="0.25">
      <c r="A3667" t="str">
        <f>_xll.BDP("FNDE0142 Mtge","ID_CUSIP")</f>
        <v>3140BCEQ1</v>
      </c>
      <c r="B3667" t="str">
        <f>_xll.BDP("FNDE0142 Mtge","SECURITY_NAME")</f>
        <v>FN DE0142</v>
      </c>
      <c r="C3667" t="str">
        <f>_xll.BDP("FNDE0142 Mtge","GENERIC_TICKER_VINTAGE")</f>
        <v>FNCL 6 2025</v>
      </c>
      <c r="D3667" t="str">
        <f>_xll.BDP("FNDE0142 Mtge","CRNCY")</f>
        <v>USD</v>
      </c>
      <c r="E3667">
        <v>1446059</v>
      </c>
      <c r="F3667">
        <f>_xll.BDP("FNDE0142 Mtge","CPN")</f>
        <v>6</v>
      </c>
      <c r="G3667">
        <f>_xll.BDP("FNDE0142 Mtge","MTG_FACTOR")</f>
        <v>0.99103176000000004</v>
      </c>
      <c r="H3667">
        <f>_xll.BDP("FNDE0142 Mtge","MTG_WAL")</f>
        <v>3.2938000000000001</v>
      </c>
      <c r="I3667" t="str">
        <f>_xll.BDP("FNDE0142 Mtge","MTG_ORIG_WAL")</f>
        <v>#N/A N/A</v>
      </c>
    </row>
    <row r="3668" spans="1:9" x14ac:dyDescent="0.25">
      <c r="A3668" t="str">
        <f>_xll.BDP("FNDE0143 Mtge","ID_CUSIP")</f>
        <v>3140BCER9</v>
      </c>
      <c r="B3668" t="str">
        <f>_xll.BDP("FNDE0143 Mtge","SECURITY_NAME")</f>
        <v>FN DE0143</v>
      </c>
      <c r="C3668" t="str">
        <f>_xll.BDP("FNDE0143 Mtge","GENERIC_TICKER_VINTAGE")</f>
        <v>FNCL 6 2025</v>
      </c>
      <c r="D3668" t="str">
        <f>_xll.BDP("FNDE0143 Mtge","CRNCY")</f>
        <v>USD</v>
      </c>
      <c r="E3668">
        <v>1017243</v>
      </c>
      <c r="F3668">
        <f>_xll.BDP("FNDE0143 Mtge","CPN")</f>
        <v>6</v>
      </c>
      <c r="G3668">
        <f>_xll.BDP("FNDE0143 Mtge","MTG_FACTOR")</f>
        <v>0.99092031999999997</v>
      </c>
      <c r="H3668">
        <f>_xll.BDP("FNDE0143 Mtge","MTG_WAL")</f>
        <v>3.2909999999999999</v>
      </c>
      <c r="I3668" t="str">
        <f>_xll.BDP("FNDE0143 Mtge","MTG_ORIG_WAL")</f>
        <v>#N/A N/A</v>
      </c>
    </row>
    <row r="3669" spans="1:9" x14ac:dyDescent="0.25">
      <c r="A3669" t="str">
        <f>_xll.BDP("FNDE0144 Mtge","ID_CUSIP")</f>
        <v>3140BCES7</v>
      </c>
      <c r="B3669" t="str">
        <f>_xll.BDP("FNDE0144 Mtge","SECURITY_NAME")</f>
        <v>FN DE0144</v>
      </c>
      <c r="C3669" t="str">
        <f>_xll.BDP("FNDE0144 Mtge","GENERIC_TICKER_VINTAGE")</f>
        <v>FNCL 6 2025</v>
      </c>
      <c r="D3669" t="str">
        <f>_xll.BDP("FNDE0144 Mtge","CRNCY")</f>
        <v>USD</v>
      </c>
      <c r="E3669">
        <v>1285420</v>
      </c>
      <c r="F3669">
        <f>_xll.BDP("FNDE0144 Mtge","CPN")</f>
        <v>6</v>
      </c>
      <c r="G3669">
        <f>_xll.BDP("FNDE0144 Mtge","MTG_FACTOR")</f>
        <v>0.99133857999999997</v>
      </c>
      <c r="H3669">
        <f>_xll.BDP("FNDE0144 Mtge","MTG_WAL")</f>
        <v>3.2951999999999999</v>
      </c>
      <c r="I3669" t="str">
        <f>_xll.BDP("FNDE0144 Mtge","MTG_ORIG_WAL")</f>
        <v>#N/A N/A</v>
      </c>
    </row>
    <row r="3670" spans="1:9" x14ac:dyDescent="0.25">
      <c r="A3670" t="str">
        <f>_xll.BDP("FNDE0155 Mtge","ID_CUSIP")</f>
        <v>3140BCE57</v>
      </c>
      <c r="B3670" t="str">
        <f>_xll.BDP("FNDE0155 Mtge","SECURITY_NAME")</f>
        <v>FN DE0155</v>
      </c>
      <c r="C3670" t="str">
        <f>_xll.BDP("FNDE0155 Mtge","GENERIC_TICKER_VINTAGE")</f>
        <v>FNCL 6 2025</v>
      </c>
      <c r="D3670" t="str">
        <f>_xll.BDP("FNDE0155 Mtge","CRNCY")</f>
        <v>USD</v>
      </c>
      <c r="E3670">
        <v>3078903</v>
      </c>
      <c r="F3670">
        <f>_xll.BDP("FNDE0155 Mtge","CPN")</f>
        <v>6</v>
      </c>
      <c r="G3670">
        <f>_xll.BDP("FNDE0155 Mtge","MTG_FACTOR")</f>
        <v>0.98803078</v>
      </c>
      <c r="H3670">
        <f>_xll.BDP("FNDE0155 Mtge","MTG_WAL")</f>
        <v>3.2913999999999999</v>
      </c>
      <c r="I3670" t="str">
        <f>_xll.BDP("FNDE0155 Mtge","MTG_ORIG_WAL")</f>
        <v>#N/A N/A</v>
      </c>
    </row>
    <row r="3671" spans="1:9" x14ac:dyDescent="0.25">
      <c r="A3671" t="str">
        <f>_xll.BDP("FNDE0159 Mtge","ID_CUSIP")</f>
        <v>3140BCE99</v>
      </c>
      <c r="B3671" t="str">
        <f>_xll.BDP("FNDE0159 Mtge","SECURITY_NAME")</f>
        <v>FN DE0159</v>
      </c>
      <c r="C3671" t="str">
        <f>_xll.BDP("FNDE0159 Mtge","GENERIC_TICKER_VINTAGE")</f>
        <v>FNCL 6 2025</v>
      </c>
      <c r="D3671" t="str">
        <f>_xll.BDP("FNDE0159 Mtge","CRNCY")</f>
        <v>USD</v>
      </c>
      <c r="E3671">
        <v>1067875</v>
      </c>
      <c r="F3671">
        <f>_xll.BDP("FNDE0159 Mtge","CPN")</f>
        <v>6</v>
      </c>
      <c r="G3671">
        <f>_xll.BDP("FNDE0159 Mtge","MTG_FACTOR")</f>
        <v>0.98578208</v>
      </c>
      <c r="H3671">
        <f>_xll.BDP("FNDE0159 Mtge","MTG_WAL")</f>
        <v>3.2915000000000001</v>
      </c>
      <c r="I3671" t="str">
        <f>_xll.BDP("FNDE0159 Mtge","MTG_ORIG_WAL")</f>
        <v>#N/A N/A</v>
      </c>
    </row>
    <row r="3672" spans="1:9" x14ac:dyDescent="0.25">
      <c r="A3672" t="str">
        <f>_xll.BDP("FNDE0161 Mtge","ID_CUSIP")</f>
        <v>3140BCFB3</v>
      </c>
      <c r="B3672" t="str">
        <f>_xll.BDP("FNDE0161 Mtge","SECURITY_NAME")</f>
        <v>FN DE0161</v>
      </c>
      <c r="C3672" t="str">
        <f>_xll.BDP("FNDE0161 Mtge","GENERIC_TICKER_VINTAGE")</f>
        <v>FNCL 6 2025</v>
      </c>
      <c r="D3672" t="str">
        <f>_xll.BDP("FNDE0161 Mtge","CRNCY")</f>
        <v>USD</v>
      </c>
      <c r="E3672">
        <v>1595275</v>
      </c>
      <c r="F3672">
        <f>_xll.BDP("FNDE0161 Mtge","CPN")</f>
        <v>6</v>
      </c>
      <c r="G3672">
        <f>_xll.BDP("FNDE0161 Mtge","MTG_FACTOR")</f>
        <v>0.98873626999999997</v>
      </c>
      <c r="H3672">
        <f>_xll.BDP("FNDE0161 Mtge","MTG_WAL")</f>
        <v>3.2934999999999999</v>
      </c>
      <c r="I3672" t="str">
        <f>_xll.BDP("FNDE0161 Mtge","MTG_ORIG_WAL")</f>
        <v>#N/A N/A</v>
      </c>
    </row>
    <row r="3673" spans="1:9" x14ac:dyDescent="0.25">
      <c r="A3673" t="str">
        <f>_xll.BDP("FNDE0162 Mtge","ID_CUSIP")</f>
        <v>3140BCFC1</v>
      </c>
      <c r="B3673" t="str">
        <f>_xll.BDP("FNDE0162 Mtge","SECURITY_NAME")</f>
        <v>FN DE0162</v>
      </c>
      <c r="C3673" t="str">
        <f>_xll.BDP("FNDE0162 Mtge","GENERIC_TICKER_VINTAGE")</f>
        <v>FNCL 6 2025</v>
      </c>
      <c r="D3673" t="str">
        <f>_xll.BDP("FNDE0162 Mtge","CRNCY")</f>
        <v>USD</v>
      </c>
      <c r="E3673">
        <v>1364870</v>
      </c>
      <c r="F3673">
        <f>_xll.BDP("FNDE0162 Mtge","CPN")</f>
        <v>6</v>
      </c>
      <c r="G3673">
        <f>_xll.BDP("FNDE0162 Mtge","MTG_FACTOR")</f>
        <v>0.80991340000000001</v>
      </c>
      <c r="H3673">
        <f>_xll.BDP("FNDE0162 Mtge","MTG_WAL")</f>
        <v>3.2966000000000002</v>
      </c>
      <c r="I3673" t="str">
        <f>_xll.BDP("FNDE0162 Mtge","MTG_ORIG_WAL")</f>
        <v>#N/A N/A</v>
      </c>
    </row>
    <row r="3674" spans="1:9" x14ac:dyDescent="0.25">
      <c r="A3674" t="str">
        <f>_xll.BDP("FNDE0163 Mtge","ID_CUSIP")</f>
        <v>3140BCFD9</v>
      </c>
      <c r="B3674" t="str">
        <f>_xll.BDP("FNDE0163 Mtge","SECURITY_NAME")</f>
        <v>FN DE0163</v>
      </c>
      <c r="C3674" t="str">
        <f>_xll.BDP("FNDE0163 Mtge","GENERIC_TICKER_VINTAGE")</f>
        <v>FNCL 6 2025</v>
      </c>
      <c r="D3674" t="str">
        <f>_xll.BDP("FNDE0163 Mtge","CRNCY")</f>
        <v>USD</v>
      </c>
      <c r="E3674">
        <v>2469304</v>
      </c>
      <c r="F3674">
        <f>_xll.BDP("FNDE0163 Mtge","CPN")</f>
        <v>6</v>
      </c>
      <c r="G3674">
        <f>_xll.BDP("FNDE0163 Mtge","MTG_FACTOR")</f>
        <v>0.91312948000000005</v>
      </c>
      <c r="H3674">
        <f>_xll.BDP("FNDE0163 Mtge","MTG_WAL")</f>
        <v>3.2959999999999998</v>
      </c>
      <c r="I3674" t="str">
        <f>_xll.BDP("FNDE0163 Mtge","MTG_ORIG_WAL")</f>
        <v>#N/A N/A</v>
      </c>
    </row>
    <row r="3675" spans="1:9" x14ac:dyDescent="0.25">
      <c r="A3675" t="str">
        <f>_xll.BDP("FNDE0173 Mtge","ID_CUSIP")</f>
        <v>3140BCFP2</v>
      </c>
      <c r="B3675" t="str">
        <f>_xll.BDP("FNDE0173 Mtge","SECURITY_NAME")</f>
        <v>FN DE0173</v>
      </c>
      <c r="C3675" t="str">
        <f>_xll.BDP("FNDE0173 Mtge","GENERIC_TICKER_VINTAGE")</f>
        <v>FNCL 6 2025</v>
      </c>
      <c r="D3675" t="str">
        <f>_xll.BDP("FNDE0173 Mtge","CRNCY")</f>
        <v>USD</v>
      </c>
      <c r="E3675">
        <v>1209815</v>
      </c>
      <c r="F3675">
        <f>_xll.BDP("FNDE0173 Mtge","CPN")</f>
        <v>6</v>
      </c>
      <c r="G3675">
        <f>_xll.BDP("FNDE0173 Mtge","MTG_FACTOR")</f>
        <v>0.87923251000000002</v>
      </c>
      <c r="H3675">
        <f>_xll.BDP("FNDE0173 Mtge","MTG_WAL")</f>
        <v>3.2938999999999998</v>
      </c>
      <c r="I3675" t="str">
        <f>_xll.BDP("FNDE0173 Mtge","MTG_ORIG_WAL")</f>
        <v>#N/A N/A</v>
      </c>
    </row>
    <row r="3676" spans="1:9" x14ac:dyDescent="0.25">
      <c r="A3676" t="str">
        <f>_xll.BDP("FNDE0175 Mtge","ID_CUSIP")</f>
        <v>3140BCFR8</v>
      </c>
      <c r="B3676" t="str">
        <f>_xll.BDP("FNDE0175 Mtge","SECURITY_NAME")</f>
        <v>FN DE0175</v>
      </c>
      <c r="C3676" t="str">
        <f>_xll.BDP("FNDE0175 Mtge","GENERIC_TICKER_VINTAGE")</f>
        <v>FNCL 6 2025</v>
      </c>
      <c r="D3676" t="str">
        <f>_xll.BDP("FNDE0175 Mtge","CRNCY")</f>
        <v>USD</v>
      </c>
      <c r="E3676">
        <v>3034526</v>
      </c>
      <c r="F3676">
        <f>_xll.BDP("FNDE0175 Mtge","CPN")</f>
        <v>6</v>
      </c>
      <c r="G3676">
        <f>_xll.BDP("FNDE0175 Mtge","MTG_FACTOR")</f>
        <v>0.77684414999999996</v>
      </c>
      <c r="H3676">
        <f>_xll.BDP("FNDE0175 Mtge","MTG_WAL")</f>
        <v>3.2755999999999998</v>
      </c>
      <c r="I3676" t="str">
        <f>_xll.BDP("FNDE0175 Mtge","MTG_ORIG_WAL")</f>
        <v>#N/A N/A</v>
      </c>
    </row>
    <row r="3677" spans="1:9" x14ac:dyDescent="0.25">
      <c r="A3677" t="str">
        <f>_xll.BDP("FNDE0177 Mtge","ID_CUSIP")</f>
        <v>3140BCFT4</v>
      </c>
      <c r="B3677" t="str">
        <f>_xll.BDP("FNDE0177 Mtge","SECURITY_NAME")</f>
        <v>FN DE0177</v>
      </c>
      <c r="C3677" t="str">
        <f>_xll.BDP("FNDE0177 Mtge","GENERIC_TICKER_VINTAGE")</f>
        <v>FNCL 6 2025</v>
      </c>
      <c r="D3677" t="str">
        <f>_xll.BDP("FNDE0177 Mtge","CRNCY")</f>
        <v>USD</v>
      </c>
      <c r="E3677">
        <v>5184512</v>
      </c>
      <c r="F3677">
        <f>_xll.BDP("FNDE0177 Mtge","CPN")</f>
        <v>6</v>
      </c>
      <c r="G3677">
        <f>_xll.BDP("FNDE0177 Mtge","MTG_FACTOR")</f>
        <v>0.93183802000000004</v>
      </c>
      <c r="H3677">
        <f>_xll.BDP("FNDE0177 Mtge","MTG_WAL")</f>
        <v>3.2944</v>
      </c>
      <c r="I3677" t="str">
        <f>_xll.BDP("FNDE0177 Mtge","MTG_ORIG_WAL")</f>
        <v>#N/A N/A</v>
      </c>
    </row>
    <row r="3678" spans="1:9" x14ac:dyDescent="0.25">
      <c r="A3678" t="str">
        <f>_xll.BDP("FNDE0178 Mtge","ID_CUSIP")</f>
        <v>3140BCFU1</v>
      </c>
      <c r="B3678" t="str">
        <f>_xll.BDP("FNDE0178 Mtge","SECURITY_NAME")</f>
        <v>FN DE0178</v>
      </c>
      <c r="C3678" t="str">
        <f>_xll.BDP("FNDE0178 Mtge","GENERIC_TICKER_VINTAGE")</f>
        <v>FNCL 6 2025</v>
      </c>
      <c r="D3678" t="str">
        <f>_xll.BDP("FNDE0178 Mtge","CRNCY")</f>
        <v>USD</v>
      </c>
      <c r="E3678">
        <v>5003726</v>
      </c>
      <c r="F3678">
        <f>_xll.BDP("FNDE0178 Mtge","CPN")</f>
        <v>6</v>
      </c>
      <c r="G3678">
        <f>_xll.BDP("FNDE0178 Mtge","MTG_FACTOR")</f>
        <v>0.92853076000000001</v>
      </c>
      <c r="H3678">
        <f>_xll.BDP("FNDE0178 Mtge","MTG_WAL")</f>
        <v>3.2934000000000001</v>
      </c>
      <c r="I3678" t="str">
        <f>_xll.BDP("FNDE0178 Mtge","MTG_ORIG_WAL")</f>
        <v>#N/A N/A</v>
      </c>
    </row>
    <row r="3679" spans="1:9" x14ac:dyDescent="0.25">
      <c r="A3679" t="str">
        <f>_xll.BDP("FNDE0198 Mtge","ID_CUSIP")</f>
        <v>3140BCGG1</v>
      </c>
      <c r="B3679" t="str">
        <f>_xll.BDP("FNDE0198 Mtge","SECURITY_NAME")</f>
        <v>FN DE0198</v>
      </c>
      <c r="C3679" t="str">
        <f>_xll.BDP("FNDE0198 Mtge","GENERIC_TICKER_VINTAGE")</f>
        <v>FNCL 6 2025</v>
      </c>
      <c r="D3679" t="str">
        <f>_xll.BDP("FNDE0198 Mtge","CRNCY")</f>
        <v>USD</v>
      </c>
      <c r="E3679">
        <v>6312794</v>
      </c>
      <c r="F3679">
        <f>_xll.BDP("FNDE0198 Mtge","CPN")</f>
        <v>6</v>
      </c>
      <c r="G3679">
        <f>_xll.BDP("FNDE0198 Mtge","MTG_FACTOR")</f>
        <v>0.98526334000000004</v>
      </c>
      <c r="H3679">
        <f>_xll.BDP("FNDE0198 Mtge","MTG_WAL")</f>
        <v>3.2959000000000001</v>
      </c>
      <c r="I3679" t="str">
        <f>_xll.BDP("FNDE0198 Mtge","MTG_ORIG_WAL")</f>
        <v>#N/A N/A</v>
      </c>
    </row>
    <row r="3680" spans="1:9" x14ac:dyDescent="0.25">
      <c r="A3680" t="str">
        <f>_xll.BDP("FNDE0205 Mtge","ID_CUSIP")</f>
        <v>3140BCGP1</v>
      </c>
      <c r="B3680" t="str">
        <f>_xll.BDP("FNDE0205 Mtge","SECURITY_NAME")</f>
        <v>FN DE0205</v>
      </c>
      <c r="C3680" t="str">
        <f>_xll.BDP("FNDE0205 Mtge","GENERIC_TICKER_VINTAGE")</f>
        <v>FNCL 6 2025</v>
      </c>
      <c r="D3680" t="str">
        <f>_xll.BDP("FNDE0205 Mtge","CRNCY")</f>
        <v>USD</v>
      </c>
      <c r="E3680">
        <v>1126885</v>
      </c>
      <c r="F3680">
        <f>_xll.BDP("FNDE0205 Mtge","CPN")</f>
        <v>6</v>
      </c>
      <c r="G3680">
        <f>_xll.BDP("FNDE0205 Mtge","MTG_FACTOR")</f>
        <v>0.82169663999999998</v>
      </c>
      <c r="H3680">
        <f>_xll.BDP("FNDE0205 Mtge","MTG_WAL")</f>
        <v>3.2927</v>
      </c>
      <c r="I3680" t="str">
        <f>_xll.BDP("FNDE0205 Mtge","MTG_ORIG_WAL")</f>
        <v>#N/A N/A</v>
      </c>
    </row>
    <row r="3681" spans="1:9" x14ac:dyDescent="0.25">
      <c r="A3681" t="str">
        <f>_xll.BDP("FNDE0206 Mtge","ID_CUSIP")</f>
        <v>3140BCGQ9</v>
      </c>
      <c r="B3681" t="str">
        <f>_xll.BDP("FNDE0206 Mtge","SECURITY_NAME")</f>
        <v>FN DE0206</v>
      </c>
      <c r="C3681" t="str">
        <f>_xll.BDP("FNDE0206 Mtge","GENERIC_TICKER_VINTAGE")</f>
        <v>FNCL 6 2025</v>
      </c>
      <c r="D3681" t="str">
        <f>_xll.BDP("FNDE0206 Mtge","CRNCY")</f>
        <v>USD</v>
      </c>
      <c r="E3681">
        <v>1341144</v>
      </c>
      <c r="F3681">
        <f>_xll.BDP("FNDE0206 Mtge","CPN")</f>
        <v>6</v>
      </c>
      <c r="G3681">
        <f>_xll.BDP("FNDE0206 Mtge","MTG_FACTOR")</f>
        <v>0.74688818999999995</v>
      </c>
      <c r="H3681">
        <f>_xll.BDP("FNDE0206 Mtge","MTG_WAL")</f>
        <v>3.2947000000000002</v>
      </c>
      <c r="I3681" t="str">
        <f>_xll.BDP("FNDE0206 Mtge","MTG_ORIG_WAL")</f>
        <v>#N/A N/A</v>
      </c>
    </row>
    <row r="3682" spans="1:9" x14ac:dyDescent="0.25">
      <c r="A3682" t="str">
        <f>_xll.BDP("FNDE0208 Mtge","ID_CUSIP")</f>
        <v>3140BCGS5</v>
      </c>
      <c r="B3682" t="str">
        <f>_xll.BDP("FNDE0208 Mtge","SECURITY_NAME")</f>
        <v>FN DE0208</v>
      </c>
      <c r="C3682" t="str">
        <f>_xll.BDP("FNDE0208 Mtge","GENERIC_TICKER_VINTAGE")</f>
        <v>FNCL 6 2025</v>
      </c>
      <c r="D3682" t="str">
        <f>_xll.BDP("FNDE0208 Mtge","CRNCY")</f>
        <v>USD</v>
      </c>
      <c r="E3682">
        <v>1917800</v>
      </c>
      <c r="F3682">
        <f>_xll.BDP("FNDE0208 Mtge","CPN")</f>
        <v>6</v>
      </c>
      <c r="G3682">
        <f>_xll.BDP("FNDE0208 Mtge","MTG_FACTOR")</f>
        <v>0.79494293000000005</v>
      </c>
      <c r="H3682">
        <f>_xll.BDP("FNDE0208 Mtge","MTG_WAL")</f>
        <v>3.2927</v>
      </c>
      <c r="I3682" t="str">
        <f>_xll.BDP("FNDE0208 Mtge","MTG_ORIG_WAL")</f>
        <v>#N/A N/A</v>
      </c>
    </row>
    <row r="3683" spans="1:9" x14ac:dyDescent="0.25">
      <c r="A3683" t="str">
        <f>_xll.BDP("FNDE0209 Mtge","ID_CUSIP")</f>
        <v>3140BCGT3</v>
      </c>
      <c r="B3683" t="str">
        <f>_xll.BDP("FNDE0209 Mtge","SECURITY_NAME")</f>
        <v>FN DE0209</v>
      </c>
      <c r="C3683" t="str">
        <f>_xll.BDP("FNDE0209 Mtge","GENERIC_TICKER_VINTAGE")</f>
        <v>FNCL 6 2025</v>
      </c>
      <c r="D3683" t="str">
        <f>_xll.BDP("FNDE0209 Mtge","CRNCY")</f>
        <v>USD</v>
      </c>
      <c r="E3683">
        <v>2132166</v>
      </c>
      <c r="F3683">
        <f>_xll.BDP("FNDE0209 Mtge","CPN")</f>
        <v>6</v>
      </c>
      <c r="G3683">
        <f>_xll.BDP("FNDE0209 Mtge","MTG_FACTOR")</f>
        <v>0.99022893999999995</v>
      </c>
      <c r="H3683">
        <f>_xll.BDP("FNDE0209 Mtge","MTG_WAL")</f>
        <v>3.2957999999999998</v>
      </c>
      <c r="I3683" t="str">
        <f>_xll.BDP("FNDE0209 Mtge","MTG_ORIG_WAL")</f>
        <v>#N/A N/A</v>
      </c>
    </row>
    <row r="3684" spans="1:9" x14ac:dyDescent="0.25">
      <c r="A3684" t="str">
        <f>_xll.BDP("FNDE0215 Mtge","ID_CUSIP")</f>
        <v>3140BCGZ9</v>
      </c>
      <c r="B3684" t="str">
        <f>_xll.BDP("FNDE0215 Mtge","SECURITY_NAME")</f>
        <v>FN DE0215</v>
      </c>
      <c r="C3684" t="str">
        <f>_xll.BDP("FNDE0215 Mtge","GENERIC_TICKER_VINTAGE")</f>
        <v>FNCL 6 2025</v>
      </c>
      <c r="D3684" t="str">
        <f>_xll.BDP("FNDE0215 Mtge","CRNCY")</f>
        <v>USD</v>
      </c>
      <c r="E3684">
        <v>5488442</v>
      </c>
      <c r="F3684">
        <f>_xll.BDP("FNDE0215 Mtge","CPN")</f>
        <v>6</v>
      </c>
      <c r="G3684">
        <f>_xll.BDP("FNDE0215 Mtge","MTG_FACTOR")</f>
        <v>0.98504285999999996</v>
      </c>
      <c r="H3684">
        <f>_xll.BDP("FNDE0215 Mtge","MTG_WAL")</f>
        <v>3.2917999999999998</v>
      </c>
      <c r="I3684" t="str">
        <f>_xll.BDP("FNDE0215 Mtge","MTG_ORIG_WAL")</f>
        <v>#N/A N/A</v>
      </c>
    </row>
    <row r="3685" spans="1:9" x14ac:dyDescent="0.25">
      <c r="A3685" t="str">
        <f>_xll.BDP("FNDE0221 Mtge","ID_CUSIP")</f>
        <v>3140BCG71</v>
      </c>
      <c r="B3685" t="str">
        <f>_xll.BDP("FNDE0221 Mtge","SECURITY_NAME")</f>
        <v>FN DE0221</v>
      </c>
      <c r="C3685" t="str">
        <f>_xll.BDP("FNDE0221 Mtge","GENERIC_TICKER_VINTAGE")</f>
        <v>FNCL 6 2025</v>
      </c>
      <c r="D3685" t="str">
        <f>_xll.BDP("FNDE0221 Mtge","CRNCY")</f>
        <v>USD</v>
      </c>
      <c r="E3685">
        <v>4423731</v>
      </c>
      <c r="F3685">
        <f>_xll.BDP("FNDE0221 Mtge","CPN")</f>
        <v>6</v>
      </c>
      <c r="G3685">
        <f>_xll.BDP("FNDE0221 Mtge","MTG_FACTOR")</f>
        <v>0.89717891000000005</v>
      </c>
      <c r="H3685">
        <f>_xll.BDP("FNDE0221 Mtge","MTG_WAL")</f>
        <v>3.2951999999999999</v>
      </c>
      <c r="I3685" t="str">
        <f>_xll.BDP("FNDE0221 Mtge","MTG_ORIG_WAL")</f>
        <v>#N/A N/A</v>
      </c>
    </row>
    <row r="3686" spans="1:9" x14ac:dyDescent="0.25">
      <c r="A3686" t="str">
        <f>_xll.BDP("FNDE0222 Mtge","ID_CUSIP")</f>
        <v>3140BCG89</v>
      </c>
      <c r="B3686" t="str">
        <f>_xll.BDP("FNDE0222 Mtge","SECURITY_NAME")</f>
        <v>FN DE0222</v>
      </c>
      <c r="C3686" t="str">
        <f>_xll.BDP("FNDE0222 Mtge","GENERIC_TICKER_VINTAGE")</f>
        <v>FNCL 6 2025</v>
      </c>
      <c r="D3686" t="str">
        <f>_xll.BDP("FNDE0222 Mtge","CRNCY")</f>
        <v>USD</v>
      </c>
      <c r="E3686">
        <v>5326597</v>
      </c>
      <c r="F3686">
        <f>_xll.BDP("FNDE0222 Mtge","CPN")</f>
        <v>6</v>
      </c>
      <c r="G3686">
        <f>_xll.BDP("FNDE0222 Mtge","MTG_FACTOR")</f>
        <v>0.82813784000000001</v>
      </c>
      <c r="H3686">
        <f>_xll.BDP("FNDE0222 Mtge","MTG_WAL")</f>
        <v>3.2949999999999999</v>
      </c>
      <c r="I3686" t="str">
        <f>_xll.BDP("FNDE0222 Mtge","MTG_ORIG_WAL")</f>
        <v>#N/A N/A</v>
      </c>
    </row>
    <row r="3687" spans="1:9" x14ac:dyDescent="0.25">
      <c r="A3687" t="str">
        <f>_xll.BDP("FNDE0223 Mtge","ID_CUSIP")</f>
        <v>3140BCG97</v>
      </c>
      <c r="B3687" t="str">
        <f>_xll.BDP("FNDE0223 Mtge","SECURITY_NAME")</f>
        <v>FN DE0223</v>
      </c>
      <c r="C3687" t="str">
        <f>_xll.BDP("FNDE0223 Mtge","GENERIC_TICKER_VINTAGE")</f>
        <v>FNCL 6 2025</v>
      </c>
      <c r="D3687" t="str">
        <f>_xll.BDP("FNDE0223 Mtge","CRNCY")</f>
        <v>USD</v>
      </c>
      <c r="E3687">
        <v>9326839</v>
      </c>
      <c r="F3687">
        <f>_xll.BDP("FNDE0223 Mtge","CPN")</f>
        <v>6</v>
      </c>
      <c r="G3687">
        <f>_xll.BDP("FNDE0223 Mtge","MTG_FACTOR")</f>
        <v>0.99116108000000003</v>
      </c>
      <c r="H3687">
        <f>_xll.BDP("FNDE0223 Mtge","MTG_WAL")</f>
        <v>3.2966000000000002</v>
      </c>
      <c r="I3687" t="str">
        <f>_xll.BDP("FNDE0223 Mtge","MTG_ORIG_WAL")</f>
        <v>#N/A N/A</v>
      </c>
    </row>
    <row r="3688" spans="1:9" x14ac:dyDescent="0.25">
      <c r="A3688" t="str">
        <f>_xll.BDP("FNDE0232 Mtge","ID_CUSIP")</f>
        <v>3140BCHJ4</v>
      </c>
      <c r="B3688" t="str">
        <f>_xll.BDP("FNDE0232 Mtge","SECURITY_NAME")</f>
        <v>FN DE0232</v>
      </c>
      <c r="C3688" t="str">
        <f>_xll.BDP("FNDE0232 Mtge","GENERIC_TICKER_VINTAGE")</f>
        <v>FNCL 6 2025</v>
      </c>
      <c r="D3688" t="str">
        <f>_xll.BDP("FNDE0232 Mtge","CRNCY")</f>
        <v>USD</v>
      </c>
      <c r="E3688">
        <v>4553116</v>
      </c>
      <c r="F3688">
        <f>_xll.BDP("FNDE0232 Mtge","CPN")</f>
        <v>6</v>
      </c>
      <c r="G3688">
        <f>_xll.BDP("FNDE0232 Mtge","MTG_FACTOR")</f>
        <v>0.98052333999999997</v>
      </c>
      <c r="H3688">
        <f>_xll.BDP("FNDE0232 Mtge","MTG_WAL")</f>
        <v>3.2879999999999998</v>
      </c>
      <c r="I3688" t="str">
        <f>_xll.BDP("FNDE0232 Mtge","MTG_ORIG_WAL")</f>
        <v>#N/A N/A</v>
      </c>
    </row>
    <row r="3689" spans="1:9" x14ac:dyDescent="0.25">
      <c r="A3689" t="str">
        <f>_xll.BDP("FNDE0233 Mtge","ID_CUSIP")</f>
        <v>3140BCHK1</v>
      </c>
      <c r="B3689" t="str">
        <f>_xll.BDP("FNDE0233 Mtge","SECURITY_NAME")</f>
        <v>FN DE0233</v>
      </c>
      <c r="C3689" t="str">
        <f>_xll.BDP("FNDE0233 Mtge","GENERIC_TICKER_VINTAGE")</f>
        <v>FNCL 6 2025</v>
      </c>
      <c r="D3689" t="str">
        <f>_xll.BDP("FNDE0233 Mtge","CRNCY")</f>
        <v>USD</v>
      </c>
      <c r="E3689">
        <v>7495000</v>
      </c>
      <c r="F3689">
        <f>_xll.BDP("FNDE0233 Mtge","CPN")</f>
        <v>6</v>
      </c>
      <c r="G3689">
        <f>_xll.BDP("FNDE0233 Mtge","MTG_FACTOR")</f>
        <v>0.90517053000000003</v>
      </c>
      <c r="H3689">
        <f>_xll.BDP("FNDE0233 Mtge","MTG_WAL")</f>
        <v>3.2909999999999999</v>
      </c>
      <c r="I3689" t="str">
        <f>_xll.BDP("FNDE0233 Mtge","MTG_ORIG_WAL")</f>
        <v>#N/A N/A</v>
      </c>
    </row>
    <row r="3690" spans="1:9" x14ac:dyDescent="0.25">
      <c r="A3690" t="str">
        <f>_xll.BDP("FNDE0234 Mtge","ID_CUSIP")</f>
        <v>3140BCHL9</v>
      </c>
      <c r="B3690" t="str">
        <f>_xll.BDP("FNDE0234 Mtge","SECURITY_NAME")</f>
        <v>FN DE0234</v>
      </c>
      <c r="C3690" t="str">
        <f>_xll.BDP("FNDE0234 Mtge","GENERIC_TICKER_VINTAGE")</f>
        <v>FNCL 6 2025</v>
      </c>
      <c r="D3690" t="str">
        <f>_xll.BDP("FNDE0234 Mtge","CRNCY")</f>
        <v>USD</v>
      </c>
      <c r="E3690">
        <v>7479502</v>
      </c>
      <c r="F3690">
        <f>_xll.BDP("FNDE0234 Mtge","CPN")</f>
        <v>6</v>
      </c>
      <c r="G3690">
        <f>_xll.BDP("FNDE0234 Mtge","MTG_FACTOR")</f>
        <v>0.74512314000000002</v>
      </c>
      <c r="H3690">
        <f>_xll.BDP("FNDE0234 Mtge","MTG_WAL")</f>
        <v>3.2888999999999999</v>
      </c>
      <c r="I3690" t="str">
        <f>_xll.BDP("FNDE0234 Mtge","MTG_ORIG_WAL")</f>
        <v>#N/A N/A</v>
      </c>
    </row>
    <row r="3691" spans="1:9" x14ac:dyDescent="0.25">
      <c r="A3691" t="str">
        <f>_xll.BDP("FNDE0235 Mtge","ID_CUSIP")</f>
        <v>3140BCHM7</v>
      </c>
      <c r="B3691" t="str">
        <f>_xll.BDP("FNDE0235 Mtge","SECURITY_NAME")</f>
        <v>FN DE0235</v>
      </c>
      <c r="C3691" t="str">
        <f>_xll.BDP("FNDE0235 Mtge","GENERIC_TICKER_VINTAGE")</f>
        <v>FNCL 6 2025</v>
      </c>
      <c r="D3691" t="str">
        <f>_xll.BDP("FNDE0235 Mtge","CRNCY")</f>
        <v>USD</v>
      </c>
      <c r="E3691">
        <v>6778105</v>
      </c>
      <c r="F3691">
        <f>_xll.BDP("FNDE0235 Mtge","CPN")</f>
        <v>6</v>
      </c>
      <c r="G3691">
        <f>_xll.BDP("FNDE0235 Mtge","MTG_FACTOR")</f>
        <v>0.99082895999999998</v>
      </c>
      <c r="H3691">
        <f>_xll.BDP("FNDE0235 Mtge","MTG_WAL")</f>
        <v>3.2961999999999998</v>
      </c>
      <c r="I3691" t="str">
        <f>_xll.BDP("FNDE0235 Mtge","MTG_ORIG_WAL")</f>
        <v>#N/A N/A</v>
      </c>
    </row>
    <row r="3692" spans="1:9" x14ac:dyDescent="0.25">
      <c r="A3692" t="str">
        <f>_xll.BDP("FNDE0240 Mtge","ID_CUSIP")</f>
        <v>3140BCHS4</v>
      </c>
      <c r="B3692" t="str">
        <f>_xll.BDP("FNDE0240 Mtge","SECURITY_NAME")</f>
        <v>FN DE0240</v>
      </c>
      <c r="C3692" t="str">
        <f>_xll.BDP("FNDE0240 Mtge","GENERIC_TICKER_VINTAGE")</f>
        <v>FNCL 6 2025</v>
      </c>
      <c r="D3692" t="str">
        <f>_xll.BDP("FNDE0240 Mtge","CRNCY")</f>
        <v>USD</v>
      </c>
      <c r="E3692">
        <v>1533865</v>
      </c>
      <c r="F3692">
        <f>_xll.BDP("FNDE0240 Mtge","CPN")</f>
        <v>6</v>
      </c>
      <c r="G3692">
        <f>_xll.BDP("FNDE0240 Mtge","MTG_FACTOR")</f>
        <v>0.91559917999999996</v>
      </c>
      <c r="H3692">
        <f>_xll.BDP("FNDE0240 Mtge","MTG_WAL")</f>
        <v>3.2846000000000002</v>
      </c>
      <c r="I3692" t="str">
        <f>_xll.BDP("FNDE0240 Mtge","MTG_ORIG_WAL")</f>
        <v>#N/A N/A</v>
      </c>
    </row>
    <row r="3693" spans="1:9" x14ac:dyDescent="0.25">
      <c r="A3693" t="str">
        <f>_xll.BDP("FNDE0251 Mtge","ID_CUSIP")</f>
        <v>3140BCH54</v>
      </c>
      <c r="B3693" t="str">
        <f>_xll.BDP("FNDE0251 Mtge","SECURITY_NAME")</f>
        <v>FN DE0251</v>
      </c>
      <c r="C3693" t="str">
        <f>_xll.BDP("FNDE0251 Mtge","GENERIC_TICKER_VINTAGE")</f>
        <v>FNCL 6 2025</v>
      </c>
      <c r="D3693" t="str">
        <f>_xll.BDP("FNDE0251 Mtge","CRNCY")</f>
        <v>USD</v>
      </c>
      <c r="E3693">
        <v>3006867</v>
      </c>
      <c r="F3693">
        <f>_xll.BDP("FNDE0251 Mtge","CPN")</f>
        <v>6</v>
      </c>
      <c r="G3693">
        <f>_xll.BDP("FNDE0251 Mtge","MTG_FACTOR")</f>
        <v>0.99076090999999999</v>
      </c>
      <c r="H3693">
        <f>_xll.BDP("FNDE0251 Mtge","MTG_WAL")</f>
        <v>3.2959999999999998</v>
      </c>
      <c r="I3693" t="str">
        <f>_xll.BDP("FNDE0251 Mtge","MTG_ORIG_WAL")</f>
        <v>#N/A N/A</v>
      </c>
    </row>
    <row r="3694" spans="1:9" x14ac:dyDescent="0.25">
      <c r="A3694" t="str">
        <f>_xll.BDP("FNDE0256 Mtge","ID_CUSIP")</f>
        <v>3140BCJA1</v>
      </c>
      <c r="B3694" t="str">
        <f>_xll.BDP("FNDE0256 Mtge","SECURITY_NAME")</f>
        <v>FN DE0256</v>
      </c>
      <c r="C3694" t="str">
        <f>_xll.BDP("FNDE0256 Mtge","GENERIC_TICKER_VINTAGE")</f>
        <v>FNCL 6 2025</v>
      </c>
      <c r="D3694" t="str">
        <f>_xll.BDP("FNDE0256 Mtge","CRNCY")</f>
        <v>USD</v>
      </c>
      <c r="E3694">
        <v>1036837</v>
      </c>
      <c r="F3694">
        <f>_xll.BDP("FNDE0256 Mtge","CPN")</f>
        <v>6</v>
      </c>
      <c r="G3694">
        <f>_xll.BDP("FNDE0256 Mtge","MTG_FACTOR")</f>
        <v>0.99152691999999998</v>
      </c>
      <c r="H3694">
        <f>_xll.BDP("FNDE0256 Mtge","MTG_WAL")</f>
        <v>3.2972000000000001</v>
      </c>
      <c r="I3694" t="str">
        <f>_xll.BDP("FNDE0256 Mtge","MTG_ORIG_WAL")</f>
        <v>#N/A N/A</v>
      </c>
    </row>
    <row r="3695" spans="1:9" x14ac:dyDescent="0.25">
      <c r="A3695" t="str">
        <f>_xll.BDP("FNDE0257 Mtge","ID_CUSIP")</f>
        <v>3140BCJB9</v>
      </c>
      <c r="B3695" t="str">
        <f>_xll.BDP("FNDE0257 Mtge","SECURITY_NAME")</f>
        <v>FN DE0257</v>
      </c>
      <c r="C3695" t="str">
        <f>_xll.BDP("FNDE0257 Mtge","GENERIC_TICKER_VINTAGE")</f>
        <v>FNCL 6 2025</v>
      </c>
      <c r="D3695" t="str">
        <f>_xll.BDP("FNDE0257 Mtge","CRNCY")</f>
        <v>USD</v>
      </c>
      <c r="E3695">
        <v>2262081</v>
      </c>
      <c r="F3695">
        <f>_xll.BDP("FNDE0257 Mtge","CPN")</f>
        <v>6</v>
      </c>
      <c r="G3695">
        <f>_xll.BDP("FNDE0257 Mtge","MTG_FACTOR")</f>
        <v>0.99027461000000006</v>
      </c>
      <c r="H3695">
        <f>_xll.BDP("FNDE0257 Mtge","MTG_WAL")</f>
        <v>3.2955000000000001</v>
      </c>
      <c r="I3695" t="str">
        <f>_xll.BDP("FNDE0257 Mtge","MTG_ORIG_WAL")</f>
        <v>#N/A N/A</v>
      </c>
    </row>
    <row r="3696" spans="1:9" x14ac:dyDescent="0.25">
      <c r="A3696" t="str">
        <f>_xll.BDP("FNDE0276 Mtge","ID_CUSIP")</f>
        <v>3140BCJW3</v>
      </c>
      <c r="B3696" t="str">
        <f>_xll.BDP("FNDE0276 Mtge","SECURITY_NAME")</f>
        <v>FN DE0276</v>
      </c>
      <c r="C3696" t="str">
        <f>_xll.BDP("FNDE0276 Mtge","GENERIC_TICKER_VINTAGE")</f>
        <v>FNCL 6 2025</v>
      </c>
      <c r="D3696" t="str">
        <f>_xll.BDP("FNDE0276 Mtge","CRNCY")</f>
        <v>USD</v>
      </c>
      <c r="E3696">
        <v>19242795</v>
      </c>
      <c r="F3696">
        <f>_xll.BDP("FNDE0276 Mtge","CPN")</f>
        <v>6</v>
      </c>
      <c r="G3696">
        <f>_xll.BDP("FNDE0276 Mtge","MTG_FACTOR")</f>
        <v>0.81962692999999998</v>
      </c>
      <c r="H3696">
        <f>_xll.BDP("FNDE0276 Mtge","MTG_WAL")</f>
        <v>3.2923</v>
      </c>
      <c r="I3696" t="str">
        <f>_xll.BDP("FNDE0276 Mtge","MTG_ORIG_WAL")</f>
        <v>#N/A N/A</v>
      </c>
    </row>
    <row r="3697" spans="1:9" x14ac:dyDescent="0.25">
      <c r="A3697" t="str">
        <f>_xll.BDP("FNDE0286 Mtge","ID_CUSIP")</f>
        <v>3140BCJ86</v>
      </c>
      <c r="B3697" t="str">
        <f>_xll.BDP("FNDE0286 Mtge","SECURITY_NAME")</f>
        <v>FN DE0286</v>
      </c>
      <c r="C3697" t="str">
        <f>_xll.BDP("FNDE0286 Mtge","GENERIC_TICKER_VINTAGE")</f>
        <v>FNCL 6 2025</v>
      </c>
      <c r="D3697" t="str">
        <f>_xll.BDP("FNDE0286 Mtge","CRNCY")</f>
        <v>USD</v>
      </c>
      <c r="E3697">
        <v>2760390</v>
      </c>
      <c r="F3697">
        <f>_xll.BDP("FNDE0286 Mtge","CPN")</f>
        <v>6</v>
      </c>
      <c r="G3697">
        <f>_xll.BDP("FNDE0286 Mtge","MTG_FACTOR")</f>
        <v>0.92660851</v>
      </c>
      <c r="H3697">
        <f>_xll.BDP("FNDE0286 Mtge","MTG_WAL")</f>
        <v>3.3368000000000002</v>
      </c>
      <c r="I3697" t="str">
        <f>_xll.BDP("FNDE0286 Mtge","MTG_ORIG_WAL")</f>
        <v>#N/A N/A</v>
      </c>
    </row>
    <row r="3698" spans="1:9" x14ac:dyDescent="0.25">
      <c r="A3698" t="str">
        <f>_xll.BDP("FNDE0288 Mtge","ID_CUSIP")</f>
        <v>3140BCKA9</v>
      </c>
      <c r="B3698" t="str">
        <f>_xll.BDP("FNDE0288 Mtge","SECURITY_NAME")</f>
        <v>FN DE0288</v>
      </c>
      <c r="C3698" t="str">
        <f>_xll.BDP("FNDE0288 Mtge","GENERIC_TICKER_VINTAGE")</f>
        <v>FNCL 6 2025</v>
      </c>
      <c r="D3698" t="str">
        <f>_xll.BDP("FNDE0288 Mtge","CRNCY")</f>
        <v>USD</v>
      </c>
      <c r="E3698">
        <v>8546881</v>
      </c>
      <c r="F3698">
        <f>_xll.BDP("FNDE0288 Mtge","CPN")</f>
        <v>6</v>
      </c>
      <c r="G3698">
        <f>_xll.BDP("FNDE0288 Mtge","MTG_FACTOR")</f>
        <v>0.93428889999999998</v>
      </c>
      <c r="H3698">
        <f>_xll.BDP("FNDE0288 Mtge","MTG_WAL")</f>
        <v>3.3380999999999998</v>
      </c>
      <c r="I3698" t="str">
        <f>_xll.BDP("FNDE0288 Mtge","MTG_ORIG_WAL")</f>
        <v>#N/A N/A</v>
      </c>
    </row>
    <row r="3699" spans="1:9" x14ac:dyDescent="0.25">
      <c r="A3699" t="str">
        <f>_xll.BDP("FNDE0289 Mtge","ID_CUSIP")</f>
        <v>3140BCKB7</v>
      </c>
      <c r="B3699" t="str">
        <f>_xll.BDP("FNDE0289 Mtge","SECURITY_NAME")</f>
        <v>FN DE0289</v>
      </c>
      <c r="C3699" t="str">
        <f>_xll.BDP("FNDE0289 Mtge","GENERIC_TICKER_VINTAGE")</f>
        <v>FNCL 6 2025</v>
      </c>
      <c r="D3699" t="str">
        <f>_xll.BDP("FNDE0289 Mtge","CRNCY")</f>
        <v>USD</v>
      </c>
      <c r="E3699">
        <v>2145838</v>
      </c>
      <c r="F3699">
        <f>_xll.BDP("FNDE0289 Mtge","CPN")</f>
        <v>6</v>
      </c>
      <c r="G3699">
        <f>_xll.BDP("FNDE0289 Mtge","MTG_FACTOR")</f>
        <v>0.95534918000000002</v>
      </c>
      <c r="H3699">
        <f>_xll.BDP("FNDE0289 Mtge","MTG_WAL")</f>
        <v>3.3227000000000002</v>
      </c>
      <c r="I3699" t="str">
        <f>_xll.BDP("FNDE0289 Mtge","MTG_ORIG_WAL")</f>
        <v>#N/A N/A</v>
      </c>
    </row>
    <row r="3700" spans="1:9" x14ac:dyDescent="0.25">
      <c r="A3700" t="str">
        <f>_xll.BDP("FNDE0290 Mtge","ID_CUSIP")</f>
        <v>3140BCKC5</v>
      </c>
      <c r="B3700" t="str">
        <f>_xll.BDP("FNDE0290 Mtge","SECURITY_NAME")</f>
        <v>FN DE0290</v>
      </c>
      <c r="C3700" t="str">
        <f>_xll.BDP("FNDE0290 Mtge","GENERIC_TICKER_VINTAGE")</f>
        <v>FNCL 6 2025</v>
      </c>
      <c r="D3700" t="str">
        <f>_xll.BDP("FNDE0290 Mtge","CRNCY")</f>
        <v>USD</v>
      </c>
      <c r="E3700">
        <v>4310470</v>
      </c>
      <c r="F3700">
        <f>_xll.BDP("FNDE0290 Mtge","CPN")</f>
        <v>6</v>
      </c>
      <c r="G3700">
        <f>_xll.BDP("FNDE0290 Mtge","MTG_FACTOR")</f>
        <v>0.93428703000000002</v>
      </c>
      <c r="H3700">
        <f>_xll.BDP("FNDE0290 Mtge","MTG_WAL")</f>
        <v>3.3437999999999999</v>
      </c>
      <c r="I3700" t="str">
        <f>_xll.BDP("FNDE0290 Mtge","MTG_ORIG_WAL")</f>
        <v>#N/A N/A</v>
      </c>
    </row>
    <row r="3701" spans="1:9" x14ac:dyDescent="0.25">
      <c r="A3701" t="str">
        <f>_xll.BDP("FNDE0291 Mtge","ID_CUSIP")</f>
        <v>3140BCKD3</v>
      </c>
      <c r="B3701" t="str">
        <f>_xll.BDP("FNDE0291 Mtge","SECURITY_NAME")</f>
        <v>FN DE0291</v>
      </c>
      <c r="C3701" t="str">
        <f>_xll.BDP("FNDE0291 Mtge","GENERIC_TICKER_VINTAGE")</f>
        <v>FNCL 6 2025</v>
      </c>
      <c r="D3701" t="str">
        <f>_xll.BDP("FNDE0291 Mtge","CRNCY")</f>
        <v>USD</v>
      </c>
      <c r="E3701">
        <v>3927311</v>
      </c>
      <c r="F3701">
        <f>_xll.BDP("FNDE0291 Mtge","CPN")</f>
        <v>6</v>
      </c>
      <c r="G3701">
        <f>_xll.BDP("FNDE0291 Mtge","MTG_FACTOR")</f>
        <v>0.92623728000000005</v>
      </c>
      <c r="H3701">
        <f>_xll.BDP("FNDE0291 Mtge","MTG_WAL")</f>
        <v>3.3448000000000002</v>
      </c>
      <c r="I3701" t="str">
        <f>_xll.BDP("FNDE0291 Mtge","MTG_ORIG_WAL")</f>
        <v>#N/A N/A</v>
      </c>
    </row>
    <row r="3702" spans="1:9" x14ac:dyDescent="0.25">
      <c r="A3702" t="str">
        <f>_xll.BDP("FNDE0292 Mtge","ID_CUSIP")</f>
        <v>3140BCKE1</v>
      </c>
      <c r="B3702" t="str">
        <f>_xll.BDP("FNDE0292 Mtge","SECURITY_NAME")</f>
        <v>FN DE0292</v>
      </c>
      <c r="C3702" t="str">
        <f>_xll.BDP("FNDE0292 Mtge","GENERIC_TICKER_VINTAGE")</f>
        <v>FNCL 6 2025</v>
      </c>
      <c r="D3702" t="str">
        <f>_xll.BDP("FNDE0292 Mtge","CRNCY")</f>
        <v>USD</v>
      </c>
      <c r="E3702">
        <v>13964751</v>
      </c>
      <c r="F3702">
        <f>_xll.BDP("FNDE0292 Mtge","CPN")</f>
        <v>6</v>
      </c>
      <c r="G3702">
        <f>_xll.BDP("FNDE0292 Mtge","MTG_FACTOR")</f>
        <v>0.88210392999999998</v>
      </c>
      <c r="H3702">
        <f>_xll.BDP("FNDE0292 Mtge","MTG_WAL")</f>
        <v>3.3378000000000001</v>
      </c>
      <c r="I3702" t="str">
        <f>_xll.BDP("FNDE0292 Mtge","MTG_ORIG_WAL")</f>
        <v>#N/A N/A</v>
      </c>
    </row>
    <row r="3703" spans="1:9" x14ac:dyDescent="0.25">
      <c r="A3703" t="str">
        <f>_xll.BDP("FNDE0313 Mtge","ID_CUSIP")</f>
        <v>3140BCK35</v>
      </c>
      <c r="B3703" t="str">
        <f>_xll.BDP("FNDE0313 Mtge","SECURITY_NAME")</f>
        <v>FN DE0313</v>
      </c>
      <c r="C3703" t="str">
        <f>_xll.BDP("FNDE0313 Mtge","GENERIC_TICKER_VINTAGE")</f>
        <v>FNCL 6 2025</v>
      </c>
      <c r="D3703" t="str">
        <f>_xll.BDP("FNDE0313 Mtge","CRNCY")</f>
        <v>USD</v>
      </c>
      <c r="E3703">
        <v>5930217</v>
      </c>
      <c r="F3703">
        <f>_xll.BDP("FNDE0313 Mtge","CPN")</f>
        <v>6</v>
      </c>
      <c r="G3703">
        <f>_xll.BDP("FNDE0313 Mtge","MTG_FACTOR")</f>
        <v>0.95585911000000001</v>
      </c>
      <c r="H3703">
        <f>_xll.BDP("FNDE0313 Mtge","MTG_WAL")</f>
        <v>3.2936999999999999</v>
      </c>
      <c r="I3703" t="str">
        <f>_xll.BDP("FNDE0313 Mtge","MTG_ORIG_WAL")</f>
        <v>#N/A N/A</v>
      </c>
    </row>
    <row r="3704" spans="1:9" x14ac:dyDescent="0.25">
      <c r="A3704" t="str">
        <f>_xll.BDP("FNDE0317 Mtge","ID_CUSIP")</f>
        <v>3140BCK76</v>
      </c>
      <c r="B3704" t="str">
        <f>_xll.BDP("FNDE0317 Mtge","SECURITY_NAME")</f>
        <v>FN DE0317</v>
      </c>
      <c r="C3704" t="str">
        <f>_xll.BDP("FNDE0317 Mtge","GENERIC_TICKER_VINTAGE")</f>
        <v>FNCL 6 2025</v>
      </c>
      <c r="D3704" t="str">
        <f>_xll.BDP("FNDE0317 Mtge","CRNCY")</f>
        <v>USD</v>
      </c>
      <c r="E3704">
        <v>4054560</v>
      </c>
      <c r="F3704">
        <f>_xll.BDP("FNDE0317 Mtge","CPN")</f>
        <v>6</v>
      </c>
      <c r="G3704">
        <f>_xll.BDP("FNDE0317 Mtge","MTG_FACTOR")</f>
        <v>0.92162608999999995</v>
      </c>
      <c r="H3704">
        <f>_xll.BDP("FNDE0317 Mtge","MTG_WAL")</f>
        <v>3.2927</v>
      </c>
      <c r="I3704" t="str">
        <f>_xll.BDP("FNDE0317 Mtge","MTG_ORIG_WAL")</f>
        <v>#N/A N/A</v>
      </c>
    </row>
    <row r="3705" spans="1:9" x14ac:dyDescent="0.25">
      <c r="A3705" t="str">
        <f>_xll.BDP("FNDE0319 Mtge","ID_CUSIP")</f>
        <v>3140BCK92</v>
      </c>
      <c r="B3705" t="str">
        <f>_xll.BDP("FNDE0319 Mtge","SECURITY_NAME")</f>
        <v>FN DE0319</v>
      </c>
      <c r="C3705" t="str">
        <f>_xll.BDP("FNDE0319 Mtge","GENERIC_TICKER_VINTAGE")</f>
        <v>FNCL 6 2025</v>
      </c>
      <c r="D3705" t="str">
        <f>_xll.BDP("FNDE0319 Mtge","CRNCY")</f>
        <v>USD</v>
      </c>
      <c r="E3705">
        <v>1087750</v>
      </c>
      <c r="F3705">
        <f>_xll.BDP("FNDE0319 Mtge","CPN")</f>
        <v>6</v>
      </c>
      <c r="G3705">
        <f>_xll.BDP("FNDE0319 Mtge","MTG_FACTOR")</f>
        <v>0.98555409999999999</v>
      </c>
      <c r="H3705">
        <f>_xll.BDP("FNDE0319 Mtge","MTG_WAL")</f>
        <v>3.2892999999999999</v>
      </c>
      <c r="I3705" t="str">
        <f>_xll.BDP("FNDE0319 Mtge","MTG_ORIG_WAL")</f>
        <v>#N/A N/A</v>
      </c>
    </row>
    <row r="3706" spans="1:9" x14ac:dyDescent="0.25">
      <c r="A3706" t="str">
        <f>_xll.BDP("FNDE0329 Mtge","ID_CUSIP")</f>
        <v>3140BCLK6</v>
      </c>
      <c r="B3706" t="str">
        <f>_xll.BDP("FNDE0329 Mtge","SECURITY_NAME")</f>
        <v>FN DE0329</v>
      </c>
      <c r="C3706" t="str">
        <f>_xll.BDP("FNDE0329 Mtge","GENERIC_TICKER_VINTAGE")</f>
        <v>FNCL 6 2025</v>
      </c>
      <c r="D3706" t="str">
        <f>_xll.BDP("FNDE0329 Mtge","CRNCY")</f>
        <v>USD</v>
      </c>
      <c r="E3706">
        <v>888067</v>
      </c>
      <c r="F3706">
        <f>_xll.BDP("FNDE0329 Mtge","CPN")</f>
        <v>6</v>
      </c>
      <c r="G3706">
        <f>_xll.BDP("FNDE0329 Mtge","MTG_FACTOR")</f>
        <v>0.98880674999999996</v>
      </c>
      <c r="H3706">
        <f>_xll.BDP("FNDE0329 Mtge","MTG_WAL")</f>
        <v>3.2909999999999999</v>
      </c>
      <c r="I3706" t="str">
        <f>_xll.BDP("FNDE0329 Mtge","MTG_ORIG_WAL")</f>
        <v>#N/A N/A</v>
      </c>
    </row>
    <row r="3707" spans="1:9" x14ac:dyDescent="0.25">
      <c r="A3707" t="str">
        <f>_xll.BDP("FNDE0334 Mtge","ID_CUSIP")</f>
        <v>3140BCLQ3</v>
      </c>
      <c r="B3707" t="str">
        <f>_xll.BDP("FNDE0334 Mtge","SECURITY_NAME")</f>
        <v>FN DE0334</v>
      </c>
      <c r="C3707" t="str">
        <f>_xll.BDP("FNDE0334 Mtge","GENERIC_TICKER_VINTAGE")</f>
        <v>FNCL 6 2025</v>
      </c>
      <c r="D3707" t="str">
        <f>_xll.BDP("FNDE0334 Mtge","CRNCY")</f>
        <v>USD</v>
      </c>
      <c r="E3707">
        <v>1794565</v>
      </c>
      <c r="F3707">
        <f>_xll.BDP("FNDE0334 Mtge","CPN")</f>
        <v>5.875</v>
      </c>
      <c r="G3707">
        <f>_xll.BDP("FNDE0334 Mtge","MTG_FACTOR")</f>
        <v>0.98832905999999998</v>
      </c>
      <c r="H3707">
        <f>_xll.BDP("FNDE0334 Mtge","MTG_WAL")</f>
        <v>3.2884000000000002</v>
      </c>
      <c r="I3707" t="str">
        <f>_xll.BDP("FNDE0334 Mtge","MTG_ORIG_WAL")</f>
        <v>#N/A N/A</v>
      </c>
    </row>
    <row r="3708" spans="1:9" x14ac:dyDescent="0.25">
      <c r="A3708" t="str">
        <f>_xll.BDP("FNDE0335 Mtge","ID_CUSIP")</f>
        <v>3140BCLR1</v>
      </c>
      <c r="B3708" t="str">
        <f>_xll.BDP("FNDE0335 Mtge","SECURITY_NAME")</f>
        <v>FN DE0335</v>
      </c>
      <c r="C3708" t="str">
        <f>_xll.BDP("FNDE0335 Mtge","GENERIC_TICKER_VINTAGE")</f>
        <v>FNCL 6 2025</v>
      </c>
      <c r="D3708" t="str">
        <f>_xll.BDP("FNDE0335 Mtge","CRNCY")</f>
        <v>USD</v>
      </c>
      <c r="E3708">
        <v>121250</v>
      </c>
      <c r="F3708">
        <f>_xll.BDP("FNDE0335 Mtge","CPN")</f>
        <v>6</v>
      </c>
      <c r="G3708">
        <f>_xll.BDP("FNDE0335 Mtge","MTG_FACTOR")</f>
        <v>0.99116848999999996</v>
      </c>
      <c r="H3708">
        <f>_xll.BDP("FNDE0335 Mtge","MTG_WAL")</f>
        <v>3.2928000000000002</v>
      </c>
      <c r="I3708" t="str">
        <f>_xll.BDP("FNDE0335 Mtge","MTG_ORIG_WAL")</f>
        <v>#N/A N/A</v>
      </c>
    </row>
    <row r="3709" spans="1:9" x14ac:dyDescent="0.25">
      <c r="A3709" t="str">
        <f>_xll.BDP("FNDE0432 Mtge","ID_CUSIP")</f>
        <v>3140BCPS5</v>
      </c>
      <c r="B3709" t="str">
        <f>_xll.BDP("FNDE0432 Mtge","SECURITY_NAME")</f>
        <v>FN DE0432</v>
      </c>
      <c r="C3709" t="str">
        <f>_xll.BDP("FNDE0432 Mtge","GENERIC_TICKER_VINTAGE")</f>
        <v>FNCL 6 2025</v>
      </c>
      <c r="D3709" t="str">
        <f>_xll.BDP("FNDE0432 Mtge","CRNCY")</f>
        <v>USD</v>
      </c>
      <c r="E3709">
        <v>1139317</v>
      </c>
      <c r="F3709">
        <f>_xll.BDP("FNDE0432 Mtge","CPN")</f>
        <v>6</v>
      </c>
      <c r="G3709">
        <f>_xll.BDP("FNDE0432 Mtge","MTG_FACTOR")</f>
        <v>0.99059600000000003</v>
      </c>
      <c r="H3709">
        <f>_xll.BDP("FNDE0432 Mtge","MTG_WAL")</f>
        <v>3.2944</v>
      </c>
      <c r="I3709" t="str">
        <f>_xll.BDP("FNDE0432 Mtge","MTG_ORIG_WAL")</f>
        <v>#N/A N/A</v>
      </c>
    </row>
    <row r="3710" spans="1:9" x14ac:dyDescent="0.25">
      <c r="A3710" t="str">
        <f>_xll.BDP("FNDE0433 Mtge","ID_CUSIP")</f>
        <v>3140BCPT3</v>
      </c>
      <c r="B3710" t="str">
        <f>_xll.BDP("FNDE0433 Mtge","SECURITY_NAME")</f>
        <v>FN DE0433</v>
      </c>
      <c r="C3710" t="str">
        <f>_xll.BDP("FNDE0433 Mtge","GENERIC_TICKER_VINTAGE")</f>
        <v>FNCL 6 2025</v>
      </c>
      <c r="D3710" t="str">
        <f>_xll.BDP("FNDE0433 Mtge","CRNCY")</f>
        <v>USD</v>
      </c>
      <c r="E3710">
        <v>1759348</v>
      </c>
      <c r="F3710">
        <f>_xll.BDP("FNDE0433 Mtge","CPN")</f>
        <v>6</v>
      </c>
      <c r="G3710">
        <f>_xll.BDP("FNDE0433 Mtge","MTG_FACTOR")</f>
        <v>0.78281884999999996</v>
      </c>
      <c r="H3710">
        <f>_xll.BDP("FNDE0433 Mtge","MTG_WAL")</f>
        <v>3.2940999999999998</v>
      </c>
      <c r="I3710" t="str">
        <f>_xll.BDP("FNDE0433 Mtge","MTG_ORIG_WAL")</f>
        <v>#N/A N/A</v>
      </c>
    </row>
    <row r="3711" spans="1:9" x14ac:dyDescent="0.25">
      <c r="A3711" t="str">
        <f>_xll.BDP("FNDE0434 Mtge","ID_CUSIP")</f>
        <v>3140BCPU0</v>
      </c>
      <c r="B3711" t="str">
        <f>_xll.BDP("FNDE0434 Mtge","SECURITY_NAME")</f>
        <v>FN DE0434</v>
      </c>
      <c r="C3711" t="str">
        <f>_xll.BDP("FNDE0434 Mtge","GENERIC_TICKER_VINTAGE")</f>
        <v>FNCL 6 2025</v>
      </c>
      <c r="D3711" t="str">
        <f>_xll.BDP("FNDE0434 Mtge","CRNCY")</f>
        <v>USD</v>
      </c>
      <c r="E3711">
        <v>1932570</v>
      </c>
      <c r="F3711">
        <f>_xll.BDP("FNDE0434 Mtge","CPN")</f>
        <v>6</v>
      </c>
      <c r="G3711">
        <f>_xll.BDP("FNDE0434 Mtge","MTG_FACTOR")</f>
        <v>0.79825098999999999</v>
      </c>
      <c r="H3711">
        <f>_xll.BDP("FNDE0434 Mtge","MTG_WAL")</f>
        <v>3.2948</v>
      </c>
      <c r="I3711" t="str">
        <f>_xll.BDP("FNDE0434 Mtge","MTG_ORIG_WAL")</f>
        <v>#N/A N/A</v>
      </c>
    </row>
    <row r="3712" spans="1:9" x14ac:dyDescent="0.25">
      <c r="A3712" t="str">
        <f>_xll.BDP("FNDE0444 Mtge","ID_CUSIP")</f>
        <v>3140BCP63</v>
      </c>
      <c r="B3712" t="str">
        <f>_xll.BDP("FNDE0444 Mtge","SECURITY_NAME")</f>
        <v>FN DE0444</v>
      </c>
      <c r="C3712" t="str">
        <f>_xll.BDP("FNDE0444 Mtge","GENERIC_TICKER_VINTAGE")</f>
        <v>FNCL 6 2025</v>
      </c>
      <c r="D3712" t="str">
        <f>_xll.BDP("FNDE0444 Mtge","CRNCY")</f>
        <v>USD</v>
      </c>
      <c r="E3712">
        <v>1160550</v>
      </c>
      <c r="F3712">
        <f>_xll.BDP("FNDE0444 Mtge","CPN")</f>
        <v>6</v>
      </c>
      <c r="G3712">
        <f>_xll.BDP("FNDE0444 Mtge","MTG_FACTOR")</f>
        <v>0.99033713999999995</v>
      </c>
      <c r="H3712">
        <f>_xll.BDP("FNDE0444 Mtge","MTG_WAL")</f>
        <v>3.2938000000000001</v>
      </c>
      <c r="I3712" t="str">
        <f>_xll.BDP("FNDE0444 Mtge","MTG_ORIG_WAL")</f>
        <v>#N/A N/A</v>
      </c>
    </row>
    <row r="3713" spans="1:9" x14ac:dyDescent="0.25">
      <c r="A3713" t="str">
        <f>_xll.BDP("FNDE0445 Mtge","ID_CUSIP")</f>
        <v>3140BCP71</v>
      </c>
      <c r="B3713" t="str">
        <f>_xll.BDP("FNDE0445 Mtge","SECURITY_NAME")</f>
        <v>FN DE0445</v>
      </c>
      <c r="C3713" t="str">
        <f>_xll.BDP("FNDE0445 Mtge","GENERIC_TICKER_VINTAGE")</f>
        <v>FNCL 6 2025</v>
      </c>
      <c r="D3713" t="str">
        <f>_xll.BDP("FNDE0445 Mtge","CRNCY")</f>
        <v>USD</v>
      </c>
      <c r="E3713">
        <v>1500300</v>
      </c>
      <c r="F3713">
        <f>_xll.BDP("FNDE0445 Mtge","CPN")</f>
        <v>6</v>
      </c>
      <c r="G3713">
        <f>_xll.BDP("FNDE0445 Mtge","MTG_FACTOR")</f>
        <v>0.99156540000000004</v>
      </c>
      <c r="H3713">
        <f>_xll.BDP("FNDE0445 Mtge","MTG_WAL")</f>
        <v>3.2972000000000001</v>
      </c>
      <c r="I3713" t="str">
        <f>_xll.BDP("FNDE0445 Mtge","MTG_ORIG_WAL")</f>
        <v>#N/A N/A</v>
      </c>
    </row>
    <row r="3714" spans="1:9" x14ac:dyDescent="0.25">
      <c r="A3714" t="str">
        <f>_xll.BDP("FNDE0446 Mtge","ID_CUSIP")</f>
        <v>3140BCP89</v>
      </c>
      <c r="B3714" t="str">
        <f>_xll.BDP("FNDE0446 Mtge","SECURITY_NAME")</f>
        <v>FN DE0446</v>
      </c>
      <c r="C3714" t="str">
        <f>_xll.BDP("FNDE0446 Mtge","GENERIC_TICKER_VINTAGE")</f>
        <v>FNCL 6 2025</v>
      </c>
      <c r="D3714" t="str">
        <f>_xll.BDP("FNDE0446 Mtge","CRNCY")</f>
        <v>USD</v>
      </c>
      <c r="E3714">
        <v>1122300</v>
      </c>
      <c r="F3714">
        <f>_xll.BDP("FNDE0446 Mtge","CPN")</f>
        <v>6</v>
      </c>
      <c r="G3714">
        <f>_xll.BDP("FNDE0446 Mtge","MTG_FACTOR")</f>
        <v>0.98927187999999999</v>
      </c>
      <c r="H3714">
        <f>_xll.BDP("FNDE0446 Mtge","MTG_WAL")</f>
        <v>3.2921</v>
      </c>
      <c r="I3714" t="str">
        <f>_xll.BDP("FNDE0446 Mtge","MTG_ORIG_WAL")</f>
        <v>#N/A N/A</v>
      </c>
    </row>
    <row r="3715" spans="1:9" x14ac:dyDescent="0.25">
      <c r="A3715" t="str">
        <f>_xll.BDP("FNDE0447 Mtge","ID_CUSIP")</f>
        <v>3140BCP97</v>
      </c>
      <c r="B3715" t="str">
        <f>_xll.BDP("FNDE0447 Mtge","SECURITY_NAME")</f>
        <v>FN DE0447</v>
      </c>
      <c r="C3715" t="str">
        <f>_xll.BDP("FNDE0447 Mtge","GENERIC_TICKER_VINTAGE")</f>
        <v>FNCL 6 2025</v>
      </c>
      <c r="D3715" t="str">
        <f>_xll.BDP("FNDE0447 Mtge","CRNCY")</f>
        <v>USD</v>
      </c>
      <c r="E3715">
        <v>2120369</v>
      </c>
      <c r="F3715">
        <f>_xll.BDP("FNDE0447 Mtge","CPN")</f>
        <v>6</v>
      </c>
      <c r="G3715">
        <f>_xll.BDP("FNDE0447 Mtge","MTG_FACTOR")</f>
        <v>0.86464421999999996</v>
      </c>
      <c r="H3715">
        <f>_xll.BDP("FNDE0447 Mtge","MTG_WAL")</f>
        <v>3.2942999999999998</v>
      </c>
      <c r="I3715" t="str">
        <f>_xll.BDP("FNDE0447 Mtge","MTG_ORIG_WAL")</f>
        <v>#N/A N/A</v>
      </c>
    </row>
    <row r="3716" spans="1:9" x14ac:dyDescent="0.25">
      <c r="A3716" t="str">
        <f>_xll.BDP("FNDE0448 Mtge","ID_CUSIP")</f>
        <v>3140BCQA3</v>
      </c>
      <c r="B3716" t="str">
        <f>_xll.BDP("FNDE0448 Mtge","SECURITY_NAME")</f>
        <v>FN DE0448</v>
      </c>
      <c r="C3716" t="str">
        <f>_xll.BDP("FNDE0448 Mtge","GENERIC_TICKER_VINTAGE")</f>
        <v>FNCL 6 2025</v>
      </c>
      <c r="D3716" t="str">
        <f>_xll.BDP("FNDE0448 Mtge","CRNCY")</f>
        <v>USD</v>
      </c>
      <c r="E3716">
        <v>1827606</v>
      </c>
      <c r="F3716">
        <f>_xll.BDP("FNDE0448 Mtge","CPN")</f>
        <v>6</v>
      </c>
      <c r="G3716">
        <f>_xll.BDP("FNDE0448 Mtge","MTG_FACTOR")</f>
        <v>0.98714968000000003</v>
      </c>
      <c r="H3716">
        <f>_xll.BDP("FNDE0448 Mtge","MTG_WAL")</f>
        <v>3.34</v>
      </c>
      <c r="I3716" t="str">
        <f>_xll.BDP("FNDE0448 Mtge","MTG_ORIG_WAL")</f>
        <v>#N/A N/A</v>
      </c>
    </row>
    <row r="3717" spans="1:9" x14ac:dyDescent="0.25">
      <c r="A3717" t="str">
        <f>_xll.BDP("FNDE0449 Mtge","ID_CUSIP")</f>
        <v>3140BCQB1</v>
      </c>
      <c r="B3717" t="str">
        <f>_xll.BDP("FNDE0449 Mtge","SECURITY_NAME")</f>
        <v>FN DE0449</v>
      </c>
      <c r="C3717" t="str">
        <f>_xll.BDP("FNDE0449 Mtge","GENERIC_TICKER_VINTAGE")</f>
        <v>FNCL 6 2025</v>
      </c>
      <c r="D3717" t="str">
        <f>_xll.BDP("FNDE0449 Mtge","CRNCY")</f>
        <v>USD</v>
      </c>
      <c r="E3717">
        <v>1003000</v>
      </c>
      <c r="F3717">
        <f>_xll.BDP("FNDE0449 Mtge","CPN")</f>
        <v>6</v>
      </c>
      <c r="G3717">
        <f>_xll.BDP("FNDE0449 Mtge","MTG_FACTOR")</f>
        <v>0.99029065000000005</v>
      </c>
      <c r="H3717">
        <f>_xll.BDP("FNDE0449 Mtge","MTG_WAL")</f>
        <v>3.2978000000000001</v>
      </c>
      <c r="I3717" t="str">
        <f>_xll.BDP("FNDE0449 Mtge","MTG_ORIG_WAL")</f>
        <v>#N/A N/A</v>
      </c>
    </row>
    <row r="3718" spans="1:9" x14ac:dyDescent="0.25">
      <c r="A3718" t="str">
        <f>_xll.BDP("FNDE0450 Mtge","ID_CUSIP")</f>
        <v>3140BCQC9</v>
      </c>
      <c r="B3718" t="str">
        <f>_xll.BDP("FNDE0450 Mtge","SECURITY_NAME")</f>
        <v>FN DE0450</v>
      </c>
      <c r="C3718" t="str">
        <f>_xll.BDP("FNDE0450 Mtge","GENERIC_TICKER_VINTAGE")</f>
        <v>FNCL 6 2025</v>
      </c>
      <c r="D3718" t="str">
        <f>_xll.BDP("FNDE0450 Mtge","CRNCY")</f>
        <v>USD</v>
      </c>
      <c r="E3718">
        <v>1812790</v>
      </c>
      <c r="F3718">
        <f>_xll.BDP("FNDE0450 Mtge","CPN")</f>
        <v>6</v>
      </c>
      <c r="G3718">
        <f>_xll.BDP("FNDE0450 Mtge","MTG_FACTOR")</f>
        <v>0.9893286</v>
      </c>
      <c r="H3718">
        <f>_xll.BDP("FNDE0450 Mtge","MTG_WAL")</f>
        <v>3.2946</v>
      </c>
      <c r="I3718" t="str">
        <f>_xll.BDP("FNDE0450 Mtge","MTG_ORIG_WAL")</f>
        <v>#N/A N/A</v>
      </c>
    </row>
    <row r="3719" spans="1:9" x14ac:dyDescent="0.25">
      <c r="A3719" t="str">
        <f>_xll.BDP("FNDE0453 Mtge","ID_CUSIP")</f>
        <v>3140BCQF2</v>
      </c>
      <c r="B3719" t="str">
        <f>_xll.BDP("FNDE0453 Mtge","SECURITY_NAME")</f>
        <v>FN DE0453</v>
      </c>
      <c r="C3719" t="str">
        <f>_xll.BDP("FNDE0453 Mtge","GENERIC_TICKER_VINTAGE")</f>
        <v>FNCL 6 2025</v>
      </c>
      <c r="D3719" t="str">
        <f>_xll.BDP("FNDE0453 Mtge","CRNCY")</f>
        <v>USD</v>
      </c>
      <c r="E3719">
        <v>2255100</v>
      </c>
      <c r="F3719">
        <f>_xll.BDP("FNDE0453 Mtge","CPN")</f>
        <v>6</v>
      </c>
      <c r="G3719">
        <f>_xll.BDP("FNDE0453 Mtge","MTG_FACTOR")</f>
        <v>0.65082792</v>
      </c>
      <c r="H3719">
        <f>_xll.BDP("FNDE0453 Mtge","MTG_WAL")</f>
        <v>3.3456999999999999</v>
      </c>
      <c r="I3719" t="str">
        <f>_xll.BDP("FNDE0453 Mtge","MTG_ORIG_WAL")</f>
        <v>#N/A N/A</v>
      </c>
    </row>
    <row r="3720" spans="1:9" x14ac:dyDescent="0.25">
      <c r="A3720" t="str">
        <f>_xll.BDP("FNDE0463 Mtge","ID_CUSIP")</f>
        <v>3140BCQR6</v>
      </c>
      <c r="B3720" t="str">
        <f>_xll.BDP("FNDE0463 Mtge","SECURITY_NAME")</f>
        <v>FN DE0463</v>
      </c>
      <c r="C3720" t="str">
        <f>_xll.BDP("FNDE0463 Mtge","GENERIC_TICKER_VINTAGE")</f>
        <v>FNCL 6 2025</v>
      </c>
      <c r="D3720" t="str">
        <f>_xll.BDP("FNDE0463 Mtge","CRNCY")</f>
        <v>USD</v>
      </c>
      <c r="E3720">
        <v>2093328</v>
      </c>
      <c r="F3720">
        <f>_xll.BDP("FNDE0463 Mtge","CPN")</f>
        <v>6</v>
      </c>
      <c r="G3720">
        <f>_xll.BDP("FNDE0463 Mtge","MTG_FACTOR")</f>
        <v>0.98977738999999998</v>
      </c>
      <c r="H3720">
        <f>_xll.BDP("FNDE0463 Mtge","MTG_WAL")</f>
        <v>3.2951999999999999</v>
      </c>
      <c r="I3720" t="str">
        <f>_xll.BDP("FNDE0463 Mtge","MTG_ORIG_WAL")</f>
        <v>#N/A N/A</v>
      </c>
    </row>
    <row r="3721" spans="1:9" x14ac:dyDescent="0.25">
      <c r="A3721" t="str">
        <f>_xll.BDP("FNDE0464 Mtge","ID_CUSIP")</f>
        <v>3140BCQS4</v>
      </c>
      <c r="B3721" t="str">
        <f>_xll.BDP("FNDE0464 Mtge","SECURITY_NAME")</f>
        <v>FN DE0464</v>
      </c>
      <c r="C3721" t="str">
        <f>_xll.BDP("FNDE0464 Mtge","GENERIC_TICKER_VINTAGE")</f>
        <v>FNCL 6 2025</v>
      </c>
      <c r="D3721" t="str">
        <f>_xll.BDP("FNDE0464 Mtge","CRNCY")</f>
        <v>USD</v>
      </c>
      <c r="E3721">
        <v>1563691</v>
      </c>
      <c r="F3721">
        <f>_xll.BDP("FNDE0464 Mtge","CPN")</f>
        <v>6</v>
      </c>
      <c r="G3721">
        <f>_xll.BDP("FNDE0464 Mtge","MTG_FACTOR")</f>
        <v>0.99136630999999997</v>
      </c>
      <c r="H3721">
        <f>_xll.BDP("FNDE0464 Mtge","MTG_WAL")</f>
        <v>3.3477000000000001</v>
      </c>
      <c r="I3721" t="str">
        <f>_xll.BDP("FNDE0464 Mtge","MTG_ORIG_WAL")</f>
        <v>#N/A N/A</v>
      </c>
    </row>
    <row r="3722" spans="1:9" x14ac:dyDescent="0.25">
      <c r="A3722" t="str">
        <f>_xll.BDP("FNDE0465 Mtge","ID_CUSIP")</f>
        <v>3140BCQT2</v>
      </c>
      <c r="B3722" t="str">
        <f>_xll.BDP("FNDE0465 Mtge","SECURITY_NAME")</f>
        <v>FN DE0465</v>
      </c>
      <c r="C3722" t="str">
        <f>_xll.BDP("FNDE0465 Mtge","GENERIC_TICKER_VINTAGE")</f>
        <v>FNCL 6 2025</v>
      </c>
      <c r="D3722" t="str">
        <f>_xll.BDP("FNDE0465 Mtge","CRNCY")</f>
        <v>USD</v>
      </c>
      <c r="E3722">
        <v>1084775</v>
      </c>
      <c r="F3722">
        <f>_xll.BDP("FNDE0465 Mtge","CPN")</f>
        <v>6</v>
      </c>
      <c r="G3722">
        <f>_xll.BDP("FNDE0465 Mtge","MTG_FACTOR")</f>
        <v>0.92702523999999997</v>
      </c>
      <c r="H3722">
        <f>_xll.BDP("FNDE0465 Mtge","MTG_WAL")</f>
        <v>3.2957999999999998</v>
      </c>
      <c r="I3722" t="str">
        <f>_xll.BDP("FNDE0465 Mtge","MTG_ORIG_WAL")</f>
        <v>#N/A N/A</v>
      </c>
    </row>
    <row r="3723" spans="1:9" x14ac:dyDescent="0.25">
      <c r="A3723" t="str">
        <f>_xll.BDP("FNDE0466 Mtge","ID_CUSIP")</f>
        <v>3140BCQU9</v>
      </c>
      <c r="B3723" t="str">
        <f>_xll.BDP("FNDE0466 Mtge","SECURITY_NAME")</f>
        <v>FN DE0466</v>
      </c>
      <c r="C3723" t="str">
        <f>_xll.BDP("FNDE0466 Mtge","GENERIC_TICKER_VINTAGE")</f>
        <v>FNCL 6 2025</v>
      </c>
      <c r="D3723" t="str">
        <f>_xll.BDP("FNDE0466 Mtge","CRNCY")</f>
        <v>USD</v>
      </c>
      <c r="E3723">
        <v>1272585</v>
      </c>
      <c r="F3723">
        <f>_xll.BDP("FNDE0466 Mtge","CPN")</f>
        <v>6</v>
      </c>
      <c r="G3723">
        <f>_xll.BDP("FNDE0466 Mtge","MTG_FACTOR")</f>
        <v>0.98465840000000004</v>
      </c>
      <c r="H3723">
        <f>_xll.BDP("FNDE0466 Mtge","MTG_WAL")</f>
        <v>3.2911000000000001</v>
      </c>
      <c r="I3723" t="str">
        <f>_xll.BDP("FNDE0466 Mtge","MTG_ORIG_WAL")</f>
        <v>#N/A N/A</v>
      </c>
    </row>
    <row r="3724" spans="1:9" x14ac:dyDescent="0.25">
      <c r="A3724" t="str">
        <f>_xll.BDP("FNDE0467 Mtge","ID_CUSIP")</f>
        <v>3140BCQV7</v>
      </c>
      <c r="B3724" t="str">
        <f>_xll.BDP("FNDE0467 Mtge","SECURITY_NAME")</f>
        <v>FN DE0467</v>
      </c>
      <c r="C3724" t="str">
        <f>_xll.BDP("FNDE0467 Mtge","GENERIC_TICKER_VINTAGE")</f>
        <v>FNCL 6 2025</v>
      </c>
      <c r="D3724" t="str">
        <f>_xll.BDP("FNDE0467 Mtge","CRNCY")</f>
        <v>USD</v>
      </c>
      <c r="E3724">
        <v>1365799</v>
      </c>
      <c r="F3724">
        <f>_xll.BDP("FNDE0467 Mtge","CPN")</f>
        <v>6</v>
      </c>
      <c r="G3724">
        <f>_xll.BDP("FNDE0467 Mtge","MTG_FACTOR")</f>
        <v>0.98846935999999996</v>
      </c>
      <c r="H3724">
        <f>_xll.BDP("FNDE0467 Mtge","MTG_WAL")</f>
        <v>3.2938000000000001</v>
      </c>
      <c r="I3724" t="str">
        <f>_xll.BDP("FNDE0467 Mtge","MTG_ORIG_WAL")</f>
        <v>#N/A N/A</v>
      </c>
    </row>
    <row r="3725" spans="1:9" x14ac:dyDescent="0.25">
      <c r="A3725" t="str">
        <f>_xll.BDP("FNDE0468 Mtge","ID_CUSIP")</f>
        <v>3140BCQW5</v>
      </c>
      <c r="B3725" t="str">
        <f>_xll.BDP("FNDE0468 Mtge","SECURITY_NAME")</f>
        <v>FN DE0468</v>
      </c>
      <c r="C3725" t="str">
        <f>_xll.BDP("FNDE0468 Mtge","GENERIC_TICKER_VINTAGE")</f>
        <v>FNCL 6 2025</v>
      </c>
      <c r="D3725" t="str">
        <f>_xll.BDP("FNDE0468 Mtge","CRNCY")</f>
        <v>USD</v>
      </c>
      <c r="E3725">
        <v>1247750</v>
      </c>
      <c r="F3725">
        <f>_xll.BDP("FNDE0468 Mtge","CPN")</f>
        <v>6</v>
      </c>
      <c r="G3725">
        <f>_xll.BDP("FNDE0468 Mtge","MTG_FACTOR")</f>
        <v>0.98894945000000001</v>
      </c>
      <c r="H3725">
        <f>_xll.BDP("FNDE0468 Mtge","MTG_WAL")</f>
        <v>3.2942</v>
      </c>
      <c r="I3725" t="str">
        <f>_xll.BDP("FNDE0468 Mtge","MTG_ORIG_WAL")</f>
        <v>#N/A N/A</v>
      </c>
    </row>
    <row r="3726" spans="1:9" x14ac:dyDescent="0.25">
      <c r="A3726" t="str">
        <f>_xll.BDP("FNDE0469 Mtge","ID_CUSIP")</f>
        <v>3140BCQX3</v>
      </c>
      <c r="B3726" t="str">
        <f>_xll.BDP("FNDE0469 Mtge","SECURITY_NAME")</f>
        <v>FN DE0469</v>
      </c>
      <c r="C3726" t="str">
        <f>_xll.BDP("FNDE0469 Mtge","GENERIC_TICKER_VINTAGE")</f>
        <v>FNCL 6 2025</v>
      </c>
      <c r="D3726" t="str">
        <f>_xll.BDP("FNDE0469 Mtge","CRNCY")</f>
        <v>USD</v>
      </c>
      <c r="E3726">
        <v>1788200</v>
      </c>
      <c r="F3726">
        <f>_xll.BDP("FNDE0469 Mtge","CPN")</f>
        <v>6</v>
      </c>
      <c r="G3726">
        <f>_xll.BDP("FNDE0469 Mtge","MTG_FACTOR")</f>
        <v>0.57929392999999996</v>
      </c>
      <c r="H3726">
        <f>_xll.BDP("FNDE0469 Mtge","MTG_WAL")</f>
        <v>3.3466999999999998</v>
      </c>
      <c r="I3726" t="str">
        <f>_xll.BDP("FNDE0469 Mtge","MTG_ORIG_WAL")</f>
        <v>#N/A N/A</v>
      </c>
    </row>
    <row r="3727" spans="1:9" x14ac:dyDescent="0.25">
      <c r="A3727" t="str">
        <f>_xll.BDP("FNDE0472 Mtge","ID_CUSIP")</f>
        <v>3140BCQ21</v>
      </c>
      <c r="B3727" t="str">
        <f>_xll.BDP("FNDE0472 Mtge","SECURITY_NAME")</f>
        <v>FN DE0472</v>
      </c>
      <c r="C3727" t="str">
        <f>_xll.BDP("FNDE0472 Mtge","GENERIC_TICKER_VINTAGE")</f>
        <v>FNCL 6 2025</v>
      </c>
      <c r="D3727" t="str">
        <f>_xll.BDP("FNDE0472 Mtge","CRNCY")</f>
        <v>USD</v>
      </c>
      <c r="E3727">
        <v>1812870</v>
      </c>
      <c r="F3727">
        <f>_xll.BDP("FNDE0472 Mtge","CPN")</f>
        <v>6</v>
      </c>
      <c r="G3727">
        <f>_xll.BDP("FNDE0472 Mtge","MTG_FACTOR")</f>
        <v>0.99044228000000001</v>
      </c>
      <c r="H3727">
        <f>_xll.BDP("FNDE0472 Mtge","MTG_WAL")</f>
        <v>3.3437999999999999</v>
      </c>
      <c r="I3727" t="str">
        <f>_xll.BDP("FNDE0472 Mtge","MTG_ORIG_WAL")</f>
        <v>#N/A N/A</v>
      </c>
    </row>
    <row r="3728" spans="1:9" x14ac:dyDescent="0.25">
      <c r="A3728" t="str">
        <f>_xll.BDP("FNDE0473 Mtge","ID_CUSIP")</f>
        <v>3140BCQ39</v>
      </c>
      <c r="B3728" t="str">
        <f>_xll.BDP("FNDE0473 Mtge","SECURITY_NAME")</f>
        <v>FN DE0473</v>
      </c>
      <c r="C3728" t="str">
        <f>_xll.BDP("FNDE0473 Mtge","GENERIC_TICKER_VINTAGE")</f>
        <v>FNCL 6 2025</v>
      </c>
      <c r="D3728" t="str">
        <f>_xll.BDP("FNDE0473 Mtge","CRNCY")</f>
        <v>USD</v>
      </c>
      <c r="E3728">
        <v>2207253</v>
      </c>
      <c r="F3728">
        <f>_xll.BDP("FNDE0473 Mtge","CPN")</f>
        <v>6</v>
      </c>
      <c r="G3728">
        <f>_xll.BDP("FNDE0473 Mtge","MTG_FACTOR")</f>
        <v>0.99196377999999996</v>
      </c>
      <c r="H3728">
        <f>_xll.BDP("FNDE0473 Mtge","MTG_WAL")</f>
        <v>3.2987000000000002</v>
      </c>
      <c r="I3728" t="str">
        <f>_xll.BDP("FNDE0473 Mtge","MTG_ORIG_WAL")</f>
        <v>#N/A N/A</v>
      </c>
    </row>
    <row r="3729" spans="1:9" x14ac:dyDescent="0.25">
      <c r="A3729" t="str">
        <f>_xll.BDP("FNDE0474 Mtge","ID_CUSIP")</f>
        <v>3140BCQ47</v>
      </c>
      <c r="B3729" t="str">
        <f>_xll.BDP("FNDE0474 Mtge","SECURITY_NAME")</f>
        <v>FN DE0474</v>
      </c>
      <c r="C3729" t="str">
        <f>_xll.BDP("FNDE0474 Mtge","GENERIC_TICKER_VINTAGE")</f>
        <v>FNCL 6 2025</v>
      </c>
      <c r="D3729" t="str">
        <f>_xll.BDP("FNDE0474 Mtge","CRNCY")</f>
        <v>USD</v>
      </c>
      <c r="E3729">
        <v>1253650</v>
      </c>
      <c r="F3729">
        <f>_xll.BDP("FNDE0474 Mtge","CPN")</f>
        <v>6</v>
      </c>
      <c r="G3729">
        <f>_xll.BDP("FNDE0474 Mtge","MTG_FACTOR")</f>
        <v>0.99140525999999995</v>
      </c>
      <c r="H3729">
        <f>_xll.BDP("FNDE0474 Mtge","MTG_WAL")</f>
        <v>3.3466</v>
      </c>
      <c r="I3729" t="str">
        <f>_xll.BDP("FNDE0474 Mtge","MTG_ORIG_WAL")</f>
        <v>#N/A N/A</v>
      </c>
    </row>
    <row r="3730" spans="1:9" x14ac:dyDescent="0.25">
      <c r="A3730" t="str">
        <f>_xll.BDP("FNDE0479 Mtge","ID_CUSIP")</f>
        <v>3140BCQ96</v>
      </c>
      <c r="B3730" t="str">
        <f>_xll.BDP("FNDE0479 Mtge","SECURITY_NAME")</f>
        <v>FN DE0479</v>
      </c>
      <c r="C3730" t="str">
        <f>_xll.BDP("FNDE0479 Mtge","GENERIC_TICKER_VINTAGE")</f>
        <v>FNCL 6 2025</v>
      </c>
      <c r="D3730" t="str">
        <f>_xll.BDP("FNDE0479 Mtge","CRNCY")</f>
        <v>USD</v>
      </c>
      <c r="E3730">
        <v>1015500</v>
      </c>
      <c r="F3730">
        <f>_xll.BDP("FNDE0479 Mtge","CPN")</f>
        <v>6</v>
      </c>
      <c r="G3730">
        <f>_xll.BDP("FNDE0479 Mtge","MTG_FACTOR")</f>
        <v>0.99173482000000002</v>
      </c>
      <c r="H3730">
        <f>_xll.BDP("FNDE0479 Mtge","MTG_WAL")</f>
        <v>3.2961999999999998</v>
      </c>
      <c r="I3730" t="str">
        <f>_xll.BDP("FNDE0479 Mtge","MTG_ORIG_WAL")</f>
        <v>#N/A N/A</v>
      </c>
    </row>
    <row r="3731" spans="1:9" x14ac:dyDescent="0.25">
      <c r="A3731" t="str">
        <f>_xll.BDP("FNDE0480 Mtge","ID_CUSIP")</f>
        <v>3140BCRA2</v>
      </c>
      <c r="B3731" t="str">
        <f>_xll.BDP("FNDE0480 Mtge","SECURITY_NAME")</f>
        <v>FN DE0480</v>
      </c>
      <c r="C3731" t="str">
        <f>_xll.BDP("FNDE0480 Mtge","GENERIC_TICKER_VINTAGE")</f>
        <v>FNCL 6 2025</v>
      </c>
      <c r="D3731" t="str">
        <f>_xll.BDP("FNDE0480 Mtge","CRNCY")</f>
        <v>USD</v>
      </c>
      <c r="E3731">
        <v>1961355</v>
      </c>
      <c r="F3731">
        <f>_xll.BDP("FNDE0480 Mtge","CPN")</f>
        <v>6</v>
      </c>
      <c r="G3731">
        <f>_xll.BDP("FNDE0480 Mtge","MTG_FACTOR")</f>
        <v>0.79220166000000003</v>
      </c>
      <c r="H3731">
        <f>_xll.BDP("FNDE0480 Mtge","MTG_WAL")</f>
        <v>3.3416999999999999</v>
      </c>
      <c r="I3731" t="str">
        <f>_xll.BDP("FNDE0480 Mtge","MTG_ORIG_WAL")</f>
        <v>#N/A N/A</v>
      </c>
    </row>
    <row r="3732" spans="1:9" x14ac:dyDescent="0.25">
      <c r="A3732" t="str">
        <f>_xll.BDP("FNDE0490 Mtge","ID_CUSIP")</f>
        <v>3140BCRL8</v>
      </c>
      <c r="B3732" t="str">
        <f>_xll.BDP("FNDE0490 Mtge","SECURITY_NAME")</f>
        <v>FN DE0490</v>
      </c>
      <c r="C3732" t="str">
        <f>_xll.BDP("FNDE0490 Mtge","GENERIC_TICKER_VINTAGE")</f>
        <v>FNCL 6 2025</v>
      </c>
      <c r="D3732" t="str">
        <f>_xll.BDP("FNDE0490 Mtge","CRNCY")</f>
        <v>USD</v>
      </c>
      <c r="E3732">
        <v>1533050</v>
      </c>
      <c r="F3732">
        <f>_xll.BDP("FNDE0490 Mtge","CPN")</f>
        <v>6</v>
      </c>
      <c r="G3732">
        <f>_xll.BDP("FNDE0490 Mtge","MTG_FACTOR")</f>
        <v>0.99204625999999996</v>
      </c>
      <c r="H3732">
        <f>_xll.BDP("FNDE0490 Mtge","MTG_WAL")</f>
        <v>3.3456999999999999</v>
      </c>
      <c r="I3732" t="str">
        <f>_xll.BDP("FNDE0490 Mtge","MTG_ORIG_WAL")</f>
        <v>#N/A N/A</v>
      </c>
    </row>
    <row r="3733" spans="1:9" x14ac:dyDescent="0.25">
      <c r="A3733" t="str">
        <f>_xll.BDP("FNDE0494 Mtge","ID_CUSIP")</f>
        <v>3140BCRQ7</v>
      </c>
      <c r="B3733" t="str">
        <f>_xll.BDP("FNDE0494 Mtge","SECURITY_NAME")</f>
        <v>FN DE0494</v>
      </c>
      <c r="C3733" t="str">
        <f>_xll.BDP("FNDE0494 Mtge","GENERIC_TICKER_VINTAGE")</f>
        <v>FNCL 6 2025</v>
      </c>
      <c r="D3733" t="str">
        <f>_xll.BDP("FNDE0494 Mtge","CRNCY")</f>
        <v>USD</v>
      </c>
      <c r="E3733">
        <v>2868673</v>
      </c>
      <c r="F3733">
        <f>_xll.BDP("FNDE0494 Mtge","CPN")</f>
        <v>6</v>
      </c>
      <c r="G3733">
        <f>_xll.BDP("FNDE0494 Mtge","MTG_FACTOR")</f>
        <v>0.73896474000000001</v>
      </c>
      <c r="H3733">
        <f>_xll.BDP("FNDE0494 Mtge","MTG_WAL")</f>
        <v>3.3445</v>
      </c>
      <c r="I3733" t="str">
        <f>_xll.BDP("FNDE0494 Mtge","MTG_ORIG_WAL")</f>
        <v>#N/A N/A</v>
      </c>
    </row>
    <row r="3734" spans="1:9" x14ac:dyDescent="0.25">
      <c r="A3734" t="str">
        <f>_xll.BDP("FNDE0499 Mtge","ID_CUSIP")</f>
        <v>3140BCRV6</v>
      </c>
      <c r="B3734" t="str">
        <f>_xll.BDP("FNDE0499 Mtge","SECURITY_NAME")</f>
        <v>FN DE0499</v>
      </c>
      <c r="C3734" t="str">
        <f>_xll.BDP("FNDE0499 Mtge","GENERIC_TICKER_VINTAGE")</f>
        <v>FNCL 6 2025</v>
      </c>
      <c r="D3734" t="str">
        <f>_xll.BDP("FNDE0499 Mtge","CRNCY")</f>
        <v>USD</v>
      </c>
      <c r="E3734">
        <v>1337450</v>
      </c>
      <c r="F3734">
        <f>_xll.BDP("FNDE0499 Mtge","CPN")</f>
        <v>6</v>
      </c>
      <c r="G3734">
        <f>_xll.BDP("FNDE0499 Mtge","MTG_FACTOR")</f>
        <v>0.86046451000000002</v>
      </c>
      <c r="H3734">
        <f>_xll.BDP("FNDE0499 Mtge","MTG_WAL")</f>
        <v>3.3447</v>
      </c>
      <c r="I3734" t="str">
        <f>_xll.BDP("FNDE0499 Mtge","MTG_ORIG_WAL")</f>
        <v>#N/A N/A</v>
      </c>
    </row>
    <row r="3735" spans="1:9" x14ac:dyDescent="0.25">
      <c r="A3735" t="str">
        <f>_xll.BDP("FNDE0500 Mtge","ID_CUSIP")</f>
        <v>3140BCRW4</v>
      </c>
      <c r="B3735" t="str">
        <f>_xll.BDP("FNDE0500 Mtge","SECURITY_NAME")</f>
        <v>FN DE0500</v>
      </c>
      <c r="C3735" t="str">
        <f>_xll.BDP("FNDE0500 Mtge","GENERIC_TICKER_VINTAGE")</f>
        <v>FNCL 6 2025</v>
      </c>
      <c r="D3735" t="str">
        <f>_xll.BDP("FNDE0500 Mtge","CRNCY")</f>
        <v>USD</v>
      </c>
      <c r="E3735">
        <v>1747120</v>
      </c>
      <c r="F3735">
        <f>_xll.BDP("FNDE0500 Mtge","CPN")</f>
        <v>6</v>
      </c>
      <c r="G3735">
        <f>_xll.BDP("FNDE0500 Mtge","MTG_FACTOR")</f>
        <v>0.98472084999999998</v>
      </c>
      <c r="H3735">
        <f>_xll.BDP("FNDE0500 Mtge","MTG_WAL")</f>
        <v>3.3405999999999998</v>
      </c>
      <c r="I3735" t="str">
        <f>_xll.BDP("FNDE0500 Mtge","MTG_ORIG_WAL")</f>
        <v>#N/A N/A</v>
      </c>
    </row>
    <row r="3736" spans="1:9" x14ac:dyDescent="0.25">
      <c r="A3736" t="str">
        <f>_xll.BDP("FNDE0501 Mtge","ID_CUSIP")</f>
        <v>3140BCRX2</v>
      </c>
      <c r="B3736" t="str">
        <f>_xll.BDP("FNDE0501 Mtge","SECURITY_NAME")</f>
        <v>FN DE0501</v>
      </c>
      <c r="C3736" t="str">
        <f>_xll.BDP("FNDE0501 Mtge","GENERIC_TICKER_VINTAGE")</f>
        <v>FNCL 6 2025</v>
      </c>
      <c r="D3736" t="str">
        <f>_xll.BDP("FNDE0501 Mtge","CRNCY")</f>
        <v>USD</v>
      </c>
      <c r="E3736">
        <v>1189750</v>
      </c>
      <c r="F3736">
        <f>_xll.BDP("FNDE0501 Mtge","CPN")</f>
        <v>6</v>
      </c>
      <c r="G3736">
        <f>_xll.BDP("FNDE0501 Mtge","MTG_FACTOR")</f>
        <v>0.75681900999999996</v>
      </c>
      <c r="H3736">
        <f>_xll.BDP("FNDE0501 Mtge","MTG_WAL")</f>
        <v>3.3414000000000001</v>
      </c>
      <c r="I3736" t="str">
        <f>_xll.BDP("FNDE0501 Mtge","MTG_ORIG_WAL")</f>
        <v>#N/A N/A</v>
      </c>
    </row>
    <row r="3737" spans="1:9" x14ac:dyDescent="0.25">
      <c r="A3737" t="str">
        <f>_xll.BDP("FNDE0502 Mtge","ID_CUSIP")</f>
        <v>3140BCRY0</v>
      </c>
      <c r="B3737" t="str">
        <f>_xll.BDP("FNDE0502 Mtge","SECURITY_NAME")</f>
        <v>FN DE0502</v>
      </c>
      <c r="C3737" t="str">
        <f>_xll.BDP("FNDE0502 Mtge","GENERIC_TICKER_VINTAGE")</f>
        <v>FNCL 6 2025</v>
      </c>
      <c r="D3737" t="str">
        <f>_xll.BDP("FNDE0502 Mtge","CRNCY")</f>
        <v>USD</v>
      </c>
      <c r="E3737">
        <v>1354000</v>
      </c>
      <c r="F3737">
        <f>_xll.BDP("FNDE0502 Mtge","CPN")</f>
        <v>6</v>
      </c>
      <c r="G3737">
        <f>_xll.BDP("FNDE0502 Mtge","MTG_FACTOR")</f>
        <v>0.98584910999999997</v>
      </c>
      <c r="H3737">
        <f>_xll.BDP("FNDE0502 Mtge","MTG_WAL")</f>
        <v>3.3389000000000002</v>
      </c>
      <c r="I3737" t="str">
        <f>_xll.BDP("FNDE0502 Mtge","MTG_ORIG_WAL")</f>
        <v>#N/A N/A</v>
      </c>
    </row>
    <row r="3738" spans="1:9" x14ac:dyDescent="0.25">
      <c r="A3738" t="str">
        <f>_xll.BDP("FNDE0506 Mtge","ID_CUSIP")</f>
        <v>3140BCR46</v>
      </c>
      <c r="B3738" t="str">
        <f>_xll.BDP("FNDE0506 Mtge","SECURITY_NAME")</f>
        <v>FN DE0506</v>
      </c>
      <c r="C3738" t="str">
        <f>_xll.BDP("FNDE0506 Mtge","GENERIC_TICKER_VINTAGE")</f>
        <v>FNCL 6 2025</v>
      </c>
      <c r="D3738" t="str">
        <f>_xll.BDP("FNDE0506 Mtge","CRNCY")</f>
        <v>USD</v>
      </c>
      <c r="E3738">
        <v>1816750</v>
      </c>
      <c r="F3738">
        <f>_xll.BDP("FNDE0506 Mtge","CPN")</f>
        <v>6</v>
      </c>
      <c r="G3738">
        <f>_xll.BDP("FNDE0506 Mtge","MTG_FACTOR")</f>
        <v>0.99229679000000004</v>
      </c>
      <c r="H3738">
        <f>_xll.BDP("FNDE0506 Mtge","MTG_WAL")</f>
        <v>3.3454999999999999</v>
      </c>
      <c r="I3738" t="str">
        <f>_xll.BDP("FNDE0506 Mtge","MTG_ORIG_WAL")</f>
        <v>#N/A N/A</v>
      </c>
    </row>
    <row r="3739" spans="1:9" x14ac:dyDescent="0.25">
      <c r="A3739" t="str">
        <f>_xll.BDP("FNDE0507 Mtge","ID_CUSIP")</f>
        <v>3140BCR53</v>
      </c>
      <c r="B3739" t="str">
        <f>_xll.BDP("FNDE0507 Mtge","SECURITY_NAME")</f>
        <v>FN DE0507</v>
      </c>
      <c r="C3739" t="str">
        <f>_xll.BDP("FNDE0507 Mtge","GENERIC_TICKER_VINTAGE")</f>
        <v>FNCL 6 2025</v>
      </c>
      <c r="D3739" t="str">
        <f>_xll.BDP("FNDE0507 Mtge","CRNCY")</f>
        <v>USD</v>
      </c>
      <c r="E3739">
        <v>1031550</v>
      </c>
      <c r="F3739">
        <f>_xll.BDP("FNDE0507 Mtge","CPN")</f>
        <v>6</v>
      </c>
      <c r="G3739">
        <f>_xll.BDP("FNDE0507 Mtge","MTG_FACTOR")</f>
        <v>0.88842235000000003</v>
      </c>
      <c r="H3739">
        <f>_xll.BDP("FNDE0507 Mtge","MTG_WAL")</f>
        <v>3.3378999999999999</v>
      </c>
      <c r="I3739" t="str">
        <f>_xll.BDP("FNDE0507 Mtge","MTG_ORIG_WAL")</f>
        <v>#N/A N/A</v>
      </c>
    </row>
    <row r="3740" spans="1:9" x14ac:dyDescent="0.25">
      <c r="A3740" t="str">
        <f>_xll.BDP("FNDE0511 Mtge","ID_CUSIP")</f>
        <v>3140BCR95</v>
      </c>
      <c r="B3740" t="str">
        <f>_xll.BDP("FNDE0511 Mtge","SECURITY_NAME")</f>
        <v>FN DE0511</v>
      </c>
      <c r="C3740" t="str">
        <f>_xll.BDP("FNDE0511 Mtge","GENERIC_TICKER_VINTAGE")</f>
        <v>FNCL 6 2025</v>
      </c>
      <c r="D3740" t="str">
        <f>_xll.BDP("FNDE0511 Mtge","CRNCY")</f>
        <v>USD</v>
      </c>
      <c r="E3740">
        <v>1108797</v>
      </c>
      <c r="F3740">
        <f>_xll.BDP("FNDE0511 Mtge","CPN")</f>
        <v>6</v>
      </c>
      <c r="G3740">
        <f>_xll.BDP("FNDE0511 Mtge","MTG_FACTOR")</f>
        <v>0.84869130999999998</v>
      </c>
      <c r="H3740">
        <f>_xll.BDP("FNDE0511 Mtge","MTG_WAL")</f>
        <v>3.3451</v>
      </c>
      <c r="I3740" t="str">
        <f>_xll.BDP("FNDE0511 Mtge","MTG_ORIG_WAL")</f>
        <v>#N/A N/A</v>
      </c>
    </row>
    <row r="3741" spans="1:9" x14ac:dyDescent="0.25">
      <c r="A3741" t="str">
        <f>_xll.BDP("FNDE0516 Mtge","ID_CUSIP")</f>
        <v>3140BCSE3</v>
      </c>
      <c r="B3741" t="str">
        <f>_xll.BDP("FNDE0516 Mtge","SECURITY_NAME")</f>
        <v>FN DE0516</v>
      </c>
      <c r="C3741" t="str">
        <f>_xll.BDP("FNDE0516 Mtge","GENERIC_TICKER_VINTAGE")</f>
        <v>FNCL 6 2025</v>
      </c>
      <c r="D3741" t="str">
        <f>_xll.BDP("FNDE0516 Mtge","CRNCY")</f>
        <v>USD</v>
      </c>
      <c r="E3741">
        <v>1404151</v>
      </c>
      <c r="F3741">
        <f>_xll.BDP("FNDE0516 Mtge","CPN")</f>
        <v>6</v>
      </c>
      <c r="G3741">
        <f>_xll.BDP("FNDE0516 Mtge","MTG_FACTOR")</f>
        <v>0.97061827000000001</v>
      </c>
      <c r="H3741">
        <f>_xll.BDP("FNDE0516 Mtge","MTG_WAL")</f>
        <v>3.3285999999999998</v>
      </c>
      <c r="I3741" t="str">
        <f>_xll.BDP("FNDE0516 Mtge","MTG_ORIG_WAL")</f>
        <v>#N/A N/A</v>
      </c>
    </row>
    <row r="3742" spans="1:9" x14ac:dyDescent="0.25">
      <c r="A3742" t="str">
        <f>_xll.BDP("FNDE0517 Mtge","ID_CUSIP")</f>
        <v>3140BCSF0</v>
      </c>
      <c r="B3742" t="str">
        <f>_xll.BDP("FNDE0517 Mtge","SECURITY_NAME")</f>
        <v>FN DE0517</v>
      </c>
      <c r="C3742" t="str">
        <f>_xll.BDP("FNDE0517 Mtge","GENERIC_TICKER_VINTAGE")</f>
        <v>FNCL 6 2025</v>
      </c>
      <c r="D3742" t="str">
        <f>_xll.BDP("FNDE0517 Mtge","CRNCY")</f>
        <v>USD</v>
      </c>
      <c r="E3742">
        <v>1362305</v>
      </c>
      <c r="F3742">
        <f>_xll.BDP("FNDE0517 Mtge","CPN")</f>
        <v>6</v>
      </c>
      <c r="G3742">
        <f>_xll.BDP("FNDE0517 Mtge","MTG_FACTOR")</f>
        <v>0.95416456999999999</v>
      </c>
      <c r="H3742">
        <f>_xll.BDP("FNDE0517 Mtge","MTG_WAL")</f>
        <v>3.3283</v>
      </c>
      <c r="I3742" t="str">
        <f>_xll.BDP("FNDE0517 Mtge","MTG_ORIG_WAL")</f>
        <v>#N/A N/A</v>
      </c>
    </row>
    <row r="3743" spans="1:9" x14ac:dyDescent="0.25">
      <c r="A3743" t="str">
        <f>_xll.BDP("FNDE0520 Mtge","ID_CUSIP")</f>
        <v>3140BCSJ2</v>
      </c>
      <c r="B3743" t="str">
        <f>_xll.BDP("FNDE0520 Mtge","SECURITY_NAME")</f>
        <v>FN DE0520</v>
      </c>
      <c r="C3743" t="str">
        <f>_xll.BDP("FNDE0520 Mtge","GENERIC_TICKER_VINTAGE")</f>
        <v>FNCL 6 2025</v>
      </c>
      <c r="D3743" t="str">
        <f>_xll.BDP("FNDE0520 Mtge","CRNCY")</f>
        <v>USD</v>
      </c>
      <c r="E3743">
        <v>1299150</v>
      </c>
      <c r="F3743">
        <f>_xll.BDP("FNDE0520 Mtge","CPN")</f>
        <v>6</v>
      </c>
      <c r="G3743">
        <f>_xll.BDP("FNDE0520 Mtge","MTG_FACTOR")</f>
        <v>0.99093545999999999</v>
      </c>
      <c r="H3743">
        <f>_xll.BDP("FNDE0520 Mtge","MTG_WAL")</f>
        <v>3.3443999999999998</v>
      </c>
      <c r="I3743" t="str">
        <f>_xll.BDP("FNDE0520 Mtge","MTG_ORIG_WAL")</f>
        <v>#N/A N/A</v>
      </c>
    </row>
    <row r="3744" spans="1:9" x14ac:dyDescent="0.25">
      <c r="A3744" t="str">
        <f>_xll.BDP("FNDE0521 Mtge","ID_CUSIP")</f>
        <v>3140BCSK9</v>
      </c>
      <c r="B3744" t="str">
        <f>_xll.BDP("FNDE0521 Mtge","SECURITY_NAME")</f>
        <v>FN DE0521</v>
      </c>
      <c r="C3744" t="str">
        <f>_xll.BDP("FNDE0521 Mtge","GENERIC_TICKER_VINTAGE")</f>
        <v>FNCL 6 2025</v>
      </c>
      <c r="D3744" t="str">
        <f>_xll.BDP("FNDE0521 Mtge","CRNCY")</f>
        <v>USD</v>
      </c>
      <c r="E3744">
        <v>1435670</v>
      </c>
      <c r="F3744">
        <f>_xll.BDP("FNDE0521 Mtge","CPN")</f>
        <v>6</v>
      </c>
      <c r="G3744">
        <f>_xll.BDP("FNDE0521 Mtge","MTG_FACTOR")</f>
        <v>0.98810626000000001</v>
      </c>
      <c r="H3744">
        <f>_xll.BDP("FNDE0521 Mtge","MTG_WAL")</f>
        <v>3.3426</v>
      </c>
      <c r="I3744" t="str">
        <f>_xll.BDP("FNDE0521 Mtge","MTG_ORIG_WAL")</f>
        <v>#N/A N/A</v>
      </c>
    </row>
    <row r="3745" spans="1:9" x14ac:dyDescent="0.25">
      <c r="A3745" t="str">
        <f>_xll.BDP("FNDE0529 Mtge","ID_CUSIP")</f>
        <v>3140BCST0</v>
      </c>
      <c r="B3745" t="str">
        <f>_xll.BDP("FNDE0529 Mtge","SECURITY_NAME")</f>
        <v>FN DE0529</v>
      </c>
      <c r="C3745" t="str">
        <f>_xll.BDP("FNDE0529 Mtge","GENERIC_TICKER_VINTAGE")</f>
        <v>FNCL 6 2025</v>
      </c>
      <c r="D3745" t="str">
        <f>_xll.BDP("FNDE0529 Mtge","CRNCY")</f>
        <v>USD</v>
      </c>
      <c r="E3745">
        <v>3269025</v>
      </c>
      <c r="F3745">
        <f>_xll.BDP("FNDE0529 Mtge","CPN")</f>
        <v>6</v>
      </c>
      <c r="G3745">
        <f>_xll.BDP("FNDE0529 Mtge","MTG_FACTOR")</f>
        <v>0.99201846000000005</v>
      </c>
      <c r="H3745">
        <f>_xll.BDP("FNDE0529 Mtge","MTG_WAL")</f>
        <v>3.3454000000000002</v>
      </c>
      <c r="I3745" t="str">
        <f>_xll.BDP("FNDE0529 Mtge","MTG_ORIG_WAL")</f>
        <v>#N/A N/A</v>
      </c>
    </row>
    <row r="3746" spans="1:9" x14ac:dyDescent="0.25">
      <c r="A3746" t="str">
        <f>_xll.BDP("FNDE0530 Mtge","ID_CUSIP")</f>
        <v>3140BCSU7</v>
      </c>
      <c r="B3746" t="str">
        <f>_xll.BDP("FNDE0530 Mtge","SECURITY_NAME")</f>
        <v>FN DE0530</v>
      </c>
      <c r="C3746" t="str">
        <f>_xll.BDP("FNDE0530 Mtge","GENERIC_TICKER_VINTAGE")</f>
        <v>FNCL 6 2025</v>
      </c>
      <c r="D3746" t="str">
        <f>_xll.BDP("FNDE0530 Mtge","CRNCY")</f>
        <v>USD</v>
      </c>
      <c r="E3746">
        <v>1069100</v>
      </c>
      <c r="F3746">
        <f>_xll.BDP("FNDE0530 Mtge","CPN")</f>
        <v>6</v>
      </c>
      <c r="G3746">
        <f>_xll.BDP("FNDE0530 Mtge","MTG_FACTOR")</f>
        <v>0.98625249999999998</v>
      </c>
      <c r="H3746">
        <f>_xll.BDP("FNDE0530 Mtge","MTG_WAL")</f>
        <v>3.3393999999999999</v>
      </c>
      <c r="I3746" t="str">
        <f>_xll.BDP("FNDE0530 Mtge","MTG_ORIG_WAL")</f>
        <v>#N/A N/A</v>
      </c>
    </row>
    <row r="3747" spans="1:9" x14ac:dyDescent="0.25">
      <c r="A3747" t="str">
        <f>_xll.BDP("FNDE0533 Mtge","ID_CUSIP")</f>
        <v>3140BCSX1</v>
      </c>
      <c r="B3747" t="str">
        <f>_xll.BDP("FNDE0533 Mtge","SECURITY_NAME")</f>
        <v>FN DE0533</v>
      </c>
      <c r="C3747" t="str">
        <f>_xll.BDP("FNDE0533 Mtge","GENERIC_TICKER_VINTAGE")</f>
        <v>FNCL 6 2025</v>
      </c>
      <c r="D3747" t="str">
        <f>_xll.BDP("FNDE0533 Mtge","CRNCY")</f>
        <v>USD</v>
      </c>
      <c r="E3747">
        <v>490600</v>
      </c>
      <c r="F3747">
        <f>_xll.BDP("FNDE0533 Mtge","CPN")</f>
        <v>5.99</v>
      </c>
      <c r="G3747">
        <f>_xll.BDP("FNDE0533 Mtge","MTG_FACTOR")</f>
        <v>0.99115204000000001</v>
      </c>
      <c r="H3747">
        <f>_xll.BDP("FNDE0533 Mtge","MTG_WAL")</f>
        <v>3.2926000000000002</v>
      </c>
      <c r="I3747" t="str">
        <f>_xll.BDP("FNDE0533 Mtge","MTG_ORIG_WAL")</f>
        <v>#N/A N/A</v>
      </c>
    </row>
    <row r="3748" spans="1:9" x14ac:dyDescent="0.25">
      <c r="A3748" t="str">
        <f>_xll.BDP("FNDE0608 Mtge","ID_CUSIP")</f>
        <v>3140BCVA7</v>
      </c>
      <c r="B3748" t="str">
        <f>_xll.BDP("FNDE0608 Mtge","SECURITY_NAME")</f>
        <v>FN DE0608</v>
      </c>
      <c r="C3748" t="str">
        <f>_xll.BDP("FNDE0608 Mtge","GENERIC_TICKER_VINTAGE")</f>
        <v>FNCL 6 2025</v>
      </c>
      <c r="D3748" t="str">
        <f>_xll.BDP("FNDE0608 Mtge","CRNCY")</f>
        <v>USD</v>
      </c>
      <c r="E3748">
        <v>6353579</v>
      </c>
      <c r="F3748">
        <f>_xll.BDP("FNDE0608 Mtge","CPN")</f>
        <v>6</v>
      </c>
      <c r="G3748">
        <f>_xll.BDP("FNDE0608 Mtge","MTG_FACTOR")</f>
        <v>0.88418604999999995</v>
      </c>
      <c r="H3748">
        <f>_xll.BDP("FNDE0608 Mtge","MTG_WAL")</f>
        <v>3.2875000000000001</v>
      </c>
      <c r="I3748" t="str">
        <f>_xll.BDP("FNDE0608 Mtge","MTG_ORIG_WAL")</f>
        <v>#N/A N/A</v>
      </c>
    </row>
    <row r="3749" spans="1:9" x14ac:dyDescent="0.25">
      <c r="A3749" t="str">
        <f>_xll.BDP("FNDE0609 Mtge","ID_CUSIP")</f>
        <v>3140BCVB5</v>
      </c>
      <c r="B3749" t="str">
        <f>_xll.BDP("FNDE0609 Mtge","SECURITY_NAME")</f>
        <v>FN DE0609</v>
      </c>
      <c r="C3749" t="str">
        <f>_xll.BDP("FNDE0609 Mtge","GENERIC_TICKER_VINTAGE")</f>
        <v>FNCL 6 2025</v>
      </c>
      <c r="D3749" t="str">
        <f>_xll.BDP("FNDE0609 Mtge","CRNCY")</f>
        <v>USD</v>
      </c>
      <c r="E3749">
        <v>9426305</v>
      </c>
      <c r="F3749">
        <f>_xll.BDP("FNDE0609 Mtge","CPN")</f>
        <v>6</v>
      </c>
      <c r="G3749">
        <f>_xll.BDP("FNDE0609 Mtge","MTG_FACTOR")</f>
        <v>0.88590776999999998</v>
      </c>
      <c r="H3749">
        <f>_xll.BDP("FNDE0609 Mtge","MTG_WAL")</f>
        <v>3.2909000000000002</v>
      </c>
      <c r="I3749" t="str">
        <f>_xll.BDP("FNDE0609 Mtge","MTG_ORIG_WAL")</f>
        <v>#N/A N/A</v>
      </c>
    </row>
    <row r="3750" spans="1:9" x14ac:dyDescent="0.25">
      <c r="A3750" t="str">
        <f>_xll.BDP("FNDE0610 Mtge","ID_CUSIP")</f>
        <v>3140BCVC3</v>
      </c>
      <c r="B3750" t="str">
        <f>_xll.BDP("FNDE0610 Mtge","SECURITY_NAME")</f>
        <v>FN DE0610</v>
      </c>
      <c r="C3750" t="str">
        <f>_xll.BDP("FNDE0610 Mtge","GENERIC_TICKER_VINTAGE")</f>
        <v>FNCL 6 2025</v>
      </c>
      <c r="D3750" t="str">
        <f>_xll.BDP("FNDE0610 Mtge","CRNCY")</f>
        <v>USD</v>
      </c>
      <c r="E3750">
        <v>6777214</v>
      </c>
      <c r="F3750">
        <f>_xll.BDP("FNDE0610 Mtge","CPN")</f>
        <v>6</v>
      </c>
      <c r="G3750">
        <f>_xll.BDP("FNDE0610 Mtge","MTG_FACTOR")</f>
        <v>0.88004424999999997</v>
      </c>
      <c r="H3750">
        <f>_xll.BDP("FNDE0610 Mtge","MTG_WAL")</f>
        <v>3.2884000000000002</v>
      </c>
      <c r="I3750" t="str">
        <f>_xll.BDP("FNDE0610 Mtge","MTG_ORIG_WAL")</f>
        <v>#N/A N/A</v>
      </c>
    </row>
    <row r="3751" spans="1:9" x14ac:dyDescent="0.25">
      <c r="A3751" t="str">
        <f>_xll.BDP("FNDE0612 Mtge","ID_CUSIP")</f>
        <v>3140BCVE9</v>
      </c>
      <c r="B3751" t="str">
        <f>_xll.BDP("FNDE0612 Mtge","SECURITY_NAME")</f>
        <v>FN DE0612</v>
      </c>
      <c r="C3751" t="str">
        <f>_xll.BDP("FNDE0612 Mtge","GENERIC_TICKER_VINTAGE")</f>
        <v>FNCL 6 2025</v>
      </c>
      <c r="D3751" t="str">
        <f>_xll.BDP("FNDE0612 Mtge","CRNCY")</f>
        <v>USD</v>
      </c>
      <c r="E3751">
        <v>7933588</v>
      </c>
      <c r="F3751">
        <f>_xll.BDP("FNDE0612 Mtge","CPN")</f>
        <v>6</v>
      </c>
      <c r="G3751">
        <f>_xll.BDP("FNDE0612 Mtge","MTG_FACTOR")</f>
        <v>0.90236525000000001</v>
      </c>
      <c r="H3751">
        <f>_xll.BDP("FNDE0612 Mtge","MTG_WAL")</f>
        <v>3.2906</v>
      </c>
      <c r="I3751" t="str">
        <f>_xll.BDP("FNDE0612 Mtge","MTG_ORIG_WAL")</f>
        <v>#N/A N/A</v>
      </c>
    </row>
    <row r="3752" spans="1:9" x14ac:dyDescent="0.25">
      <c r="A3752" t="str">
        <f>_xll.BDP("FNDE0613 Mtge","ID_CUSIP")</f>
        <v>3140BCVF6</v>
      </c>
      <c r="B3752" t="str">
        <f>_xll.BDP("FNDE0613 Mtge","SECURITY_NAME")</f>
        <v>FN DE0613</v>
      </c>
      <c r="C3752" t="str">
        <f>_xll.BDP("FNDE0613 Mtge","GENERIC_TICKER_VINTAGE")</f>
        <v>FNCL 6 2025</v>
      </c>
      <c r="D3752" t="str">
        <f>_xll.BDP("FNDE0613 Mtge","CRNCY")</f>
        <v>USD</v>
      </c>
      <c r="E3752">
        <v>11334659</v>
      </c>
      <c r="F3752">
        <f>_xll.BDP("FNDE0613 Mtge","CPN")</f>
        <v>6</v>
      </c>
      <c r="G3752">
        <f>_xll.BDP("FNDE0613 Mtge","MTG_FACTOR")</f>
        <v>0.88669242999999998</v>
      </c>
      <c r="H3752">
        <f>_xll.BDP("FNDE0613 Mtge","MTG_WAL")</f>
        <v>3.2925</v>
      </c>
      <c r="I3752" t="str">
        <f>_xll.BDP("FNDE0613 Mtge","MTG_ORIG_WAL")</f>
        <v>#N/A N/A</v>
      </c>
    </row>
    <row r="3753" spans="1:9" x14ac:dyDescent="0.25">
      <c r="A3753" t="str">
        <f>_xll.BDP("FNDE0614 Mtge","ID_CUSIP")</f>
        <v>3140BCVG4</v>
      </c>
      <c r="B3753" t="str">
        <f>_xll.BDP("FNDE0614 Mtge","SECURITY_NAME")</f>
        <v>FN DE0614</v>
      </c>
      <c r="C3753" t="str">
        <f>_xll.BDP("FNDE0614 Mtge","GENERIC_TICKER_VINTAGE")</f>
        <v>FNCL 6 2025</v>
      </c>
      <c r="D3753" t="str">
        <f>_xll.BDP("FNDE0614 Mtge","CRNCY")</f>
        <v>USD</v>
      </c>
      <c r="E3753">
        <v>28075995</v>
      </c>
      <c r="F3753">
        <f>_xll.BDP("FNDE0614 Mtge","CPN")</f>
        <v>6</v>
      </c>
      <c r="G3753">
        <f>_xll.BDP("FNDE0614 Mtge","MTG_FACTOR")</f>
        <v>0.90657719999999997</v>
      </c>
      <c r="H3753">
        <f>_xll.BDP("FNDE0614 Mtge","MTG_WAL")</f>
        <v>3.2894999999999999</v>
      </c>
      <c r="I3753" t="str">
        <f>_xll.BDP("FNDE0614 Mtge","MTG_ORIG_WAL")</f>
        <v>#N/A N/A</v>
      </c>
    </row>
    <row r="3754" spans="1:9" x14ac:dyDescent="0.25">
      <c r="A3754" t="str">
        <f>_xll.BDP("FNDE0616 Mtge","ID_CUSIP")</f>
        <v>3140BCVJ8</v>
      </c>
      <c r="B3754" t="str">
        <f>_xll.BDP("FNDE0616 Mtge","SECURITY_NAME")</f>
        <v>FN DE0616</v>
      </c>
      <c r="C3754" t="str">
        <f>_xll.BDP("FNDE0616 Mtge","GENERIC_TICKER_VINTAGE")</f>
        <v>FNCL 6 2025</v>
      </c>
      <c r="D3754" t="str">
        <f>_xll.BDP("FNDE0616 Mtge","CRNCY")</f>
        <v>USD</v>
      </c>
      <c r="E3754">
        <v>4648634</v>
      </c>
      <c r="F3754">
        <f>_xll.BDP("FNDE0616 Mtge","CPN")</f>
        <v>6</v>
      </c>
      <c r="G3754">
        <f>_xll.BDP("FNDE0616 Mtge","MTG_FACTOR")</f>
        <v>0.98901897000000005</v>
      </c>
      <c r="H3754">
        <f>_xll.BDP("FNDE0616 Mtge","MTG_WAL")</f>
        <v>3.2827000000000002</v>
      </c>
      <c r="I3754" t="str">
        <f>_xll.BDP("FNDE0616 Mtge","MTG_ORIG_WAL")</f>
        <v>#N/A N/A</v>
      </c>
    </row>
    <row r="3755" spans="1:9" x14ac:dyDescent="0.25">
      <c r="A3755" t="str">
        <f>_xll.BDP("FNDE0617 Mtge","ID_CUSIP")</f>
        <v>3140BCVK5</v>
      </c>
      <c r="B3755" t="str">
        <f>_xll.BDP("FNDE0617 Mtge","SECURITY_NAME")</f>
        <v>FN DE0617</v>
      </c>
      <c r="C3755" t="str">
        <f>_xll.BDP("FNDE0617 Mtge","GENERIC_TICKER_VINTAGE")</f>
        <v>FNCL 6 2025</v>
      </c>
      <c r="D3755" t="str">
        <f>_xll.BDP("FNDE0617 Mtge","CRNCY")</f>
        <v>USD</v>
      </c>
      <c r="E3755">
        <v>1601800</v>
      </c>
      <c r="F3755">
        <f>_xll.BDP("FNDE0617 Mtge","CPN")</f>
        <v>6</v>
      </c>
      <c r="G3755">
        <f>_xll.BDP("FNDE0617 Mtge","MTG_FACTOR")</f>
        <v>0.79607503000000002</v>
      </c>
      <c r="H3755">
        <f>_xll.BDP("FNDE0617 Mtge","MTG_WAL")</f>
        <v>3.2246999999999999</v>
      </c>
      <c r="I3755" t="str">
        <f>_xll.BDP("FNDE0617 Mtge","MTG_ORIG_WAL")</f>
        <v>#N/A N/A</v>
      </c>
    </row>
    <row r="3756" spans="1:9" x14ac:dyDescent="0.25">
      <c r="A3756" t="str">
        <f>_xll.BDP("FNDE0619 Mtge","ID_CUSIP")</f>
        <v>3140BCVM1</v>
      </c>
      <c r="B3756" t="str">
        <f>_xll.BDP("FNDE0619 Mtge","SECURITY_NAME")</f>
        <v>FN DE0619</v>
      </c>
      <c r="C3756" t="str">
        <f>_xll.BDP("FNDE0619 Mtge","GENERIC_TICKER_VINTAGE")</f>
        <v>FNCL 6 2025</v>
      </c>
      <c r="D3756" t="str">
        <f>_xll.BDP("FNDE0619 Mtge","CRNCY")</f>
        <v>USD</v>
      </c>
      <c r="E3756">
        <v>1656534</v>
      </c>
      <c r="F3756">
        <f>_xll.BDP("FNDE0619 Mtge","CPN")</f>
        <v>6</v>
      </c>
      <c r="G3756">
        <f>_xll.BDP("FNDE0619 Mtge","MTG_FACTOR")</f>
        <v>0.98914424000000001</v>
      </c>
      <c r="H3756">
        <f>_xll.BDP("FNDE0619 Mtge","MTG_WAL")</f>
        <v>3.2905000000000002</v>
      </c>
      <c r="I3756" t="str">
        <f>_xll.BDP("FNDE0619 Mtge","MTG_ORIG_WAL")</f>
        <v>#N/A N/A</v>
      </c>
    </row>
    <row r="3757" spans="1:9" x14ac:dyDescent="0.25">
      <c r="A3757" t="str">
        <f>_xll.BDP("FNDE0621 Mtge","ID_CUSIP")</f>
        <v>3140BCVP4</v>
      </c>
      <c r="B3757" t="str">
        <f>_xll.BDP("FNDE0621 Mtge","SECURITY_NAME")</f>
        <v>FN DE0621</v>
      </c>
      <c r="C3757" t="str">
        <f>_xll.BDP("FNDE0621 Mtge","GENERIC_TICKER_VINTAGE")</f>
        <v>FNCL 6 2025</v>
      </c>
      <c r="D3757" t="str">
        <f>_xll.BDP("FNDE0621 Mtge","CRNCY")</f>
        <v>USD</v>
      </c>
      <c r="E3757">
        <v>89079927</v>
      </c>
      <c r="F3757">
        <f>_xll.BDP("FNDE0621 Mtge","CPN")</f>
        <v>6</v>
      </c>
      <c r="G3757">
        <f>_xll.BDP("FNDE0621 Mtge","MTG_FACTOR")</f>
        <v>0.85081494999999996</v>
      </c>
      <c r="H3757">
        <f>_xll.BDP("FNDE0621 Mtge","MTG_WAL")</f>
        <v>3.2911999999999999</v>
      </c>
      <c r="I3757" t="str">
        <f>_xll.BDP("FNDE0621 Mtge","MTG_ORIG_WAL")</f>
        <v>#N/A N/A</v>
      </c>
    </row>
    <row r="3758" spans="1:9" x14ac:dyDescent="0.25">
      <c r="A3758" t="str">
        <f>_xll.BDP("FNDE0622 Mtge","ID_CUSIP")</f>
        <v>3140BCVQ2</v>
      </c>
      <c r="B3758" t="str">
        <f>_xll.BDP("FNDE0622 Mtge","SECURITY_NAME")</f>
        <v>FN DE0622</v>
      </c>
      <c r="C3758" t="str">
        <f>_xll.BDP("FNDE0622 Mtge","GENERIC_TICKER_VINTAGE")</f>
        <v>FNCL 6 2025</v>
      </c>
      <c r="D3758" t="str">
        <f>_xll.BDP("FNDE0622 Mtge","CRNCY")</f>
        <v>USD</v>
      </c>
      <c r="E3758">
        <v>11505426</v>
      </c>
      <c r="F3758">
        <f>_xll.BDP("FNDE0622 Mtge","CPN")</f>
        <v>6</v>
      </c>
      <c r="G3758">
        <f>_xll.BDP("FNDE0622 Mtge","MTG_FACTOR")</f>
        <v>0.95033091000000003</v>
      </c>
      <c r="H3758">
        <f>_xll.BDP("FNDE0622 Mtge","MTG_WAL")</f>
        <v>3.2888000000000002</v>
      </c>
      <c r="I3758" t="str">
        <f>_xll.BDP("FNDE0622 Mtge","MTG_ORIG_WAL")</f>
        <v>#N/A N/A</v>
      </c>
    </row>
    <row r="3759" spans="1:9" x14ac:dyDescent="0.25">
      <c r="A3759" t="str">
        <f>_xll.BDP("FNDE0623 Mtge","ID_CUSIP")</f>
        <v>3140BCVR0</v>
      </c>
      <c r="B3759" t="str">
        <f>_xll.BDP("FNDE0623 Mtge","SECURITY_NAME")</f>
        <v>FN DE0623</v>
      </c>
      <c r="C3759" t="str">
        <f>_xll.BDP("FNDE0623 Mtge","GENERIC_TICKER_VINTAGE")</f>
        <v>FNCL 6 2025</v>
      </c>
      <c r="D3759" t="str">
        <f>_xll.BDP("FNDE0623 Mtge","CRNCY")</f>
        <v>USD</v>
      </c>
      <c r="E3759">
        <v>11392984</v>
      </c>
      <c r="F3759">
        <f>_xll.BDP("FNDE0623 Mtge","CPN")</f>
        <v>6</v>
      </c>
      <c r="G3759">
        <f>_xll.BDP("FNDE0623 Mtge","MTG_FACTOR")</f>
        <v>0.98765508000000002</v>
      </c>
      <c r="H3759">
        <f>_xll.BDP("FNDE0623 Mtge","MTG_WAL")</f>
        <v>3.2913999999999999</v>
      </c>
      <c r="I3759" t="str">
        <f>_xll.BDP("FNDE0623 Mtge","MTG_ORIG_WAL")</f>
        <v>#N/A N/A</v>
      </c>
    </row>
    <row r="3760" spans="1:9" x14ac:dyDescent="0.25">
      <c r="A3760" t="str">
        <f>_xll.BDP("FNDE0624 Mtge","ID_CUSIP")</f>
        <v>3140BCVS8</v>
      </c>
      <c r="B3760" t="str">
        <f>_xll.BDP("FNDE0624 Mtge","SECURITY_NAME")</f>
        <v>FN DE0624</v>
      </c>
      <c r="C3760" t="str">
        <f>_xll.BDP("FNDE0624 Mtge","GENERIC_TICKER_VINTAGE")</f>
        <v>FNCL 6 2025</v>
      </c>
      <c r="D3760" t="str">
        <f>_xll.BDP("FNDE0624 Mtge","CRNCY")</f>
        <v>USD</v>
      </c>
      <c r="E3760">
        <v>8369396</v>
      </c>
      <c r="F3760">
        <f>_xll.BDP("FNDE0624 Mtge","CPN")</f>
        <v>6</v>
      </c>
      <c r="G3760">
        <f>_xll.BDP("FNDE0624 Mtge","MTG_FACTOR")</f>
        <v>0.82399761999999999</v>
      </c>
      <c r="H3760">
        <f>_xll.BDP("FNDE0624 Mtge","MTG_WAL")</f>
        <v>3.2875000000000001</v>
      </c>
      <c r="I3760" t="str">
        <f>_xll.BDP("FNDE0624 Mtge","MTG_ORIG_WAL")</f>
        <v>#N/A N/A</v>
      </c>
    </row>
    <row r="3761" spans="1:9" x14ac:dyDescent="0.25">
      <c r="A3761" t="str">
        <f>_xll.BDP("FNDE0625 Mtge","ID_CUSIP")</f>
        <v>3140BCVT6</v>
      </c>
      <c r="B3761" t="str">
        <f>_xll.BDP("FNDE0625 Mtge","SECURITY_NAME")</f>
        <v>FN DE0625</v>
      </c>
      <c r="C3761" t="str">
        <f>_xll.BDP("FNDE0625 Mtge","GENERIC_TICKER_VINTAGE")</f>
        <v>FNCL 6 2025</v>
      </c>
      <c r="D3761" t="str">
        <f>_xll.BDP("FNDE0625 Mtge","CRNCY")</f>
        <v>USD</v>
      </c>
      <c r="E3761">
        <v>6569215</v>
      </c>
      <c r="F3761">
        <f>_xll.BDP("FNDE0625 Mtge","CPN")</f>
        <v>6</v>
      </c>
      <c r="G3761">
        <f>_xll.BDP("FNDE0625 Mtge","MTG_FACTOR")</f>
        <v>0.83481879999999997</v>
      </c>
      <c r="H3761">
        <f>_xll.BDP("FNDE0625 Mtge","MTG_WAL")</f>
        <v>3.2673000000000001</v>
      </c>
      <c r="I3761" t="str">
        <f>_xll.BDP("FNDE0625 Mtge","MTG_ORIG_WAL")</f>
        <v>#N/A N/A</v>
      </c>
    </row>
    <row r="3762" spans="1:9" x14ac:dyDescent="0.25">
      <c r="A3762" t="str">
        <f>_xll.BDP("FNDE0626 Mtge","ID_CUSIP")</f>
        <v>3140BCVU3</v>
      </c>
      <c r="B3762" t="str">
        <f>_xll.BDP("FNDE0626 Mtge","SECURITY_NAME")</f>
        <v>FN DE0626</v>
      </c>
      <c r="C3762" t="str">
        <f>_xll.BDP("FNDE0626 Mtge","GENERIC_TICKER_VINTAGE")</f>
        <v>FNCL 6 2025</v>
      </c>
      <c r="D3762" t="str">
        <f>_xll.BDP("FNDE0626 Mtge","CRNCY")</f>
        <v>USD</v>
      </c>
      <c r="E3762">
        <v>8881009</v>
      </c>
      <c r="F3762">
        <f>_xll.BDP("FNDE0626 Mtge","CPN")</f>
        <v>6</v>
      </c>
      <c r="G3762">
        <f>_xll.BDP("FNDE0626 Mtge","MTG_FACTOR")</f>
        <v>0.88957945000000005</v>
      </c>
      <c r="H3762">
        <f>_xll.BDP("FNDE0626 Mtge","MTG_WAL")</f>
        <v>3.2723</v>
      </c>
      <c r="I3762" t="str">
        <f>_xll.BDP("FNDE0626 Mtge","MTG_ORIG_WAL")</f>
        <v>#N/A N/A</v>
      </c>
    </row>
    <row r="3763" spans="1:9" x14ac:dyDescent="0.25">
      <c r="A3763" t="str">
        <f>_xll.BDP("FNDE0628 Mtge","ID_CUSIP")</f>
        <v>3140BCVW9</v>
      </c>
      <c r="B3763" t="str">
        <f>_xll.BDP("FNDE0628 Mtge","SECURITY_NAME")</f>
        <v>FN DE0628</v>
      </c>
      <c r="C3763" t="str">
        <f>_xll.BDP("FNDE0628 Mtge","GENERIC_TICKER_VINTAGE")</f>
        <v>FNCL 6 2025</v>
      </c>
      <c r="D3763" t="str">
        <f>_xll.BDP("FNDE0628 Mtge","CRNCY")</f>
        <v>USD</v>
      </c>
      <c r="E3763">
        <v>1375500</v>
      </c>
      <c r="F3763">
        <f>_xll.BDP("FNDE0628 Mtge","CPN")</f>
        <v>6</v>
      </c>
      <c r="G3763">
        <f>_xll.BDP("FNDE0628 Mtge","MTG_FACTOR")</f>
        <v>0.77783641999999997</v>
      </c>
      <c r="H3763">
        <f>_xll.BDP("FNDE0628 Mtge","MTG_WAL")</f>
        <v>3.2852000000000001</v>
      </c>
      <c r="I3763" t="str">
        <f>_xll.BDP("FNDE0628 Mtge","MTG_ORIG_WAL")</f>
        <v>#N/A N/A</v>
      </c>
    </row>
    <row r="3764" spans="1:9" x14ac:dyDescent="0.25">
      <c r="A3764" t="str">
        <f>_xll.BDP("FNDE0631 Mtge","ID_CUSIP")</f>
        <v>3140BCVZ2</v>
      </c>
      <c r="B3764" t="str">
        <f>_xll.BDP("FNDE0631 Mtge","SECURITY_NAME")</f>
        <v>FN DE0631</v>
      </c>
      <c r="C3764" t="str">
        <f>_xll.BDP("FNDE0631 Mtge","GENERIC_TICKER_VINTAGE")</f>
        <v>FNCL 6 2025</v>
      </c>
      <c r="D3764" t="str">
        <f>_xll.BDP("FNDE0631 Mtge","CRNCY")</f>
        <v>USD</v>
      </c>
      <c r="E3764">
        <v>2199940</v>
      </c>
      <c r="F3764">
        <f>_xll.BDP("FNDE0631 Mtge","CPN")</f>
        <v>6</v>
      </c>
      <c r="G3764">
        <f>_xll.BDP("FNDE0631 Mtge","MTG_FACTOR")</f>
        <v>0.84886850000000003</v>
      </c>
      <c r="H3764">
        <f>_xll.BDP("FNDE0631 Mtge","MTG_WAL")</f>
        <v>3.2959000000000001</v>
      </c>
      <c r="I3764" t="str">
        <f>_xll.BDP("FNDE0631 Mtge","MTG_ORIG_WAL")</f>
        <v>#N/A N/A</v>
      </c>
    </row>
    <row r="3765" spans="1:9" x14ac:dyDescent="0.25">
      <c r="A3765" t="str">
        <f>_xll.BDP("FNDE0632 Mtge","ID_CUSIP")</f>
        <v>3140BCV25</v>
      </c>
      <c r="B3765" t="str">
        <f>_xll.BDP("FNDE0632 Mtge","SECURITY_NAME")</f>
        <v>FN DE0632</v>
      </c>
      <c r="C3765" t="str">
        <f>_xll.BDP("FNDE0632 Mtge","GENERIC_TICKER_VINTAGE")</f>
        <v>FNCL 6 2025</v>
      </c>
      <c r="D3765" t="str">
        <f>_xll.BDP("FNDE0632 Mtge","CRNCY")</f>
        <v>USD</v>
      </c>
      <c r="E3765">
        <v>10459451</v>
      </c>
      <c r="F3765">
        <f>_xll.BDP("FNDE0632 Mtge","CPN")</f>
        <v>6</v>
      </c>
      <c r="G3765">
        <f>_xll.BDP("FNDE0632 Mtge","MTG_FACTOR")</f>
        <v>0.85465000999999996</v>
      </c>
      <c r="H3765">
        <f>_xll.BDP("FNDE0632 Mtge","MTG_WAL")</f>
        <v>3.2787000000000002</v>
      </c>
      <c r="I3765" t="str">
        <f>_xll.BDP("FNDE0632 Mtge","MTG_ORIG_WAL")</f>
        <v>#N/A N/A</v>
      </c>
    </row>
    <row r="3766" spans="1:9" x14ac:dyDescent="0.25">
      <c r="A3766" t="str">
        <f>_xll.BDP("FNDE0637 Mtge","ID_CUSIP")</f>
        <v>3140BCV74</v>
      </c>
      <c r="B3766" t="str">
        <f>_xll.BDP("FNDE0637 Mtge","SECURITY_NAME")</f>
        <v>FN DE0637</v>
      </c>
      <c r="C3766" t="str">
        <f>_xll.BDP("FNDE0637 Mtge","GENERIC_TICKER_VINTAGE")</f>
        <v>FNCL 6 2025</v>
      </c>
      <c r="D3766" t="str">
        <f>_xll.BDP("FNDE0637 Mtge","CRNCY")</f>
        <v>USD</v>
      </c>
      <c r="E3766">
        <v>2243800</v>
      </c>
      <c r="F3766">
        <f>_xll.BDP("FNDE0637 Mtge","CPN")</f>
        <v>6</v>
      </c>
      <c r="G3766">
        <f>_xll.BDP("FNDE0637 Mtge","MTG_FACTOR")</f>
        <v>0.97984822000000005</v>
      </c>
      <c r="H3766">
        <f>_xll.BDP("FNDE0637 Mtge","MTG_WAL")</f>
        <v>3.2869999999999999</v>
      </c>
      <c r="I3766" t="str">
        <f>_xll.BDP("FNDE0637 Mtge","MTG_ORIG_WAL")</f>
        <v>#N/A N/A</v>
      </c>
    </row>
    <row r="3767" spans="1:9" x14ac:dyDescent="0.25">
      <c r="A3767" t="str">
        <f>_xll.BDP("FNDE0644 Mtge","ID_CUSIP")</f>
        <v>3140BCWE8</v>
      </c>
      <c r="B3767" t="str">
        <f>_xll.BDP("FNDE0644 Mtge","SECURITY_NAME")</f>
        <v>FN DE0644</v>
      </c>
      <c r="C3767" t="str">
        <f>_xll.BDP("FNDE0644 Mtge","GENERIC_TICKER_VINTAGE")</f>
        <v>FNCL 6 2025</v>
      </c>
      <c r="D3767" t="str">
        <f>_xll.BDP("FNDE0644 Mtge","CRNCY")</f>
        <v>USD</v>
      </c>
      <c r="E3767">
        <v>1424263</v>
      </c>
      <c r="F3767">
        <f>_xll.BDP("FNDE0644 Mtge","CPN")</f>
        <v>6</v>
      </c>
      <c r="G3767">
        <f>_xll.BDP("FNDE0644 Mtge","MTG_FACTOR")</f>
        <v>0.99042821999999997</v>
      </c>
      <c r="H3767">
        <f>_xll.BDP("FNDE0644 Mtge","MTG_WAL")</f>
        <v>3.2461000000000002</v>
      </c>
      <c r="I3767" t="str">
        <f>_xll.BDP("FNDE0644 Mtge","MTG_ORIG_WAL")</f>
        <v>#N/A N/A</v>
      </c>
    </row>
    <row r="3768" spans="1:9" x14ac:dyDescent="0.25">
      <c r="A3768" t="str">
        <f>_xll.BDP("FNDE0661 Mtge","ID_CUSIP")</f>
        <v>3140BCWX6</v>
      </c>
      <c r="B3768" t="str">
        <f>_xll.BDP("FNDE0661 Mtge","SECURITY_NAME")</f>
        <v>FN DE0661</v>
      </c>
      <c r="C3768" t="str">
        <f>_xll.BDP("FNDE0661 Mtge","GENERIC_TICKER_VINTAGE")</f>
        <v>FNCL 6 2025</v>
      </c>
      <c r="D3768" t="str">
        <f>_xll.BDP("FNDE0661 Mtge","CRNCY")</f>
        <v>USD</v>
      </c>
      <c r="E3768">
        <v>1380314</v>
      </c>
      <c r="F3768">
        <f>_xll.BDP("FNDE0661 Mtge","CPN")</f>
        <v>6</v>
      </c>
      <c r="G3768">
        <f>_xll.BDP("FNDE0661 Mtge","MTG_FACTOR")</f>
        <v>0.99105301000000001</v>
      </c>
      <c r="H3768">
        <f>_xll.BDP("FNDE0661 Mtge","MTG_WAL")</f>
        <v>3.2507999999999999</v>
      </c>
      <c r="I3768" t="str">
        <f>_xll.BDP("FNDE0661 Mtge","MTG_ORIG_WAL")</f>
        <v>#N/A N/A</v>
      </c>
    </row>
    <row r="3769" spans="1:9" x14ac:dyDescent="0.25">
      <c r="A3769" t="str">
        <f>_xll.BDP("FNDE0665 Mtge","ID_CUSIP")</f>
        <v>3140BCW32</v>
      </c>
      <c r="B3769" t="str">
        <f>_xll.BDP("FNDE0665 Mtge","SECURITY_NAME")</f>
        <v>FN DE0665</v>
      </c>
      <c r="C3769" t="str">
        <f>_xll.BDP("FNDE0665 Mtge","GENERIC_TICKER_VINTAGE")</f>
        <v>FNCL 6 2025</v>
      </c>
      <c r="D3769" t="str">
        <f>_xll.BDP("FNDE0665 Mtge","CRNCY")</f>
        <v>USD</v>
      </c>
      <c r="E3769">
        <v>1268624</v>
      </c>
      <c r="F3769">
        <f>_xll.BDP("FNDE0665 Mtge","CPN")</f>
        <v>6</v>
      </c>
      <c r="G3769">
        <f>_xll.BDP("FNDE0665 Mtge","MTG_FACTOR")</f>
        <v>0.98798370999999996</v>
      </c>
      <c r="H3769">
        <f>_xll.BDP("FNDE0665 Mtge","MTG_WAL")</f>
        <v>3.2433000000000001</v>
      </c>
      <c r="I3769" t="str">
        <f>_xll.BDP("FNDE0665 Mtge","MTG_ORIG_WAL")</f>
        <v>#N/A N/A</v>
      </c>
    </row>
    <row r="3770" spans="1:9" x14ac:dyDescent="0.25">
      <c r="A3770" t="str">
        <f>_xll.BDP("FNDE0669 Mtge","ID_CUSIP")</f>
        <v>3140BCW73</v>
      </c>
      <c r="B3770" t="str">
        <f>_xll.BDP("FNDE0669 Mtge","SECURITY_NAME")</f>
        <v>FN DE0669</v>
      </c>
      <c r="C3770" t="str">
        <f>_xll.BDP("FNDE0669 Mtge","GENERIC_TICKER_VINTAGE")</f>
        <v>FNCL 6 2025</v>
      </c>
      <c r="D3770" t="str">
        <f>_xll.BDP("FNDE0669 Mtge","CRNCY")</f>
        <v>USD</v>
      </c>
      <c r="E3770">
        <v>4490550</v>
      </c>
      <c r="F3770">
        <f>_xll.BDP("FNDE0669 Mtge","CPN")</f>
        <v>6</v>
      </c>
      <c r="G3770">
        <f>_xll.BDP("FNDE0669 Mtge","MTG_FACTOR")</f>
        <v>0.98970902999999999</v>
      </c>
      <c r="H3770">
        <f>_xll.BDP("FNDE0669 Mtge","MTG_WAL")</f>
        <v>3.2938000000000001</v>
      </c>
      <c r="I3770" t="str">
        <f>_xll.BDP("FNDE0669 Mtge","MTG_ORIG_WAL")</f>
        <v>#N/A N/A</v>
      </c>
    </row>
    <row r="3771" spans="1:9" x14ac:dyDescent="0.25">
      <c r="A3771" t="str">
        <f>_xll.BDP("FNDE0670 Mtge","ID_CUSIP")</f>
        <v>3140BCW81</v>
      </c>
      <c r="B3771" t="str">
        <f>_xll.BDP("FNDE0670 Mtge","SECURITY_NAME")</f>
        <v>FN DE0670</v>
      </c>
      <c r="C3771" t="str">
        <f>_xll.BDP("FNDE0670 Mtge","GENERIC_TICKER_VINTAGE")</f>
        <v>FNCL 6 2025</v>
      </c>
      <c r="D3771" t="str">
        <f>_xll.BDP("FNDE0670 Mtge","CRNCY")</f>
        <v>USD</v>
      </c>
      <c r="E3771">
        <v>3215511</v>
      </c>
      <c r="F3771">
        <f>_xll.BDP("FNDE0670 Mtge","CPN")</f>
        <v>6</v>
      </c>
      <c r="G3771">
        <f>_xll.BDP("FNDE0670 Mtge","MTG_FACTOR")</f>
        <v>0.89828419999999998</v>
      </c>
      <c r="H3771">
        <f>_xll.BDP("FNDE0670 Mtge","MTG_WAL")</f>
        <v>3.2898999999999998</v>
      </c>
      <c r="I3771" t="str">
        <f>_xll.BDP("FNDE0670 Mtge","MTG_ORIG_WAL")</f>
        <v>#N/A N/A</v>
      </c>
    </row>
    <row r="3772" spans="1:9" x14ac:dyDescent="0.25">
      <c r="A3772" t="str">
        <f>_xll.BDP("FNDE0671 Mtge","ID_CUSIP")</f>
        <v>3140BCW99</v>
      </c>
      <c r="B3772" t="str">
        <f>_xll.BDP("FNDE0671 Mtge","SECURITY_NAME")</f>
        <v>FN DE0671</v>
      </c>
      <c r="C3772" t="str">
        <f>_xll.BDP("FNDE0671 Mtge","GENERIC_TICKER_VINTAGE")</f>
        <v>FNCL 6 2025</v>
      </c>
      <c r="D3772" t="str">
        <f>_xll.BDP("FNDE0671 Mtge","CRNCY")</f>
        <v>USD</v>
      </c>
      <c r="E3772">
        <v>1017502</v>
      </c>
      <c r="F3772">
        <f>_xll.BDP("FNDE0671 Mtge","CPN")</f>
        <v>6</v>
      </c>
      <c r="G3772">
        <f>_xll.BDP("FNDE0671 Mtge","MTG_FACTOR")</f>
        <v>0.91124806999999997</v>
      </c>
      <c r="H3772">
        <f>_xll.BDP("FNDE0671 Mtge","MTG_WAL")</f>
        <v>3.2852000000000001</v>
      </c>
      <c r="I3772" t="str">
        <f>_xll.BDP("FNDE0671 Mtge","MTG_ORIG_WAL")</f>
        <v>#N/A N/A</v>
      </c>
    </row>
    <row r="3773" spans="1:9" x14ac:dyDescent="0.25">
      <c r="A3773" t="str">
        <f>_xll.BDP("FNDE0672 Mtge","ID_CUSIP")</f>
        <v>3140BCXA5</v>
      </c>
      <c r="B3773" t="str">
        <f>_xll.BDP("FNDE0672 Mtge","SECURITY_NAME")</f>
        <v>FN DE0672</v>
      </c>
      <c r="C3773" t="str">
        <f>_xll.BDP("FNDE0672 Mtge","GENERIC_TICKER_VINTAGE")</f>
        <v>FNCL 6 2025</v>
      </c>
      <c r="D3773" t="str">
        <f>_xll.BDP("FNDE0672 Mtge","CRNCY")</f>
        <v>USD</v>
      </c>
      <c r="E3773">
        <v>1076634</v>
      </c>
      <c r="F3773">
        <f>_xll.BDP("FNDE0672 Mtge","CPN")</f>
        <v>6</v>
      </c>
      <c r="G3773">
        <f>_xll.BDP("FNDE0672 Mtge","MTG_FACTOR")</f>
        <v>0.99031188000000003</v>
      </c>
      <c r="H3773">
        <f>_xll.BDP("FNDE0672 Mtge","MTG_WAL")</f>
        <v>3.2905000000000002</v>
      </c>
      <c r="I3773" t="str">
        <f>_xll.BDP("FNDE0672 Mtge","MTG_ORIG_WAL")</f>
        <v>#N/A N/A</v>
      </c>
    </row>
    <row r="3774" spans="1:9" x14ac:dyDescent="0.25">
      <c r="A3774" t="str">
        <f>_xll.BDP("FNDE0673 Mtge","ID_CUSIP")</f>
        <v>3140BCXB3</v>
      </c>
      <c r="B3774" t="str">
        <f>_xll.BDP("FNDE0673 Mtge","SECURITY_NAME")</f>
        <v>FN DE0673</v>
      </c>
      <c r="C3774" t="str">
        <f>_xll.BDP("FNDE0673 Mtge","GENERIC_TICKER_VINTAGE")</f>
        <v>FNCL 6 2025</v>
      </c>
      <c r="D3774" t="str">
        <f>_xll.BDP("FNDE0673 Mtge","CRNCY")</f>
        <v>USD</v>
      </c>
      <c r="E3774">
        <v>1125500</v>
      </c>
      <c r="F3774">
        <f>_xll.BDP("FNDE0673 Mtge","CPN")</f>
        <v>6</v>
      </c>
      <c r="G3774">
        <f>_xll.BDP("FNDE0673 Mtge","MTG_FACTOR")</f>
        <v>0.83182369</v>
      </c>
      <c r="H3774">
        <f>_xll.BDP("FNDE0673 Mtge","MTG_WAL")</f>
        <v>3.2892999999999999</v>
      </c>
      <c r="I3774" t="str">
        <f>_xll.BDP("FNDE0673 Mtge","MTG_ORIG_WAL")</f>
        <v>#N/A N/A</v>
      </c>
    </row>
    <row r="3775" spans="1:9" x14ac:dyDescent="0.25">
      <c r="A3775" t="str">
        <f>_xll.BDP("FNDE0675 Mtge","ID_CUSIP")</f>
        <v>3140BCXD9</v>
      </c>
      <c r="B3775" t="str">
        <f>_xll.BDP("FNDE0675 Mtge","SECURITY_NAME")</f>
        <v>FN DE0675</v>
      </c>
      <c r="C3775" t="str">
        <f>_xll.BDP("FNDE0675 Mtge","GENERIC_TICKER_VINTAGE")</f>
        <v>FNCL 6 2025</v>
      </c>
      <c r="D3775" t="str">
        <f>_xll.BDP("FNDE0675 Mtge","CRNCY")</f>
        <v>USD</v>
      </c>
      <c r="E3775">
        <v>2314811</v>
      </c>
      <c r="F3775">
        <f>_xll.BDP("FNDE0675 Mtge","CPN")</f>
        <v>6</v>
      </c>
      <c r="G3775">
        <f>_xll.BDP("FNDE0675 Mtge","MTG_FACTOR")</f>
        <v>0.87297537000000003</v>
      </c>
      <c r="H3775">
        <f>_xll.BDP("FNDE0675 Mtge","MTG_WAL")</f>
        <v>3.2700999999999998</v>
      </c>
      <c r="I3775" t="str">
        <f>_xll.BDP("FNDE0675 Mtge","MTG_ORIG_WAL")</f>
        <v>#N/A N/A</v>
      </c>
    </row>
    <row r="3776" spans="1:9" x14ac:dyDescent="0.25">
      <c r="A3776" t="str">
        <f>_xll.BDP("FNDE0676 Mtge","ID_CUSIP")</f>
        <v>3140BCXE7</v>
      </c>
      <c r="B3776" t="str">
        <f>_xll.BDP("FNDE0676 Mtge","SECURITY_NAME")</f>
        <v>FN DE0676</v>
      </c>
      <c r="C3776" t="str">
        <f>_xll.BDP("FNDE0676 Mtge","GENERIC_TICKER_VINTAGE")</f>
        <v>FNCL 6 2025</v>
      </c>
      <c r="D3776" t="str">
        <f>_xll.BDP("FNDE0676 Mtge","CRNCY")</f>
        <v>USD</v>
      </c>
      <c r="E3776">
        <v>1251700</v>
      </c>
      <c r="F3776">
        <f>_xll.BDP("FNDE0676 Mtge","CPN")</f>
        <v>6</v>
      </c>
      <c r="G3776">
        <f>_xll.BDP("FNDE0676 Mtge","MTG_FACTOR")</f>
        <v>0.65993816000000005</v>
      </c>
      <c r="H3776">
        <f>_xll.BDP("FNDE0676 Mtge","MTG_WAL")</f>
        <v>3.2953000000000001</v>
      </c>
      <c r="I3776" t="str">
        <f>_xll.BDP("FNDE0676 Mtge","MTG_ORIG_WAL")</f>
        <v>#N/A N/A</v>
      </c>
    </row>
    <row r="3777" spans="1:9" x14ac:dyDescent="0.25">
      <c r="A3777" t="str">
        <f>_xll.BDP("FNDE0678 Mtge","ID_CUSIP")</f>
        <v>3140BCXG2</v>
      </c>
      <c r="B3777" t="str">
        <f>_xll.BDP("FNDE0678 Mtge","SECURITY_NAME")</f>
        <v>FN DE0678</v>
      </c>
      <c r="C3777" t="str">
        <f>_xll.BDP("FNDE0678 Mtge","GENERIC_TICKER_VINTAGE")</f>
        <v>FNCL 6 2025</v>
      </c>
      <c r="D3777" t="str">
        <f>_xll.BDP("FNDE0678 Mtge","CRNCY")</f>
        <v>USD</v>
      </c>
      <c r="E3777">
        <v>15371395</v>
      </c>
      <c r="F3777">
        <f>_xll.BDP("FNDE0678 Mtge","CPN")</f>
        <v>6</v>
      </c>
      <c r="G3777">
        <f>_xll.BDP("FNDE0678 Mtge","MTG_FACTOR")</f>
        <v>0.92523146999999994</v>
      </c>
      <c r="H3777">
        <f>_xll.BDP("FNDE0678 Mtge","MTG_WAL")</f>
        <v>3.2827000000000002</v>
      </c>
      <c r="I3777" t="str">
        <f>_xll.BDP("FNDE0678 Mtge","MTG_ORIG_WAL")</f>
        <v>#N/A N/A</v>
      </c>
    </row>
    <row r="3778" spans="1:9" x14ac:dyDescent="0.25">
      <c r="A3778" t="str">
        <f>_xll.BDP("FNDE0685 Mtge","ID_CUSIP")</f>
        <v>3140BCXP2</v>
      </c>
      <c r="B3778" t="str">
        <f>_xll.BDP("FNDE0685 Mtge","SECURITY_NAME")</f>
        <v>FN DE0685</v>
      </c>
      <c r="C3778" t="str">
        <f>_xll.BDP("FNDE0685 Mtge","GENERIC_TICKER_VINTAGE")</f>
        <v>FNCL 6 2025</v>
      </c>
      <c r="D3778" t="str">
        <f>_xll.BDP("FNDE0685 Mtge","CRNCY")</f>
        <v>USD</v>
      </c>
      <c r="E3778">
        <v>2210750</v>
      </c>
      <c r="F3778">
        <f>_xll.BDP("FNDE0685 Mtge","CPN")</f>
        <v>6</v>
      </c>
      <c r="G3778">
        <f>_xll.BDP("FNDE0685 Mtge","MTG_FACTOR")</f>
        <v>0.98463765999999997</v>
      </c>
      <c r="H3778">
        <f>_xll.BDP("FNDE0685 Mtge","MTG_WAL")</f>
        <v>3.2869999999999999</v>
      </c>
      <c r="I3778" t="str">
        <f>_xll.BDP("FNDE0685 Mtge","MTG_ORIG_WAL")</f>
        <v>#N/A N/A</v>
      </c>
    </row>
    <row r="3779" spans="1:9" x14ac:dyDescent="0.25">
      <c r="A3779" t="str">
        <f>_xll.BDP("FNDE0690 Mtge","ID_CUSIP")</f>
        <v>3140BCXU1</v>
      </c>
      <c r="B3779" t="str">
        <f>_xll.BDP("FNDE0690 Mtge","SECURITY_NAME")</f>
        <v>FN DE0690</v>
      </c>
      <c r="C3779" t="str">
        <f>_xll.BDP("FNDE0690 Mtge","GENERIC_TICKER_VINTAGE")</f>
        <v>FNCL 6 2025</v>
      </c>
      <c r="D3779" t="str">
        <f>_xll.BDP("FNDE0690 Mtge","CRNCY")</f>
        <v>USD</v>
      </c>
      <c r="E3779">
        <v>1653334</v>
      </c>
      <c r="F3779">
        <f>_xll.BDP("FNDE0690 Mtge","CPN")</f>
        <v>6</v>
      </c>
      <c r="G3779">
        <f>_xll.BDP("FNDE0690 Mtge","MTG_FACTOR")</f>
        <v>0.98551482999999995</v>
      </c>
      <c r="H3779">
        <f>_xll.BDP("FNDE0690 Mtge","MTG_WAL")</f>
        <v>3.2875999999999999</v>
      </c>
      <c r="I3779" t="str">
        <f>_xll.BDP("FNDE0690 Mtge","MTG_ORIG_WAL")</f>
        <v>#N/A N/A</v>
      </c>
    </row>
    <row r="3780" spans="1:9" x14ac:dyDescent="0.25">
      <c r="A3780" t="str">
        <f>_xll.BDP("FNDE0691 Mtge","ID_CUSIP")</f>
        <v>3140BCXV9</v>
      </c>
      <c r="B3780" t="str">
        <f>_xll.BDP("FNDE0691 Mtge","SECURITY_NAME")</f>
        <v>FN DE0691</v>
      </c>
      <c r="C3780" t="str">
        <f>_xll.BDP("FNDE0691 Mtge","GENERIC_TICKER_VINTAGE")</f>
        <v>FNCL 6 2025</v>
      </c>
      <c r="D3780" t="str">
        <f>_xll.BDP("FNDE0691 Mtge","CRNCY")</f>
        <v>USD</v>
      </c>
      <c r="E3780">
        <v>1399486</v>
      </c>
      <c r="F3780">
        <f>_xll.BDP("FNDE0691 Mtge","CPN")</f>
        <v>6</v>
      </c>
      <c r="G3780">
        <f>_xll.BDP("FNDE0691 Mtge","MTG_FACTOR")</f>
        <v>0.83885480000000001</v>
      </c>
      <c r="H3780">
        <f>_xll.BDP("FNDE0691 Mtge","MTG_WAL")</f>
        <v>3.2927</v>
      </c>
      <c r="I3780" t="str">
        <f>_xll.BDP("FNDE0691 Mtge","MTG_ORIG_WAL")</f>
        <v>#N/A N/A</v>
      </c>
    </row>
    <row r="3781" spans="1:9" x14ac:dyDescent="0.25">
      <c r="A3781" t="str">
        <f>_xll.BDP("FNDE0692 Mtge","ID_CUSIP")</f>
        <v>3140BCXW7</v>
      </c>
      <c r="B3781" t="str">
        <f>_xll.BDP("FNDE0692 Mtge","SECURITY_NAME")</f>
        <v>FN DE0692</v>
      </c>
      <c r="C3781" t="str">
        <f>_xll.BDP("FNDE0692 Mtge","GENERIC_TICKER_VINTAGE")</f>
        <v>FNCL 6 2025</v>
      </c>
      <c r="D3781" t="str">
        <f>_xll.BDP("FNDE0692 Mtge","CRNCY")</f>
        <v>USD</v>
      </c>
      <c r="E3781">
        <v>3213059</v>
      </c>
      <c r="F3781">
        <f>_xll.BDP("FNDE0692 Mtge","CPN")</f>
        <v>6</v>
      </c>
      <c r="G3781">
        <f>_xll.BDP("FNDE0692 Mtge","MTG_FACTOR")</f>
        <v>0.98654651999999998</v>
      </c>
      <c r="H3781">
        <f>_xll.BDP("FNDE0692 Mtge","MTG_WAL")</f>
        <v>3.2863000000000002</v>
      </c>
      <c r="I3781" t="str">
        <f>_xll.BDP("FNDE0692 Mtge","MTG_ORIG_WAL")</f>
        <v>#N/A N/A</v>
      </c>
    </row>
    <row r="3782" spans="1:9" x14ac:dyDescent="0.25">
      <c r="A3782" t="str">
        <f>_xll.BDP("FNDE0694 Mtge","ID_CUSIP")</f>
        <v>3140BCXY3</v>
      </c>
      <c r="B3782" t="str">
        <f>_xll.BDP("FNDE0694 Mtge","SECURITY_NAME")</f>
        <v>FN DE0694</v>
      </c>
      <c r="C3782" t="str">
        <f>_xll.BDP("FNDE0694 Mtge","GENERIC_TICKER_VINTAGE")</f>
        <v>FNCL 6 2025</v>
      </c>
      <c r="D3782" t="str">
        <f>_xll.BDP("FNDE0694 Mtge","CRNCY")</f>
        <v>USD</v>
      </c>
      <c r="E3782">
        <v>6390990</v>
      </c>
      <c r="F3782">
        <f>_xll.BDP("FNDE0694 Mtge","CPN")</f>
        <v>6</v>
      </c>
      <c r="G3782">
        <f>_xll.BDP("FNDE0694 Mtge","MTG_FACTOR")</f>
        <v>0.83534096000000002</v>
      </c>
      <c r="H3782">
        <f>_xll.BDP("FNDE0694 Mtge","MTG_WAL")</f>
        <v>3.2829999999999999</v>
      </c>
      <c r="I3782" t="str">
        <f>_xll.BDP("FNDE0694 Mtge","MTG_ORIG_WAL")</f>
        <v>#N/A N/A</v>
      </c>
    </row>
    <row r="3783" spans="1:9" x14ac:dyDescent="0.25">
      <c r="A3783" t="str">
        <f>_xll.BDP("FNDE0702 Mtge","ID_CUSIP")</f>
        <v>3140BCX80</v>
      </c>
      <c r="B3783" t="str">
        <f>_xll.BDP("FNDE0702 Mtge","SECURITY_NAME")</f>
        <v>FN DE0702</v>
      </c>
      <c r="C3783" t="str">
        <f>_xll.BDP("FNDE0702 Mtge","GENERIC_TICKER_VINTAGE")</f>
        <v>FNCL 6 2025</v>
      </c>
      <c r="D3783" t="str">
        <f>_xll.BDP("FNDE0702 Mtge","CRNCY")</f>
        <v>USD</v>
      </c>
      <c r="E3783">
        <v>1025550</v>
      </c>
      <c r="F3783">
        <f>_xll.BDP("FNDE0702 Mtge","CPN")</f>
        <v>6</v>
      </c>
      <c r="G3783">
        <f>_xll.BDP("FNDE0702 Mtge","MTG_FACTOR")</f>
        <v>0.82693505</v>
      </c>
      <c r="H3783">
        <f>_xll.BDP("FNDE0702 Mtge","MTG_WAL")</f>
        <v>3.2597999999999998</v>
      </c>
      <c r="I3783" t="str">
        <f>_xll.BDP("FNDE0702 Mtge","MTG_ORIG_WAL")</f>
        <v>#N/A N/A</v>
      </c>
    </row>
    <row r="3784" spans="1:9" x14ac:dyDescent="0.25">
      <c r="A3784" t="str">
        <f>_xll.BDP("FNDE0703 Mtge","ID_CUSIP")</f>
        <v>3140BCX98</v>
      </c>
      <c r="B3784" t="str">
        <f>_xll.BDP("FNDE0703 Mtge","SECURITY_NAME")</f>
        <v>FN DE0703</v>
      </c>
      <c r="C3784" t="str">
        <f>_xll.BDP("FNDE0703 Mtge","GENERIC_TICKER_VINTAGE")</f>
        <v>FNCL 6 2025</v>
      </c>
      <c r="D3784" t="str">
        <f>_xll.BDP("FNDE0703 Mtge","CRNCY")</f>
        <v>USD</v>
      </c>
      <c r="E3784">
        <v>1121807</v>
      </c>
      <c r="F3784">
        <f>_xll.BDP("FNDE0703 Mtge","CPN")</f>
        <v>6</v>
      </c>
      <c r="G3784">
        <f>_xll.BDP("FNDE0703 Mtge","MTG_FACTOR")</f>
        <v>0.92990205000000004</v>
      </c>
      <c r="H3784">
        <f>_xll.BDP("FNDE0703 Mtge","MTG_WAL")</f>
        <v>3.2765</v>
      </c>
      <c r="I3784" t="str">
        <f>_xll.BDP("FNDE0703 Mtge","MTG_ORIG_WAL")</f>
        <v>#N/A N/A</v>
      </c>
    </row>
    <row r="3785" spans="1:9" x14ac:dyDescent="0.25">
      <c r="A3785" t="str">
        <f>_xll.BDP("FNDE0709 Mtge","ID_CUSIP")</f>
        <v>3140BCYF3</v>
      </c>
      <c r="B3785" t="str">
        <f>_xll.BDP("FNDE0709 Mtge","SECURITY_NAME")</f>
        <v>FN DE0709</v>
      </c>
      <c r="C3785" t="str">
        <f>_xll.BDP("FNDE0709 Mtge","GENERIC_TICKER_VINTAGE")</f>
        <v>FNCL 6 2025</v>
      </c>
      <c r="D3785" t="str">
        <f>_xll.BDP("FNDE0709 Mtge","CRNCY")</f>
        <v>USD</v>
      </c>
      <c r="E3785">
        <v>25174493</v>
      </c>
      <c r="F3785">
        <f>_xll.BDP("FNDE0709 Mtge","CPN")</f>
        <v>6</v>
      </c>
      <c r="G3785">
        <f>_xll.BDP("FNDE0709 Mtge","MTG_FACTOR")</f>
        <v>0.93179427999999997</v>
      </c>
      <c r="H3785">
        <f>_xll.BDP("FNDE0709 Mtge","MTG_WAL")</f>
        <v>3.2879999999999998</v>
      </c>
      <c r="I3785" t="str">
        <f>_xll.BDP("FNDE0709 Mtge","MTG_ORIG_WAL")</f>
        <v>#N/A N/A</v>
      </c>
    </row>
    <row r="3786" spans="1:9" x14ac:dyDescent="0.25">
      <c r="A3786" t="str">
        <f>_xll.BDP("FNDE0716 Mtge","ID_CUSIP")</f>
        <v>3140BCYN6</v>
      </c>
      <c r="B3786" t="str">
        <f>_xll.BDP("FNDE0716 Mtge","SECURITY_NAME")</f>
        <v>FN DE0716</v>
      </c>
      <c r="C3786" t="str">
        <f>_xll.BDP("FNDE0716 Mtge","GENERIC_TICKER_VINTAGE")</f>
        <v>FNCL 6 2025</v>
      </c>
      <c r="D3786" t="str">
        <f>_xll.BDP("FNDE0716 Mtge","CRNCY")</f>
        <v>USD</v>
      </c>
      <c r="E3786">
        <v>1445665</v>
      </c>
      <c r="F3786">
        <f>_xll.BDP("FNDE0716 Mtge","CPN")</f>
        <v>6</v>
      </c>
      <c r="G3786">
        <f>_xll.BDP("FNDE0716 Mtge","MTG_FACTOR")</f>
        <v>0.98944286999999997</v>
      </c>
      <c r="H3786">
        <f>_xll.BDP("FNDE0716 Mtge","MTG_WAL")</f>
        <v>3.3408000000000002</v>
      </c>
      <c r="I3786" t="str">
        <f>_xll.BDP("FNDE0716 Mtge","MTG_ORIG_WAL")</f>
        <v>#N/A N/A</v>
      </c>
    </row>
    <row r="3787" spans="1:9" x14ac:dyDescent="0.25">
      <c r="A3787" t="str">
        <f>_xll.BDP("FNDE0758 Mtge","ID_CUSIP")</f>
        <v>3140BCZY1</v>
      </c>
      <c r="B3787" t="str">
        <f>_xll.BDP("FNDE0758 Mtge","SECURITY_NAME")</f>
        <v>FN DE0758</v>
      </c>
      <c r="C3787" t="str">
        <f>_xll.BDP("FNDE0758 Mtge","GENERIC_TICKER_VINTAGE")</f>
        <v>FNCL 6 2025</v>
      </c>
      <c r="D3787" t="str">
        <f>_xll.BDP("FNDE0758 Mtge","CRNCY")</f>
        <v>USD</v>
      </c>
      <c r="E3787">
        <v>29981908</v>
      </c>
      <c r="F3787">
        <f>_xll.BDP("FNDE0758 Mtge","CPN")</f>
        <v>6</v>
      </c>
      <c r="G3787">
        <f>_xll.BDP("FNDE0758 Mtge","MTG_FACTOR")</f>
        <v>0.95508305999999998</v>
      </c>
      <c r="H3787">
        <f>_xll.BDP("FNDE0758 Mtge","MTG_WAL")</f>
        <v>3.339</v>
      </c>
      <c r="I3787" t="str">
        <f>_xll.BDP("FNDE0758 Mtge","MTG_ORIG_WAL")</f>
        <v>#N/A N/A</v>
      </c>
    </row>
    <row r="3788" spans="1:9" x14ac:dyDescent="0.25">
      <c r="A3788" t="str">
        <f>_xll.BDP("FNDE0761 Mtge","ID_CUSIP")</f>
        <v>3140BCZ39</v>
      </c>
      <c r="B3788" t="str">
        <f>_xll.BDP("FNDE0761 Mtge","SECURITY_NAME")</f>
        <v>FN DE0761</v>
      </c>
      <c r="C3788" t="str">
        <f>_xll.BDP("FNDE0761 Mtge","GENERIC_TICKER_VINTAGE")</f>
        <v>FNCL 6 2025</v>
      </c>
      <c r="D3788" t="str">
        <f>_xll.BDP("FNDE0761 Mtge","CRNCY")</f>
        <v>USD</v>
      </c>
      <c r="E3788">
        <v>1522093</v>
      </c>
      <c r="F3788">
        <f>_xll.BDP("FNDE0761 Mtge","CPN")</f>
        <v>6</v>
      </c>
      <c r="G3788">
        <f>_xll.BDP("FNDE0761 Mtge","MTG_FACTOR")</f>
        <v>0.95948955000000002</v>
      </c>
      <c r="H3788">
        <f>_xll.BDP("FNDE0761 Mtge","MTG_WAL")</f>
        <v>3.3279000000000001</v>
      </c>
      <c r="I3788" t="str">
        <f>_xll.BDP("FNDE0761 Mtge","MTG_ORIG_WAL")</f>
        <v>#N/A N/A</v>
      </c>
    </row>
    <row r="3789" spans="1:9" x14ac:dyDescent="0.25">
      <c r="A3789" t="str">
        <f>_xll.BDP("FNDE0782 Mtge","ID_CUSIP")</f>
        <v>3140BC2Q4</v>
      </c>
      <c r="B3789" t="str">
        <f>_xll.BDP("FNDE0782 Mtge","SECURITY_NAME")</f>
        <v>FN DE0782</v>
      </c>
      <c r="C3789" t="str">
        <f>_xll.BDP("FNDE0782 Mtge","GENERIC_TICKER_VINTAGE")</f>
        <v>FNCL 6 2025</v>
      </c>
      <c r="D3789" t="str">
        <f>_xll.BDP("FNDE0782 Mtge","CRNCY")</f>
        <v>USD</v>
      </c>
      <c r="E3789">
        <v>3453085</v>
      </c>
      <c r="F3789">
        <f>_xll.BDP("FNDE0782 Mtge","CPN")</f>
        <v>6</v>
      </c>
      <c r="G3789">
        <f>_xll.BDP("FNDE0782 Mtge","MTG_FACTOR")</f>
        <v>0.99046137000000001</v>
      </c>
      <c r="H3789">
        <f>_xll.BDP("FNDE0782 Mtge","MTG_WAL")</f>
        <v>3.2942</v>
      </c>
      <c r="I3789" t="str">
        <f>_xll.BDP("FNDE0782 Mtge","MTG_ORIG_WAL")</f>
        <v>#N/A N/A</v>
      </c>
    </row>
    <row r="3790" spans="1:9" x14ac:dyDescent="0.25">
      <c r="A3790" t="str">
        <f>_xll.BDP("FNDE0783 Mtge","ID_CUSIP")</f>
        <v>3140BC2R2</v>
      </c>
      <c r="B3790" t="str">
        <f>_xll.BDP("FNDE0783 Mtge","SECURITY_NAME")</f>
        <v>FN DE0783</v>
      </c>
      <c r="C3790" t="str">
        <f>_xll.BDP("FNDE0783 Mtge","GENERIC_TICKER_VINTAGE")</f>
        <v>FNCL 6 2025</v>
      </c>
      <c r="D3790" t="str">
        <f>_xll.BDP("FNDE0783 Mtge","CRNCY")</f>
        <v>USD</v>
      </c>
      <c r="E3790">
        <v>4006963</v>
      </c>
      <c r="F3790">
        <f>_xll.BDP("FNDE0783 Mtge","CPN")</f>
        <v>6</v>
      </c>
      <c r="G3790">
        <f>_xll.BDP("FNDE0783 Mtge","MTG_FACTOR")</f>
        <v>0.88269081000000005</v>
      </c>
      <c r="H3790">
        <f>_xll.BDP("FNDE0783 Mtge","MTG_WAL")</f>
        <v>3.2814000000000001</v>
      </c>
      <c r="I3790" t="str">
        <f>_xll.BDP("FNDE0783 Mtge","MTG_ORIG_WAL")</f>
        <v>#N/A N/A</v>
      </c>
    </row>
    <row r="3791" spans="1:9" x14ac:dyDescent="0.25">
      <c r="A3791" t="str">
        <f>_xll.BDP("FNDE0802 Mtge","ID_CUSIP")</f>
        <v>3140BC3L4</v>
      </c>
      <c r="B3791" t="str">
        <f>_xll.BDP("FNDE0802 Mtge","SECURITY_NAME")</f>
        <v>FN DE0802</v>
      </c>
      <c r="C3791" t="str">
        <f>_xll.BDP("FNDE0802 Mtge","GENERIC_TICKER_VINTAGE")</f>
        <v>FNCL 6 2025</v>
      </c>
      <c r="D3791" t="str">
        <f>_xll.BDP("FNDE0802 Mtge","CRNCY")</f>
        <v>USD</v>
      </c>
      <c r="E3791">
        <v>2655720</v>
      </c>
      <c r="F3791">
        <f>_xll.BDP("FNDE0802 Mtge","CPN")</f>
        <v>6</v>
      </c>
      <c r="G3791">
        <f>_xll.BDP("FNDE0802 Mtge","MTG_FACTOR")</f>
        <v>0.91586926000000002</v>
      </c>
      <c r="H3791">
        <f>_xll.BDP("FNDE0802 Mtge","MTG_WAL")</f>
        <v>3.2959000000000001</v>
      </c>
      <c r="I3791" t="str">
        <f>_xll.BDP("FNDE0802 Mtge","MTG_ORIG_WAL")</f>
        <v>#N/A N/A</v>
      </c>
    </row>
    <row r="3792" spans="1:9" x14ac:dyDescent="0.25">
      <c r="A3792" t="str">
        <f>_xll.BDP("FNDE0807 Mtge","ID_CUSIP")</f>
        <v>3140BC3R1</v>
      </c>
      <c r="B3792" t="str">
        <f>_xll.BDP("FNDE0807 Mtge","SECURITY_NAME")</f>
        <v>FN DE0807</v>
      </c>
      <c r="C3792" t="str">
        <f>_xll.BDP("FNDE0807 Mtge","GENERIC_TICKER_VINTAGE")</f>
        <v>FNCL 6 2025</v>
      </c>
      <c r="D3792" t="str">
        <f>_xll.BDP("FNDE0807 Mtge","CRNCY")</f>
        <v>USD</v>
      </c>
      <c r="E3792">
        <v>1179000</v>
      </c>
      <c r="F3792">
        <f>_xll.BDP("FNDE0807 Mtge","CPN")</f>
        <v>6</v>
      </c>
      <c r="G3792">
        <f>_xll.BDP("FNDE0807 Mtge","MTG_FACTOR")</f>
        <v>0.98984897000000005</v>
      </c>
      <c r="H3792">
        <f>_xll.BDP("FNDE0807 Mtge","MTG_WAL")</f>
        <v>3.2942</v>
      </c>
      <c r="I3792" t="str">
        <f>_xll.BDP("FNDE0807 Mtge","MTG_ORIG_WAL")</f>
        <v>#N/A N/A</v>
      </c>
    </row>
    <row r="3793" spans="1:9" x14ac:dyDescent="0.25">
      <c r="A3793" t="str">
        <f>_xll.BDP("FNDE0808 Mtge","ID_CUSIP")</f>
        <v>3140BC3S9</v>
      </c>
      <c r="B3793" t="str">
        <f>_xll.BDP("FNDE0808 Mtge","SECURITY_NAME")</f>
        <v>FN DE0808</v>
      </c>
      <c r="C3793" t="str">
        <f>_xll.BDP("FNDE0808 Mtge","GENERIC_TICKER_VINTAGE")</f>
        <v>FNCL 6 2025</v>
      </c>
      <c r="D3793" t="str">
        <f>_xll.BDP("FNDE0808 Mtge","CRNCY")</f>
        <v>USD</v>
      </c>
      <c r="E3793">
        <v>3770242</v>
      </c>
      <c r="F3793">
        <f>_xll.BDP("FNDE0808 Mtge","CPN")</f>
        <v>6</v>
      </c>
      <c r="G3793">
        <f>_xll.BDP("FNDE0808 Mtge","MTG_FACTOR")</f>
        <v>0.99071151000000002</v>
      </c>
      <c r="H3793">
        <f>_xll.BDP("FNDE0808 Mtge","MTG_WAL")</f>
        <v>3.2940999999999998</v>
      </c>
      <c r="I3793" t="str">
        <f>_xll.BDP("FNDE0808 Mtge","MTG_ORIG_WAL")</f>
        <v>#N/A N/A</v>
      </c>
    </row>
    <row r="3794" spans="1:9" x14ac:dyDescent="0.25">
      <c r="A3794" t="str">
        <f>_xll.BDP("FNDE0816 Mtge","ID_CUSIP")</f>
        <v>3140BC4A7</v>
      </c>
      <c r="B3794" t="str">
        <f>_xll.BDP("FNDE0816 Mtge","SECURITY_NAME")</f>
        <v>FN DE0816</v>
      </c>
      <c r="C3794" t="str">
        <f>_xll.BDP("FNDE0816 Mtge","GENERIC_TICKER_VINTAGE")</f>
        <v>FNCL 6 2025</v>
      </c>
      <c r="D3794" t="str">
        <f>_xll.BDP("FNDE0816 Mtge","CRNCY")</f>
        <v>USD</v>
      </c>
      <c r="E3794">
        <v>925176</v>
      </c>
      <c r="F3794">
        <f>_xll.BDP("FNDE0816 Mtge","CPN")</f>
        <v>5.875</v>
      </c>
      <c r="G3794">
        <f>_xll.BDP("FNDE0816 Mtge","MTG_FACTOR")</f>
        <v>0.9891839</v>
      </c>
      <c r="H3794">
        <f>_xll.BDP("FNDE0816 Mtge","MTG_WAL")</f>
        <v>3.2884000000000002</v>
      </c>
      <c r="I3794" t="str">
        <f>_xll.BDP("FNDE0816 Mtge","MTG_ORIG_WAL")</f>
        <v>#N/A N/A</v>
      </c>
    </row>
    <row r="3795" spans="1:9" x14ac:dyDescent="0.25">
      <c r="A3795" t="str">
        <f>_xll.BDP("FNDE0846 Mtge","ID_CUSIP")</f>
        <v>3140BC5G3</v>
      </c>
      <c r="B3795" t="str">
        <f>_xll.BDP("FNDE0846 Mtge","SECURITY_NAME")</f>
        <v>FN DE0846</v>
      </c>
      <c r="C3795" t="str">
        <f>_xll.BDP("FNDE0846 Mtge","GENERIC_TICKER_VINTAGE")</f>
        <v>FNCL 6 2025</v>
      </c>
      <c r="D3795" t="str">
        <f>_xll.BDP("FNDE0846 Mtge","CRNCY")</f>
        <v>USD</v>
      </c>
      <c r="E3795">
        <v>1895405</v>
      </c>
      <c r="F3795">
        <f>_xll.BDP("FNDE0846 Mtge","CPN")</f>
        <v>5.875</v>
      </c>
      <c r="G3795">
        <f>_xll.BDP("FNDE0846 Mtge","MTG_FACTOR")</f>
        <v>0.99035154000000003</v>
      </c>
      <c r="H3795">
        <f>_xll.BDP("FNDE0846 Mtge","MTG_WAL")</f>
        <v>3.3378999999999999</v>
      </c>
      <c r="I3795" t="str">
        <f>_xll.BDP("FNDE0846 Mtge","MTG_ORIG_WAL")</f>
        <v>#N/A N/A</v>
      </c>
    </row>
    <row r="3796" spans="1:9" x14ac:dyDescent="0.25">
      <c r="A3796" t="str">
        <f>_xll.BDP("FNDE0847 Mtge","ID_CUSIP")</f>
        <v>3140BC5H1</v>
      </c>
      <c r="B3796" t="str">
        <f>_xll.BDP("FNDE0847 Mtge","SECURITY_NAME")</f>
        <v>FN DE0847</v>
      </c>
      <c r="C3796" t="str">
        <f>_xll.BDP("FNDE0847 Mtge","GENERIC_TICKER_VINTAGE")</f>
        <v>FNCL 6 2025</v>
      </c>
      <c r="D3796" t="str">
        <f>_xll.BDP("FNDE0847 Mtge","CRNCY")</f>
        <v>USD</v>
      </c>
      <c r="E3796">
        <v>1551652</v>
      </c>
      <c r="F3796">
        <f>_xll.BDP("FNDE0847 Mtge","CPN")</f>
        <v>6</v>
      </c>
      <c r="G3796">
        <f>_xll.BDP("FNDE0847 Mtge","MTG_FACTOR")</f>
        <v>0.98844286000000003</v>
      </c>
      <c r="H3796">
        <f>_xll.BDP("FNDE0847 Mtge","MTG_WAL")</f>
        <v>3.2892000000000001</v>
      </c>
      <c r="I3796" t="str">
        <f>_xll.BDP("FNDE0847 Mtge","MTG_ORIG_WAL")</f>
        <v>#N/A N/A</v>
      </c>
    </row>
    <row r="3797" spans="1:9" x14ac:dyDescent="0.25">
      <c r="A3797" t="str">
        <f>_xll.BDP("FNDE0914 Mtge","ID_CUSIP")</f>
        <v>3140BDAQ3</v>
      </c>
      <c r="B3797" t="str">
        <f>_xll.BDP("FNDE0914 Mtge","SECURITY_NAME")</f>
        <v>FN DE0914</v>
      </c>
      <c r="C3797" t="str">
        <f>_xll.BDP("FNDE0914 Mtge","GENERIC_TICKER_VINTAGE")</f>
        <v>FNCL 6 2025</v>
      </c>
      <c r="D3797" t="str">
        <f>_xll.BDP("FNDE0914 Mtge","CRNCY")</f>
        <v>USD</v>
      </c>
      <c r="E3797">
        <v>11156930</v>
      </c>
      <c r="F3797">
        <f>_xll.BDP("FNDE0914 Mtge","CPN")</f>
        <v>5.875</v>
      </c>
      <c r="G3797">
        <f>_xll.BDP("FNDE0914 Mtge","MTG_FACTOR")</f>
        <v>0.98839034999999997</v>
      </c>
      <c r="H3797">
        <f>_xll.BDP("FNDE0914 Mtge","MTG_WAL")</f>
        <v>3.2875000000000001</v>
      </c>
      <c r="I3797" t="str">
        <f>_xll.BDP("FNDE0914 Mtge","MTG_ORIG_WAL")</f>
        <v>#N/A N/A</v>
      </c>
    </row>
    <row r="3798" spans="1:9" x14ac:dyDescent="0.25">
      <c r="A3798" t="str">
        <f>_xll.BDP("FNDE0917 Mtge","ID_CUSIP")</f>
        <v>3140BDAT7</v>
      </c>
      <c r="B3798" t="str">
        <f>_xll.BDP("FNDE0917 Mtge","SECURITY_NAME")</f>
        <v>FN DE0917</v>
      </c>
      <c r="C3798" t="str">
        <f>_xll.BDP("FNDE0917 Mtge","GENERIC_TICKER_VINTAGE")</f>
        <v>FNCL 6 2025</v>
      </c>
      <c r="D3798" t="str">
        <f>_xll.BDP("FNDE0917 Mtge","CRNCY")</f>
        <v>USD</v>
      </c>
      <c r="E3798">
        <v>2318700</v>
      </c>
      <c r="F3798">
        <f>_xll.BDP("FNDE0917 Mtge","CPN")</f>
        <v>6</v>
      </c>
      <c r="G3798">
        <f>_xll.BDP("FNDE0917 Mtge","MTG_FACTOR")</f>
        <v>0.98848698999999995</v>
      </c>
      <c r="H3798">
        <f>_xll.BDP("FNDE0917 Mtge","MTG_WAL")</f>
        <v>3.2949000000000002</v>
      </c>
      <c r="I3798" t="str">
        <f>_xll.BDP("FNDE0917 Mtge","MTG_ORIG_WAL")</f>
        <v>#N/A N/A</v>
      </c>
    </row>
    <row r="3799" spans="1:9" x14ac:dyDescent="0.25">
      <c r="A3799" t="str">
        <f>_xll.BDP("FNDE0926 Mtge","ID_CUSIP")</f>
        <v>3140BDA42</v>
      </c>
      <c r="B3799" t="str">
        <f>_xll.BDP("FNDE0926 Mtge","SECURITY_NAME")</f>
        <v>FN DE0926</v>
      </c>
      <c r="C3799" t="str">
        <f>_xll.BDP("FNDE0926 Mtge","GENERIC_TICKER_VINTAGE")</f>
        <v>FNCL 6 2025</v>
      </c>
      <c r="D3799" t="str">
        <f>_xll.BDP("FNDE0926 Mtge","CRNCY")</f>
        <v>USD</v>
      </c>
      <c r="E3799">
        <v>4413776</v>
      </c>
      <c r="F3799">
        <f>_xll.BDP("FNDE0926 Mtge","CPN")</f>
        <v>6</v>
      </c>
      <c r="G3799">
        <f>_xll.BDP("FNDE0926 Mtge","MTG_FACTOR")</f>
        <v>0.94146253999999996</v>
      </c>
      <c r="H3799">
        <f>_xll.BDP("FNDE0926 Mtge","MTG_WAL")</f>
        <v>3.2852999999999999</v>
      </c>
      <c r="I3799" t="str">
        <f>_xll.BDP("FNDE0926 Mtge","MTG_ORIG_WAL")</f>
        <v>#N/A N/A</v>
      </c>
    </row>
    <row r="3800" spans="1:9" x14ac:dyDescent="0.25">
      <c r="A3800" t="str">
        <f>_xll.BDP("FNDE0933 Mtge","ID_CUSIP")</f>
        <v>3140BDBB5</v>
      </c>
      <c r="B3800" t="str">
        <f>_xll.BDP("FNDE0933 Mtge","SECURITY_NAME")</f>
        <v>FN DE0933</v>
      </c>
      <c r="C3800" t="str">
        <f>_xll.BDP("FNDE0933 Mtge","GENERIC_TICKER_VINTAGE")</f>
        <v>FNCL 6 2025</v>
      </c>
      <c r="D3800" t="str">
        <f>_xll.BDP("FNDE0933 Mtge","CRNCY")</f>
        <v>USD</v>
      </c>
      <c r="E3800">
        <v>5462702</v>
      </c>
      <c r="F3800">
        <f>_xll.BDP("FNDE0933 Mtge","CPN")</f>
        <v>6</v>
      </c>
      <c r="G3800">
        <f>_xll.BDP("FNDE0933 Mtge","MTG_FACTOR")</f>
        <v>0.98536038999999997</v>
      </c>
      <c r="H3800">
        <f>_xll.BDP("FNDE0933 Mtge","MTG_WAL")</f>
        <v>3.3416999999999999</v>
      </c>
      <c r="I3800" t="str">
        <f>_xll.BDP("FNDE0933 Mtge","MTG_ORIG_WAL")</f>
        <v>#N/A N/A</v>
      </c>
    </row>
    <row r="3801" spans="1:9" x14ac:dyDescent="0.25">
      <c r="A3801" t="str">
        <f>_xll.BDP("FNDE0937 Mtge","ID_CUSIP")</f>
        <v>3140BDBF6</v>
      </c>
      <c r="B3801" t="str">
        <f>_xll.BDP("FNDE0937 Mtge","SECURITY_NAME")</f>
        <v>FN DE0937</v>
      </c>
      <c r="C3801" t="str">
        <f>_xll.BDP("FNDE0937 Mtge","GENERIC_TICKER_VINTAGE")</f>
        <v>FNCL 6 2025</v>
      </c>
      <c r="D3801" t="str">
        <f>_xll.BDP("FNDE0937 Mtge","CRNCY")</f>
        <v>USD</v>
      </c>
      <c r="E3801">
        <v>10755253</v>
      </c>
      <c r="F3801">
        <f>_xll.BDP("FNDE0937 Mtge","CPN")</f>
        <v>6</v>
      </c>
      <c r="G3801">
        <f>_xll.BDP("FNDE0937 Mtge","MTG_FACTOR")</f>
        <v>0.91689350000000003</v>
      </c>
      <c r="H3801">
        <f>_xll.BDP("FNDE0937 Mtge","MTG_WAL")</f>
        <v>3.3445999999999998</v>
      </c>
      <c r="I3801" t="str">
        <f>_xll.BDP("FNDE0937 Mtge","MTG_ORIG_WAL")</f>
        <v>#N/A N/A</v>
      </c>
    </row>
    <row r="3802" spans="1:9" x14ac:dyDescent="0.25">
      <c r="A3802" t="str">
        <f>_xll.BDP("FNDE0957 Mtge","ID_CUSIP")</f>
        <v>3140BDB33</v>
      </c>
      <c r="B3802" t="str">
        <f>_xll.BDP("FNDE0957 Mtge","SECURITY_NAME")</f>
        <v>FN DE0957</v>
      </c>
      <c r="C3802" t="str">
        <f>_xll.BDP("FNDE0957 Mtge","GENERIC_TICKER_VINTAGE")</f>
        <v>FNCL 6 2025</v>
      </c>
      <c r="D3802" t="str">
        <f>_xll.BDP("FNDE0957 Mtge","CRNCY")</f>
        <v>USD</v>
      </c>
      <c r="E3802">
        <v>22709875</v>
      </c>
      <c r="F3802">
        <f>_xll.BDP("FNDE0957 Mtge","CPN")</f>
        <v>6</v>
      </c>
      <c r="G3802">
        <f>_xll.BDP("FNDE0957 Mtge","MTG_FACTOR")</f>
        <v>0.92682648000000001</v>
      </c>
      <c r="H3802">
        <f>_xll.BDP("FNDE0957 Mtge","MTG_WAL")</f>
        <v>3.3426999999999998</v>
      </c>
      <c r="I3802" t="str">
        <f>_xll.BDP("FNDE0957 Mtge","MTG_ORIG_WAL")</f>
        <v>#N/A N/A</v>
      </c>
    </row>
    <row r="3803" spans="1:9" x14ac:dyDescent="0.25">
      <c r="A3803" t="str">
        <f>_xll.BDP("FNDE0958 Mtge","ID_CUSIP")</f>
        <v>3140BDB41</v>
      </c>
      <c r="B3803" t="str">
        <f>_xll.BDP("FNDE0958 Mtge","SECURITY_NAME")</f>
        <v>FN DE0958</v>
      </c>
      <c r="C3803" t="str">
        <f>_xll.BDP("FNDE0958 Mtge","GENERIC_TICKER_VINTAGE")</f>
        <v>FNCL 6 2025</v>
      </c>
      <c r="D3803" t="str">
        <f>_xll.BDP("FNDE0958 Mtge","CRNCY")</f>
        <v>USD</v>
      </c>
      <c r="E3803">
        <v>13222142</v>
      </c>
      <c r="F3803">
        <f>_xll.BDP("FNDE0958 Mtge","CPN")</f>
        <v>6</v>
      </c>
      <c r="G3803">
        <f>_xll.BDP("FNDE0958 Mtge","MTG_FACTOR")</f>
        <v>0.83889130999999995</v>
      </c>
      <c r="H3803">
        <f>_xll.BDP("FNDE0958 Mtge","MTG_WAL")</f>
        <v>3.2871999999999999</v>
      </c>
      <c r="I3803" t="str">
        <f>_xll.BDP("FNDE0958 Mtge","MTG_ORIG_WAL")</f>
        <v>#N/A N/A</v>
      </c>
    </row>
    <row r="3804" spans="1:9" x14ac:dyDescent="0.25">
      <c r="A3804" t="str">
        <f>_xll.BDP("FNDE0978 Mtge","ID_CUSIP")</f>
        <v>3140BDCQ1</v>
      </c>
      <c r="B3804" t="str">
        <f>_xll.BDP("FNDE0978 Mtge","SECURITY_NAME")</f>
        <v>FN DE0978</v>
      </c>
      <c r="C3804" t="str">
        <f>_xll.BDP("FNDE0978 Mtge","GENERIC_TICKER_VINTAGE")</f>
        <v>FNCL 6 2025</v>
      </c>
      <c r="D3804" t="str">
        <f>_xll.BDP("FNDE0978 Mtge","CRNCY")</f>
        <v>USD</v>
      </c>
      <c r="E3804">
        <v>5221651</v>
      </c>
      <c r="F3804">
        <f>_xll.BDP("FNDE0978 Mtge","CPN")</f>
        <v>6</v>
      </c>
      <c r="G3804">
        <f>_xll.BDP("FNDE0978 Mtge","MTG_FACTOR")</f>
        <v>0.94251419999999997</v>
      </c>
      <c r="H3804">
        <f>_xll.BDP("FNDE0978 Mtge","MTG_WAL")</f>
        <v>3.3460000000000001</v>
      </c>
      <c r="I3804" t="str">
        <f>_xll.BDP("FNDE0978 Mtge","MTG_ORIG_WAL")</f>
        <v>#N/A N/A</v>
      </c>
    </row>
    <row r="3805" spans="1:9" x14ac:dyDescent="0.25">
      <c r="A3805" t="str">
        <f>_xll.BDP("FNDE0980 Mtge","ID_CUSIP")</f>
        <v>3140BDCS7</v>
      </c>
      <c r="B3805" t="str">
        <f>_xll.BDP("FNDE0980 Mtge","SECURITY_NAME")</f>
        <v>FN DE0980</v>
      </c>
      <c r="C3805" t="str">
        <f>_xll.BDP("FNDE0980 Mtge","GENERIC_TICKER_VINTAGE")</f>
        <v>FNCL 6 2025</v>
      </c>
      <c r="D3805" t="str">
        <f>_xll.BDP("FNDE0980 Mtge","CRNCY")</f>
        <v>USD</v>
      </c>
      <c r="E3805">
        <v>11685751</v>
      </c>
      <c r="F3805">
        <f>_xll.BDP("FNDE0980 Mtge","CPN")</f>
        <v>6</v>
      </c>
      <c r="G3805">
        <f>_xll.BDP("FNDE0980 Mtge","MTG_FACTOR")</f>
        <v>0.90587191</v>
      </c>
      <c r="H3805">
        <f>_xll.BDP("FNDE0980 Mtge","MTG_WAL")</f>
        <v>3.3426999999999998</v>
      </c>
      <c r="I3805" t="str">
        <f>_xll.BDP("FNDE0980 Mtge","MTG_ORIG_WAL")</f>
        <v>#N/A N/A</v>
      </c>
    </row>
    <row r="3806" spans="1:9" x14ac:dyDescent="0.25">
      <c r="A3806" t="str">
        <f>_xll.BDP("FNDE0981 Mtge","ID_CUSIP")</f>
        <v>3140BDCT5</v>
      </c>
      <c r="B3806" t="str">
        <f>_xll.BDP("FNDE0981 Mtge","SECURITY_NAME")</f>
        <v>FN DE0981</v>
      </c>
      <c r="C3806" t="str">
        <f>_xll.BDP("FNDE0981 Mtge","GENERIC_TICKER_VINTAGE")</f>
        <v>FNCL 6 2025</v>
      </c>
      <c r="D3806" t="str">
        <f>_xll.BDP("FNDE0981 Mtge","CRNCY")</f>
        <v>USD</v>
      </c>
      <c r="E3806">
        <v>23887098</v>
      </c>
      <c r="F3806">
        <f>_xll.BDP("FNDE0981 Mtge","CPN")</f>
        <v>6</v>
      </c>
      <c r="G3806">
        <f>_xll.BDP("FNDE0981 Mtge","MTG_FACTOR")</f>
        <v>0.83208526999999999</v>
      </c>
      <c r="H3806">
        <f>_xll.BDP("FNDE0981 Mtge","MTG_WAL")</f>
        <v>3.3452999999999999</v>
      </c>
      <c r="I3806" t="str">
        <f>_xll.BDP("FNDE0981 Mtge","MTG_ORIG_WAL")</f>
        <v>#N/A N/A</v>
      </c>
    </row>
    <row r="3807" spans="1:9" x14ac:dyDescent="0.25">
      <c r="A3807" t="str">
        <f>_xll.BDP("FNDE0998 Mtge","ID_CUSIP")</f>
        <v>3140BDDC1</v>
      </c>
      <c r="B3807" t="str">
        <f>_xll.BDP("FNDE0998 Mtge","SECURITY_NAME")</f>
        <v>FN DE0998</v>
      </c>
      <c r="C3807" t="str">
        <f>_xll.BDP("FNDE0998 Mtge","GENERIC_TICKER_VINTAGE")</f>
        <v>FNCL 6 2025</v>
      </c>
      <c r="D3807" t="str">
        <f>_xll.BDP("FNDE0998 Mtge","CRNCY")</f>
        <v>USD</v>
      </c>
      <c r="E3807">
        <v>1275360</v>
      </c>
      <c r="F3807">
        <f>_xll.BDP("FNDE0998 Mtge","CPN")</f>
        <v>6</v>
      </c>
      <c r="G3807">
        <f>_xll.BDP("FNDE0998 Mtge","MTG_FACTOR")</f>
        <v>0.95102713000000005</v>
      </c>
      <c r="H3807">
        <f>_xll.BDP("FNDE0998 Mtge","MTG_WAL")</f>
        <v>3.3195999999999999</v>
      </c>
      <c r="I3807" t="str">
        <f>_xll.BDP("FNDE0998 Mtge","MTG_ORIG_WAL")</f>
        <v>#N/A N/A</v>
      </c>
    </row>
    <row r="3808" spans="1:9" x14ac:dyDescent="0.25">
      <c r="A3808" t="str">
        <f>_xll.BDP("FNDE0999 Mtge","ID_CUSIP")</f>
        <v>3140BDDD9</v>
      </c>
      <c r="B3808" t="str">
        <f>_xll.BDP("FNDE0999 Mtge","SECURITY_NAME")</f>
        <v>FN DE0999</v>
      </c>
      <c r="C3808" t="str">
        <f>_xll.BDP("FNDE0999 Mtge","GENERIC_TICKER_VINTAGE")</f>
        <v>FNCL 6 2025</v>
      </c>
      <c r="D3808" t="str">
        <f>_xll.BDP("FNDE0999 Mtge","CRNCY")</f>
        <v>USD</v>
      </c>
      <c r="E3808">
        <v>4785436</v>
      </c>
      <c r="F3808">
        <f>_xll.BDP("FNDE0999 Mtge","CPN")</f>
        <v>6</v>
      </c>
      <c r="G3808">
        <f>_xll.BDP("FNDE0999 Mtge","MTG_FACTOR")</f>
        <v>0.98978147000000005</v>
      </c>
      <c r="H3808">
        <f>_xll.BDP("FNDE0999 Mtge","MTG_WAL")</f>
        <v>3.3431999999999999</v>
      </c>
      <c r="I3808" t="str">
        <f>_xll.BDP("FNDE0999 Mtge","MTG_ORIG_WAL")</f>
        <v>#N/A N/A</v>
      </c>
    </row>
    <row r="3809" spans="1:9" x14ac:dyDescent="0.25">
      <c r="A3809" t="str">
        <f>_xll.BDP("FNDE1000 Mtge","ID_CUSIP")</f>
        <v>3140BDDE7</v>
      </c>
      <c r="B3809" t="str">
        <f>_xll.BDP("FNDE1000 Mtge","SECURITY_NAME")</f>
        <v>FN DE1000</v>
      </c>
      <c r="C3809" t="str">
        <f>_xll.BDP("FNDE1000 Mtge","GENERIC_TICKER_VINTAGE")</f>
        <v>FNCL 6 2025</v>
      </c>
      <c r="D3809" t="str">
        <f>_xll.BDP("FNDE1000 Mtge","CRNCY")</f>
        <v>USD</v>
      </c>
      <c r="E3809">
        <v>2357750</v>
      </c>
      <c r="F3809">
        <f>_xll.BDP("FNDE1000 Mtge","CPN")</f>
        <v>6</v>
      </c>
      <c r="G3809">
        <f>_xll.BDP("FNDE1000 Mtge","MTG_FACTOR")</f>
        <v>0.99201300000000003</v>
      </c>
      <c r="H3809">
        <f>_xll.BDP("FNDE1000 Mtge","MTG_WAL")</f>
        <v>3.3469000000000002</v>
      </c>
      <c r="I3809" t="str">
        <f>_xll.BDP("FNDE1000 Mtge","MTG_ORIG_WAL")</f>
        <v>#N/A N/A</v>
      </c>
    </row>
    <row r="3810" spans="1:9" x14ac:dyDescent="0.25">
      <c r="A3810" t="str">
        <f>_xll.BDP("FNDE1001 Mtge","ID_CUSIP")</f>
        <v>3140BDDF4</v>
      </c>
      <c r="B3810" t="str">
        <f>_xll.BDP("FNDE1001 Mtge","SECURITY_NAME")</f>
        <v>FN DE1001</v>
      </c>
      <c r="C3810" t="str">
        <f>_xll.BDP("FNDE1001 Mtge","GENERIC_TICKER_VINTAGE")</f>
        <v>FNCL 6 2025</v>
      </c>
      <c r="D3810" t="str">
        <f>_xll.BDP("FNDE1001 Mtge","CRNCY")</f>
        <v>USD</v>
      </c>
      <c r="E3810">
        <v>11486918</v>
      </c>
      <c r="F3810">
        <f>_xll.BDP("FNDE1001 Mtge","CPN")</f>
        <v>6</v>
      </c>
      <c r="G3810">
        <f>_xll.BDP("FNDE1001 Mtge","MTG_FACTOR")</f>
        <v>0.95891154999999995</v>
      </c>
      <c r="H3810">
        <f>_xll.BDP("FNDE1001 Mtge","MTG_WAL")</f>
        <v>3.3450000000000002</v>
      </c>
      <c r="I3810" t="str">
        <f>_xll.BDP("FNDE1001 Mtge","MTG_ORIG_WAL")</f>
        <v>#N/A N/A</v>
      </c>
    </row>
    <row r="3811" spans="1:9" x14ac:dyDescent="0.25">
      <c r="A3811" t="str">
        <f>_xll.BDP("FNDE1014 Mtge","ID_CUSIP")</f>
        <v>3140BDDU1</v>
      </c>
      <c r="B3811" t="str">
        <f>_xll.BDP("FNDE1014 Mtge","SECURITY_NAME")</f>
        <v>FN DE1014</v>
      </c>
      <c r="C3811" t="str">
        <f>_xll.BDP("FNDE1014 Mtge","GENERIC_TICKER_VINTAGE")</f>
        <v>FNCL 6 2025</v>
      </c>
      <c r="D3811" t="str">
        <f>_xll.BDP("FNDE1014 Mtge","CRNCY")</f>
        <v>USD</v>
      </c>
      <c r="E3811">
        <v>3440555</v>
      </c>
      <c r="F3811">
        <f>_xll.BDP("FNDE1014 Mtge","CPN")</f>
        <v>6</v>
      </c>
      <c r="G3811">
        <f>_xll.BDP("FNDE1014 Mtge","MTG_FACTOR")</f>
        <v>0.88197002999999996</v>
      </c>
      <c r="H3811">
        <f>_xll.BDP("FNDE1014 Mtge","MTG_WAL")</f>
        <v>3.3458000000000001</v>
      </c>
      <c r="I3811" t="str">
        <f>_xll.BDP("FNDE1014 Mtge","MTG_ORIG_WAL")</f>
        <v>#N/A N/A</v>
      </c>
    </row>
    <row r="3812" spans="1:9" x14ac:dyDescent="0.25">
      <c r="A3812" t="str">
        <f>_xll.BDP("FNDE1015 Mtge","ID_CUSIP")</f>
        <v>3140BDDV9</v>
      </c>
      <c r="B3812" t="str">
        <f>_xll.BDP("FNDE1015 Mtge","SECURITY_NAME")</f>
        <v>FN DE1015</v>
      </c>
      <c r="C3812" t="str">
        <f>_xll.BDP("FNDE1015 Mtge","GENERIC_TICKER_VINTAGE")</f>
        <v>FNCL 6 2025</v>
      </c>
      <c r="D3812" t="str">
        <f>_xll.BDP("FNDE1015 Mtge","CRNCY")</f>
        <v>USD</v>
      </c>
      <c r="E3812">
        <v>2345200</v>
      </c>
      <c r="F3812">
        <f>_xll.BDP("FNDE1015 Mtge","CPN")</f>
        <v>6</v>
      </c>
      <c r="G3812">
        <f>_xll.BDP("FNDE1015 Mtge","MTG_FACTOR")</f>
        <v>0.90345726999999998</v>
      </c>
      <c r="H3812">
        <f>_xll.BDP("FNDE1015 Mtge","MTG_WAL")</f>
        <v>3.3468</v>
      </c>
      <c r="I3812" t="str">
        <f>_xll.BDP("FNDE1015 Mtge","MTG_ORIG_WAL")</f>
        <v>#N/A N/A</v>
      </c>
    </row>
    <row r="3813" spans="1:9" x14ac:dyDescent="0.25">
      <c r="A3813" t="str">
        <f>_xll.BDP("FNDE1016 Mtge","ID_CUSIP")</f>
        <v>3140BDDW7</v>
      </c>
      <c r="B3813" t="str">
        <f>_xll.BDP("FNDE1016 Mtge","SECURITY_NAME")</f>
        <v>FN DE1016</v>
      </c>
      <c r="C3813" t="str">
        <f>_xll.BDP("FNDE1016 Mtge","GENERIC_TICKER_VINTAGE")</f>
        <v>FNCL 6 2025</v>
      </c>
      <c r="D3813" t="str">
        <f>_xll.BDP("FNDE1016 Mtge","CRNCY")</f>
        <v>USD</v>
      </c>
      <c r="E3813">
        <v>6527237</v>
      </c>
      <c r="F3813">
        <f>_xll.BDP("FNDE1016 Mtge","CPN")</f>
        <v>6</v>
      </c>
      <c r="G3813">
        <f>_xll.BDP("FNDE1016 Mtge","MTG_FACTOR")</f>
        <v>0.83058038000000001</v>
      </c>
      <c r="H3813">
        <f>_xll.BDP("FNDE1016 Mtge","MTG_WAL")</f>
        <v>3.3391000000000002</v>
      </c>
      <c r="I3813" t="str">
        <f>_xll.BDP("FNDE1016 Mtge","MTG_ORIG_WAL")</f>
        <v>#N/A N/A</v>
      </c>
    </row>
    <row r="3814" spans="1:9" x14ac:dyDescent="0.25">
      <c r="A3814" t="str">
        <f>_xll.BDP("FNDE1018 Mtge","ID_CUSIP")</f>
        <v>3140BDDY3</v>
      </c>
      <c r="B3814" t="str">
        <f>_xll.BDP("FNDE1018 Mtge","SECURITY_NAME")</f>
        <v>FN DE1018</v>
      </c>
      <c r="C3814" t="str">
        <f>_xll.BDP("FNDE1018 Mtge","GENERIC_TICKER_VINTAGE")</f>
        <v>FNCL 6 2025</v>
      </c>
      <c r="D3814" t="str">
        <f>_xll.BDP("FNDE1018 Mtge","CRNCY")</f>
        <v>USD</v>
      </c>
      <c r="E3814">
        <v>22238450</v>
      </c>
      <c r="F3814">
        <f>_xll.BDP("FNDE1018 Mtge","CPN")</f>
        <v>6</v>
      </c>
      <c r="G3814">
        <f>_xll.BDP("FNDE1018 Mtge","MTG_FACTOR")</f>
        <v>0.88137399999999999</v>
      </c>
      <c r="H3814">
        <f>_xll.BDP("FNDE1018 Mtge","MTG_WAL")</f>
        <v>3.3464</v>
      </c>
      <c r="I3814" t="str">
        <f>_xll.BDP("FNDE1018 Mtge","MTG_ORIG_WAL")</f>
        <v>#N/A N/A</v>
      </c>
    </row>
    <row r="3815" spans="1:9" x14ac:dyDescent="0.25">
      <c r="A3815" t="str">
        <f>_xll.BDP("FNDE1030 Mtge","ID_CUSIP")</f>
        <v>3140BDEC0</v>
      </c>
      <c r="B3815" t="str">
        <f>_xll.BDP("FNDE1030 Mtge","SECURITY_NAME")</f>
        <v>FN DE1030</v>
      </c>
      <c r="C3815" t="str">
        <f>_xll.BDP("FNDE1030 Mtge","GENERIC_TICKER_VINTAGE")</f>
        <v>FNCL 6 2025</v>
      </c>
      <c r="D3815" t="str">
        <f>_xll.BDP("FNDE1030 Mtge","CRNCY")</f>
        <v>USD</v>
      </c>
      <c r="E3815">
        <v>3310079</v>
      </c>
      <c r="F3815">
        <f>_xll.BDP("FNDE1030 Mtge","CPN")</f>
        <v>6</v>
      </c>
      <c r="G3815">
        <f>_xll.BDP("FNDE1030 Mtge","MTG_FACTOR")</f>
        <v>0.99026263999999997</v>
      </c>
      <c r="H3815">
        <f>_xll.BDP("FNDE1030 Mtge","MTG_WAL")</f>
        <v>3.3433000000000002</v>
      </c>
      <c r="I3815" t="str">
        <f>_xll.BDP("FNDE1030 Mtge","MTG_ORIG_WAL")</f>
        <v>#N/A N/A</v>
      </c>
    </row>
    <row r="3816" spans="1:9" x14ac:dyDescent="0.25">
      <c r="A3816" t="str">
        <f>_xll.BDP("FNDE1039 Mtge","ID_CUSIP")</f>
        <v>3140BDEM8</v>
      </c>
      <c r="B3816" t="str">
        <f>_xll.BDP("FNDE1039 Mtge","SECURITY_NAME")</f>
        <v>FN DE1039</v>
      </c>
      <c r="C3816" t="str">
        <f>_xll.BDP("FNDE1039 Mtge","GENERIC_TICKER_VINTAGE")</f>
        <v>FNCL 6 2025</v>
      </c>
      <c r="D3816" t="str">
        <f>_xll.BDP("FNDE1039 Mtge","CRNCY")</f>
        <v>USD</v>
      </c>
      <c r="E3816">
        <v>1312625</v>
      </c>
      <c r="F3816">
        <f>_xll.BDP("FNDE1039 Mtge","CPN")</f>
        <v>6</v>
      </c>
      <c r="G3816">
        <f>_xll.BDP("FNDE1039 Mtge","MTG_FACTOR")</f>
        <v>0.98995652000000001</v>
      </c>
      <c r="H3816">
        <f>_xll.BDP("FNDE1039 Mtge","MTG_WAL")</f>
        <v>3.2945000000000002</v>
      </c>
      <c r="I3816" t="str">
        <f>_xll.BDP("FNDE1039 Mtge","MTG_ORIG_WAL")</f>
        <v>#N/A N/A</v>
      </c>
    </row>
    <row r="3817" spans="1:9" x14ac:dyDescent="0.25">
      <c r="A3817" t="str">
        <f>_xll.BDP("FNDE1040 Mtge","ID_CUSIP")</f>
        <v>3140BDEN6</v>
      </c>
      <c r="B3817" t="str">
        <f>_xll.BDP("FNDE1040 Mtge","SECURITY_NAME")</f>
        <v>FN DE1040</v>
      </c>
      <c r="C3817" t="str">
        <f>_xll.BDP("FNDE1040 Mtge","GENERIC_TICKER_VINTAGE")</f>
        <v>FNCL 6 2025</v>
      </c>
      <c r="D3817" t="str">
        <f>_xll.BDP("FNDE1040 Mtge","CRNCY")</f>
        <v>USD</v>
      </c>
      <c r="E3817">
        <v>4011390</v>
      </c>
      <c r="F3817">
        <f>_xll.BDP("FNDE1040 Mtge","CPN")</f>
        <v>6</v>
      </c>
      <c r="G3817">
        <f>_xll.BDP("FNDE1040 Mtge","MTG_FACTOR")</f>
        <v>0.93046194999999998</v>
      </c>
      <c r="H3817">
        <f>_xll.BDP("FNDE1040 Mtge","MTG_WAL")</f>
        <v>3.2835999999999999</v>
      </c>
      <c r="I3817" t="str">
        <f>_xll.BDP("FNDE1040 Mtge","MTG_ORIG_WAL")</f>
        <v>#N/A N/A</v>
      </c>
    </row>
    <row r="3818" spans="1:9" x14ac:dyDescent="0.25">
      <c r="A3818" t="str">
        <f>_xll.BDP("FNDE1041 Mtge","ID_CUSIP")</f>
        <v>3140BDEP1</v>
      </c>
      <c r="B3818" t="str">
        <f>_xll.BDP("FNDE1041 Mtge","SECURITY_NAME")</f>
        <v>FN DE1041</v>
      </c>
      <c r="C3818" t="str">
        <f>_xll.BDP("FNDE1041 Mtge","GENERIC_TICKER_VINTAGE")</f>
        <v>FNCL 6 2025</v>
      </c>
      <c r="D3818" t="str">
        <f>_xll.BDP("FNDE1041 Mtge","CRNCY")</f>
        <v>USD</v>
      </c>
      <c r="E3818">
        <v>1504590</v>
      </c>
      <c r="F3818">
        <f>_xll.BDP("FNDE1041 Mtge","CPN")</f>
        <v>6</v>
      </c>
      <c r="G3818">
        <f>_xll.BDP("FNDE1041 Mtge","MTG_FACTOR")</f>
        <v>0.99021912000000001</v>
      </c>
      <c r="H3818">
        <f>_xll.BDP("FNDE1041 Mtge","MTG_WAL")</f>
        <v>3.2930000000000001</v>
      </c>
      <c r="I3818" t="str">
        <f>_xll.BDP("FNDE1041 Mtge","MTG_ORIG_WAL")</f>
        <v>#N/A N/A</v>
      </c>
    </row>
    <row r="3819" spans="1:9" x14ac:dyDescent="0.25">
      <c r="A3819" t="str">
        <f>_xll.BDP("FNDE1043 Mtge","ID_CUSIP")</f>
        <v>3140BDER7</v>
      </c>
      <c r="B3819" t="str">
        <f>_xll.BDP("FNDE1043 Mtge","SECURITY_NAME")</f>
        <v>FN DE1043</v>
      </c>
      <c r="C3819" t="str">
        <f>_xll.BDP("FNDE1043 Mtge","GENERIC_TICKER_VINTAGE")</f>
        <v>FNCL 6 2025</v>
      </c>
      <c r="D3819" t="str">
        <f>_xll.BDP("FNDE1043 Mtge","CRNCY")</f>
        <v>USD</v>
      </c>
      <c r="E3819">
        <v>2602955</v>
      </c>
      <c r="F3819">
        <f>_xll.BDP("FNDE1043 Mtge","CPN")</f>
        <v>6</v>
      </c>
      <c r="G3819">
        <f>_xll.BDP("FNDE1043 Mtge","MTG_FACTOR")</f>
        <v>0.88894519999999999</v>
      </c>
      <c r="H3819">
        <f>_xll.BDP("FNDE1043 Mtge","MTG_WAL")</f>
        <v>3.2902</v>
      </c>
      <c r="I3819" t="str">
        <f>_xll.BDP("FNDE1043 Mtge","MTG_ORIG_WAL")</f>
        <v>#N/A N/A</v>
      </c>
    </row>
    <row r="3820" spans="1:9" x14ac:dyDescent="0.25">
      <c r="A3820" t="str">
        <f>_xll.BDP("FNDE1044 Mtge","ID_CUSIP")</f>
        <v>3140BDES5</v>
      </c>
      <c r="B3820" t="str">
        <f>_xll.BDP("FNDE1044 Mtge","SECURITY_NAME")</f>
        <v>FN DE1044</v>
      </c>
      <c r="C3820" t="str">
        <f>_xll.BDP("FNDE1044 Mtge","GENERIC_TICKER_VINTAGE")</f>
        <v>FNCL 6 2025</v>
      </c>
      <c r="D3820" t="str">
        <f>_xll.BDP("FNDE1044 Mtge","CRNCY")</f>
        <v>USD</v>
      </c>
      <c r="E3820">
        <v>5440805</v>
      </c>
      <c r="F3820">
        <f>_xll.BDP("FNDE1044 Mtge","CPN")</f>
        <v>6</v>
      </c>
      <c r="G3820">
        <f>_xll.BDP("FNDE1044 Mtge","MTG_FACTOR")</f>
        <v>0.93809944000000001</v>
      </c>
      <c r="H3820">
        <f>_xll.BDP("FNDE1044 Mtge","MTG_WAL")</f>
        <v>3.2966000000000002</v>
      </c>
      <c r="I3820" t="str">
        <f>_xll.BDP("FNDE1044 Mtge","MTG_ORIG_WAL")</f>
        <v>#N/A N/A</v>
      </c>
    </row>
    <row r="3821" spans="1:9" x14ac:dyDescent="0.25">
      <c r="A3821" t="str">
        <f>_xll.BDP("FNDE1045 Mtge","ID_CUSIP")</f>
        <v>3140BDET3</v>
      </c>
      <c r="B3821" t="str">
        <f>_xll.BDP("FNDE1045 Mtge","SECURITY_NAME")</f>
        <v>FN DE1045</v>
      </c>
      <c r="C3821" t="str">
        <f>_xll.BDP("FNDE1045 Mtge","GENERIC_TICKER_VINTAGE")</f>
        <v>FNCL 6 2025</v>
      </c>
      <c r="D3821" t="str">
        <f>_xll.BDP("FNDE1045 Mtge","CRNCY")</f>
        <v>USD</v>
      </c>
      <c r="E3821">
        <v>4415510</v>
      </c>
      <c r="F3821">
        <f>_xll.BDP("FNDE1045 Mtge","CPN")</f>
        <v>6</v>
      </c>
      <c r="G3821">
        <f>_xll.BDP("FNDE1045 Mtge","MTG_FACTOR")</f>
        <v>0.89196098999999995</v>
      </c>
      <c r="H3821">
        <f>_xll.BDP("FNDE1045 Mtge","MTG_WAL")</f>
        <v>3.2845</v>
      </c>
      <c r="I3821" t="str">
        <f>_xll.BDP("FNDE1045 Mtge","MTG_ORIG_WAL")</f>
        <v>#N/A N/A</v>
      </c>
    </row>
    <row r="3822" spans="1:9" x14ac:dyDescent="0.25">
      <c r="A3822" t="str">
        <f>_xll.BDP("FNDE1046 Mtge","ID_CUSIP")</f>
        <v>3140BDEU0</v>
      </c>
      <c r="B3822" t="str">
        <f>_xll.BDP("FNDE1046 Mtge","SECURITY_NAME")</f>
        <v>FN DE1046</v>
      </c>
      <c r="C3822" t="str">
        <f>_xll.BDP("FNDE1046 Mtge","GENERIC_TICKER_VINTAGE")</f>
        <v>FNCL 6 2025</v>
      </c>
      <c r="D3822" t="str">
        <f>_xll.BDP("FNDE1046 Mtge","CRNCY")</f>
        <v>USD</v>
      </c>
      <c r="E3822">
        <v>3400225</v>
      </c>
      <c r="F3822">
        <f>_xll.BDP("FNDE1046 Mtge","CPN")</f>
        <v>6</v>
      </c>
      <c r="G3822">
        <f>_xll.BDP("FNDE1046 Mtge","MTG_FACTOR")</f>
        <v>0.89104143999999996</v>
      </c>
      <c r="H3822">
        <f>_xll.BDP("FNDE1046 Mtge","MTG_WAL")</f>
        <v>3.2921999999999998</v>
      </c>
      <c r="I3822" t="str">
        <f>_xll.BDP("FNDE1046 Mtge","MTG_ORIG_WAL")</f>
        <v>#N/A N/A</v>
      </c>
    </row>
    <row r="3823" spans="1:9" x14ac:dyDescent="0.25">
      <c r="A3823" t="str">
        <f>_xll.BDP("FNDE1047 Mtge","ID_CUSIP")</f>
        <v>3140BDEV8</v>
      </c>
      <c r="B3823" t="str">
        <f>_xll.BDP("FNDE1047 Mtge","SECURITY_NAME")</f>
        <v>FN DE1047</v>
      </c>
      <c r="C3823" t="str">
        <f>_xll.BDP("FNDE1047 Mtge","GENERIC_TICKER_VINTAGE")</f>
        <v>FNCL 6 2025</v>
      </c>
      <c r="D3823" t="str">
        <f>_xll.BDP("FNDE1047 Mtge","CRNCY")</f>
        <v>USD</v>
      </c>
      <c r="E3823">
        <v>1917350</v>
      </c>
      <c r="F3823">
        <f>_xll.BDP("FNDE1047 Mtge","CPN")</f>
        <v>6</v>
      </c>
      <c r="G3823">
        <f>_xll.BDP("FNDE1047 Mtge","MTG_FACTOR")</f>
        <v>0.60572784000000002</v>
      </c>
      <c r="H3823">
        <f>_xll.BDP("FNDE1047 Mtge","MTG_WAL")</f>
        <v>3.2968999999999999</v>
      </c>
      <c r="I3823" t="str">
        <f>_xll.BDP("FNDE1047 Mtge","MTG_ORIG_WAL")</f>
        <v>#N/A N/A</v>
      </c>
    </row>
    <row r="3824" spans="1:9" x14ac:dyDescent="0.25">
      <c r="A3824" t="str">
        <f>_xll.BDP("FNDE1048 Mtge","ID_CUSIP")</f>
        <v>3140BDEW6</v>
      </c>
      <c r="B3824" t="str">
        <f>_xll.BDP("FNDE1048 Mtge","SECURITY_NAME")</f>
        <v>FN DE1048</v>
      </c>
      <c r="C3824" t="str">
        <f>_xll.BDP("FNDE1048 Mtge","GENERIC_TICKER_VINTAGE")</f>
        <v>FNCL 6 2025</v>
      </c>
      <c r="D3824" t="str">
        <f>_xll.BDP("FNDE1048 Mtge","CRNCY")</f>
        <v>USD</v>
      </c>
      <c r="E3824">
        <v>6084504</v>
      </c>
      <c r="F3824">
        <f>_xll.BDP("FNDE1048 Mtge","CPN")</f>
        <v>6</v>
      </c>
      <c r="G3824">
        <f>_xll.BDP("FNDE1048 Mtge","MTG_FACTOR")</f>
        <v>0.91304651999999997</v>
      </c>
      <c r="H3824">
        <f>_xll.BDP("FNDE1048 Mtge","MTG_WAL")</f>
        <v>3.2883</v>
      </c>
      <c r="I3824" t="str">
        <f>_xll.BDP("FNDE1048 Mtge","MTG_ORIG_WAL")</f>
        <v>#N/A N/A</v>
      </c>
    </row>
    <row r="3825" spans="1:9" x14ac:dyDescent="0.25">
      <c r="A3825" t="str">
        <f>_xll.BDP("FNDE1049 Mtge","ID_CUSIP")</f>
        <v>3140BDEX4</v>
      </c>
      <c r="B3825" t="str">
        <f>_xll.BDP("FNDE1049 Mtge","SECURITY_NAME")</f>
        <v>FN DE1049</v>
      </c>
      <c r="C3825" t="str">
        <f>_xll.BDP("FNDE1049 Mtge","GENERIC_TICKER_VINTAGE")</f>
        <v>FNCL 6 2025</v>
      </c>
      <c r="D3825" t="str">
        <f>_xll.BDP("FNDE1049 Mtge","CRNCY")</f>
        <v>USD</v>
      </c>
      <c r="E3825">
        <v>6359962</v>
      </c>
      <c r="F3825">
        <f>_xll.BDP("FNDE1049 Mtge","CPN")</f>
        <v>6</v>
      </c>
      <c r="G3825">
        <f>_xll.BDP("FNDE1049 Mtge","MTG_FACTOR")</f>
        <v>0.80104790000000003</v>
      </c>
      <c r="H3825">
        <f>_xll.BDP("FNDE1049 Mtge","MTG_WAL")</f>
        <v>3.2970999999999999</v>
      </c>
      <c r="I3825" t="str">
        <f>_xll.BDP("FNDE1049 Mtge","MTG_ORIG_WAL")</f>
        <v>#N/A N/A</v>
      </c>
    </row>
    <row r="3826" spans="1:9" x14ac:dyDescent="0.25">
      <c r="A3826" t="str">
        <f>_xll.BDP("FNDE1138 Mtge","ID_CUSIP")</f>
        <v>3140BDHQ6</v>
      </c>
      <c r="B3826" t="str">
        <f>_xll.BDP("FNDE1138 Mtge","SECURITY_NAME")</f>
        <v>FN DE1138</v>
      </c>
      <c r="C3826" t="str">
        <f>_xll.BDP("FNDE1138 Mtge","GENERIC_TICKER_VINTAGE")</f>
        <v>FNCL 6 2025</v>
      </c>
      <c r="D3826" t="str">
        <f>_xll.BDP("FNDE1138 Mtge","CRNCY")</f>
        <v>USD</v>
      </c>
      <c r="E3826">
        <v>10032849</v>
      </c>
      <c r="F3826">
        <f>_xll.BDP("FNDE1138 Mtge","CPN")</f>
        <v>6</v>
      </c>
      <c r="G3826">
        <f>_xll.BDP("FNDE1138 Mtge","MTG_FACTOR")</f>
        <v>0.93708106000000002</v>
      </c>
      <c r="H3826">
        <f>_xll.BDP("FNDE1138 Mtge","MTG_WAL")</f>
        <v>3.3380999999999998</v>
      </c>
      <c r="I3826" t="str">
        <f>_xll.BDP("FNDE1138 Mtge","MTG_ORIG_WAL")</f>
        <v>#N/A N/A</v>
      </c>
    </row>
    <row r="3827" spans="1:9" x14ac:dyDescent="0.25">
      <c r="A3827" t="str">
        <f>_xll.BDP("FNDE1142 Mtge","ID_CUSIP")</f>
        <v>3140BDHU7</v>
      </c>
      <c r="B3827" t="str">
        <f>_xll.BDP("FNDE1142 Mtge","SECURITY_NAME")</f>
        <v>FN DE1142</v>
      </c>
      <c r="C3827" t="str">
        <f>_xll.BDP("FNDE1142 Mtge","GENERIC_TICKER_VINTAGE")</f>
        <v>FNCL 6 2025</v>
      </c>
      <c r="D3827" t="str">
        <f>_xll.BDP("FNDE1142 Mtge","CRNCY")</f>
        <v>USD</v>
      </c>
      <c r="E3827">
        <v>26401522</v>
      </c>
      <c r="F3827">
        <f>_xll.BDP("FNDE1142 Mtge","CPN")</f>
        <v>6</v>
      </c>
      <c r="G3827">
        <f>_xll.BDP("FNDE1142 Mtge","MTG_FACTOR")</f>
        <v>0.86983531999999997</v>
      </c>
      <c r="H3827">
        <f>_xll.BDP("FNDE1142 Mtge","MTG_WAL")</f>
        <v>3.3412999999999999</v>
      </c>
      <c r="I3827" t="str">
        <f>_xll.BDP("FNDE1142 Mtge","MTG_ORIG_WAL")</f>
        <v>#N/A N/A</v>
      </c>
    </row>
    <row r="3828" spans="1:9" x14ac:dyDescent="0.25">
      <c r="A3828" t="str">
        <f>_xll.BDP("FNDE1145 Mtge","ID_CUSIP")</f>
        <v>3140BDHX1</v>
      </c>
      <c r="B3828" t="str">
        <f>_xll.BDP("FNDE1145 Mtge","SECURITY_NAME")</f>
        <v>FN DE1145</v>
      </c>
      <c r="C3828" t="str">
        <f>_xll.BDP("FNDE1145 Mtge","GENERIC_TICKER_VINTAGE")</f>
        <v>FNCL 6 2025</v>
      </c>
      <c r="D3828" t="str">
        <f>_xll.BDP("FNDE1145 Mtge","CRNCY")</f>
        <v>USD</v>
      </c>
      <c r="E3828">
        <v>27440269</v>
      </c>
      <c r="F3828">
        <f>_xll.BDP("FNDE1145 Mtge","CPN")</f>
        <v>6</v>
      </c>
      <c r="G3828">
        <f>_xll.BDP("FNDE1145 Mtge","MTG_FACTOR")</f>
        <v>0.92662224000000004</v>
      </c>
      <c r="H3828">
        <f>_xll.BDP("FNDE1145 Mtge","MTG_WAL")</f>
        <v>3.3403999999999998</v>
      </c>
      <c r="I3828" t="str">
        <f>_xll.BDP("FNDE1145 Mtge","MTG_ORIG_WAL")</f>
        <v>#N/A N/A</v>
      </c>
    </row>
    <row r="3829" spans="1:9" x14ac:dyDescent="0.25">
      <c r="A3829" t="str">
        <f>_xll.BDP("FNDE1146 Mtge","ID_CUSIP")</f>
        <v>3140BDHY9</v>
      </c>
      <c r="B3829" t="str">
        <f>_xll.BDP("FNDE1146 Mtge","SECURITY_NAME")</f>
        <v>FN DE1146</v>
      </c>
      <c r="C3829" t="str">
        <f>_xll.BDP("FNDE1146 Mtge","GENERIC_TICKER_VINTAGE")</f>
        <v>FNCL 6 2025</v>
      </c>
      <c r="D3829" t="str">
        <f>_xll.BDP("FNDE1146 Mtge","CRNCY")</f>
        <v>USD</v>
      </c>
      <c r="E3829">
        <v>43544501</v>
      </c>
      <c r="F3829">
        <f>_xll.BDP("FNDE1146 Mtge","CPN")</f>
        <v>6</v>
      </c>
      <c r="G3829">
        <f>_xll.BDP("FNDE1146 Mtge","MTG_FACTOR")</f>
        <v>0.87669330999999995</v>
      </c>
      <c r="H3829">
        <f>_xll.BDP("FNDE1146 Mtge","MTG_WAL")</f>
        <v>3.3418000000000001</v>
      </c>
      <c r="I3829" t="str">
        <f>_xll.BDP("FNDE1146 Mtge","MTG_ORIG_WAL")</f>
        <v>#N/A N/A</v>
      </c>
    </row>
    <row r="3830" spans="1:9" x14ac:dyDescent="0.25">
      <c r="A3830" t="str">
        <f>_xll.BDP("FNDE1156 Mtge","ID_CUSIP")</f>
        <v>3140BDJA9</v>
      </c>
      <c r="B3830" t="str">
        <f>_xll.BDP("FNDE1156 Mtge","SECURITY_NAME")</f>
        <v>FN DE1156</v>
      </c>
      <c r="C3830" t="str">
        <f>_xll.BDP("FNDE1156 Mtge","GENERIC_TICKER_VINTAGE")</f>
        <v>FNCL 6 2025</v>
      </c>
      <c r="D3830" t="str">
        <f>_xll.BDP("FNDE1156 Mtge","CRNCY")</f>
        <v>USD</v>
      </c>
      <c r="E3830">
        <v>7584778</v>
      </c>
      <c r="F3830">
        <f>_xll.BDP("FNDE1156 Mtge","CPN")</f>
        <v>6</v>
      </c>
      <c r="G3830">
        <f>_xll.BDP("FNDE1156 Mtge","MTG_FACTOR")</f>
        <v>0.86245623000000005</v>
      </c>
      <c r="H3830">
        <f>_xll.BDP("FNDE1156 Mtge","MTG_WAL")</f>
        <v>3.3199000000000001</v>
      </c>
      <c r="I3830" t="str">
        <f>_xll.BDP("FNDE1156 Mtge","MTG_ORIG_WAL")</f>
        <v>#N/A N/A</v>
      </c>
    </row>
    <row r="3831" spans="1:9" x14ac:dyDescent="0.25">
      <c r="A3831" t="str">
        <f>_xll.BDP("FNDE1158 Mtge","ID_CUSIP")</f>
        <v>3140BDJC5</v>
      </c>
      <c r="B3831" t="str">
        <f>_xll.BDP("FNDE1158 Mtge","SECURITY_NAME")</f>
        <v>FN DE1158</v>
      </c>
      <c r="C3831" t="str">
        <f>_xll.BDP("FNDE1158 Mtge","GENERIC_TICKER_VINTAGE")</f>
        <v>FNCL 6 2025</v>
      </c>
      <c r="D3831" t="str">
        <f>_xll.BDP("FNDE1158 Mtge","CRNCY")</f>
        <v>USD</v>
      </c>
      <c r="E3831">
        <v>2424608</v>
      </c>
      <c r="F3831">
        <f>_xll.BDP("FNDE1158 Mtge","CPN")</f>
        <v>6</v>
      </c>
      <c r="G3831">
        <f>_xll.BDP("FNDE1158 Mtge","MTG_FACTOR")</f>
        <v>0.99068281000000002</v>
      </c>
      <c r="H3831">
        <f>_xll.BDP("FNDE1158 Mtge","MTG_WAL")</f>
        <v>3.3435999999999999</v>
      </c>
      <c r="I3831" t="str">
        <f>_xll.BDP("FNDE1158 Mtge","MTG_ORIG_WAL")</f>
        <v>#N/A N/A</v>
      </c>
    </row>
    <row r="3832" spans="1:9" x14ac:dyDescent="0.25">
      <c r="A3832" t="str">
        <f>_xll.BDP("FNDE1161 Mtge","ID_CUSIP")</f>
        <v>3140BDJF8</v>
      </c>
      <c r="B3832" t="str">
        <f>_xll.BDP("FNDE1161 Mtge","SECURITY_NAME")</f>
        <v>FN DE1161</v>
      </c>
      <c r="C3832" t="str">
        <f>_xll.BDP("FNDE1161 Mtge","GENERIC_TICKER_VINTAGE")</f>
        <v>FNCL 6 2025</v>
      </c>
      <c r="D3832" t="str">
        <f>_xll.BDP("FNDE1161 Mtge","CRNCY")</f>
        <v>USD</v>
      </c>
      <c r="E3832">
        <v>17334439</v>
      </c>
      <c r="F3832">
        <f>_xll.BDP("FNDE1161 Mtge","CPN")</f>
        <v>6</v>
      </c>
      <c r="G3832">
        <f>_xll.BDP("FNDE1161 Mtge","MTG_FACTOR")</f>
        <v>0.97395432999999998</v>
      </c>
      <c r="H3832">
        <f>_xll.BDP("FNDE1161 Mtge","MTG_WAL")</f>
        <v>3.3428</v>
      </c>
      <c r="I3832" t="str">
        <f>_xll.BDP("FNDE1161 Mtge","MTG_ORIG_WAL")</f>
        <v>#N/A N/A</v>
      </c>
    </row>
    <row r="3833" spans="1:9" x14ac:dyDescent="0.25">
      <c r="A3833" t="str">
        <f>_xll.BDP("FNDE1177 Mtge","ID_CUSIP")</f>
        <v>3140BDJX9</v>
      </c>
      <c r="B3833" t="str">
        <f>_xll.BDP("FNDE1177 Mtge","SECURITY_NAME")</f>
        <v>FN DE1177</v>
      </c>
      <c r="C3833" t="str">
        <f>_xll.BDP("FNDE1177 Mtge","GENERIC_TICKER_VINTAGE")</f>
        <v>FNCL 6 2025</v>
      </c>
      <c r="D3833" t="str">
        <f>_xll.BDP("FNDE1177 Mtge","CRNCY")</f>
        <v>USD</v>
      </c>
      <c r="E3833">
        <v>1329860</v>
      </c>
      <c r="F3833">
        <f>_xll.BDP("FNDE1177 Mtge","CPN")</f>
        <v>6</v>
      </c>
      <c r="G3833">
        <f>_xll.BDP("FNDE1177 Mtge","MTG_FACTOR")</f>
        <v>0.99218497000000005</v>
      </c>
      <c r="H3833">
        <f>_xll.BDP("FNDE1177 Mtge","MTG_WAL")</f>
        <v>3.3439000000000001</v>
      </c>
      <c r="I3833" t="str">
        <f>_xll.BDP("FNDE1177 Mtge","MTG_ORIG_WAL")</f>
        <v>#N/A N/A</v>
      </c>
    </row>
    <row r="3834" spans="1:9" x14ac:dyDescent="0.25">
      <c r="A3834" t="str">
        <f>_xll.BDP("FNDE1178 Mtge","ID_CUSIP")</f>
        <v>3140BDJY7</v>
      </c>
      <c r="B3834" t="str">
        <f>_xll.BDP("FNDE1178 Mtge","SECURITY_NAME")</f>
        <v>FN DE1178</v>
      </c>
      <c r="C3834" t="str">
        <f>_xll.BDP("FNDE1178 Mtge","GENERIC_TICKER_VINTAGE")</f>
        <v>FNCL 6 2025</v>
      </c>
      <c r="D3834" t="str">
        <f>_xll.BDP("FNDE1178 Mtge","CRNCY")</f>
        <v>USD</v>
      </c>
      <c r="E3834">
        <v>1758740</v>
      </c>
      <c r="F3834">
        <f>_xll.BDP("FNDE1178 Mtge","CPN")</f>
        <v>6</v>
      </c>
      <c r="G3834">
        <f>_xll.BDP("FNDE1178 Mtge","MTG_FACTOR")</f>
        <v>0.99232867000000002</v>
      </c>
      <c r="H3834">
        <f>_xll.BDP("FNDE1178 Mtge","MTG_WAL")</f>
        <v>3.3475999999999999</v>
      </c>
      <c r="I3834" t="str">
        <f>_xll.BDP("FNDE1178 Mtge","MTG_ORIG_WAL")</f>
        <v>#N/A N/A</v>
      </c>
    </row>
    <row r="3835" spans="1:9" x14ac:dyDescent="0.25">
      <c r="A3835" t="str">
        <f>_xll.BDP("FNDE1179 Mtge","ID_CUSIP")</f>
        <v>3140BDJZ4</v>
      </c>
      <c r="B3835" t="str">
        <f>_xll.BDP("FNDE1179 Mtge","SECURITY_NAME")</f>
        <v>FN DE1179</v>
      </c>
      <c r="C3835" t="str">
        <f>_xll.BDP("FNDE1179 Mtge","GENERIC_TICKER_VINTAGE")</f>
        <v>FNCL 6 2025</v>
      </c>
      <c r="D3835" t="str">
        <f>_xll.BDP("FNDE1179 Mtge","CRNCY")</f>
        <v>USD</v>
      </c>
      <c r="E3835">
        <v>2183250</v>
      </c>
      <c r="F3835">
        <f>_xll.BDP("FNDE1179 Mtge","CPN")</f>
        <v>6</v>
      </c>
      <c r="G3835">
        <f>_xll.BDP("FNDE1179 Mtge","MTG_FACTOR")</f>
        <v>0.99223262999999995</v>
      </c>
      <c r="H3835">
        <f>_xll.BDP("FNDE1179 Mtge","MTG_WAL")</f>
        <v>3.3460000000000001</v>
      </c>
      <c r="I3835" t="str">
        <f>_xll.BDP("FNDE1179 Mtge","MTG_ORIG_WAL")</f>
        <v>#N/A N/A</v>
      </c>
    </row>
    <row r="3836" spans="1:9" x14ac:dyDescent="0.25">
      <c r="A3836" t="str">
        <f>_xll.BDP("FNDE1180 Mtge","ID_CUSIP")</f>
        <v>3140BDJ27</v>
      </c>
      <c r="B3836" t="str">
        <f>_xll.BDP("FNDE1180 Mtge","SECURITY_NAME")</f>
        <v>FN DE1180</v>
      </c>
      <c r="C3836" t="str">
        <f>_xll.BDP("FNDE1180 Mtge","GENERIC_TICKER_VINTAGE")</f>
        <v>FNCL 6 2025</v>
      </c>
      <c r="D3836" t="str">
        <f>_xll.BDP("FNDE1180 Mtge","CRNCY")</f>
        <v>USD</v>
      </c>
      <c r="E3836">
        <v>1313500</v>
      </c>
      <c r="F3836">
        <f>_xll.BDP("FNDE1180 Mtge","CPN")</f>
        <v>6</v>
      </c>
      <c r="G3836">
        <f>_xll.BDP("FNDE1180 Mtge","MTG_FACTOR")</f>
        <v>0.73947280000000004</v>
      </c>
      <c r="H3836">
        <f>_xll.BDP("FNDE1180 Mtge","MTG_WAL")</f>
        <v>3.3431000000000002</v>
      </c>
      <c r="I3836" t="str">
        <f>_xll.BDP("FNDE1180 Mtge","MTG_ORIG_WAL")</f>
        <v>#N/A N/A</v>
      </c>
    </row>
    <row r="3837" spans="1:9" x14ac:dyDescent="0.25">
      <c r="A3837" t="str">
        <f>_xll.BDP("FNDE1181 Mtge","ID_CUSIP")</f>
        <v>3140BDJ35</v>
      </c>
      <c r="B3837" t="str">
        <f>_xll.BDP("FNDE1181 Mtge","SECURITY_NAME")</f>
        <v>FN DE1181</v>
      </c>
      <c r="C3837" t="str">
        <f>_xll.BDP("FNDE1181 Mtge","GENERIC_TICKER_VINTAGE")</f>
        <v>FNCL 6 2025</v>
      </c>
      <c r="D3837" t="str">
        <f>_xll.BDP("FNDE1181 Mtge","CRNCY")</f>
        <v>USD</v>
      </c>
      <c r="E3837">
        <v>3996282</v>
      </c>
      <c r="F3837">
        <f>_xll.BDP("FNDE1181 Mtge","CPN")</f>
        <v>6</v>
      </c>
      <c r="G3837">
        <f>_xll.BDP("FNDE1181 Mtge","MTG_FACTOR")</f>
        <v>0.89963232999999998</v>
      </c>
      <c r="H3837">
        <f>_xll.BDP("FNDE1181 Mtge","MTG_WAL")</f>
        <v>3.3431999999999999</v>
      </c>
      <c r="I3837" t="str">
        <f>_xll.BDP("FNDE1181 Mtge","MTG_ORIG_WAL")</f>
        <v>#N/A N/A</v>
      </c>
    </row>
    <row r="3838" spans="1:9" x14ac:dyDescent="0.25">
      <c r="A3838" t="str">
        <f>_xll.BDP("FNDE1190 Mtge","ID_CUSIP")</f>
        <v>3140BDKC3</v>
      </c>
      <c r="B3838" t="str">
        <f>_xll.BDP("FNDE1190 Mtge","SECURITY_NAME")</f>
        <v>FN DE1190</v>
      </c>
      <c r="C3838" t="str">
        <f>_xll.BDP("FNDE1190 Mtge","GENERIC_TICKER_VINTAGE")</f>
        <v>FNCL 6 2025</v>
      </c>
      <c r="D3838" t="str">
        <f>_xll.BDP("FNDE1190 Mtge","CRNCY")</f>
        <v>USD</v>
      </c>
      <c r="E3838">
        <v>1417200</v>
      </c>
      <c r="F3838">
        <f>_xll.BDP("FNDE1190 Mtge","CPN")</f>
        <v>6</v>
      </c>
      <c r="G3838">
        <f>_xll.BDP("FNDE1190 Mtge","MTG_FACTOR")</f>
        <v>0.99203604000000001</v>
      </c>
      <c r="H3838">
        <f>_xll.BDP("FNDE1190 Mtge","MTG_WAL")</f>
        <v>3.3418000000000001</v>
      </c>
      <c r="I3838" t="str">
        <f>_xll.BDP("FNDE1190 Mtge","MTG_ORIG_WAL")</f>
        <v>#N/A N/A</v>
      </c>
    </row>
    <row r="3839" spans="1:9" x14ac:dyDescent="0.25">
      <c r="A3839" t="str">
        <f>_xll.BDP("FNDE1191 Mtge","ID_CUSIP")</f>
        <v>3140BDKD1</v>
      </c>
      <c r="B3839" t="str">
        <f>_xll.BDP("FNDE1191 Mtge","SECURITY_NAME")</f>
        <v>FN DE1191</v>
      </c>
      <c r="C3839" t="str">
        <f>_xll.BDP("FNDE1191 Mtge","GENERIC_TICKER_VINTAGE")</f>
        <v>FNCL 6 2025</v>
      </c>
      <c r="D3839" t="str">
        <f>_xll.BDP("FNDE1191 Mtge","CRNCY")</f>
        <v>USD</v>
      </c>
      <c r="E3839">
        <v>1076174</v>
      </c>
      <c r="F3839">
        <f>_xll.BDP("FNDE1191 Mtge","CPN")</f>
        <v>6</v>
      </c>
      <c r="G3839">
        <f>_xll.BDP("FNDE1191 Mtge","MTG_FACTOR")</f>
        <v>0.99160497999999997</v>
      </c>
      <c r="H3839">
        <f>_xll.BDP("FNDE1191 Mtge","MTG_WAL")</f>
        <v>3.3420999999999998</v>
      </c>
      <c r="I3839" t="str">
        <f>_xll.BDP("FNDE1191 Mtge","MTG_ORIG_WAL")</f>
        <v>#N/A N/A</v>
      </c>
    </row>
    <row r="3840" spans="1:9" x14ac:dyDescent="0.25">
      <c r="A3840" t="str">
        <f>_xll.BDP("FNDE1192 Mtge","ID_CUSIP")</f>
        <v>3140BDKE9</v>
      </c>
      <c r="B3840" t="str">
        <f>_xll.BDP("FNDE1192 Mtge","SECURITY_NAME")</f>
        <v>FN DE1192</v>
      </c>
      <c r="C3840" t="str">
        <f>_xll.BDP("FNDE1192 Mtge","GENERIC_TICKER_VINTAGE")</f>
        <v>FNCL 6 2025</v>
      </c>
      <c r="D3840" t="str">
        <f>_xll.BDP("FNDE1192 Mtge","CRNCY")</f>
        <v>USD</v>
      </c>
      <c r="E3840">
        <v>1160930</v>
      </c>
      <c r="F3840">
        <f>_xll.BDP("FNDE1192 Mtge","CPN")</f>
        <v>6</v>
      </c>
      <c r="G3840">
        <f>_xll.BDP("FNDE1192 Mtge","MTG_FACTOR")</f>
        <v>0.99207036000000004</v>
      </c>
      <c r="H3840">
        <f>_xll.BDP("FNDE1192 Mtge","MTG_WAL")</f>
        <v>3.3424</v>
      </c>
      <c r="I3840" t="str">
        <f>_xll.BDP("FNDE1192 Mtge","MTG_ORIG_WAL")</f>
        <v>#N/A N/A</v>
      </c>
    </row>
    <row r="3841" spans="1:9" x14ac:dyDescent="0.25">
      <c r="A3841" t="str">
        <f>_xll.BDP("FNDE1193 Mtge","ID_CUSIP")</f>
        <v>3140BDKF6</v>
      </c>
      <c r="B3841" t="str">
        <f>_xll.BDP("FNDE1193 Mtge","SECURITY_NAME")</f>
        <v>FN DE1193</v>
      </c>
      <c r="C3841" t="str">
        <f>_xll.BDP("FNDE1193 Mtge","GENERIC_TICKER_VINTAGE")</f>
        <v>FNCL 6 2025</v>
      </c>
      <c r="D3841" t="str">
        <f>_xll.BDP("FNDE1193 Mtge","CRNCY")</f>
        <v>USD</v>
      </c>
      <c r="E3841">
        <v>2352658</v>
      </c>
      <c r="F3841">
        <f>_xll.BDP("FNDE1193 Mtge","CPN")</f>
        <v>6</v>
      </c>
      <c r="G3841">
        <f>_xll.BDP("FNDE1193 Mtge","MTG_FACTOR")</f>
        <v>0.99182258999999995</v>
      </c>
      <c r="H3841">
        <f>_xll.BDP("FNDE1193 Mtge","MTG_WAL")</f>
        <v>3.3433999999999999</v>
      </c>
      <c r="I3841" t="str">
        <f>_xll.BDP("FNDE1193 Mtge","MTG_ORIG_WAL")</f>
        <v>#N/A N/A</v>
      </c>
    </row>
    <row r="3842" spans="1:9" x14ac:dyDescent="0.25">
      <c r="A3842" t="str">
        <f>_xll.BDP("FNDE1194 Mtge","ID_CUSIP")</f>
        <v>3140BDKG4</v>
      </c>
      <c r="B3842" t="str">
        <f>_xll.BDP("FNDE1194 Mtge","SECURITY_NAME")</f>
        <v>FN DE1194</v>
      </c>
      <c r="C3842" t="str">
        <f>_xll.BDP("FNDE1194 Mtge","GENERIC_TICKER_VINTAGE")</f>
        <v>FNCL 6 2025</v>
      </c>
      <c r="D3842" t="str">
        <f>_xll.BDP("FNDE1194 Mtge","CRNCY")</f>
        <v>USD</v>
      </c>
      <c r="E3842">
        <v>1544000</v>
      </c>
      <c r="F3842">
        <f>_xll.BDP("FNDE1194 Mtge","CPN")</f>
        <v>6</v>
      </c>
      <c r="G3842">
        <f>_xll.BDP("FNDE1194 Mtge","MTG_FACTOR")</f>
        <v>0.99185670999999997</v>
      </c>
      <c r="H3842">
        <f>_xll.BDP("FNDE1194 Mtge","MTG_WAL")</f>
        <v>3.343</v>
      </c>
      <c r="I3842" t="str">
        <f>_xll.BDP("FNDE1194 Mtge","MTG_ORIG_WAL")</f>
        <v>#N/A N/A</v>
      </c>
    </row>
    <row r="3843" spans="1:9" x14ac:dyDescent="0.25">
      <c r="A3843" t="str">
        <f>_xll.BDP("FNDE1198 Mtge","ID_CUSIP")</f>
        <v>3140BDKL3</v>
      </c>
      <c r="B3843" t="str">
        <f>_xll.BDP("FNDE1198 Mtge","SECURITY_NAME")</f>
        <v>FN DE1198</v>
      </c>
      <c r="C3843" t="str">
        <f>_xll.BDP("FNDE1198 Mtge","GENERIC_TICKER_VINTAGE")</f>
        <v>FNCL 6 2025</v>
      </c>
      <c r="D3843" t="str">
        <f>_xll.BDP("FNDE1198 Mtge","CRNCY")</f>
        <v>USD</v>
      </c>
      <c r="E3843">
        <v>1723853</v>
      </c>
      <c r="F3843">
        <f>_xll.BDP("FNDE1198 Mtge","CPN")</f>
        <v>6</v>
      </c>
      <c r="G3843">
        <f>_xll.BDP("FNDE1198 Mtge","MTG_FACTOR")</f>
        <v>0.98910379000000004</v>
      </c>
      <c r="H3843">
        <f>_xll.BDP("FNDE1198 Mtge","MTG_WAL")</f>
        <v>3.3416000000000001</v>
      </c>
      <c r="I3843" t="str">
        <f>_xll.BDP("FNDE1198 Mtge","MTG_ORIG_WAL")</f>
        <v>#N/A N/A</v>
      </c>
    </row>
    <row r="3844" spans="1:9" x14ac:dyDescent="0.25">
      <c r="A3844" t="str">
        <f>_xll.BDP("FNDE1199 Mtge","ID_CUSIP")</f>
        <v>3140BDKM1</v>
      </c>
      <c r="B3844" t="str">
        <f>_xll.BDP("FNDE1199 Mtge","SECURITY_NAME")</f>
        <v>FN DE1199</v>
      </c>
      <c r="C3844" t="str">
        <f>_xll.BDP("FNDE1199 Mtge","GENERIC_TICKER_VINTAGE")</f>
        <v>FNCL 6 2025</v>
      </c>
      <c r="D3844" t="str">
        <f>_xll.BDP("FNDE1199 Mtge","CRNCY")</f>
        <v>USD</v>
      </c>
      <c r="E3844">
        <v>1510450</v>
      </c>
      <c r="F3844">
        <f>_xll.BDP("FNDE1199 Mtge","CPN")</f>
        <v>6</v>
      </c>
      <c r="G3844">
        <f>_xll.BDP("FNDE1199 Mtge","MTG_FACTOR")</f>
        <v>0.99231791999999996</v>
      </c>
      <c r="H3844">
        <f>_xll.BDP("FNDE1199 Mtge","MTG_WAL")</f>
        <v>3.3458000000000001</v>
      </c>
      <c r="I3844" t="str">
        <f>_xll.BDP("FNDE1199 Mtge","MTG_ORIG_WAL")</f>
        <v>#N/A N/A</v>
      </c>
    </row>
    <row r="3845" spans="1:9" x14ac:dyDescent="0.25">
      <c r="A3845" t="str">
        <f>_xll.BDP("FNDE1200 Mtge","ID_CUSIP")</f>
        <v>3140BDKN9</v>
      </c>
      <c r="B3845" t="str">
        <f>_xll.BDP("FNDE1200 Mtge","SECURITY_NAME")</f>
        <v>FN DE1200</v>
      </c>
      <c r="C3845" t="str">
        <f>_xll.BDP("FNDE1200 Mtge","GENERIC_TICKER_VINTAGE")</f>
        <v>FNCL 6 2025</v>
      </c>
      <c r="D3845" t="str">
        <f>_xll.BDP("FNDE1200 Mtge","CRNCY")</f>
        <v>USD</v>
      </c>
      <c r="E3845">
        <v>1246405</v>
      </c>
      <c r="F3845">
        <f>_xll.BDP("FNDE1200 Mtge","CPN")</f>
        <v>6</v>
      </c>
      <c r="G3845">
        <f>_xll.BDP("FNDE1200 Mtge","MTG_FACTOR")</f>
        <v>0.80029044999999999</v>
      </c>
      <c r="H3845">
        <f>_xll.BDP("FNDE1200 Mtge","MTG_WAL")</f>
        <v>3.3220000000000001</v>
      </c>
      <c r="I3845" t="str">
        <f>_xll.BDP("FNDE1200 Mtge","MTG_ORIG_WAL")</f>
        <v>#N/A N/A</v>
      </c>
    </row>
    <row r="3846" spans="1:9" x14ac:dyDescent="0.25">
      <c r="A3846" t="str">
        <f>_xll.BDP("FNDE1204 Mtge","ID_CUSIP")</f>
        <v>3140BDKS8</v>
      </c>
      <c r="B3846" t="str">
        <f>_xll.BDP("FNDE1204 Mtge","SECURITY_NAME")</f>
        <v>FN DE1204</v>
      </c>
      <c r="C3846" t="str">
        <f>_xll.BDP("FNDE1204 Mtge","GENERIC_TICKER_VINTAGE")</f>
        <v>FNCL 6 2025</v>
      </c>
      <c r="D3846" t="str">
        <f>_xll.BDP("FNDE1204 Mtge","CRNCY")</f>
        <v>USD</v>
      </c>
      <c r="E3846">
        <v>2684625</v>
      </c>
      <c r="F3846">
        <f>_xll.BDP("FNDE1204 Mtge","CPN")</f>
        <v>6</v>
      </c>
      <c r="G3846">
        <f>_xll.BDP("FNDE1204 Mtge","MTG_FACTOR")</f>
        <v>0.99107763999999998</v>
      </c>
      <c r="H3846">
        <f>_xll.BDP("FNDE1204 Mtge","MTG_WAL")</f>
        <v>3.3414999999999999</v>
      </c>
      <c r="I3846" t="str">
        <f>_xll.BDP("FNDE1204 Mtge","MTG_ORIG_WAL")</f>
        <v>#N/A N/A</v>
      </c>
    </row>
    <row r="3847" spans="1:9" x14ac:dyDescent="0.25">
      <c r="A3847" t="str">
        <f>_xll.BDP("FNDE1205 Mtge","ID_CUSIP")</f>
        <v>3140BDKT6</v>
      </c>
      <c r="B3847" t="str">
        <f>_xll.BDP("FNDE1205 Mtge","SECURITY_NAME")</f>
        <v>FN DE1205</v>
      </c>
      <c r="C3847" t="str">
        <f>_xll.BDP("FNDE1205 Mtge","GENERIC_TICKER_VINTAGE")</f>
        <v>FNCL 6 2025</v>
      </c>
      <c r="D3847" t="str">
        <f>_xll.BDP("FNDE1205 Mtge","CRNCY")</f>
        <v>USD</v>
      </c>
      <c r="E3847">
        <v>3702195</v>
      </c>
      <c r="F3847">
        <f>_xll.BDP("FNDE1205 Mtge","CPN")</f>
        <v>6</v>
      </c>
      <c r="G3847">
        <f>_xll.BDP("FNDE1205 Mtge","MTG_FACTOR")</f>
        <v>0.84738332999999999</v>
      </c>
      <c r="H3847">
        <f>_xll.BDP("FNDE1205 Mtge","MTG_WAL")</f>
        <v>3.3420000000000001</v>
      </c>
      <c r="I3847" t="str">
        <f>_xll.BDP("FNDE1205 Mtge","MTG_ORIG_WAL")</f>
        <v>#N/A N/A</v>
      </c>
    </row>
    <row r="3848" spans="1:9" x14ac:dyDescent="0.25">
      <c r="A3848" t="str">
        <f>_xll.BDP("FNDE1206 Mtge","ID_CUSIP")</f>
        <v>3140BDKU3</v>
      </c>
      <c r="B3848" t="str">
        <f>_xll.BDP("FNDE1206 Mtge","SECURITY_NAME")</f>
        <v>FN DE1206</v>
      </c>
      <c r="C3848" t="str">
        <f>_xll.BDP("FNDE1206 Mtge","GENERIC_TICKER_VINTAGE")</f>
        <v>FNCL 6 2025</v>
      </c>
      <c r="D3848" t="str">
        <f>_xll.BDP("FNDE1206 Mtge","CRNCY")</f>
        <v>USD</v>
      </c>
      <c r="E3848">
        <v>1218530</v>
      </c>
      <c r="F3848">
        <f>_xll.BDP("FNDE1206 Mtge","CPN")</f>
        <v>6</v>
      </c>
      <c r="G3848">
        <f>_xll.BDP("FNDE1206 Mtge","MTG_FACTOR")</f>
        <v>0.98225825</v>
      </c>
      <c r="H3848">
        <f>_xll.BDP("FNDE1206 Mtge","MTG_WAL")</f>
        <v>3.3351999999999999</v>
      </c>
      <c r="I3848" t="str">
        <f>_xll.BDP("FNDE1206 Mtge","MTG_ORIG_WAL")</f>
        <v>#N/A N/A</v>
      </c>
    </row>
    <row r="3849" spans="1:9" x14ac:dyDescent="0.25">
      <c r="A3849" t="str">
        <f>_xll.BDP("FNDE1207 Mtge","ID_CUSIP")</f>
        <v>3140BDKV1</v>
      </c>
      <c r="B3849" t="str">
        <f>_xll.BDP("FNDE1207 Mtge","SECURITY_NAME")</f>
        <v>FN DE1207</v>
      </c>
      <c r="C3849" t="str">
        <f>_xll.BDP("FNDE1207 Mtge","GENERIC_TICKER_VINTAGE")</f>
        <v>FNCL 6 2025</v>
      </c>
      <c r="D3849" t="str">
        <f>_xll.BDP("FNDE1207 Mtge","CRNCY")</f>
        <v>USD</v>
      </c>
      <c r="E3849">
        <v>1309655</v>
      </c>
      <c r="F3849">
        <f>_xll.BDP("FNDE1207 Mtge","CPN")</f>
        <v>6</v>
      </c>
      <c r="G3849">
        <f>_xll.BDP("FNDE1207 Mtge","MTG_FACTOR")</f>
        <v>0.99141024</v>
      </c>
      <c r="H3849">
        <f>_xll.BDP("FNDE1207 Mtge","MTG_WAL")</f>
        <v>3.3420999999999998</v>
      </c>
      <c r="I3849" t="str">
        <f>_xll.BDP("FNDE1207 Mtge","MTG_ORIG_WAL")</f>
        <v>#N/A N/A</v>
      </c>
    </row>
    <row r="3850" spans="1:9" x14ac:dyDescent="0.25">
      <c r="A3850" t="str">
        <f>_xll.BDP("FNDE1208 Mtge","ID_CUSIP")</f>
        <v>3140BDKW9</v>
      </c>
      <c r="B3850" t="str">
        <f>_xll.BDP("FNDE1208 Mtge","SECURITY_NAME")</f>
        <v>FN DE1208</v>
      </c>
      <c r="C3850" t="str">
        <f>_xll.BDP("FNDE1208 Mtge","GENERIC_TICKER_VINTAGE")</f>
        <v>FNCL 6 2025</v>
      </c>
      <c r="D3850" t="str">
        <f>_xll.BDP("FNDE1208 Mtge","CRNCY")</f>
        <v>USD</v>
      </c>
      <c r="E3850">
        <v>1167965</v>
      </c>
      <c r="F3850">
        <f>_xll.BDP("FNDE1208 Mtge","CPN")</f>
        <v>6</v>
      </c>
      <c r="G3850">
        <f>_xll.BDP("FNDE1208 Mtge","MTG_FACTOR")</f>
        <v>0.99224847999999999</v>
      </c>
      <c r="H3850">
        <f>_xll.BDP("FNDE1208 Mtge","MTG_WAL")</f>
        <v>3.3454999999999999</v>
      </c>
      <c r="I3850" t="str">
        <f>_xll.BDP("FNDE1208 Mtge","MTG_ORIG_WAL")</f>
        <v>#N/A N/A</v>
      </c>
    </row>
    <row r="3851" spans="1:9" x14ac:dyDescent="0.25">
      <c r="A3851" t="str">
        <f>_xll.BDP("FNDE1209 Mtge","ID_CUSIP")</f>
        <v>3140BDKX7</v>
      </c>
      <c r="B3851" t="str">
        <f>_xll.BDP("FNDE1209 Mtge","SECURITY_NAME")</f>
        <v>FN DE1209</v>
      </c>
      <c r="C3851" t="str">
        <f>_xll.BDP("FNDE1209 Mtge","GENERIC_TICKER_VINTAGE")</f>
        <v>FNCL 6 2025</v>
      </c>
      <c r="D3851" t="str">
        <f>_xll.BDP("FNDE1209 Mtge","CRNCY")</f>
        <v>USD</v>
      </c>
      <c r="E3851">
        <v>1684347</v>
      </c>
      <c r="F3851">
        <f>_xll.BDP("FNDE1209 Mtge","CPN")</f>
        <v>6</v>
      </c>
      <c r="G3851">
        <f>_xll.BDP("FNDE1209 Mtge","MTG_FACTOR")</f>
        <v>0.99174284000000001</v>
      </c>
      <c r="H3851">
        <f>_xll.BDP("FNDE1209 Mtge","MTG_WAL")</f>
        <v>3.3454000000000002</v>
      </c>
      <c r="I3851" t="str">
        <f>_xll.BDP("FNDE1209 Mtge","MTG_ORIG_WAL")</f>
        <v>#N/A N/A</v>
      </c>
    </row>
    <row r="3852" spans="1:9" x14ac:dyDescent="0.25">
      <c r="A3852" t="str">
        <f>_xll.BDP("FNDE1211 Mtge","ID_CUSIP")</f>
        <v>3140BDKZ2</v>
      </c>
      <c r="B3852" t="str">
        <f>_xll.BDP("FNDE1211 Mtge","SECURITY_NAME")</f>
        <v>FN DE1211</v>
      </c>
      <c r="C3852" t="str">
        <f>_xll.BDP("FNDE1211 Mtge","GENERIC_TICKER_VINTAGE")</f>
        <v>FNCL 6 2025</v>
      </c>
      <c r="D3852" t="str">
        <f>_xll.BDP("FNDE1211 Mtge","CRNCY")</f>
        <v>USD</v>
      </c>
      <c r="E3852">
        <v>1167210</v>
      </c>
      <c r="F3852">
        <f>_xll.BDP("FNDE1211 Mtge","CPN")</f>
        <v>6</v>
      </c>
      <c r="G3852">
        <f>_xll.BDP("FNDE1211 Mtge","MTG_FACTOR")</f>
        <v>0.98466410999999998</v>
      </c>
      <c r="H3852">
        <f>_xll.BDP("FNDE1211 Mtge","MTG_WAL")</f>
        <v>3.335</v>
      </c>
      <c r="I3852" t="str">
        <f>_xll.BDP("FNDE1211 Mtge","MTG_ORIG_WAL")</f>
        <v>#N/A N/A</v>
      </c>
    </row>
    <row r="3853" spans="1:9" x14ac:dyDescent="0.25">
      <c r="A3853" t="str">
        <f>_xll.BDP("FNDE1220 Mtge","ID_CUSIP")</f>
        <v>3140BDLA6</v>
      </c>
      <c r="B3853" t="str">
        <f>_xll.BDP("FNDE1220 Mtge","SECURITY_NAME")</f>
        <v>FN DE1220</v>
      </c>
      <c r="C3853" t="str">
        <f>_xll.BDP("FNDE1220 Mtge","GENERIC_TICKER_VINTAGE")</f>
        <v>FNCL 6 2025</v>
      </c>
      <c r="D3853" t="str">
        <f>_xll.BDP("FNDE1220 Mtge","CRNCY")</f>
        <v>USD</v>
      </c>
      <c r="E3853">
        <v>1312350</v>
      </c>
      <c r="F3853">
        <f>_xll.BDP("FNDE1220 Mtge","CPN")</f>
        <v>6</v>
      </c>
      <c r="G3853">
        <f>_xll.BDP("FNDE1220 Mtge","MTG_FACTOR")</f>
        <v>0.99228070999999995</v>
      </c>
      <c r="H3853">
        <f>_xll.BDP("FNDE1220 Mtge","MTG_WAL")</f>
        <v>3.3454999999999999</v>
      </c>
      <c r="I3853" t="str">
        <f>_xll.BDP("FNDE1220 Mtge","MTG_ORIG_WAL")</f>
        <v>#N/A N/A</v>
      </c>
    </row>
    <row r="3854" spans="1:9" x14ac:dyDescent="0.25">
      <c r="A3854" t="str">
        <f>_xll.BDP("FNDE1231 Mtge","ID_CUSIP")</f>
        <v>3140BDLM0</v>
      </c>
      <c r="B3854" t="str">
        <f>_xll.BDP("FNDE1231 Mtge","SECURITY_NAME")</f>
        <v>FN DE1231</v>
      </c>
      <c r="C3854" t="str">
        <f>_xll.BDP("FNDE1231 Mtge","GENERIC_TICKER_VINTAGE")</f>
        <v>FNCL 6 2025</v>
      </c>
      <c r="D3854" t="str">
        <f>_xll.BDP("FNDE1231 Mtge","CRNCY")</f>
        <v>USD</v>
      </c>
      <c r="E3854">
        <v>1072348</v>
      </c>
      <c r="F3854">
        <f>_xll.BDP("FNDE1231 Mtge","CPN")</f>
        <v>6</v>
      </c>
      <c r="G3854">
        <f>_xll.BDP("FNDE1231 Mtge","MTG_FACTOR")</f>
        <v>0.99181348000000003</v>
      </c>
      <c r="H3854">
        <f>_xll.BDP("FNDE1231 Mtge","MTG_WAL")</f>
        <v>3.3437999999999999</v>
      </c>
      <c r="I3854" t="str">
        <f>_xll.BDP("FNDE1231 Mtge","MTG_ORIG_WAL")</f>
        <v>#N/A N/A</v>
      </c>
    </row>
    <row r="3855" spans="1:9" x14ac:dyDescent="0.25">
      <c r="A3855" t="str">
        <f>_xll.BDP("FNDE1234 Mtge","ID_CUSIP")</f>
        <v>3140BDLQ1</v>
      </c>
      <c r="B3855" t="str">
        <f>_xll.BDP("FNDE1234 Mtge","SECURITY_NAME")</f>
        <v>FN DE1234</v>
      </c>
      <c r="C3855" t="str">
        <f>_xll.BDP("FNDE1234 Mtge","GENERIC_TICKER_VINTAGE")</f>
        <v>FNCL 6 2025</v>
      </c>
      <c r="D3855" t="str">
        <f>_xll.BDP("FNDE1234 Mtge","CRNCY")</f>
        <v>USD</v>
      </c>
      <c r="E3855">
        <v>1523220</v>
      </c>
      <c r="F3855">
        <f>_xll.BDP("FNDE1234 Mtge","CPN")</f>
        <v>6</v>
      </c>
      <c r="G3855">
        <f>_xll.BDP("FNDE1234 Mtge","MTG_FACTOR")</f>
        <v>0.99018943999999998</v>
      </c>
      <c r="H3855">
        <f>_xll.BDP("FNDE1234 Mtge","MTG_WAL")</f>
        <v>3.3416000000000001</v>
      </c>
      <c r="I3855" t="str">
        <f>_xll.BDP("FNDE1234 Mtge","MTG_ORIG_WAL")</f>
        <v>#N/A N/A</v>
      </c>
    </row>
    <row r="3856" spans="1:9" x14ac:dyDescent="0.25">
      <c r="A3856" t="str">
        <f>_xll.BDP("FNDE1235 Mtge","ID_CUSIP")</f>
        <v>3140BDLR9</v>
      </c>
      <c r="B3856" t="str">
        <f>_xll.BDP("FNDE1235 Mtge","SECURITY_NAME")</f>
        <v>FN DE1235</v>
      </c>
      <c r="C3856" t="str">
        <f>_xll.BDP("FNDE1235 Mtge","GENERIC_TICKER_VINTAGE")</f>
        <v>FNCL 6 2025</v>
      </c>
      <c r="D3856" t="str">
        <f>_xll.BDP("FNDE1235 Mtge","CRNCY")</f>
        <v>USD</v>
      </c>
      <c r="E3856">
        <v>1030700</v>
      </c>
      <c r="F3856">
        <f>_xll.BDP("FNDE1235 Mtge","CPN")</f>
        <v>6</v>
      </c>
      <c r="G3856">
        <f>_xll.BDP("FNDE1235 Mtge","MTG_FACTOR")</f>
        <v>0.99237885000000003</v>
      </c>
      <c r="H3856">
        <f>_xll.BDP("FNDE1235 Mtge","MTG_WAL")</f>
        <v>3.3466</v>
      </c>
      <c r="I3856" t="str">
        <f>_xll.BDP("FNDE1235 Mtge","MTG_ORIG_WAL")</f>
        <v>#N/A N/A</v>
      </c>
    </row>
    <row r="3857" spans="1:9" x14ac:dyDescent="0.25">
      <c r="A3857" t="str">
        <f>_xll.BDP("FNDE1239 Mtge","ID_CUSIP")</f>
        <v>3140BDLV0</v>
      </c>
      <c r="B3857" t="str">
        <f>_xll.BDP("FNDE1239 Mtge","SECURITY_NAME")</f>
        <v>FN DE1239</v>
      </c>
      <c r="C3857" t="str">
        <f>_xll.BDP("FNDE1239 Mtge","GENERIC_TICKER_VINTAGE")</f>
        <v>FNCL 6 2025</v>
      </c>
      <c r="D3857" t="str">
        <f>_xll.BDP("FNDE1239 Mtge","CRNCY")</f>
        <v>USD</v>
      </c>
      <c r="E3857">
        <v>1111800</v>
      </c>
      <c r="F3857">
        <f>_xll.BDP("FNDE1239 Mtge","CPN")</f>
        <v>6</v>
      </c>
      <c r="G3857">
        <f>_xll.BDP("FNDE1239 Mtge","MTG_FACTOR")</f>
        <v>0.79041907</v>
      </c>
      <c r="H3857">
        <f>_xll.BDP("FNDE1239 Mtge","MTG_WAL")</f>
        <v>3.3466</v>
      </c>
      <c r="I3857" t="str">
        <f>_xll.BDP("FNDE1239 Mtge","MTG_ORIG_WAL")</f>
        <v>#N/A N/A</v>
      </c>
    </row>
    <row r="3858" spans="1:9" x14ac:dyDescent="0.25">
      <c r="A3858" t="str">
        <f>_xll.BDP("FNDE1240 Mtge","ID_CUSIP")</f>
        <v>3140BDLW8</v>
      </c>
      <c r="B3858" t="str">
        <f>_xll.BDP("FNDE1240 Mtge","SECURITY_NAME")</f>
        <v>FN DE1240</v>
      </c>
      <c r="C3858" t="str">
        <f>_xll.BDP("FNDE1240 Mtge","GENERIC_TICKER_VINTAGE")</f>
        <v>FNCL 6 2025</v>
      </c>
      <c r="D3858" t="str">
        <f>_xll.BDP("FNDE1240 Mtge","CRNCY")</f>
        <v>USD</v>
      </c>
      <c r="E3858">
        <v>1820415</v>
      </c>
      <c r="F3858">
        <f>_xll.BDP("FNDE1240 Mtge","CPN")</f>
        <v>6</v>
      </c>
      <c r="G3858">
        <f>_xll.BDP("FNDE1240 Mtge","MTG_FACTOR")</f>
        <v>0.94091387000000004</v>
      </c>
      <c r="H3858">
        <f>_xll.BDP("FNDE1240 Mtge","MTG_WAL")</f>
        <v>3.3233999999999999</v>
      </c>
      <c r="I3858" t="str">
        <f>_xll.BDP("FNDE1240 Mtge","MTG_ORIG_WAL")</f>
        <v>#N/A N/A</v>
      </c>
    </row>
    <row r="3859" spans="1:9" x14ac:dyDescent="0.25">
      <c r="A3859" t="str">
        <f>_xll.BDP("FNDE1241 Mtge","ID_CUSIP")</f>
        <v>3140BDLX6</v>
      </c>
      <c r="B3859" t="str">
        <f>_xll.BDP("FNDE1241 Mtge","SECURITY_NAME")</f>
        <v>FN DE1241</v>
      </c>
      <c r="C3859" t="str">
        <f>_xll.BDP("FNDE1241 Mtge","GENERIC_TICKER_VINTAGE")</f>
        <v>FNCL 6 2025</v>
      </c>
      <c r="D3859" t="str">
        <f>_xll.BDP("FNDE1241 Mtge","CRNCY")</f>
        <v>USD</v>
      </c>
      <c r="E3859">
        <v>1166518</v>
      </c>
      <c r="F3859">
        <f>_xll.BDP("FNDE1241 Mtge","CPN")</f>
        <v>6</v>
      </c>
      <c r="G3859">
        <f>_xll.BDP("FNDE1241 Mtge","MTG_FACTOR")</f>
        <v>0.99158767000000003</v>
      </c>
      <c r="H3859">
        <f>_xll.BDP("FNDE1241 Mtge","MTG_WAL")</f>
        <v>3.3431999999999999</v>
      </c>
      <c r="I3859" t="str">
        <f>_xll.BDP("FNDE1241 Mtge","MTG_ORIG_WAL")</f>
        <v>#N/A N/A</v>
      </c>
    </row>
    <row r="3860" spans="1:9" x14ac:dyDescent="0.25">
      <c r="A3860" t="str">
        <f>_xll.BDP("FNDE1244 Mtge","ID_CUSIP")</f>
        <v>3140BDL24</v>
      </c>
      <c r="B3860" t="str">
        <f>_xll.BDP("FNDE1244 Mtge","SECURITY_NAME")</f>
        <v>FN DE1244</v>
      </c>
      <c r="C3860" t="str">
        <f>_xll.BDP("FNDE1244 Mtge","GENERIC_TICKER_VINTAGE")</f>
        <v>FNCL 6 2025</v>
      </c>
      <c r="D3860" t="str">
        <f>_xll.BDP("FNDE1244 Mtge","CRNCY")</f>
        <v>USD</v>
      </c>
      <c r="E3860">
        <v>1543500</v>
      </c>
      <c r="F3860">
        <f>_xll.BDP("FNDE1244 Mtge","CPN")</f>
        <v>6</v>
      </c>
      <c r="G3860">
        <f>_xll.BDP("FNDE1244 Mtge","MTG_FACTOR")</f>
        <v>0.99217931999999998</v>
      </c>
      <c r="H3860">
        <f>_xll.BDP("FNDE1244 Mtge","MTG_WAL")</f>
        <v>3.3437999999999999</v>
      </c>
      <c r="I3860" t="str">
        <f>_xll.BDP("FNDE1244 Mtge","MTG_ORIG_WAL")</f>
        <v>#N/A N/A</v>
      </c>
    </row>
    <row r="3861" spans="1:9" x14ac:dyDescent="0.25">
      <c r="A3861" t="str">
        <f>_xll.BDP("FNDE1245 Mtge","ID_CUSIP")</f>
        <v>3140BDL32</v>
      </c>
      <c r="B3861" t="str">
        <f>_xll.BDP("FNDE1245 Mtge","SECURITY_NAME")</f>
        <v>FN DE1245</v>
      </c>
      <c r="C3861" t="str">
        <f>_xll.BDP("FNDE1245 Mtge","GENERIC_TICKER_VINTAGE")</f>
        <v>FNCL 6 2025</v>
      </c>
      <c r="D3861" t="str">
        <f>_xll.BDP("FNDE1245 Mtge","CRNCY")</f>
        <v>USD</v>
      </c>
      <c r="E3861">
        <v>1114492</v>
      </c>
      <c r="F3861">
        <f>_xll.BDP("FNDE1245 Mtge","CPN")</f>
        <v>6</v>
      </c>
      <c r="G3861">
        <f>_xll.BDP("FNDE1245 Mtge","MTG_FACTOR")</f>
        <v>0.99216665999999998</v>
      </c>
      <c r="H3861">
        <f>_xll.BDP("FNDE1245 Mtge","MTG_WAL")</f>
        <v>3.3435999999999999</v>
      </c>
      <c r="I3861" t="str">
        <f>_xll.BDP("FNDE1245 Mtge","MTG_ORIG_WAL")</f>
        <v>#N/A N/A</v>
      </c>
    </row>
    <row r="3862" spans="1:9" x14ac:dyDescent="0.25">
      <c r="A3862" t="str">
        <f>_xll.BDP("FNDE1254 Mtge","ID_CUSIP")</f>
        <v>3140BDMC1</v>
      </c>
      <c r="B3862" t="str">
        <f>_xll.BDP("FNDE1254 Mtge","SECURITY_NAME")</f>
        <v>FN DE1254</v>
      </c>
      <c r="C3862" t="str">
        <f>_xll.BDP("FNDE1254 Mtge","GENERIC_TICKER_VINTAGE")</f>
        <v>FNCL 6 2025</v>
      </c>
      <c r="D3862" t="str">
        <f>_xll.BDP("FNDE1254 Mtge","CRNCY")</f>
        <v>USD</v>
      </c>
      <c r="E3862">
        <v>1560991</v>
      </c>
      <c r="F3862">
        <f>_xll.BDP("FNDE1254 Mtge","CPN")</f>
        <v>6</v>
      </c>
      <c r="G3862">
        <f>_xll.BDP("FNDE1254 Mtge","MTG_FACTOR")</f>
        <v>0.99225949999999996</v>
      </c>
      <c r="H3862">
        <f>_xll.BDP("FNDE1254 Mtge","MTG_WAL")</f>
        <v>3.3449</v>
      </c>
      <c r="I3862" t="str">
        <f>_xll.BDP("FNDE1254 Mtge","MTG_ORIG_WAL")</f>
        <v>#N/A N/A</v>
      </c>
    </row>
    <row r="3863" spans="1:9" x14ac:dyDescent="0.25">
      <c r="A3863" t="str">
        <f>_xll.BDP("FNDE1256 Mtge","ID_CUSIP")</f>
        <v>3140BDME7</v>
      </c>
      <c r="B3863" t="str">
        <f>_xll.BDP("FNDE1256 Mtge","SECURITY_NAME")</f>
        <v>FN DE1256</v>
      </c>
      <c r="C3863" t="str">
        <f>_xll.BDP("FNDE1256 Mtge","GENERIC_TICKER_VINTAGE")</f>
        <v>FNCL 6 2025</v>
      </c>
      <c r="D3863" t="str">
        <f>_xll.BDP("FNDE1256 Mtge","CRNCY")</f>
        <v>USD</v>
      </c>
      <c r="E3863">
        <v>1808524</v>
      </c>
      <c r="F3863">
        <f>_xll.BDP("FNDE1256 Mtge","CPN")</f>
        <v>6</v>
      </c>
      <c r="G3863">
        <f>_xll.BDP("FNDE1256 Mtge","MTG_FACTOR")</f>
        <v>0.99219292000000003</v>
      </c>
      <c r="H3863">
        <f>_xll.BDP("FNDE1256 Mtge","MTG_WAL")</f>
        <v>3.3443999999999998</v>
      </c>
      <c r="I3863" t="str">
        <f>_xll.BDP("FNDE1256 Mtge","MTG_ORIG_WAL")</f>
        <v>#N/A N/A</v>
      </c>
    </row>
    <row r="3864" spans="1:9" x14ac:dyDescent="0.25">
      <c r="A3864" t="str">
        <f>_xll.BDP("FNDE1264 Mtge","ID_CUSIP")</f>
        <v>3140BDMN7</v>
      </c>
      <c r="B3864" t="str">
        <f>_xll.BDP("FNDE1264 Mtge","SECURITY_NAME")</f>
        <v>FN DE1264</v>
      </c>
      <c r="C3864" t="str">
        <f>_xll.BDP("FNDE1264 Mtge","GENERIC_TICKER_VINTAGE")</f>
        <v>FNCL 6 2025</v>
      </c>
      <c r="D3864" t="str">
        <f>_xll.BDP("FNDE1264 Mtge","CRNCY")</f>
        <v>USD</v>
      </c>
      <c r="E3864">
        <v>1081400</v>
      </c>
      <c r="F3864">
        <f>_xll.BDP("FNDE1264 Mtge","CPN")</f>
        <v>6</v>
      </c>
      <c r="G3864">
        <f>_xll.BDP("FNDE1264 Mtge","MTG_FACTOR")</f>
        <v>0.98140428000000002</v>
      </c>
      <c r="H3864">
        <f>_xll.BDP("FNDE1264 Mtge","MTG_WAL")</f>
        <v>3.3347000000000002</v>
      </c>
      <c r="I3864" t="str">
        <f>_xll.BDP("FNDE1264 Mtge","MTG_ORIG_WAL")</f>
        <v>#N/A N/A</v>
      </c>
    </row>
    <row r="3865" spans="1:9" x14ac:dyDescent="0.25">
      <c r="A3865" t="str">
        <f>_xll.BDP("FNDE1265 Mtge","ID_CUSIP")</f>
        <v>3140BDMP2</v>
      </c>
      <c r="B3865" t="str">
        <f>_xll.BDP("FNDE1265 Mtge","SECURITY_NAME")</f>
        <v>FN DE1265</v>
      </c>
      <c r="C3865" t="str">
        <f>_xll.BDP("FNDE1265 Mtge","GENERIC_TICKER_VINTAGE")</f>
        <v>FNCL 6 2025</v>
      </c>
      <c r="D3865" t="str">
        <f>_xll.BDP("FNDE1265 Mtge","CRNCY")</f>
        <v>USD</v>
      </c>
      <c r="E3865">
        <v>1473461</v>
      </c>
      <c r="F3865">
        <f>_xll.BDP("FNDE1265 Mtge","CPN")</f>
        <v>6</v>
      </c>
      <c r="G3865">
        <f>_xll.BDP("FNDE1265 Mtge","MTG_FACTOR")</f>
        <v>0.99162728</v>
      </c>
      <c r="H3865">
        <f>_xll.BDP("FNDE1265 Mtge","MTG_WAL")</f>
        <v>3.3445</v>
      </c>
      <c r="I3865" t="str">
        <f>_xll.BDP("FNDE1265 Mtge","MTG_ORIG_WAL")</f>
        <v>#N/A N/A</v>
      </c>
    </row>
    <row r="3866" spans="1:9" x14ac:dyDescent="0.25">
      <c r="A3866" t="str">
        <f>_xll.BDP("FNDE1266 Mtge","ID_CUSIP")</f>
        <v>3140BDMQ0</v>
      </c>
      <c r="B3866" t="str">
        <f>_xll.BDP("FNDE1266 Mtge","SECURITY_NAME")</f>
        <v>FN DE1266</v>
      </c>
      <c r="C3866" t="str">
        <f>_xll.BDP("FNDE1266 Mtge","GENERIC_TICKER_VINTAGE")</f>
        <v>FNCL 6 2025</v>
      </c>
      <c r="D3866" t="str">
        <f>_xll.BDP("FNDE1266 Mtge","CRNCY")</f>
        <v>USD</v>
      </c>
      <c r="E3866">
        <v>1227200</v>
      </c>
      <c r="F3866">
        <f>_xll.BDP("FNDE1266 Mtge","CPN")</f>
        <v>6</v>
      </c>
      <c r="G3866">
        <f>_xll.BDP("FNDE1266 Mtge","MTG_FACTOR")</f>
        <v>0.99175723999999998</v>
      </c>
      <c r="H3866">
        <f>_xll.BDP("FNDE1266 Mtge","MTG_WAL")</f>
        <v>3.3449</v>
      </c>
      <c r="I3866" t="str">
        <f>_xll.BDP("FNDE1266 Mtge","MTG_ORIG_WAL")</f>
        <v>#N/A N/A</v>
      </c>
    </row>
    <row r="3867" spans="1:9" x14ac:dyDescent="0.25">
      <c r="A3867" t="str">
        <f>_xll.BDP("FNDE1267 Mtge","ID_CUSIP")</f>
        <v>3140BDMR8</v>
      </c>
      <c r="B3867" t="str">
        <f>_xll.BDP("FNDE1267 Mtge","SECURITY_NAME")</f>
        <v>FN DE1267</v>
      </c>
      <c r="C3867" t="str">
        <f>_xll.BDP("FNDE1267 Mtge","GENERIC_TICKER_VINTAGE")</f>
        <v>FNCL 6 2025</v>
      </c>
      <c r="D3867" t="str">
        <f>_xll.BDP("FNDE1267 Mtge","CRNCY")</f>
        <v>USD</v>
      </c>
      <c r="E3867">
        <v>1016500</v>
      </c>
      <c r="F3867">
        <f>_xll.BDP("FNDE1267 Mtge","CPN")</f>
        <v>6</v>
      </c>
      <c r="G3867">
        <f>_xll.BDP("FNDE1267 Mtge","MTG_FACTOR")</f>
        <v>0.65066539999999995</v>
      </c>
      <c r="H3867">
        <f>_xll.BDP("FNDE1267 Mtge","MTG_WAL")</f>
        <v>3.3462000000000001</v>
      </c>
      <c r="I3867" t="str">
        <f>_xll.BDP("FNDE1267 Mtge","MTG_ORIG_WAL")</f>
        <v>#N/A N/A</v>
      </c>
    </row>
    <row r="3868" spans="1:9" x14ac:dyDescent="0.25">
      <c r="A3868" t="str">
        <f>_xll.BDP("FNDE1268 Mtge","ID_CUSIP")</f>
        <v>3140BDMS6</v>
      </c>
      <c r="B3868" t="str">
        <f>_xll.BDP("FNDE1268 Mtge","SECURITY_NAME")</f>
        <v>FN DE1268</v>
      </c>
      <c r="C3868" t="str">
        <f>_xll.BDP("FNDE1268 Mtge","GENERIC_TICKER_VINTAGE")</f>
        <v>FNCL 6 2025</v>
      </c>
      <c r="D3868" t="str">
        <f>_xll.BDP("FNDE1268 Mtge","CRNCY")</f>
        <v>USD</v>
      </c>
      <c r="E3868">
        <v>1100000</v>
      </c>
      <c r="F3868">
        <f>_xll.BDP("FNDE1268 Mtge","CPN")</f>
        <v>6</v>
      </c>
      <c r="G3868">
        <f>_xll.BDP("FNDE1268 Mtge","MTG_FACTOR")</f>
        <v>0.99200273999999999</v>
      </c>
      <c r="H3868">
        <f>_xll.BDP("FNDE1268 Mtge","MTG_WAL")</f>
        <v>3.3466</v>
      </c>
      <c r="I3868" t="str">
        <f>_xll.BDP("FNDE1268 Mtge","MTG_ORIG_WAL")</f>
        <v>#N/A N/A</v>
      </c>
    </row>
    <row r="3869" spans="1:9" x14ac:dyDescent="0.25">
      <c r="A3869" t="str">
        <f>_xll.BDP("FNDE1269 Mtge","ID_CUSIP")</f>
        <v>3140BDMT4</v>
      </c>
      <c r="B3869" t="str">
        <f>_xll.BDP("FNDE1269 Mtge","SECURITY_NAME")</f>
        <v>FN DE1269</v>
      </c>
      <c r="C3869" t="str">
        <f>_xll.BDP("FNDE1269 Mtge","GENERIC_TICKER_VINTAGE")</f>
        <v>FNCL 6 2025</v>
      </c>
      <c r="D3869" t="str">
        <f>_xll.BDP("FNDE1269 Mtge","CRNCY")</f>
        <v>USD</v>
      </c>
      <c r="E3869">
        <v>1153500</v>
      </c>
      <c r="F3869">
        <f>_xll.BDP("FNDE1269 Mtge","CPN")</f>
        <v>6</v>
      </c>
      <c r="G3869">
        <f>_xll.BDP("FNDE1269 Mtge","MTG_FACTOR")</f>
        <v>0.98890728999999999</v>
      </c>
      <c r="H3869">
        <f>_xll.BDP("FNDE1269 Mtge","MTG_WAL")</f>
        <v>3.3412999999999999</v>
      </c>
      <c r="I3869" t="str">
        <f>_xll.BDP("FNDE1269 Mtge","MTG_ORIG_WAL")</f>
        <v>#N/A N/A</v>
      </c>
    </row>
    <row r="3870" spans="1:9" x14ac:dyDescent="0.25">
      <c r="A3870" t="str">
        <f>_xll.BDP("FNDE1282 Mtge","ID_CUSIP")</f>
        <v>3140BDM80</v>
      </c>
      <c r="B3870" t="str">
        <f>_xll.BDP("FNDE1282 Mtge","SECURITY_NAME")</f>
        <v>FN DE1282</v>
      </c>
      <c r="C3870" t="str">
        <f>_xll.BDP("FNDE1282 Mtge","GENERIC_TICKER_VINTAGE")</f>
        <v>FNCL 6 2025</v>
      </c>
      <c r="D3870" t="str">
        <f>_xll.BDP("FNDE1282 Mtge","CRNCY")</f>
        <v>USD</v>
      </c>
      <c r="E3870">
        <v>1057660</v>
      </c>
      <c r="F3870">
        <f>_xll.BDP("FNDE1282 Mtge","CPN")</f>
        <v>6</v>
      </c>
      <c r="G3870">
        <f>_xll.BDP("FNDE1282 Mtge","MTG_FACTOR")</f>
        <v>0.99068265</v>
      </c>
      <c r="H3870">
        <f>_xll.BDP("FNDE1282 Mtge","MTG_WAL")</f>
        <v>3.2911999999999999</v>
      </c>
      <c r="I3870" t="str">
        <f>_xll.BDP("FNDE1282 Mtge","MTG_ORIG_WAL")</f>
        <v>#N/A N/A</v>
      </c>
    </row>
    <row r="3871" spans="1:9" x14ac:dyDescent="0.25">
      <c r="A3871" t="str">
        <f>_xll.BDP("FNDE1283 Mtge","ID_CUSIP")</f>
        <v>3140BDM98</v>
      </c>
      <c r="B3871" t="str">
        <f>_xll.BDP("FNDE1283 Mtge","SECURITY_NAME")</f>
        <v>FN DE1283</v>
      </c>
      <c r="C3871" t="str">
        <f>_xll.BDP("FNDE1283 Mtge","GENERIC_TICKER_VINTAGE")</f>
        <v>FNCL 6 2025</v>
      </c>
      <c r="D3871" t="str">
        <f>_xll.BDP("FNDE1283 Mtge","CRNCY")</f>
        <v>USD</v>
      </c>
      <c r="E3871">
        <v>1667090</v>
      </c>
      <c r="F3871">
        <f>_xll.BDP("FNDE1283 Mtge","CPN")</f>
        <v>6</v>
      </c>
      <c r="G3871">
        <f>_xll.BDP("FNDE1283 Mtge","MTG_FACTOR")</f>
        <v>0.80914390999999997</v>
      </c>
      <c r="H3871">
        <f>_xll.BDP("FNDE1283 Mtge","MTG_WAL")</f>
        <v>3.3237999999999999</v>
      </c>
      <c r="I3871" t="str">
        <f>_xll.BDP("FNDE1283 Mtge","MTG_ORIG_WAL")</f>
        <v>#N/A N/A</v>
      </c>
    </row>
    <row r="3872" spans="1:9" x14ac:dyDescent="0.25">
      <c r="A3872" t="str">
        <f>_xll.BDP("FNDE1285 Mtge","ID_CUSIP")</f>
        <v>3140BDNB2</v>
      </c>
      <c r="B3872" t="str">
        <f>_xll.BDP("FNDE1285 Mtge","SECURITY_NAME")</f>
        <v>FN DE1285</v>
      </c>
      <c r="C3872" t="str">
        <f>_xll.BDP("FNDE1285 Mtge","GENERIC_TICKER_VINTAGE")</f>
        <v>FNCL 6 2025</v>
      </c>
      <c r="D3872" t="str">
        <f>_xll.BDP("FNDE1285 Mtge","CRNCY")</f>
        <v>USD</v>
      </c>
      <c r="E3872">
        <v>1575250</v>
      </c>
      <c r="F3872">
        <f>_xll.BDP("FNDE1285 Mtge","CPN")</f>
        <v>6</v>
      </c>
      <c r="G3872">
        <f>_xll.BDP("FNDE1285 Mtge","MTG_FACTOR")</f>
        <v>0.98993138999999997</v>
      </c>
      <c r="H3872">
        <f>_xll.BDP("FNDE1285 Mtge","MTG_WAL")</f>
        <v>3.3422999999999998</v>
      </c>
      <c r="I3872" t="str">
        <f>_xll.BDP("FNDE1285 Mtge","MTG_ORIG_WAL")</f>
        <v>#N/A N/A</v>
      </c>
    </row>
    <row r="3873" spans="1:9" x14ac:dyDescent="0.25">
      <c r="A3873" t="str">
        <f>_xll.BDP("FNDE1286 Mtge","ID_CUSIP")</f>
        <v>3140BDNC0</v>
      </c>
      <c r="B3873" t="str">
        <f>_xll.BDP("FNDE1286 Mtge","SECURITY_NAME")</f>
        <v>FN DE1286</v>
      </c>
      <c r="C3873" t="str">
        <f>_xll.BDP("FNDE1286 Mtge","GENERIC_TICKER_VINTAGE")</f>
        <v>FNCL 6 2025</v>
      </c>
      <c r="D3873" t="str">
        <f>_xll.BDP("FNDE1286 Mtge","CRNCY")</f>
        <v>USD</v>
      </c>
      <c r="E3873">
        <v>3439400</v>
      </c>
      <c r="F3873">
        <f>_xll.BDP("FNDE1286 Mtge","CPN")</f>
        <v>6</v>
      </c>
      <c r="G3873">
        <f>_xll.BDP("FNDE1286 Mtge","MTG_FACTOR")</f>
        <v>0.88743278999999997</v>
      </c>
      <c r="H3873">
        <f>_xll.BDP("FNDE1286 Mtge","MTG_WAL")</f>
        <v>3.3452999999999999</v>
      </c>
      <c r="I3873" t="str">
        <f>_xll.BDP("FNDE1286 Mtge","MTG_ORIG_WAL")</f>
        <v>#N/A N/A</v>
      </c>
    </row>
    <row r="3874" spans="1:9" x14ac:dyDescent="0.25">
      <c r="A3874" t="str">
        <f>_xll.BDP("FNDE1287 Mtge","ID_CUSIP")</f>
        <v>3140BDND8</v>
      </c>
      <c r="B3874" t="str">
        <f>_xll.BDP("FNDE1287 Mtge","SECURITY_NAME")</f>
        <v>FN DE1287</v>
      </c>
      <c r="C3874" t="str">
        <f>_xll.BDP("FNDE1287 Mtge","GENERIC_TICKER_VINTAGE")</f>
        <v>FNCL 6 2025</v>
      </c>
      <c r="D3874" t="str">
        <f>_xll.BDP("FNDE1287 Mtge","CRNCY")</f>
        <v>USD</v>
      </c>
      <c r="E3874">
        <v>1335500</v>
      </c>
      <c r="F3874">
        <f>_xll.BDP("FNDE1287 Mtge","CPN")</f>
        <v>6</v>
      </c>
      <c r="G3874">
        <f>_xll.BDP("FNDE1287 Mtge","MTG_FACTOR")</f>
        <v>0.61507928000000001</v>
      </c>
      <c r="H3874">
        <f>_xll.BDP("FNDE1287 Mtge","MTG_WAL")</f>
        <v>3.2501000000000002</v>
      </c>
      <c r="I3874" t="str">
        <f>_xll.BDP("FNDE1287 Mtge","MTG_ORIG_WAL")</f>
        <v>#N/A N/A</v>
      </c>
    </row>
    <row r="3875" spans="1:9" x14ac:dyDescent="0.25">
      <c r="A3875" t="str">
        <f>_xll.BDP("FNDE1298 Mtge","ID_CUSIP")</f>
        <v>3140BDNQ9</v>
      </c>
      <c r="B3875" t="str">
        <f>_xll.BDP("FNDE1298 Mtge","SECURITY_NAME")</f>
        <v>FN DE1298</v>
      </c>
      <c r="C3875" t="str">
        <f>_xll.BDP("FNDE1298 Mtge","GENERIC_TICKER_VINTAGE")</f>
        <v>FNCL 6 2025</v>
      </c>
      <c r="D3875" t="str">
        <f>_xll.BDP("FNDE1298 Mtge","CRNCY")</f>
        <v>USD</v>
      </c>
      <c r="E3875">
        <v>3404885</v>
      </c>
      <c r="F3875">
        <f>_xll.BDP("FNDE1298 Mtge","CPN")</f>
        <v>6</v>
      </c>
      <c r="G3875">
        <f>_xll.BDP("FNDE1298 Mtge","MTG_FACTOR")</f>
        <v>0.99024453999999995</v>
      </c>
      <c r="H3875">
        <f>_xll.BDP("FNDE1298 Mtge","MTG_WAL")</f>
        <v>3.2915999999999999</v>
      </c>
      <c r="I3875" t="str">
        <f>_xll.BDP("FNDE1298 Mtge","MTG_ORIG_WAL")</f>
        <v>#N/A N/A</v>
      </c>
    </row>
    <row r="3876" spans="1:9" x14ac:dyDescent="0.25">
      <c r="A3876" t="str">
        <f>_xll.BDP("FNDE1302 Mtge","ID_CUSIP")</f>
        <v>3140BDNU0</v>
      </c>
      <c r="B3876" t="str">
        <f>_xll.BDP("FNDE1302 Mtge","SECURITY_NAME")</f>
        <v>FN DE1302</v>
      </c>
      <c r="C3876" t="str">
        <f>_xll.BDP("FNDE1302 Mtge","GENERIC_TICKER_VINTAGE")</f>
        <v>FNCL 6 2025</v>
      </c>
      <c r="D3876" t="str">
        <f>_xll.BDP("FNDE1302 Mtge","CRNCY")</f>
        <v>USD</v>
      </c>
      <c r="E3876">
        <v>8102858</v>
      </c>
      <c r="F3876">
        <f>_xll.BDP("FNDE1302 Mtge","CPN")</f>
        <v>6</v>
      </c>
      <c r="G3876">
        <f>_xll.BDP("FNDE1302 Mtge","MTG_FACTOR")</f>
        <v>0.95996709999999996</v>
      </c>
      <c r="H3876">
        <f>_xll.BDP("FNDE1302 Mtge","MTG_WAL")</f>
        <v>3.3359000000000001</v>
      </c>
      <c r="I3876" t="str">
        <f>_xll.BDP("FNDE1302 Mtge","MTG_ORIG_WAL")</f>
        <v>#N/A N/A</v>
      </c>
    </row>
    <row r="3877" spans="1:9" x14ac:dyDescent="0.25">
      <c r="A3877" t="str">
        <f>_xll.BDP("FNDE1308 Mtge","ID_CUSIP")</f>
        <v>3140BDN22</v>
      </c>
      <c r="B3877" t="str">
        <f>_xll.BDP("FNDE1308 Mtge","SECURITY_NAME")</f>
        <v>FN DE1308</v>
      </c>
      <c r="C3877" t="str">
        <f>_xll.BDP("FNDE1308 Mtge","GENERIC_TICKER_VINTAGE")</f>
        <v>FNCL 6 2025</v>
      </c>
      <c r="D3877" t="str">
        <f>_xll.BDP("FNDE1308 Mtge","CRNCY")</f>
        <v>USD</v>
      </c>
      <c r="E3877">
        <v>18183340</v>
      </c>
      <c r="F3877">
        <f>_xll.BDP("FNDE1308 Mtge","CPN")</f>
        <v>6</v>
      </c>
      <c r="G3877">
        <f>_xll.BDP("FNDE1308 Mtge","MTG_FACTOR")</f>
        <v>0.93337300999999995</v>
      </c>
      <c r="H3877">
        <f>_xll.BDP("FNDE1308 Mtge","MTG_WAL")</f>
        <v>3.2928999999999999</v>
      </c>
      <c r="I3877" t="str">
        <f>_xll.BDP("FNDE1308 Mtge","MTG_ORIG_WAL")</f>
        <v>#N/A N/A</v>
      </c>
    </row>
    <row r="3878" spans="1:9" x14ac:dyDescent="0.25">
      <c r="A3878" t="str">
        <f>_xll.BDP("FNDE1325 Mtge","ID_CUSIP")</f>
        <v>3140BDPK0</v>
      </c>
      <c r="B3878" t="str">
        <f>_xll.BDP("FNDE1325 Mtge","SECURITY_NAME")</f>
        <v>FN DE1325</v>
      </c>
      <c r="C3878" t="str">
        <f>_xll.BDP("FNDE1325 Mtge","GENERIC_TICKER_VINTAGE")</f>
        <v>FNCL 6 2025</v>
      </c>
      <c r="D3878" t="str">
        <f>_xll.BDP("FNDE1325 Mtge","CRNCY")</f>
        <v>USD</v>
      </c>
      <c r="E3878">
        <v>24829087</v>
      </c>
      <c r="F3878">
        <f>_xll.BDP("FNDE1325 Mtge","CPN")</f>
        <v>6</v>
      </c>
      <c r="G3878">
        <f>_xll.BDP("FNDE1325 Mtge","MTG_FACTOR")</f>
        <v>0.91958768999999996</v>
      </c>
      <c r="H3878">
        <f>_xll.BDP("FNDE1325 Mtge","MTG_WAL")</f>
        <v>3.3384</v>
      </c>
      <c r="I3878" t="str">
        <f>_xll.BDP("FNDE1325 Mtge","MTG_ORIG_WAL")</f>
        <v>#N/A N/A</v>
      </c>
    </row>
    <row r="3879" spans="1:9" x14ac:dyDescent="0.25">
      <c r="A3879" t="str">
        <f>_xll.BDP("FNDE1329 Mtge","ID_CUSIP")</f>
        <v>3140BDPP9</v>
      </c>
      <c r="B3879" t="str">
        <f>_xll.BDP("FNDE1329 Mtge","SECURITY_NAME")</f>
        <v>FN DE1329</v>
      </c>
      <c r="C3879" t="str">
        <f>_xll.BDP("FNDE1329 Mtge","GENERIC_TICKER_VINTAGE")</f>
        <v>FNCL 6 2025</v>
      </c>
      <c r="D3879" t="str">
        <f>_xll.BDP("FNDE1329 Mtge","CRNCY")</f>
        <v>USD</v>
      </c>
      <c r="E3879">
        <v>4865877</v>
      </c>
      <c r="F3879">
        <f>_xll.BDP("FNDE1329 Mtge","CPN")</f>
        <v>6</v>
      </c>
      <c r="G3879">
        <f>_xll.BDP("FNDE1329 Mtge","MTG_FACTOR")</f>
        <v>0.98630660000000003</v>
      </c>
      <c r="H3879">
        <f>_xll.BDP("FNDE1329 Mtge","MTG_WAL")</f>
        <v>3.2844000000000002</v>
      </c>
      <c r="I3879" t="str">
        <f>_xll.BDP("FNDE1329 Mtge","MTG_ORIG_WAL")</f>
        <v>#N/A N/A</v>
      </c>
    </row>
    <row r="3880" spans="1:9" x14ac:dyDescent="0.25">
      <c r="A3880" t="str">
        <f>_xll.BDP("FNDE1355 Mtge","ID_CUSIP")</f>
        <v>3140BDQH6</v>
      </c>
      <c r="B3880" t="str">
        <f>_xll.BDP("FNDE1355 Mtge","SECURITY_NAME")</f>
        <v>FN DE1355</v>
      </c>
      <c r="C3880" t="str">
        <f>_xll.BDP("FNDE1355 Mtge","GENERIC_TICKER_VINTAGE")</f>
        <v>FNCL 6 2025</v>
      </c>
      <c r="D3880" t="str">
        <f>_xll.BDP("FNDE1355 Mtge","CRNCY")</f>
        <v>USD</v>
      </c>
      <c r="E3880">
        <v>2537096</v>
      </c>
      <c r="F3880">
        <f>_xll.BDP("FNDE1355 Mtge","CPN")</f>
        <v>6</v>
      </c>
      <c r="G3880">
        <f>_xll.BDP("FNDE1355 Mtge","MTG_FACTOR")</f>
        <v>0.84268089000000002</v>
      </c>
      <c r="H3880">
        <f>_xll.BDP("FNDE1355 Mtge","MTG_WAL")</f>
        <v>3.3353999999999999</v>
      </c>
      <c r="I3880" t="str">
        <f>_xll.BDP("FNDE1355 Mtge","MTG_ORIG_WAL")</f>
        <v>#N/A N/A</v>
      </c>
    </row>
    <row r="3881" spans="1:9" x14ac:dyDescent="0.25">
      <c r="A3881" t="str">
        <f>_xll.BDP("FNDE1361 Mtge","ID_CUSIP")</f>
        <v>3140BDQP8</v>
      </c>
      <c r="B3881" t="str">
        <f>_xll.BDP("FNDE1361 Mtge","SECURITY_NAME")</f>
        <v>FN DE1361</v>
      </c>
      <c r="C3881" t="str">
        <f>_xll.BDP("FNDE1361 Mtge","GENERIC_TICKER_VINTAGE")</f>
        <v>FNCL 6 2025</v>
      </c>
      <c r="D3881" t="str">
        <f>_xll.BDP("FNDE1361 Mtge","CRNCY")</f>
        <v>USD</v>
      </c>
      <c r="E3881">
        <v>4515449</v>
      </c>
      <c r="F3881">
        <f>_xll.BDP("FNDE1361 Mtge","CPN")</f>
        <v>6</v>
      </c>
      <c r="G3881">
        <f>_xll.BDP("FNDE1361 Mtge","MTG_FACTOR")</f>
        <v>0.84287312000000003</v>
      </c>
      <c r="H3881">
        <f>_xll.BDP("FNDE1361 Mtge","MTG_WAL")</f>
        <v>3.3433000000000002</v>
      </c>
      <c r="I3881" t="str">
        <f>_xll.BDP("FNDE1361 Mtge","MTG_ORIG_WAL")</f>
        <v>#N/A N/A</v>
      </c>
    </row>
    <row r="3882" spans="1:9" x14ac:dyDescent="0.25">
      <c r="A3882" t="str">
        <f>_xll.BDP("FNDE1364 Mtge","ID_CUSIP")</f>
        <v>3140BDQS2</v>
      </c>
      <c r="B3882" t="str">
        <f>_xll.BDP("FNDE1364 Mtge","SECURITY_NAME")</f>
        <v>FN DE1364</v>
      </c>
      <c r="C3882" t="str">
        <f>_xll.BDP("FNDE1364 Mtge","GENERIC_TICKER_VINTAGE")</f>
        <v>FNCL 6 2025</v>
      </c>
      <c r="D3882" t="str">
        <f>_xll.BDP("FNDE1364 Mtge","CRNCY")</f>
        <v>USD</v>
      </c>
      <c r="E3882">
        <v>3753072</v>
      </c>
      <c r="F3882">
        <f>_xll.BDP("FNDE1364 Mtge","CPN")</f>
        <v>6</v>
      </c>
      <c r="G3882">
        <f>_xll.BDP("FNDE1364 Mtge","MTG_FACTOR")</f>
        <v>0.99145318999999998</v>
      </c>
      <c r="H3882">
        <f>_xll.BDP("FNDE1364 Mtge","MTG_WAL")</f>
        <v>3.3447</v>
      </c>
      <c r="I3882" t="str">
        <f>_xll.BDP("FNDE1364 Mtge","MTG_ORIG_WAL")</f>
        <v>#N/A N/A</v>
      </c>
    </row>
    <row r="3883" spans="1:9" x14ac:dyDescent="0.25">
      <c r="A3883" t="str">
        <f>_xll.BDP("FNDE1384 Mtge","ID_CUSIP")</f>
        <v>3140BDRE2</v>
      </c>
      <c r="B3883" t="str">
        <f>_xll.BDP("FNDE1384 Mtge","SECURITY_NAME")</f>
        <v>FN DE1384</v>
      </c>
      <c r="C3883" t="str">
        <f>_xll.BDP("FNDE1384 Mtge","GENERIC_TICKER_VINTAGE")</f>
        <v>FNCL 6 2025</v>
      </c>
      <c r="D3883" t="str">
        <f>_xll.BDP("FNDE1384 Mtge","CRNCY")</f>
        <v>USD</v>
      </c>
      <c r="E3883">
        <v>2865129</v>
      </c>
      <c r="F3883">
        <f>_xll.BDP("FNDE1384 Mtge","CPN")</f>
        <v>6</v>
      </c>
      <c r="G3883">
        <f>_xll.BDP("FNDE1384 Mtge","MTG_FACTOR")</f>
        <v>0.65344256999999994</v>
      </c>
      <c r="H3883">
        <f>_xll.BDP("FNDE1384 Mtge","MTG_WAL")</f>
        <v>3.3464999999999998</v>
      </c>
      <c r="I3883" t="str">
        <f>_xll.BDP("FNDE1384 Mtge","MTG_ORIG_WAL")</f>
        <v>#N/A N/A</v>
      </c>
    </row>
    <row r="3884" spans="1:9" x14ac:dyDescent="0.25">
      <c r="A3884" t="str">
        <f>_xll.BDP("FNDE1399 Mtge","ID_CUSIP")</f>
        <v>3140BDRV4</v>
      </c>
      <c r="B3884" t="str">
        <f>_xll.BDP("FNDE1399 Mtge","SECURITY_NAME")</f>
        <v>FN DE1399</v>
      </c>
      <c r="C3884" t="str">
        <f>_xll.BDP("FNDE1399 Mtge","GENERIC_TICKER_VINTAGE")</f>
        <v>FNCL 6 2025</v>
      </c>
      <c r="D3884" t="str">
        <f>_xll.BDP("FNDE1399 Mtge","CRNCY")</f>
        <v>USD</v>
      </c>
      <c r="E3884">
        <v>3790621</v>
      </c>
      <c r="F3884">
        <f>_xll.BDP("FNDE1399 Mtge","CPN")</f>
        <v>6</v>
      </c>
      <c r="G3884">
        <f>_xll.BDP("FNDE1399 Mtge","MTG_FACTOR")</f>
        <v>0.90321006000000004</v>
      </c>
      <c r="H3884">
        <f>_xll.BDP("FNDE1399 Mtge","MTG_WAL")</f>
        <v>3.3443000000000001</v>
      </c>
      <c r="I3884" t="str">
        <f>_xll.BDP("FNDE1399 Mtge","MTG_ORIG_WAL")</f>
        <v>#N/A N/A</v>
      </c>
    </row>
    <row r="3885" spans="1:9" x14ac:dyDescent="0.25">
      <c r="A3885" t="str">
        <f>_xll.BDP("FNDE1408 Mtge","ID_CUSIP")</f>
        <v>3140BDR69</v>
      </c>
      <c r="B3885" t="str">
        <f>_xll.BDP("FNDE1408 Mtge","SECURITY_NAME")</f>
        <v>FN DE1408</v>
      </c>
      <c r="C3885" t="str">
        <f>_xll.BDP("FNDE1408 Mtge","GENERIC_TICKER_VINTAGE")</f>
        <v>FNCL 6 2025</v>
      </c>
      <c r="D3885" t="str">
        <f>_xll.BDP("FNDE1408 Mtge","CRNCY")</f>
        <v>USD</v>
      </c>
      <c r="E3885">
        <v>1024927</v>
      </c>
      <c r="F3885">
        <f>_xll.BDP("FNDE1408 Mtge","CPN")</f>
        <v>6</v>
      </c>
      <c r="G3885">
        <f>_xll.BDP("FNDE1408 Mtge","MTG_FACTOR")</f>
        <v>0.99214921</v>
      </c>
      <c r="H3885">
        <f>_xll.BDP("FNDE1408 Mtge","MTG_WAL")</f>
        <v>3.3435000000000001</v>
      </c>
      <c r="I3885" t="str">
        <f>_xll.BDP("FNDE1408 Mtge","MTG_ORIG_WAL")</f>
        <v>#N/A N/A</v>
      </c>
    </row>
    <row r="3886" spans="1:9" x14ac:dyDescent="0.25">
      <c r="A3886" t="str">
        <f>_xll.BDP("FNDE1441 Mtge","ID_CUSIP")</f>
        <v>3140BDS76</v>
      </c>
      <c r="B3886" t="str">
        <f>_xll.BDP("FNDE1441 Mtge","SECURITY_NAME")</f>
        <v>FN DE1441</v>
      </c>
      <c r="C3886" t="str">
        <f>_xll.BDP("FNDE1441 Mtge","GENERIC_TICKER_VINTAGE")</f>
        <v>FNCL 6 2025</v>
      </c>
      <c r="D3886" t="str">
        <f>_xll.BDP("FNDE1441 Mtge","CRNCY")</f>
        <v>USD</v>
      </c>
      <c r="E3886">
        <v>5786520</v>
      </c>
      <c r="F3886">
        <f>_xll.BDP("FNDE1441 Mtge","CPN")</f>
        <v>6</v>
      </c>
      <c r="G3886">
        <f>_xll.BDP("FNDE1441 Mtge","MTG_FACTOR")</f>
        <v>0.93919103000000004</v>
      </c>
      <c r="H3886">
        <f>_xll.BDP("FNDE1441 Mtge","MTG_WAL")</f>
        <v>3.3443999999999998</v>
      </c>
      <c r="I3886" t="str">
        <f>_xll.BDP("FNDE1441 Mtge","MTG_ORIG_WAL")</f>
        <v>#N/A N/A</v>
      </c>
    </row>
    <row r="3887" spans="1:9" x14ac:dyDescent="0.25">
      <c r="A3887" t="str">
        <f>_xll.BDP("FNDE1459 Mtge","ID_CUSIP")</f>
        <v>3140BDTR1</v>
      </c>
      <c r="B3887" t="str">
        <f>_xll.BDP("FNDE1459 Mtge","SECURITY_NAME")</f>
        <v>FN DE1459</v>
      </c>
      <c r="C3887" t="str">
        <f>_xll.BDP("FNDE1459 Mtge","GENERIC_TICKER_VINTAGE")</f>
        <v>FNCL 6 2025</v>
      </c>
      <c r="D3887" t="str">
        <f>_xll.BDP("FNDE1459 Mtge","CRNCY")</f>
        <v>USD</v>
      </c>
      <c r="E3887">
        <v>4891778</v>
      </c>
      <c r="F3887">
        <f>_xll.BDP("FNDE1459 Mtge","CPN")</f>
        <v>6</v>
      </c>
      <c r="G3887">
        <f>_xll.BDP("FNDE1459 Mtge","MTG_FACTOR")</f>
        <v>0.85893850000000005</v>
      </c>
      <c r="H3887">
        <f>_xll.BDP("FNDE1459 Mtge","MTG_WAL")</f>
        <v>3.3473000000000002</v>
      </c>
      <c r="I3887" t="str">
        <f>_xll.BDP("FNDE1459 Mtge","MTG_ORIG_WAL")</f>
        <v>#N/A N/A</v>
      </c>
    </row>
    <row r="3888" spans="1:9" x14ac:dyDescent="0.25">
      <c r="A3888" t="str">
        <f>_xll.BDP("FNDE1460 Mtge","ID_CUSIP")</f>
        <v>3140BDTS9</v>
      </c>
      <c r="B3888" t="str">
        <f>_xll.BDP("FNDE1460 Mtge","SECURITY_NAME")</f>
        <v>FN DE1460</v>
      </c>
      <c r="C3888" t="str">
        <f>_xll.BDP("FNDE1460 Mtge","GENERIC_TICKER_VINTAGE")</f>
        <v>FNCL 6 2025</v>
      </c>
      <c r="D3888" t="str">
        <f>_xll.BDP("FNDE1460 Mtge","CRNCY")</f>
        <v>USD</v>
      </c>
      <c r="E3888">
        <v>2692133</v>
      </c>
      <c r="F3888">
        <f>_xll.BDP("FNDE1460 Mtge","CPN")</f>
        <v>6</v>
      </c>
      <c r="G3888">
        <f>_xll.BDP("FNDE1460 Mtge","MTG_FACTOR")</f>
        <v>0.56140769999999995</v>
      </c>
      <c r="H3888">
        <f>_xll.BDP("FNDE1460 Mtge","MTG_WAL")</f>
        <v>3.3449</v>
      </c>
      <c r="I3888" t="str">
        <f>_xll.BDP("FNDE1460 Mtge","MTG_ORIG_WAL")</f>
        <v>#N/A N/A</v>
      </c>
    </row>
    <row r="3889" spans="1:9" x14ac:dyDescent="0.25">
      <c r="A3889" t="str">
        <f>_xll.BDP("FNDE1462 Mtge","ID_CUSIP")</f>
        <v>3140BDTU4</v>
      </c>
      <c r="B3889" t="str">
        <f>_xll.BDP("FNDE1462 Mtge","SECURITY_NAME")</f>
        <v>FN DE1462</v>
      </c>
      <c r="C3889" t="str">
        <f>_xll.BDP("FNDE1462 Mtge","GENERIC_TICKER_VINTAGE")</f>
        <v>FNCL 6 2025</v>
      </c>
      <c r="D3889" t="str">
        <f>_xll.BDP("FNDE1462 Mtge","CRNCY")</f>
        <v>USD</v>
      </c>
      <c r="E3889">
        <v>4723850</v>
      </c>
      <c r="F3889">
        <f>_xll.BDP("FNDE1462 Mtge","CPN")</f>
        <v>6</v>
      </c>
      <c r="G3889">
        <f>_xll.BDP("FNDE1462 Mtge","MTG_FACTOR")</f>
        <v>0.99082207</v>
      </c>
      <c r="H3889">
        <f>_xll.BDP("FNDE1462 Mtge","MTG_WAL")</f>
        <v>3.3298000000000001</v>
      </c>
      <c r="I3889" t="str">
        <f>_xll.BDP("FNDE1462 Mtge","MTG_ORIG_WAL")</f>
        <v>#N/A N/A</v>
      </c>
    </row>
    <row r="3890" spans="1:9" x14ac:dyDescent="0.25">
      <c r="A3890" t="str">
        <f>_xll.BDP("FNDE1465 Mtge","ID_CUSIP")</f>
        <v>3140BDTX8</v>
      </c>
      <c r="B3890" t="str">
        <f>_xll.BDP("FNDE1465 Mtge","SECURITY_NAME")</f>
        <v>FN DE1465</v>
      </c>
      <c r="C3890" t="str">
        <f>_xll.BDP("FNDE1465 Mtge","GENERIC_TICKER_VINTAGE")</f>
        <v>FNCL 6 2025</v>
      </c>
      <c r="D3890" t="str">
        <f>_xll.BDP("FNDE1465 Mtge","CRNCY")</f>
        <v>USD</v>
      </c>
      <c r="E3890">
        <v>8622979</v>
      </c>
      <c r="F3890">
        <f>_xll.BDP("FNDE1465 Mtge","CPN")</f>
        <v>6</v>
      </c>
      <c r="G3890">
        <f>_xll.BDP("FNDE1465 Mtge","MTG_FACTOR")</f>
        <v>0.91877295999999997</v>
      </c>
      <c r="H3890">
        <f>_xll.BDP("FNDE1465 Mtge","MTG_WAL")</f>
        <v>3.3378999999999999</v>
      </c>
      <c r="I3890" t="str">
        <f>_xll.BDP("FNDE1465 Mtge","MTG_ORIG_WAL")</f>
        <v>#N/A N/A</v>
      </c>
    </row>
    <row r="3891" spans="1:9" x14ac:dyDescent="0.25">
      <c r="A3891" t="str">
        <f>_xll.BDP("FNDE1468 Mtge","ID_CUSIP")</f>
        <v>3140BDT26</v>
      </c>
      <c r="B3891" t="str">
        <f>_xll.BDP("FNDE1468 Mtge","SECURITY_NAME")</f>
        <v>FN DE1468</v>
      </c>
      <c r="C3891" t="str">
        <f>_xll.BDP("FNDE1468 Mtge","GENERIC_TICKER_VINTAGE")</f>
        <v>FNCL 6 2025</v>
      </c>
      <c r="D3891" t="str">
        <f>_xll.BDP("FNDE1468 Mtge","CRNCY")</f>
        <v>USD</v>
      </c>
      <c r="E3891">
        <v>2802240</v>
      </c>
      <c r="F3891">
        <f>_xll.BDP("FNDE1468 Mtge","CPN")</f>
        <v>6</v>
      </c>
      <c r="G3891">
        <f>_xll.BDP("FNDE1468 Mtge","MTG_FACTOR")</f>
        <v>0.98587685999999997</v>
      </c>
      <c r="H3891">
        <f>_xll.BDP("FNDE1468 Mtge","MTG_WAL")</f>
        <v>3.3368000000000002</v>
      </c>
      <c r="I3891" t="str">
        <f>_xll.BDP("FNDE1468 Mtge","MTG_ORIG_WAL")</f>
        <v>#N/A N/A</v>
      </c>
    </row>
    <row r="3892" spans="1:9" x14ac:dyDescent="0.25">
      <c r="A3892" t="str">
        <f>_xll.BDP("FNDE1469 Mtge","ID_CUSIP")</f>
        <v>3140BDT34</v>
      </c>
      <c r="B3892" t="str">
        <f>_xll.BDP("FNDE1469 Mtge","SECURITY_NAME")</f>
        <v>FN DE1469</v>
      </c>
      <c r="C3892" t="str">
        <f>_xll.BDP("FNDE1469 Mtge","GENERIC_TICKER_VINTAGE")</f>
        <v>FNCL 6 2025</v>
      </c>
      <c r="D3892" t="str">
        <f>_xll.BDP("FNDE1469 Mtge","CRNCY")</f>
        <v>USD</v>
      </c>
      <c r="E3892">
        <v>1786821</v>
      </c>
      <c r="F3892">
        <f>_xll.BDP("FNDE1469 Mtge","CPN")</f>
        <v>6</v>
      </c>
      <c r="G3892">
        <f>_xll.BDP("FNDE1469 Mtge","MTG_FACTOR")</f>
        <v>0.95499228000000003</v>
      </c>
      <c r="H3892">
        <f>_xll.BDP("FNDE1469 Mtge","MTG_WAL")</f>
        <v>3.3325999999999998</v>
      </c>
      <c r="I3892" t="str">
        <f>_xll.BDP("FNDE1469 Mtge","MTG_ORIG_WAL")</f>
        <v>#N/A N/A</v>
      </c>
    </row>
    <row r="3893" spans="1:9" x14ac:dyDescent="0.25">
      <c r="A3893" t="str">
        <f>_xll.BDP("FNDE1470 Mtge","ID_CUSIP")</f>
        <v>3140BDT42</v>
      </c>
      <c r="B3893" t="str">
        <f>_xll.BDP("FNDE1470 Mtge","SECURITY_NAME")</f>
        <v>FN DE1470</v>
      </c>
      <c r="C3893" t="str">
        <f>_xll.BDP("FNDE1470 Mtge","GENERIC_TICKER_VINTAGE")</f>
        <v>FNCL 6 2025</v>
      </c>
      <c r="D3893" t="str">
        <f>_xll.BDP("FNDE1470 Mtge","CRNCY")</f>
        <v>USD</v>
      </c>
      <c r="E3893">
        <v>2907925</v>
      </c>
      <c r="F3893">
        <f>_xll.BDP("FNDE1470 Mtge","CPN")</f>
        <v>6</v>
      </c>
      <c r="G3893">
        <f>_xll.BDP("FNDE1470 Mtge","MTG_FACTOR")</f>
        <v>0.98781565999999998</v>
      </c>
      <c r="H3893">
        <f>_xll.BDP("FNDE1470 Mtge","MTG_WAL")</f>
        <v>3.3376999999999999</v>
      </c>
      <c r="I3893" t="str">
        <f>_xll.BDP("FNDE1470 Mtge","MTG_ORIG_WAL")</f>
        <v>#N/A N/A</v>
      </c>
    </row>
    <row r="3894" spans="1:9" x14ac:dyDescent="0.25">
      <c r="A3894" t="str">
        <f>_xll.BDP("FNDE1471 Mtge","ID_CUSIP")</f>
        <v>3140BDT59</v>
      </c>
      <c r="B3894" t="str">
        <f>_xll.BDP("FNDE1471 Mtge","SECURITY_NAME")</f>
        <v>FN DE1471</v>
      </c>
      <c r="C3894" t="str">
        <f>_xll.BDP("FNDE1471 Mtge","GENERIC_TICKER_VINTAGE")</f>
        <v>FNCL 6 2025</v>
      </c>
      <c r="D3894" t="str">
        <f>_xll.BDP("FNDE1471 Mtge","CRNCY")</f>
        <v>USD</v>
      </c>
      <c r="E3894">
        <v>4290156</v>
      </c>
      <c r="F3894">
        <f>_xll.BDP("FNDE1471 Mtge","CPN")</f>
        <v>6</v>
      </c>
      <c r="G3894">
        <f>_xll.BDP("FNDE1471 Mtge","MTG_FACTOR")</f>
        <v>0.90896301000000002</v>
      </c>
      <c r="H3894">
        <f>_xll.BDP("FNDE1471 Mtge","MTG_WAL")</f>
        <v>3.3409</v>
      </c>
      <c r="I3894" t="str">
        <f>_xll.BDP("FNDE1471 Mtge","MTG_ORIG_WAL")</f>
        <v>#N/A N/A</v>
      </c>
    </row>
    <row r="3895" spans="1:9" x14ac:dyDescent="0.25">
      <c r="A3895" t="str">
        <f>_xll.BDP("FNDE1474 Mtge","ID_CUSIP")</f>
        <v>3140BDT83</v>
      </c>
      <c r="B3895" t="str">
        <f>_xll.BDP("FNDE1474 Mtge","SECURITY_NAME")</f>
        <v>FN DE1474</v>
      </c>
      <c r="C3895" t="str">
        <f>_xll.BDP("FNDE1474 Mtge","GENERIC_TICKER_VINTAGE")</f>
        <v>FNCL 6 2025</v>
      </c>
      <c r="D3895" t="str">
        <f>_xll.BDP("FNDE1474 Mtge","CRNCY")</f>
        <v>USD</v>
      </c>
      <c r="E3895">
        <v>2652912</v>
      </c>
      <c r="F3895">
        <f>_xll.BDP("FNDE1474 Mtge","CPN")</f>
        <v>6</v>
      </c>
      <c r="G3895">
        <f>_xll.BDP("FNDE1474 Mtge","MTG_FACTOR")</f>
        <v>0.99122332999999996</v>
      </c>
      <c r="H3895">
        <f>_xll.BDP("FNDE1474 Mtge","MTG_WAL")</f>
        <v>3.2955000000000001</v>
      </c>
      <c r="I3895" t="str">
        <f>_xll.BDP("FNDE1474 Mtge","MTG_ORIG_WAL")</f>
        <v>#N/A N/A</v>
      </c>
    </row>
    <row r="3896" spans="1:9" x14ac:dyDescent="0.25">
      <c r="A3896" t="str">
        <f>_xll.BDP("FNDE1475 Mtge","ID_CUSIP")</f>
        <v>3140BDT91</v>
      </c>
      <c r="B3896" t="str">
        <f>_xll.BDP("FNDE1475 Mtge","SECURITY_NAME")</f>
        <v>FN DE1475</v>
      </c>
      <c r="C3896" t="str">
        <f>_xll.BDP("FNDE1475 Mtge","GENERIC_TICKER_VINTAGE")</f>
        <v>FNCL 6 2025</v>
      </c>
      <c r="D3896" t="str">
        <f>_xll.BDP("FNDE1475 Mtge","CRNCY")</f>
        <v>USD</v>
      </c>
      <c r="E3896">
        <v>1244573</v>
      </c>
      <c r="F3896">
        <f>_xll.BDP("FNDE1475 Mtge","CPN")</f>
        <v>6</v>
      </c>
      <c r="G3896">
        <f>_xll.BDP("FNDE1475 Mtge","MTG_FACTOR")</f>
        <v>0.99238850999999995</v>
      </c>
      <c r="H3896">
        <f>_xll.BDP("FNDE1475 Mtge","MTG_WAL")</f>
        <v>3.3471000000000002</v>
      </c>
      <c r="I3896" t="str">
        <f>_xll.BDP("FNDE1475 Mtge","MTG_ORIG_WAL")</f>
        <v>#N/A N/A</v>
      </c>
    </row>
    <row r="3897" spans="1:9" x14ac:dyDescent="0.25">
      <c r="A3897" t="str">
        <f>_xll.BDP("FNDE1476 Mtge","ID_CUSIP")</f>
        <v>3140BDUA6</v>
      </c>
      <c r="B3897" t="str">
        <f>_xll.BDP("FNDE1476 Mtge","SECURITY_NAME")</f>
        <v>FN DE1476</v>
      </c>
      <c r="C3897" t="str">
        <f>_xll.BDP("FNDE1476 Mtge","GENERIC_TICKER_VINTAGE")</f>
        <v>FNCL 6 2025</v>
      </c>
      <c r="D3897" t="str">
        <f>_xll.BDP("FNDE1476 Mtge","CRNCY")</f>
        <v>USD</v>
      </c>
      <c r="E3897">
        <v>1696469</v>
      </c>
      <c r="F3897">
        <f>_xll.BDP("FNDE1476 Mtge","CPN")</f>
        <v>6</v>
      </c>
      <c r="G3897">
        <f>_xll.BDP("FNDE1476 Mtge","MTG_FACTOR")</f>
        <v>0.98413287999999999</v>
      </c>
      <c r="H3897">
        <f>_xll.BDP("FNDE1476 Mtge","MTG_WAL")</f>
        <v>3.331</v>
      </c>
      <c r="I3897" t="str">
        <f>_xll.BDP("FNDE1476 Mtge","MTG_ORIG_WAL")</f>
        <v>#N/A N/A</v>
      </c>
    </row>
    <row r="3898" spans="1:9" x14ac:dyDescent="0.25">
      <c r="A3898" t="str">
        <f>_xll.BDP("FNDE1500 Mtge","ID_CUSIP")</f>
        <v>3140BDU24</v>
      </c>
      <c r="B3898" t="str">
        <f>_xll.BDP("FNDE1500 Mtge","SECURITY_NAME")</f>
        <v>FN DE1500</v>
      </c>
      <c r="C3898" t="str">
        <f>_xll.BDP("FNDE1500 Mtge","GENERIC_TICKER_VINTAGE")</f>
        <v>FNCL 6 2025</v>
      </c>
      <c r="D3898" t="str">
        <f>_xll.BDP("FNDE1500 Mtge","CRNCY")</f>
        <v>USD</v>
      </c>
      <c r="E3898">
        <v>2907910</v>
      </c>
      <c r="F3898">
        <f>_xll.BDP("FNDE1500 Mtge","CPN")</f>
        <v>6</v>
      </c>
      <c r="G3898">
        <f>_xll.BDP("FNDE1500 Mtge","MTG_FACTOR")</f>
        <v>0.98399110000000001</v>
      </c>
      <c r="H3898">
        <f>_xll.BDP("FNDE1500 Mtge","MTG_WAL")</f>
        <v>3.3367</v>
      </c>
      <c r="I3898" t="str">
        <f>_xll.BDP("FNDE1500 Mtge","MTG_ORIG_WAL")</f>
        <v>#N/A N/A</v>
      </c>
    </row>
    <row r="3899" spans="1:9" x14ac:dyDescent="0.25">
      <c r="A3899" t="str">
        <f>_xll.BDP("FNDE1520 Mtge","ID_CUSIP")</f>
        <v>3140BDVN7</v>
      </c>
      <c r="B3899" t="str">
        <f>_xll.BDP("FNDE1520 Mtge","SECURITY_NAME")</f>
        <v>FN DE1520</v>
      </c>
      <c r="C3899" t="str">
        <f>_xll.BDP("FNDE1520 Mtge","GENERIC_TICKER_VINTAGE")</f>
        <v>FNCL 6 2025</v>
      </c>
      <c r="D3899" t="str">
        <f>_xll.BDP("FNDE1520 Mtge","CRNCY")</f>
        <v>USD</v>
      </c>
      <c r="E3899">
        <v>7871039</v>
      </c>
      <c r="F3899">
        <f>_xll.BDP("FNDE1520 Mtge","CPN")</f>
        <v>6</v>
      </c>
      <c r="G3899">
        <f>_xll.BDP("FNDE1520 Mtge","MTG_FACTOR")</f>
        <v>0.98826051999999998</v>
      </c>
      <c r="H3899">
        <f>_xll.BDP("FNDE1520 Mtge","MTG_WAL")</f>
        <v>3.3416999999999999</v>
      </c>
      <c r="I3899" t="str">
        <f>_xll.BDP("FNDE1520 Mtge","MTG_ORIG_WAL")</f>
        <v>#N/A N/A</v>
      </c>
    </row>
    <row r="3900" spans="1:9" x14ac:dyDescent="0.25">
      <c r="A3900" t="str">
        <f>_xll.BDP("FNDE1523 Mtge","ID_CUSIP")</f>
        <v>3140BDVR8</v>
      </c>
      <c r="B3900" t="str">
        <f>_xll.BDP("FNDE1523 Mtge","SECURITY_NAME")</f>
        <v>FN DE1523</v>
      </c>
      <c r="C3900" t="str">
        <f>_xll.BDP("FNDE1523 Mtge","GENERIC_TICKER_VINTAGE")</f>
        <v>FNCL 6 2025</v>
      </c>
      <c r="D3900" t="str">
        <f>_xll.BDP("FNDE1523 Mtge","CRNCY")</f>
        <v>USD</v>
      </c>
      <c r="E3900">
        <v>8834057</v>
      </c>
      <c r="F3900">
        <f>_xll.BDP("FNDE1523 Mtge","CPN")</f>
        <v>6</v>
      </c>
      <c r="G3900">
        <f>_xll.BDP("FNDE1523 Mtge","MTG_FACTOR")</f>
        <v>0.96006731999999995</v>
      </c>
      <c r="H3900">
        <f>_xll.BDP("FNDE1523 Mtge","MTG_WAL")</f>
        <v>3.2873999999999999</v>
      </c>
      <c r="I3900" t="str">
        <f>_xll.BDP("FNDE1523 Mtge","MTG_ORIG_WAL")</f>
        <v>#N/A N/A</v>
      </c>
    </row>
    <row r="3901" spans="1:9" x14ac:dyDescent="0.25">
      <c r="A3901" t="str">
        <f>_xll.BDP("FNDE1524 Mtge","ID_CUSIP")</f>
        <v>3140BDVS6</v>
      </c>
      <c r="B3901" t="str">
        <f>_xll.BDP("FNDE1524 Mtge","SECURITY_NAME")</f>
        <v>FN DE1524</v>
      </c>
      <c r="C3901" t="str">
        <f>_xll.BDP("FNDE1524 Mtge","GENERIC_TICKER_VINTAGE")</f>
        <v>FNCL 6 2025</v>
      </c>
      <c r="D3901" t="str">
        <f>_xll.BDP("FNDE1524 Mtge","CRNCY")</f>
        <v>USD</v>
      </c>
      <c r="E3901">
        <v>5479846</v>
      </c>
      <c r="F3901">
        <f>_xll.BDP("FNDE1524 Mtge","CPN")</f>
        <v>6</v>
      </c>
      <c r="G3901">
        <f>_xll.BDP("FNDE1524 Mtge","MTG_FACTOR")</f>
        <v>0.99030956999999997</v>
      </c>
      <c r="H3901">
        <f>_xll.BDP("FNDE1524 Mtge","MTG_WAL")</f>
        <v>3.2909999999999999</v>
      </c>
      <c r="I3901" t="str">
        <f>_xll.BDP("FNDE1524 Mtge","MTG_ORIG_WAL")</f>
        <v>#N/A N/A</v>
      </c>
    </row>
    <row r="3902" spans="1:9" x14ac:dyDescent="0.25">
      <c r="A3902" t="str">
        <f>_xll.BDP("FNDE1526 Mtge","ID_CUSIP")</f>
        <v>3140BDVU1</v>
      </c>
      <c r="B3902" t="str">
        <f>_xll.BDP("FNDE1526 Mtge","SECURITY_NAME")</f>
        <v>FN DE1526</v>
      </c>
      <c r="C3902" t="str">
        <f>_xll.BDP("FNDE1526 Mtge","GENERIC_TICKER_VINTAGE")</f>
        <v>FNCL 6 2025</v>
      </c>
      <c r="D3902" t="str">
        <f>_xll.BDP("FNDE1526 Mtge","CRNCY")</f>
        <v>USD</v>
      </c>
      <c r="E3902">
        <v>10610517</v>
      </c>
      <c r="F3902">
        <f>_xll.BDP("FNDE1526 Mtge","CPN")</f>
        <v>6</v>
      </c>
      <c r="G3902">
        <f>_xll.BDP("FNDE1526 Mtge","MTG_FACTOR")</f>
        <v>0.96266081999999997</v>
      </c>
      <c r="H3902">
        <f>_xll.BDP("FNDE1526 Mtge","MTG_WAL")</f>
        <v>3.2915000000000001</v>
      </c>
      <c r="I3902" t="str">
        <f>_xll.BDP("FNDE1526 Mtge","MTG_ORIG_WAL")</f>
        <v>#N/A N/A</v>
      </c>
    </row>
    <row r="3903" spans="1:9" x14ac:dyDescent="0.25">
      <c r="A3903" t="str">
        <f>_xll.BDP("FNDE1531 Mtge","ID_CUSIP")</f>
        <v>3140BDVZ0</v>
      </c>
      <c r="B3903" t="str">
        <f>_xll.BDP("FNDE1531 Mtge","SECURITY_NAME")</f>
        <v>FN DE1531</v>
      </c>
      <c r="C3903" t="str">
        <f>_xll.BDP("FNDE1531 Mtge","GENERIC_TICKER_VINTAGE")</f>
        <v>FNCL 6 2025</v>
      </c>
      <c r="D3903" t="str">
        <f>_xll.BDP("FNDE1531 Mtge","CRNCY")</f>
        <v>USD</v>
      </c>
      <c r="E3903">
        <v>1845619</v>
      </c>
      <c r="F3903">
        <f>_xll.BDP("FNDE1531 Mtge","CPN")</f>
        <v>6</v>
      </c>
      <c r="G3903">
        <f>_xll.BDP("FNDE1531 Mtge","MTG_FACTOR")</f>
        <v>0.98684282000000001</v>
      </c>
      <c r="H3903">
        <f>_xll.BDP("FNDE1531 Mtge","MTG_WAL")</f>
        <v>3.29</v>
      </c>
      <c r="I3903" t="str">
        <f>_xll.BDP("FNDE1531 Mtge","MTG_ORIG_WAL")</f>
        <v>#N/A N/A</v>
      </c>
    </row>
    <row r="3904" spans="1:9" x14ac:dyDescent="0.25">
      <c r="A3904" t="str">
        <f>_xll.BDP("FNDE1537 Mtge","ID_CUSIP")</f>
        <v>3140BDV72</v>
      </c>
      <c r="B3904" t="str">
        <f>_xll.BDP("FNDE1537 Mtge","SECURITY_NAME")</f>
        <v>FN DE1537</v>
      </c>
      <c r="C3904" t="str">
        <f>_xll.BDP("FNDE1537 Mtge","GENERIC_TICKER_VINTAGE")</f>
        <v>FNCL 6 2025</v>
      </c>
      <c r="D3904" t="str">
        <f>_xll.BDP("FNDE1537 Mtge","CRNCY")</f>
        <v>USD</v>
      </c>
      <c r="E3904">
        <v>1061413</v>
      </c>
      <c r="F3904">
        <f>_xll.BDP("FNDE1537 Mtge","CPN")</f>
        <v>6</v>
      </c>
      <c r="G3904">
        <f>_xll.BDP("FNDE1537 Mtge","MTG_FACTOR")</f>
        <v>0.99151321999999997</v>
      </c>
      <c r="H3904">
        <f>_xll.BDP("FNDE1537 Mtge","MTG_WAL")</f>
        <v>3.2490999999999999</v>
      </c>
      <c r="I3904" t="str">
        <f>_xll.BDP("FNDE1537 Mtge","MTG_ORIG_WAL")</f>
        <v>#N/A N/A</v>
      </c>
    </row>
    <row r="3905" spans="1:9" x14ac:dyDescent="0.25">
      <c r="A3905" t="str">
        <f>_xll.BDP("FNDE1555 Mtge","ID_CUSIP")</f>
        <v>3140BDWR7</v>
      </c>
      <c r="B3905" t="str">
        <f>_xll.BDP("FNDE1555 Mtge","SECURITY_NAME")</f>
        <v>FN DE1555</v>
      </c>
      <c r="C3905" t="str">
        <f>_xll.BDP("FNDE1555 Mtge","GENERIC_TICKER_VINTAGE")</f>
        <v>FNCL 6 2025</v>
      </c>
      <c r="D3905" t="str">
        <f>_xll.BDP("FNDE1555 Mtge","CRNCY")</f>
        <v>USD</v>
      </c>
      <c r="E3905">
        <v>3277893</v>
      </c>
      <c r="F3905">
        <f>_xll.BDP("FNDE1555 Mtge","CPN")</f>
        <v>6</v>
      </c>
      <c r="G3905">
        <f>_xll.BDP("FNDE1555 Mtge","MTG_FACTOR")</f>
        <v>0.99291925999999997</v>
      </c>
      <c r="H3905">
        <f>_xll.BDP("FNDE1555 Mtge","MTG_WAL")</f>
        <v>3.3428</v>
      </c>
      <c r="I3905" t="str">
        <f>_xll.BDP("FNDE1555 Mtge","MTG_ORIG_WAL")</f>
        <v>#N/A N/A</v>
      </c>
    </row>
    <row r="3906" spans="1:9" x14ac:dyDescent="0.25">
      <c r="A3906" t="str">
        <f>_xll.BDP("FNDE1623 Mtge","ID_CUSIP")</f>
        <v>3140BDYV6</v>
      </c>
      <c r="B3906" t="str">
        <f>_xll.BDP("FNDE1623 Mtge","SECURITY_NAME")</f>
        <v>FN DE1623</v>
      </c>
      <c r="C3906" t="str">
        <f>_xll.BDP("FNDE1623 Mtge","GENERIC_TICKER_VINTAGE")</f>
        <v>FNCL 6 2025</v>
      </c>
      <c r="D3906" t="str">
        <f>_xll.BDP("FNDE1623 Mtge","CRNCY")</f>
        <v>USD</v>
      </c>
      <c r="E3906">
        <v>11193384</v>
      </c>
      <c r="F3906">
        <f>_xll.BDP("FNDE1623 Mtge","CPN")</f>
        <v>6</v>
      </c>
      <c r="G3906">
        <f>_xll.BDP("FNDE1623 Mtge","MTG_FACTOR")</f>
        <v>0.98648921000000001</v>
      </c>
      <c r="H3906">
        <f>_xll.BDP("FNDE1623 Mtge","MTG_WAL")</f>
        <v>3.3349000000000002</v>
      </c>
      <c r="I3906" t="str">
        <f>_xll.BDP("FNDE1623 Mtge","MTG_ORIG_WAL")</f>
        <v>#N/A N/A</v>
      </c>
    </row>
    <row r="3907" spans="1:9" x14ac:dyDescent="0.25">
      <c r="A3907" t="str">
        <f>_xll.BDP("FNDE1626 Mtge","ID_CUSIP")</f>
        <v>3140BDYY0</v>
      </c>
      <c r="B3907" t="str">
        <f>_xll.BDP("FNDE1626 Mtge","SECURITY_NAME")</f>
        <v>FN DE1626</v>
      </c>
      <c r="C3907" t="str">
        <f>_xll.BDP("FNDE1626 Mtge","GENERIC_TICKER_VINTAGE")</f>
        <v>FNCL 6 2025</v>
      </c>
      <c r="D3907" t="str">
        <f>_xll.BDP("FNDE1626 Mtge","CRNCY")</f>
        <v>USD</v>
      </c>
      <c r="E3907">
        <v>10229129</v>
      </c>
      <c r="F3907">
        <f>_xll.BDP("FNDE1626 Mtge","CPN")</f>
        <v>6</v>
      </c>
      <c r="G3907">
        <f>_xll.BDP("FNDE1626 Mtge","MTG_FACTOR")</f>
        <v>0.82900934999999998</v>
      </c>
      <c r="H3907">
        <f>_xll.BDP("FNDE1626 Mtge","MTG_WAL")</f>
        <v>3.3414000000000001</v>
      </c>
      <c r="I3907" t="str">
        <f>_xll.BDP("FNDE1626 Mtge","MTG_ORIG_WAL")</f>
        <v>#N/A N/A</v>
      </c>
    </row>
    <row r="3908" spans="1:9" x14ac:dyDescent="0.25">
      <c r="A3908" t="str">
        <f>_xll.BDP("FNDE1635 Mtge","ID_CUSIP")</f>
        <v>3140BDY95</v>
      </c>
      <c r="B3908" t="str">
        <f>_xll.BDP("FNDE1635 Mtge","SECURITY_NAME")</f>
        <v>FN DE1635</v>
      </c>
      <c r="C3908" t="str">
        <f>_xll.BDP("FNDE1635 Mtge","GENERIC_TICKER_VINTAGE")</f>
        <v>FNCL 6 2025</v>
      </c>
      <c r="D3908" t="str">
        <f>_xll.BDP("FNDE1635 Mtge","CRNCY")</f>
        <v>USD</v>
      </c>
      <c r="E3908">
        <v>4217844</v>
      </c>
      <c r="F3908">
        <f>_xll.BDP("FNDE1635 Mtge","CPN")</f>
        <v>6</v>
      </c>
      <c r="G3908">
        <f>_xll.BDP("FNDE1635 Mtge","MTG_FACTOR")</f>
        <v>0.99079817999999997</v>
      </c>
      <c r="H3908">
        <f>_xll.BDP("FNDE1635 Mtge","MTG_WAL")</f>
        <v>3.2877999999999998</v>
      </c>
      <c r="I3908" t="str">
        <f>_xll.BDP("FNDE1635 Mtge","MTG_ORIG_WAL")</f>
        <v>#N/A N/A</v>
      </c>
    </row>
    <row r="3909" spans="1:9" x14ac:dyDescent="0.25">
      <c r="A3909" t="str">
        <f>_xll.BDP("FNDE1638 Mtge","ID_CUSIP")</f>
        <v>3140BDZC7</v>
      </c>
      <c r="B3909" t="str">
        <f>_xll.BDP("FNDE1638 Mtge","SECURITY_NAME")</f>
        <v>FN DE1638</v>
      </c>
      <c r="C3909" t="str">
        <f>_xll.BDP("FNDE1638 Mtge","GENERIC_TICKER_VINTAGE")</f>
        <v>FNCL 6 2025</v>
      </c>
      <c r="D3909" t="str">
        <f>_xll.BDP("FNDE1638 Mtge","CRNCY")</f>
        <v>USD</v>
      </c>
      <c r="E3909">
        <v>1306549</v>
      </c>
      <c r="F3909">
        <f>_xll.BDP("FNDE1638 Mtge","CPN")</f>
        <v>6</v>
      </c>
      <c r="G3909">
        <f>_xll.BDP("FNDE1638 Mtge","MTG_FACTOR")</f>
        <v>0.97904035</v>
      </c>
      <c r="H3909">
        <f>_xll.BDP("FNDE1638 Mtge","MTG_WAL")</f>
        <v>3.2787999999999999</v>
      </c>
      <c r="I3909" t="str">
        <f>_xll.BDP("FNDE1638 Mtge","MTG_ORIG_WAL")</f>
        <v>#N/A N/A</v>
      </c>
    </row>
    <row r="3910" spans="1:9" x14ac:dyDescent="0.25">
      <c r="A3910" t="str">
        <f>_xll.BDP("FNDE1641 Mtge","ID_CUSIP")</f>
        <v>3140BDZF0</v>
      </c>
      <c r="B3910" t="str">
        <f>_xll.BDP("FNDE1641 Mtge","SECURITY_NAME")</f>
        <v>FN DE1641</v>
      </c>
      <c r="C3910" t="str">
        <f>_xll.BDP("FNDE1641 Mtge","GENERIC_TICKER_VINTAGE")</f>
        <v>FNCL 6 2025</v>
      </c>
      <c r="D3910" t="str">
        <f>_xll.BDP("FNDE1641 Mtge","CRNCY")</f>
        <v>USD</v>
      </c>
      <c r="E3910">
        <v>2514585</v>
      </c>
      <c r="F3910">
        <f>_xll.BDP("FNDE1641 Mtge","CPN")</f>
        <v>6</v>
      </c>
      <c r="G3910">
        <f>_xll.BDP("FNDE1641 Mtge","MTG_FACTOR")</f>
        <v>0.83766023000000001</v>
      </c>
      <c r="H3910">
        <f>_xll.BDP("FNDE1641 Mtge","MTG_WAL")</f>
        <v>3.2894000000000001</v>
      </c>
      <c r="I3910" t="str">
        <f>_xll.BDP("FNDE1641 Mtge","MTG_ORIG_WAL")</f>
        <v>#N/A N/A</v>
      </c>
    </row>
    <row r="3911" spans="1:9" x14ac:dyDescent="0.25">
      <c r="A3911" t="str">
        <f>_xll.BDP("FNDE1643 Mtge","ID_CUSIP")</f>
        <v>3140BDZH6</v>
      </c>
      <c r="B3911" t="str">
        <f>_xll.BDP("FNDE1643 Mtge","SECURITY_NAME")</f>
        <v>FN DE1643</v>
      </c>
      <c r="C3911" t="str">
        <f>_xll.BDP("FNDE1643 Mtge","GENERIC_TICKER_VINTAGE")</f>
        <v>FNCL 6 2025</v>
      </c>
      <c r="D3911" t="str">
        <f>_xll.BDP("FNDE1643 Mtge","CRNCY")</f>
        <v>USD</v>
      </c>
      <c r="E3911">
        <v>3451072</v>
      </c>
      <c r="F3911">
        <f>_xll.BDP("FNDE1643 Mtge","CPN")</f>
        <v>6</v>
      </c>
      <c r="G3911">
        <f>_xll.BDP("FNDE1643 Mtge","MTG_FACTOR")</f>
        <v>0.92499766999999999</v>
      </c>
      <c r="H3911">
        <f>_xll.BDP("FNDE1643 Mtge","MTG_WAL")</f>
        <v>3.2686999999999999</v>
      </c>
      <c r="I3911" t="str">
        <f>_xll.BDP("FNDE1643 Mtge","MTG_ORIG_WAL")</f>
        <v>#N/A N/A</v>
      </c>
    </row>
    <row r="3912" spans="1:9" x14ac:dyDescent="0.25">
      <c r="A3912" t="str">
        <f>_xll.BDP("FNDE1644 Mtge","ID_CUSIP")</f>
        <v>3140BDZJ2</v>
      </c>
      <c r="B3912" t="str">
        <f>_xll.BDP("FNDE1644 Mtge","SECURITY_NAME")</f>
        <v>FN DE1644</v>
      </c>
      <c r="C3912" t="str">
        <f>_xll.BDP("FNDE1644 Mtge","GENERIC_TICKER_VINTAGE")</f>
        <v>FNCL 6 2025</v>
      </c>
      <c r="D3912" t="str">
        <f>_xll.BDP("FNDE1644 Mtge","CRNCY")</f>
        <v>USD</v>
      </c>
      <c r="E3912">
        <v>3467359</v>
      </c>
      <c r="F3912">
        <f>_xll.BDP("FNDE1644 Mtge","CPN")</f>
        <v>6</v>
      </c>
      <c r="G3912">
        <f>_xll.BDP("FNDE1644 Mtge","MTG_FACTOR")</f>
        <v>0.89770359</v>
      </c>
      <c r="H3912">
        <f>_xll.BDP("FNDE1644 Mtge","MTG_WAL")</f>
        <v>3.2883</v>
      </c>
      <c r="I3912" t="str">
        <f>_xll.BDP("FNDE1644 Mtge","MTG_ORIG_WAL")</f>
        <v>#N/A N/A</v>
      </c>
    </row>
    <row r="3913" spans="1:9" x14ac:dyDescent="0.25">
      <c r="A3913" t="str">
        <f>_xll.BDP("FNDE1658 Mtge","ID_CUSIP")</f>
        <v>3140BDZY9</v>
      </c>
      <c r="B3913" t="str">
        <f>_xll.BDP("FNDE1658 Mtge","SECURITY_NAME")</f>
        <v>FN DE1658</v>
      </c>
      <c r="C3913" t="str">
        <f>_xll.BDP("FNDE1658 Mtge","GENERIC_TICKER_VINTAGE")</f>
        <v>FNCL 6 2025</v>
      </c>
      <c r="D3913" t="str">
        <f>_xll.BDP("FNDE1658 Mtge","CRNCY")</f>
        <v>USD</v>
      </c>
      <c r="E3913">
        <v>1480232</v>
      </c>
      <c r="F3913">
        <f>_xll.BDP("FNDE1658 Mtge","CPN")</f>
        <v>6</v>
      </c>
      <c r="G3913">
        <f>_xll.BDP("FNDE1658 Mtge","MTG_FACTOR")</f>
        <v>0.98928853999999999</v>
      </c>
      <c r="H3913">
        <f>_xll.BDP("FNDE1658 Mtge","MTG_WAL")</f>
        <v>3.3397000000000001</v>
      </c>
      <c r="I3913" t="str">
        <f>_xll.BDP("FNDE1658 Mtge","MTG_ORIG_WAL")</f>
        <v>#N/A N/A</v>
      </c>
    </row>
    <row r="3914" spans="1:9" x14ac:dyDescent="0.25">
      <c r="A3914" t="str">
        <f>_xll.BDP("FNDE1665 Mtge","ID_CUSIP")</f>
        <v>3140BDZ78</v>
      </c>
      <c r="B3914" t="str">
        <f>_xll.BDP("FNDE1665 Mtge","SECURITY_NAME")</f>
        <v>FN DE1665</v>
      </c>
      <c r="C3914" t="str">
        <f>_xll.BDP("FNDE1665 Mtge","GENERIC_TICKER_VINTAGE")</f>
        <v>FNCL 6 2025</v>
      </c>
      <c r="D3914" t="str">
        <f>_xll.BDP("FNDE1665 Mtge","CRNCY")</f>
        <v>USD</v>
      </c>
      <c r="E3914">
        <v>2015648</v>
      </c>
      <c r="F3914">
        <f>_xll.BDP("FNDE1665 Mtge","CPN")</f>
        <v>6</v>
      </c>
      <c r="G3914">
        <f>_xll.BDP("FNDE1665 Mtge","MTG_FACTOR")</f>
        <v>0.98983471000000001</v>
      </c>
      <c r="H3914">
        <f>_xll.BDP("FNDE1665 Mtge","MTG_WAL")</f>
        <v>3.2936000000000001</v>
      </c>
      <c r="I3914" t="str">
        <f>_xll.BDP("FNDE1665 Mtge","MTG_ORIG_WAL")</f>
        <v>#N/A N/A</v>
      </c>
    </row>
    <row r="3915" spans="1:9" x14ac:dyDescent="0.25">
      <c r="A3915" t="str">
        <f>_xll.BDP("FNDE1667 Mtge","ID_CUSIP")</f>
        <v>3140BDZ94</v>
      </c>
      <c r="B3915" t="str">
        <f>_xll.BDP("FNDE1667 Mtge","SECURITY_NAME")</f>
        <v>FN DE1667</v>
      </c>
      <c r="C3915" t="str">
        <f>_xll.BDP("FNDE1667 Mtge","GENERIC_TICKER_VINTAGE")</f>
        <v>FNCL 6 2025</v>
      </c>
      <c r="D3915" t="str">
        <f>_xll.BDP("FNDE1667 Mtge","CRNCY")</f>
        <v>USD</v>
      </c>
      <c r="E3915">
        <v>1529673</v>
      </c>
      <c r="F3915">
        <f>_xll.BDP("FNDE1667 Mtge","CPN")</f>
        <v>6</v>
      </c>
      <c r="G3915">
        <f>_xll.BDP("FNDE1667 Mtge","MTG_FACTOR")</f>
        <v>0.99075097999999995</v>
      </c>
      <c r="H3915">
        <f>_xll.BDP("FNDE1667 Mtge","MTG_WAL")</f>
        <v>3.3450000000000002</v>
      </c>
      <c r="I3915" t="str">
        <f>_xll.BDP("FNDE1667 Mtge","MTG_ORIG_WAL")</f>
        <v>#N/A N/A</v>
      </c>
    </row>
    <row r="3916" spans="1:9" x14ac:dyDescent="0.25">
      <c r="A3916" t="str">
        <f>_xll.BDP("FNDE1668 Mtge","ID_CUSIP")</f>
        <v>3140BD2A7</v>
      </c>
      <c r="B3916" t="str">
        <f>_xll.BDP("FNDE1668 Mtge","SECURITY_NAME")</f>
        <v>FN DE1668</v>
      </c>
      <c r="C3916" t="str">
        <f>_xll.BDP("FNDE1668 Mtge","GENERIC_TICKER_VINTAGE")</f>
        <v>FNCL 6 2025</v>
      </c>
      <c r="D3916" t="str">
        <f>_xll.BDP("FNDE1668 Mtge","CRNCY")</f>
        <v>USD</v>
      </c>
      <c r="E3916">
        <v>1514429</v>
      </c>
      <c r="F3916">
        <f>_xll.BDP("FNDE1668 Mtge","CPN")</f>
        <v>6</v>
      </c>
      <c r="G3916">
        <f>_xll.BDP("FNDE1668 Mtge","MTG_FACTOR")</f>
        <v>0.99204002000000002</v>
      </c>
      <c r="H3916">
        <f>_xll.BDP("FNDE1668 Mtge","MTG_WAL")</f>
        <v>3.3424</v>
      </c>
      <c r="I3916" t="str">
        <f>_xll.BDP("FNDE1668 Mtge","MTG_ORIG_WAL")</f>
        <v>#N/A N/A</v>
      </c>
    </row>
    <row r="3917" spans="1:9" x14ac:dyDescent="0.25">
      <c r="A3917" t="str">
        <f>_xll.BDP("FNDE1671 Mtge","ID_CUSIP")</f>
        <v>3140BD2D1</v>
      </c>
      <c r="B3917" t="str">
        <f>_xll.BDP("FNDE1671 Mtge","SECURITY_NAME")</f>
        <v>FN DE1671</v>
      </c>
      <c r="C3917" t="str">
        <f>_xll.BDP("FNDE1671 Mtge","GENERIC_TICKER_VINTAGE")</f>
        <v>FNCL 6 2025</v>
      </c>
      <c r="D3917" t="str">
        <f>_xll.BDP("FNDE1671 Mtge","CRNCY")</f>
        <v>USD</v>
      </c>
      <c r="E3917">
        <v>1152705</v>
      </c>
      <c r="F3917">
        <f>_xll.BDP("FNDE1671 Mtge","CPN")</f>
        <v>6</v>
      </c>
      <c r="G3917">
        <f>_xll.BDP("FNDE1671 Mtge","MTG_FACTOR")</f>
        <v>0.85211490000000001</v>
      </c>
      <c r="H3917">
        <f>_xll.BDP("FNDE1671 Mtge","MTG_WAL")</f>
        <v>3.2923</v>
      </c>
      <c r="I3917" t="str">
        <f>_xll.BDP("FNDE1671 Mtge","MTG_ORIG_WAL")</f>
        <v>#N/A N/A</v>
      </c>
    </row>
    <row r="3918" spans="1:9" x14ac:dyDescent="0.25">
      <c r="A3918" t="str">
        <f>_xll.BDP("FNDE1672 Mtge","ID_CUSIP")</f>
        <v>3140BD2E9</v>
      </c>
      <c r="B3918" t="str">
        <f>_xll.BDP("FNDE1672 Mtge","SECURITY_NAME")</f>
        <v>FN DE1672</v>
      </c>
      <c r="C3918" t="str">
        <f>_xll.BDP("FNDE1672 Mtge","GENERIC_TICKER_VINTAGE")</f>
        <v>FNCL 6 2025</v>
      </c>
      <c r="D3918" t="str">
        <f>_xll.BDP("FNDE1672 Mtge","CRNCY")</f>
        <v>USD</v>
      </c>
      <c r="E3918">
        <v>1289865</v>
      </c>
      <c r="F3918">
        <f>_xll.BDP("FNDE1672 Mtge","CPN")</f>
        <v>6</v>
      </c>
      <c r="G3918">
        <f>_xll.BDP("FNDE1672 Mtge","MTG_FACTOR")</f>
        <v>0.99207254</v>
      </c>
      <c r="H3918">
        <f>_xll.BDP("FNDE1672 Mtge","MTG_WAL")</f>
        <v>3.2936000000000001</v>
      </c>
      <c r="I3918" t="str">
        <f>_xll.BDP("FNDE1672 Mtge","MTG_ORIG_WAL")</f>
        <v>#N/A N/A</v>
      </c>
    </row>
    <row r="3919" spans="1:9" x14ac:dyDescent="0.25">
      <c r="A3919" t="str">
        <f>_xll.BDP("FNDE1674 Mtge","ID_CUSIP")</f>
        <v>3140BD2G4</v>
      </c>
      <c r="B3919" t="str">
        <f>_xll.BDP("FNDE1674 Mtge","SECURITY_NAME")</f>
        <v>FN DE1674</v>
      </c>
      <c r="C3919" t="str">
        <f>_xll.BDP("FNDE1674 Mtge","GENERIC_TICKER_VINTAGE")</f>
        <v>FNCL 6 2025</v>
      </c>
      <c r="D3919" t="str">
        <f>_xll.BDP("FNDE1674 Mtge","CRNCY")</f>
        <v>USD</v>
      </c>
      <c r="E3919">
        <v>1708223</v>
      </c>
      <c r="F3919">
        <f>_xll.BDP("FNDE1674 Mtge","CPN")</f>
        <v>6</v>
      </c>
      <c r="G3919">
        <f>_xll.BDP("FNDE1674 Mtge","MTG_FACTOR")</f>
        <v>0.98406256999999997</v>
      </c>
      <c r="H3919">
        <f>_xll.BDP("FNDE1674 Mtge","MTG_WAL")</f>
        <v>3.2888999999999999</v>
      </c>
      <c r="I3919" t="str">
        <f>_xll.BDP("FNDE1674 Mtge","MTG_ORIG_WAL")</f>
        <v>#N/A N/A</v>
      </c>
    </row>
    <row r="3920" spans="1:9" x14ac:dyDescent="0.25">
      <c r="A3920" t="str">
        <f>_xll.BDP("FNDE1675 Mtge","ID_CUSIP")</f>
        <v>3140BD2H2</v>
      </c>
      <c r="B3920" t="str">
        <f>_xll.BDP("FNDE1675 Mtge","SECURITY_NAME")</f>
        <v>FN DE1675</v>
      </c>
      <c r="C3920" t="str">
        <f>_xll.BDP("FNDE1675 Mtge","GENERIC_TICKER_VINTAGE")</f>
        <v>FNCL 6 2025</v>
      </c>
      <c r="D3920" t="str">
        <f>_xll.BDP("FNDE1675 Mtge","CRNCY")</f>
        <v>USD</v>
      </c>
      <c r="E3920">
        <v>1332422</v>
      </c>
      <c r="F3920">
        <f>_xll.BDP("FNDE1675 Mtge","CPN")</f>
        <v>6</v>
      </c>
      <c r="G3920">
        <f>_xll.BDP("FNDE1675 Mtge","MTG_FACTOR")</f>
        <v>0.98820458</v>
      </c>
      <c r="H3920">
        <f>_xll.BDP("FNDE1675 Mtge","MTG_WAL")</f>
        <v>3.2902999999999998</v>
      </c>
      <c r="I3920" t="str">
        <f>_xll.BDP("FNDE1675 Mtge","MTG_ORIG_WAL")</f>
        <v>#N/A N/A</v>
      </c>
    </row>
    <row r="3921" spans="1:9" x14ac:dyDescent="0.25">
      <c r="A3921" t="str">
        <f>_xll.BDP("FNDE1676 Mtge","ID_CUSIP")</f>
        <v>3140BD2J8</v>
      </c>
      <c r="B3921" t="str">
        <f>_xll.BDP("FNDE1676 Mtge","SECURITY_NAME")</f>
        <v>FN DE1676</v>
      </c>
      <c r="C3921" t="str">
        <f>_xll.BDP("FNDE1676 Mtge","GENERIC_TICKER_VINTAGE")</f>
        <v>FNCL 6 2025</v>
      </c>
      <c r="D3921" t="str">
        <f>_xll.BDP("FNDE1676 Mtge","CRNCY")</f>
        <v>USD</v>
      </c>
      <c r="E3921">
        <v>3719190</v>
      </c>
      <c r="F3921">
        <f>_xll.BDP("FNDE1676 Mtge","CPN")</f>
        <v>6</v>
      </c>
      <c r="G3921">
        <f>_xll.BDP("FNDE1676 Mtge","MTG_FACTOR")</f>
        <v>0.96536719000000004</v>
      </c>
      <c r="H3921">
        <f>_xll.BDP("FNDE1676 Mtge","MTG_WAL")</f>
        <v>3.2814000000000001</v>
      </c>
      <c r="I3921" t="str">
        <f>_xll.BDP("FNDE1676 Mtge","MTG_ORIG_WAL")</f>
        <v>#N/A N/A</v>
      </c>
    </row>
    <row r="3922" spans="1:9" x14ac:dyDescent="0.25">
      <c r="A3922" t="str">
        <f>_xll.BDP("FNDE1677 Mtge","ID_CUSIP")</f>
        <v>3140BD2K5</v>
      </c>
      <c r="B3922" t="str">
        <f>_xll.BDP("FNDE1677 Mtge","SECURITY_NAME")</f>
        <v>FN DE1677</v>
      </c>
      <c r="C3922" t="str">
        <f>_xll.BDP("FNDE1677 Mtge","GENERIC_TICKER_VINTAGE")</f>
        <v>FNCL 6 2025</v>
      </c>
      <c r="D3922" t="str">
        <f>_xll.BDP("FNDE1677 Mtge","CRNCY")</f>
        <v>USD</v>
      </c>
      <c r="E3922">
        <v>1695189</v>
      </c>
      <c r="F3922">
        <f>_xll.BDP("FNDE1677 Mtge","CPN")</f>
        <v>6</v>
      </c>
      <c r="G3922">
        <f>_xll.BDP("FNDE1677 Mtge","MTG_FACTOR")</f>
        <v>0.78887680000000004</v>
      </c>
      <c r="H3922">
        <f>_xll.BDP("FNDE1677 Mtge","MTG_WAL")</f>
        <v>3.3443999999999998</v>
      </c>
      <c r="I3922" t="str">
        <f>_xll.BDP("FNDE1677 Mtge","MTG_ORIG_WAL")</f>
        <v>#N/A N/A</v>
      </c>
    </row>
    <row r="3923" spans="1:9" x14ac:dyDescent="0.25">
      <c r="A3923" t="str">
        <f>_xll.BDP("FNDE1704 Mtge","ID_CUSIP")</f>
        <v>3140BD3N8</v>
      </c>
      <c r="B3923" t="str">
        <f>_xll.BDP("FNDE1704 Mtge","SECURITY_NAME")</f>
        <v>FN DE1704</v>
      </c>
      <c r="C3923" t="str">
        <f>_xll.BDP("FNDE1704 Mtge","GENERIC_TICKER_VINTAGE")</f>
        <v>FNCL 6 2025</v>
      </c>
      <c r="D3923" t="str">
        <f>_xll.BDP("FNDE1704 Mtge","CRNCY")</f>
        <v>USD</v>
      </c>
      <c r="E3923">
        <v>8655394</v>
      </c>
      <c r="F3923">
        <f>_xll.BDP("FNDE1704 Mtge","CPN")</f>
        <v>6</v>
      </c>
      <c r="G3923">
        <f>_xll.BDP("FNDE1704 Mtge","MTG_FACTOR")</f>
        <v>0.95935499000000002</v>
      </c>
      <c r="H3923">
        <f>_xll.BDP("FNDE1704 Mtge","MTG_WAL")</f>
        <v>3.2915000000000001</v>
      </c>
      <c r="I3923" t="str">
        <f>_xll.BDP("FNDE1704 Mtge","MTG_ORIG_WAL")</f>
        <v>#N/A N/A</v>
      </c>
    </row>
    <row r="3924" spans="1:9" x14ac:dyDescent="0.25">
      <c r="A3924" t="str">
        <f>_xll.BDP("FNDE1710 Mtge","ID_CUSIP")</f>
        <v>3140BD3U2</v>
      </c>
      <c r="B3924" t="str">
        <f>_xll.BDP("FNDE1710 Mtge","SECURITY_NAME")</f>
        <v>FN DE1710</v>
      </c>
      <c r="C3924" t="str">
        <f>_xll.BDP("FNDE1710 Mtge","GENERIC_TICKER_VINTAGE")</f>
        <v>FNCL 6 2025</v>
      </c>
      <c r="D3924" t="str">
        <f>_xll.BDP("FNDE1710 Mtge","CRNCY")</f>
        <v>USD</v>
      </c>
      <c r="E3924">
        <v>3063467</v>
      </c>
      <c r="F3924">
        <f>_xll.BDP("FNDE1710 Mtge","CPN")</f>
        <v>6</v>
      </c>
      <c r="G3924">
        <f>_xll.BDP("FNDE1710 Mtge","MTG_FACTOR")</f>
        <v>0.87792493999999999</v>
      </c>
      <c r="H3924">
        <f>_xll.BDP("FNDE1710 Mtge","MTG_WAL")</f>
        <v>3.2902999999999998</v>
      </c>
      <c r="I3924" t="str">
        <f>_xll.BDP("FNDE1710 Mtge","MTG_ORIG_WAL")</f>
        <v>#N/A N/A</v>
      </c>
    </row>
    <row r="3925" spans="1:9" x14ac:dyDescent="0.25">
      <c r="A3925" t="str">
        <f>_xll.BDP("FNDE1715 Mtge","ID_CUSIP")</f>
        <v>3140BD3Z1</v>
      </c>
      <c r="B3925" t="str">
        <f>_xll.BDP("FNDE1715 Mtge","SECURITY_NAME")</f>
        <v>FN DE1715</v>
      </c>
      <c r="C3925" t="str">
        <f>_xll.BDP("FNDE1715 Mtge","GENERIC_TICKER_VINTAGE")</f>
        <v>FNCL 6 2025</v>
      </c>
      <c r="D3925" t="str">
        <f>_xll.BDP("FNDE1715 Mtge","CRNCY")</f>
        <v>USD</v>
      </c>
      <c r="E3925">
        <v>3094797</v>
      </c>
      <c r="F3925">
        <f>_xll.BDP("FNDE1715 Mtge","CPN")</f>
        <v>6</v>
      </c>
      <c r="G3925">
        <f>_xll.BDP("FNDE1715 Mtge","MTG_FACTOR")</f>
        <v>0.82817783</v>
      </c>
      <c r="H3925">
        <f>_xll.BDP("FNDE1715 Mtge","MTG_WAL")</f>
        <v>3.2850000000000001</v>
      </c>
      <c r="I3925" t="str">
        <f>_xll.BDP("FNDE1715 Mtge","MTG_ORIG_WAL")</f>
        <v>#N/A N/A</v>
      </c>
    </row>
    <row r="3926" spans="1:9" x14ac:dyDescent="0.25">
      <c r="A3926" t="str">
        <f>_xll.BDP("FNDE1724 Mtge","ID_CUSIP")</f>
        <v>3140BD4J6</v>
      </c>
      <c r="B3926" t="str">
        <f>_xll.BDP("FNDE1724 Mtge","SECURITY_NAME")</f>
        <v>FN DE1724</v>
      </c>
      <c r="C3926" t="str">
        <f>_xll.BDP("FNDE1724 Mtge","GENERIC_TICKER_VINTAGE")</f>
        <v>FNCL 6 2025</v>
      </c>
      <c r="D3926" t="str">
        <f>_xll.BDP("FNDE1724 Mtge","CRNCY")</f>
        <v>USD</v>
      </c>
      <c r="E3926">
        <v>16492380</v>
      </c>
      <c r="F3926">
        <f>_xll.BDP("FNDE1724 Mtge","CPN")</f>
        <v>6</v>
      </c>
      <c r="G3926">
        <f>_xll.BDP("FNDE1724 Mtge","MTG_FACTOR")</f>
        <v>0.96444483999999997</v>
      </c>
      <c r="H3926">
        <f>_xll.BDP("FNDE1724 Mtge","MTG_WAL")</f>
        <v>3.2787000000000002</v>
      </c>
      <c r="I3926" t="str">
        <f>_xll.BDP("FNDE1724 Mtge","MTG_ORIG_WAL")</f>
        <v>#N/A N/A</v>
      </c>
    </row>
    <row r="3927" spans="1:9" x14ac:dyDescent="0.25">
      <c r="A3927" t="str">
        <f>_xll.BDP("FNDE1737 Mtge","ID_CUSIP")</f>
        <v>3140BD4X5</v>
      </c>
      <c r="B3927" t="str">
        <f>_xll.BDP("FNDE1737 Mtge","SECURITY_NAME")</f>
        <v>FN DE1737</v>
      </c>
      <c r="C3927" t="str">
        <f>_xll.BDP("FNDE1737 Mtge","GENERIC_TICKER_VINTAGE")</f>
        <v>FNCL 6 2025</v>
      </c>
      <c r="D3927" t="str">
        <f>_xll.BDP("FNDE1737 Mtge","CRNCY")</f>
        <v>USD</v>
      </c>
      <c r="E3927">
        <v>5548947</v>
      </c>
      <c r="F3927">
        <f>_xll.BDP("FNDE1737 Mtge","CPN")</f>
        <v>6</v>
      </c>
      <c r="G3927">
        <f>_xll.BDP("FNDE1737 Mtge","MTG_FACTOR")</f>
        <v>0.99181775999999999</v>
      </c>
      <c r="H3927">
        <f>_xll.BDP("FNDE1737 Mtge","MTG_WAL")</f>
        <v>3.2957000000000001</v>
      </c>
      <c r="I3927" t="str">
        <f>_xll.BDP("FNDE1737 Mtge","MTG_ORIG_WAL")</f>
        <v>#N/A N/A</v>
      </c>
    </row>
    <row r="3928" spans="1:9" x14ac:dyDescent="0.25">
      <c r="A3928" t="str">
        <f>_xll.BDP("FNDE1753 Mtge","ID_CUSIP")</f>
        <v>3140BD5P1</v>
      </c>
      <c r="B3928" t="str">
        <f>_xll.BDP("FNDE1753 Mtge","SECURITY_NAME")</f>
        <v>FN DE1753</v>
      </c>
      <c r="C3928" t="str">
        <f>_xll.BDP("FNDE1753 Mtge","GENERIC_TICKER_VINTAGE")</f>
        <v>FNCL 6 2025</v>
      </c>
      <c r="D3928" t="str">
        <f>_xll.BDP("FNDE1753 Mtge","CRNCY")</f>
        <v>USD</v>
      </c>
      <c r="E3928">
        <v>1107049</v>
      </c>
      <c r="F3928">
        <f>_xll.BDP("FNDE1753 Mtge","CPN")</f>
        <v>6</v>
      </c>
      <c r="G3928">
        <f>_xll.BDP("FNDE1753 Mtge","MTG_FACTOR")</f>
        <v>0.34776977999999997</v>
      </c>
      <c r="H3928">
        <f>_xll.BDP("FNDE1753 Mtge","MTG_WAL")</f>
        <v>3.3450000000000002</v>
      </c>
      <c r="I3928" t="str">
        <f>_xll.BDP("FNDE1753 Mtge","MTG_ORIG_WAL")</f>
        <v>#N/A N/A</v>
      </c>
    </row>
    <row r="3929" spans="1:9" x14ac:dyDescent="0.25">
      <c r="A3929" t="str">
        <f>_xll.BDP("FNDE1773 Mtge","ID_CUSIP")</f>
        <v>3140BD6K1</v>
      </c>
      <c r="B3929" t="str">
        <f>_xll.BDP("FNDE1773 Mtge","SECURITY_NAME")</f>
        <v>FN DE1773</v>
      </c>
      <c r="C3929" t="str">
        <f>_xll.BDP("FNDE1773 Mtge","GENERIC_TICKER_VINTAGE")</f>
        <v>FNCL 6 2025</v>
      </c>
      <c r="D3929" t="str">
        <f>_xll.BDP("FNDE1773 Mtge","CRNCY")</f>
        <v>USD</v>
      </c>
      <c r="E3929">
        <v>1129999</v>
      </c>
      <c r="F3929">
        <f>_xll.BDP("FNDE1773 Mtge","CPN")</f>
        <v>6</v>
      </c>
      <c r="G3929">
        <f>_xll.BDP("FNDE1773 Mtge","MTG_FACTOR")</f>
        <v>0.99125540000000001</v>
      </c>
      <c r="H3929">
        <f>_xll.BDP("FNDE1773 Mtge","MTG_WAL")</f>
        <v>3.3424999999999998</v>
      </c>
      <c r="I3929" t="str">
        <f>_xll.BDP("FNDE1773 Mtge","MTG_ORIG_WAL")</f>
        <v>#N/A N/A</v>
      </c>
    </row>
    <row r="3930" spans="1:9" x14ac:dyDescent="0.25">
      <c r="A3930" t="str">
        <f>_xll.BDP("FNDE1794 Mtge","ID_CUSIP")</f>
        <v>3140BD7G9</v>
      </c>
      <c r="B3930" t="str">
        <f>_xll.BDP("FNDE1794 Mtge","SECURITY_NAME")</f>
        <v>FN DE1794</v>
      </c>
      <c r="C3930" t="str">
        <f>_xll.BDP("FNDE1794 Mtge","GENERIC_TICKER_VINTAGE")</f>
        <v>FNCL 6 2025</v>
      </c>
      <c r="D3930" t="str">
        <f>_xll.BDP("FNDE1794 Mtge","CRNCY")</f>
        <v>USD</v>
      </c>
      <c r="E3930">
        <v>4461369</v>
      </c>
      <c r="F3930">
        <f>_xll.BDP("FNDE1794 Mtge","CPN")</f>
        <v>6</v>
      </c>
      <c r="G3930">
        <f>_xll.BDP("FNDE1794 Mtge","MTG_FACTOR")</f>
        <v>0.73660530999999996</v>
      </c>
      <c r="H3930">
        <f>_xll.BDP("FNDE1794 Mtge","MTG_WAL")</f>
        <v>3.3435999999999999</v>
      </c>
      <c r="I3930" t="str">
        <f>_xll.BDP("FNDE1794 Mtge","MTG_ORIG_WAL")</f>
        <v>#N/A N/A</v>
      </c>
    </row>
    <row r="3931" spans="1:9" x14ac:dyDescent="0.25">
      <c r="A3931" t="str">
        <f>_xll.BDP("FNDE1799 Mtge","ID_CUSIP")</f>
        <v>3140BD7M6</v>
      </c>
      <c r="B3931" t="str">
        <f>_xll.BDP("FNDE1799 Mtge","SECURITY_NAME")</f>
        <v>FN DE1799</v>
      </c>
      <c r="C3931" t="str">
        <f>_xll.BDP("FNDE1799 Mtge","GENERIC_TICKER_VINTAGE")</f>
        <v>FNCL 6 2025</v>
      </c>
      <c r="D3931" t="str">
        <f>_xll.BDP("FNDE1799 Mtge","CRNCY")</f>
        <v>USD</v>
      </c>
      <c r="E3931">
        <v>1760679</v>
      </c>
      <c r="F3931">
        <f>_xll.BDP("FNDE1799 Mtge","CPN")</f>
        <v>6</v>
      </c>
      <c r="G3931">
        <f>_xll.BDP("FNDE1799 Mtge","MTG_FACTOR")</f>
        <v>0.98856016999999996</v>
      </c>
      <c r="H3931">
        <f>_xll.BDP("FNDE1799 Mtge","MTG_WAL")</f>
        <v>3.3376999999999999</v>
      </c>
      <c r="I3931" t="str">
        <f>_xll.BDP("FNDE1799 Mtge","MTG_ORIG_WAL")</f>
        <v>#N/A N/A</v>
      </c>
    </row>
    <row r="3932" spans="1:9" x14ac:dyDescent="0.25">
      <c r="A3932" t="str">
        <f>_xll.BDP("FNDE1802 Mtge","ID_CUSIP")</f>
        <v>3140BEAC2</v>
      </c>
      <c r="B3932" t="str">
        <f>_xll.BDP("FNDE1802 Mtge","SECURITY_NAME")</f>
        <v>FN DE1802</v>
      </c>
      <c r="C3932" t="str">
        <f>_xll.BDP("FNDE1802 Mtge","GENERIC_TICKER_VINTAGE")</f>
        <v>FNCL 6 2025</v>
      </c>
      <c r="D3932" t="str">
        <f>_xll.BDP("FNDE1802 Mtge","CRNCY")</f>
        <v>USD</v>
      </c>
      <c r="E3932">
        <v>8756615</v>
      </c>
      <c r="F3932">
        <f>_xll.BDP("FNDE1802 Mtge","CPN")</f>
        <v>6</v>
      </c>
      <c r="G3932">
        <f>_xll.BDP("FNDE1802 Mtge","MTG_FACTOR")</f>
        <v>0.85505540999999996</v>
      </c>
      <c r="H3932">
        <f>_xll.BDP("FNDE1802 Mtge","MTG_WAL")</f>
        <v>3.3416999999999999</v>
      </c>
      <c r="I3932" t="str">
        <f>_xll.BDP("FNDE1802 Mtge","MTG_ORIG_WAL")</f>
        <v>#N/A N/A</v>
      </c>
    </row>
    <row r="3933" spans="1:9" x14ac:dyDescent="0.25">
      <c r="A3933" t="str">
        <f>_xll.BDP("FNDE1803 Mtge","ID_CUSIP")</f>
        <v>3140BEAD0</v>
      </c>
      <c r="B3933" t="str">
        <f>_xll.BDP("FNDE1803 Mtge","SECURITY_NAME")</f>
        <v>FN DE1803</v>
      </c>
      <c r="C3933" t="str">
        <f>_xll.BDP("FNDE1803 Mtge","GENERIC_TICKER_VINTAGE")</f>
        <v>FNCL 6 2025</v>
      </c>
      <c r="D3933" t="str">
        <f>_xll.BDP("FNDE1803 Mtge","CRNCY")</f>
        <v>USD</v>
      </c>
      <c r="E3933">
        <v>4495876</v>
      </c>
      <c r="F3933">
        <f>_xll.BDP("FNDE1803 Mtge","CPN")</f>
        <v>6</v>
      </c>
      <c r="G3933">
        <f>_xll.BDP("FNDE1803 Mtge","MTG_FACTOR")</f>
        <v>0.99160510000000002</v>
      </c>
      <c r="H3933">
        <f>_xll.BDP("FNDE1803 Mtge","MTG_WAL")</f>
        <v>3.3466999999999998</v>
      </c>
      <c r="I3933" t="str">
        <f>_xll.BDP("FNDE1803 Mtge","MTG_ORIG_WAL")</f>
        <v>#N/A N/A</v>
      </c>
    </row>
    <row r="3934" spans="1:9" x14ac:dyDescent="0.25">
      <c r="A3934" t="str">
        <f>_xll.BDP("FNDE1804 Mtge","ID_CUSIP")</f>
        <v>3140BEAE8</v>
      </c>
      <c r="B3934" t="str">
        <f>_xll.BDP("FNDE1804 Mtge","SECURITY_NAME")</f>
        <v>FN DE1804</v>
      </c>
      <c r="C3934" t="str">
        <f>_xll.BDP("FNDE1804 Mtge","GENERIC_TICKER_VINTAGE")</f>
        <v>FNCL 6 2025</v>
      </c>
      <c r="D3934" t="str">
        <f>_xll.BDP("FNDE1804 Mtge","CRNCY")</f>
        <v>USD</v>
      </c>
      <c r="E3934">
        <v>14834949</v>
      </c>
      <c r="F3934">
        <f>_xll.BDP("FNDE1804 Mtge","CPN")</f>
        <v>6</v>
      </c>
      <c r="G3934">
        <f>_xll.BDP("FNDE1804 Mtge","MTG_FACTOR")</f>
        <v>0.97306528000000003</v>
      </c>
      <c r="H3934">
        <f>_xll.BDP("FNDE1804 Mtge","MTG_WAL")</f>
        <v>3.3376000000000001</v>
      </c>
      <c r="I3934" t="str">
        <f>_xll.BDP("FNDE1804 Mtge","MTG_ORIG_WAL")</f>
        <v>#N/A N/A</v>
      </c>
    </row>
    <row r="3935" spans="1:9" x14ac:dyDescent="0.25">
      <c r="A3935" t="str">
        <f>_xll.BDP("FNDE1810 Mtge","ID_CUSIP")</f>
        <v>3140BEAL2</v>
      </c>
      <c r="B3935" t="str">
        <f>_xll.BDP("FNDE1810 Mtge","SECURITY_NAME")</f>
        <v>FN DE1810</v>
      </c>
      <c r="C3935" t="str">
        <f>_xll.BDP("FNDE1810 Mtge","GENERIC_TICKER_VINTAGE")</f>
        <v>FNCL 6 2025</v>
      </c>
      <c r="D3935" t="str">
        <f>_xll.BDP("FNDE1810 Mtge","CRNCY")</f>
        <v>USD</v>
      </c>
      <c r="E3935">
        <v>790644</v>
      </c>
      <c r="F3935">
        <f>_xll.BDP("FNDE1810 Mtge","CPN")</f>
        <v>6</v>
      </c>
      <c r="G3935">
        <f>_xll.BDP("FNDE1810 Mtge","MTG_FACTOR")</f>
        <v>0.99174348000000001</v>
      </c>
      <c r="H3935">
        <f>_xll.BDP("FNDE1810 Mtge","MTG_WAL")</f>
        <v>3.2890000000000001</v>
      </c>
      <c r="I3935" t="str">
        <f>_xll.BDP("FNDE1810 Mtge","MTG_ORIG_WAL")</f>
        <v>#N/A N/A</v>
      </c>
    </row>
    <row r="3936" spans="1:9" x14ac:dyDescent="0.25">
      <c r="A3936" t="str">
        <f>_xll.BDP("FNDE1826 Mtge","ID_CUSIP")</f>
        <v>3140BEA40</v>
      </c>
      <c r="B3936" t="str">
        <f>_xll.BDP("FNDE1826 Mtge","SECURITY_NAME")</f>
        <v>FN DE1826</v>
      </c>
      <c r="C3936" t="str">
        <f>_xll.BDP("FNDE1826 Mtge","GENERIC_TICKER_VINTAGE")</f>
        <v>FNCL 6 2025</v>
      </c>
      <c r="D3936" t="str">
        <f>_xll.BDP("FNDE1826 Mtge","CRNCY")</f>
        <v>USD</v>
      </c>
      <c r="E3936">
        <v>5197612</v>
      </c>
      <c r="F3936">
        <f>_xll.BDP("FNDE1826 Mtge","CPN")</f>
        <v>6</v>
      </c>
      <c r="G3936">
        <f>_xll.BDP("FNDE1826 Mtge","MTG_FACTOR")</f>
        <v>0.93531458999999995</v>
      </c>
      <c r="H3936">
        <f>_xll.BDP("FNDE1826 Mtge","MTG_WAL")</f>
        <v>3.2936999999999999</v>
      </c>
      <c r="I3936" t="str">
        <f>_xll.BDP("FNDE1826 Mtge","MTG_ORIG_WAL")</f>
        <v>#N/A N/A</v>
      </c>
    </row>
    <row r="3937" spans="1:9" x14ac:dyDescent="0.25">
      <c r="A3937" t="str">
        <f>_xll.BDP("FNDE1829 Mtge","ID_CUSIP")</f>
        <v>3140BEA73</v>
      </c>
      <c r="B3937" t="str">
        <f>_xll.BDP("FNDE1829 Mtge","SECURITY_NAME")</f>
        <v>FN DE1829</v>
      </c>
      <c r="C3937" t="str">
        <f>_xll.BDP("FNDE1829 Mtge","GENERIC_TICKER_VINTAGE")</f>
        <v>FNCL 6 2025</v>
      </c>
      <c r="D3937" t="str">
        <f>_xll.BDP("FNDE1829 Mtge","CRNCY")</f>
        <v>USD</v>
      </c>
      <c r="E3937">
        <v>3129809</v>
      </c>
      <c r="F3937">
        <f>_xll.BDP("FNDE1829 Mtge","CPN")</f>
        <v>6</v>
      </c>
      <c r="G3937">
        <f>_xll.BDP("FNDE1829 Mtge","MTG_FACTOR")</f>
        <v>0.98873977000000002</v>
      </c>
      <c r="H3937">
        <f>_xll.BDP("FNDE1829 Mtge","MTG_WAL")</f>
        <v>3.2913999999999999</v>
      </c>
      <c r="I3937" t="str">
        <f>_xll.BDP("FNDE1829 Mtge","MTG_ORIG_WAL")</f>
        <v>#N/A N/A</v>
      </c>
    </row>
    <row r="3938" spans="1:9" x14ac:dyDescent="0.25">
      <c r="A3938" t="str">
        <f>_xll.BDP("FNDE1835 Mtge","ID_CUSIP")</f>
        <v>3140BEBD9</v>
      </c>
      <c r="B3938" t="str">
        <f>_xll.BDP("FNDE1835 Mtge","SECURITY_NAME")</f>
        <v>FN DE1835</v>
      </c>
      <c r="C3938" t="str">
        <f>_xll.BDP("FNDE1835 Mtge","GENERIC_TICKER_VINTAGE")</f>
        <v>FNCL 6 2025</v>
      </c>
      <c r="D3938" t="str">
        <f>_xll.BDP("FNDE1835 Mtge","CRNCY")</f>
        <v>USD</v>
      </c>
      <c r="E3938">
        <v>2226645</v>
      </c>
      <c r="F3938">
        <f>_xll.BDP("FNDE1835 Mtge","CPN")</f>
        <v>6</v>
      </c>
      <c r="G3938">
        <f>_xll.BDP("FNDE1835 Mtge","MTG_FACTOR")</f>
        <v>0.68061623000000004</v>
      </c>
      <c r="H3938">
        <f>_xll.BDP("FNDE1835 Mtge","MTG_WAL")</f>
        <v>3.3289</v>
      </c>
      <c r="I3938" t="str">
        <f>_xll.BDP("FNDE1835 Mtge","MTG_ORIG_WAL")</f>
        <v>#N/A N/A</v>
      </c>
    </row>
    <row r="3939" spans="1:9" x14ac:dyDescent="0.25">
      <c r="A3939" t="str">
        <f>_xll.BDP("FNDE1912 Mtge","ID_CUSIP")</f>
        <v>3140BEDS4</v>
      </c>
      <c r="B3939" t="str">
        <f>_xll.BDP("FNDE1912 Mtge","SECURITY_NAME")</f>
        <v>FN DE1912</v>
      </c>
      <c r="C3939" t="str">
        <f>_xll.BDP("FNDE1912 Mtge","GENERIC_TICKER_VINTAGE")</f>
        <v>FNCL 6 2025</v>
      </c>
      <c r="D3939" t="str">
        <f>_xll.BDP("FNDE1912 Mtge","CRNCY")</f>
        <v>USD</v>
      </c>
      <c r="E3939">
        <v>7192321</v>
      </c>
      <c r="F3939">
        <f>_xll.BDP("FNDE1912 Mtge","CPN")</f>
        <v>6</v>
      </c>
      <c r="G3939">
        <f>_xll.BDP("FNDE1912 Mtge","MTG_FACTOR")</f>
        <v>0.89266913000000003</v>
      </c>
      <c r="H3939">
        <f>_xll.BDP("FNDE1912 Mtge","MTG_WAL")</f>
        <v>3.2936000000000001</v>
      </c>
      <c r="I3939" t="str">
        <f>_xll.BDP("FNDE1912 Mtge","MTG_ORIG_WAL")</f>
        <v>#N/A N/A</v>
      </c>
    </row>
    <row r="3940" spans="1:9" x14ac:dyDescent="0.25">
      <c r="A3940" t="str">
        <f>_xll.BDP("FNDE1913 Mtge","ID_CUSIP")</f>
        <v>3140BEDT2</v>
      </c>
      <c r="B3940" t="str">
        <f>_xll.BDP("FNDE1913 Mtge","SECURITY_NAME")</f>
        <v>FN DE1913</v>
      </c>
      <c r="C3940" t="str">
        <f>_xll.BDP("FNDE1913 Mtge","GENERIC_TICKER_VINTAGE")</f>
        <v>FNCL 6 2025</v>
      </c>
      <c r="D3940" t="str">
        <f>_xll.BDP("FNDE1913 Mtge","CRNCY")</f>
        <v>USD</v>
      </c>
      <c r="E3940">
        <v>7028213</v>
      </c>
      <c r="F3940">
        <f>_xll.BDP("FNDE1913 Mtge","CPN")</f>
        <v>6</v>
      </c>
      <c r="G3940">
        <f>_xll.BDP("FNDE1913 Mtge","MTG_FACTOR")</f>
        <v>0.95462354000000005</v>
      </c>
      <c r="H3940">
        <f>_xll.BDP("FNDE1913 Mtge","MTG_WAL")</f>
        <v>3.2926000000000002</v>
      </c>
      <c r="I3940" t="str">
        <f>_xll.BDP("FNDE1913 Mtge","MTG_ORIG_WAL")</f>
        <v>#N/A N/A</v>
      </c>
    </row>
    <row r="3941" spans="1:9" x14ac:dyDescent="0.25">
      <c r="A3941" t="str">
        <f>_xll.BDP("FNDE1914 Mtge","ID_CUSIP")</f>
        <v>3140BEDU9</v>
      </c>
      <c r="B3941" t="str">
        <f>_xll.BDP("FNDE1914 Mtge","SECURITY_NAME")</f>
        <v>FN DE1914</v>
      </c>
      <c r="C3941" t="str">
        <f>_xll.BDP("FNDE1914 Mtge","GENERIC_TICKER_VINTAGE")</f>
        <v>FNCL 6 2025</v>
      </c>
      <c r="D3941" t="str">
        <f>_xll.BDP("FNDE1914 Mtge","CRNCY")</f>
        <v>USD</v>
      </c>
      <c r="E3941">
        <v>5697369</v>
      </c>
      <c r="F3941">
        <f>_xll.BDP("FNDE1914 Mtge","CPN")</f>
        <v>6</v>
      </c>
      <c r="G3941">
        <f>_xll.BDP("FNDE1914 Mtge","MTG_FACTOR")</f>
        <v>0.90084036999999995</v>
      </c>
      <c r="H3941">
        <f>_xll.BDP("FNDE1914 Mtge","MTG_WAL")</f>
        <v>3.2892000000000001</v>
      </c>
      <c r="I3941" t="str">
        <f>_xll.BDP("FNDE1914 Mtge","MTG_ORIG_WAL")</f>
        <v>#N/A N/A</v>
      </c>
    </row>
    <row r="3942" spans="1:9" x14ac:dyDescent="0.25">
      <c r="A3942" t="str">
        <f>_xll.BDP("FNDE1916 Mtge","ID_CUSIP")</f>
        <v>3140BEDW5</v>
      </c>
      <c r="B3942" t="str">
        <f>_xll.BDP("FNDE1916 Mtge","SECURITY_NAME")</f>
        <v>FN DE1916</v>
      </c>
      <c r="C3942" t="str">
        <f>_xll.BDP("FNDE1916 Mtge","GENERIC_TICKER_VINTAGE")</f>
        <v>FNCL 6 2025</v>
      </c>
      <c r="D3942" t="str">
        <f>_xll.BDP("FNDE1916 Mtge","CRNCY")</f>
        <v>USD</v>
      </c>
      <c r="E3942">
        <v>13543936</v>
      </c>
      <c r="F3942">
        <f>_xll.BDP("FNDE1916 Mtge","CPN")</f>
        <v>6</v>
      </c>
      <c r="G3942">
        <f>_xll.BDP("FNDE1916 Mtge","MTG_FACTOR")</f>
        <v>0.93676747000000005</v>
      </c>
      <c r="H3942">
        <f>_xll.BDP("FNDE1916 Mtge","MTG_WAL")</f>
        <v>3.2936999999999999</v>
      </c>
      <c r="I3942" t="str">
        <f>_xll.BDP("FNDE1916 Mtge","MTG_ORIG_WAL")</f>
        <v>#N/A N/A</v>
      </c>
    </row>
    <row r="3943" spans="1:9" x14ac:dyDescent="0.25">
      <c r="A3943" t="str">
        <f>_xll.BDP("FNDE1918 Mtge","ID_CUSIP")</f>
        <v>3140BEDY1</v>
      </c>
      <c r="B3943" t="str">
        <f>_xll.BDP("FNDE1918 Mtge","SECURITY_NAME")</f>
        <v>FN DE1918</v>
      </c>
      <c r="C3943" t="str">
        <f>_xll.BDP("FNDE1918 Mtge","GENERIC_TICKER_VINTAGE")</f>
        <v>FNCL 6 2025</v>
      </c>
      <c r="D3943" t="str">
        <f>_xll.BDP("FNDE1918 Mtge","CRNCY")</f>
        <v>USD</v>
      </c>
      <c r="E3943">
        <v>17606975</v>
      </c>
      <c r="F3943">
        <f>_xll.BDP("FNDE1918 Mtge","CPN")</f>
        <v>6</v>
      </c>
      <c r="G3943">
        <f>_xll.BDP("FNDE1918 Mtge","MTG_FACTOR")</f>
        <v>0.83483278999999999</v>
      </c>
      <c r="H3943">
        <f>_xll.BDP("FNDE1918 Mtge","MTG_WAL")</f>
        <v>3.2917999999999998</v>
      </c>
      <c r="I3943" t="str">
        <f>_xll.BDP("FNDE1918 Mtge","MTG_ORIG_WAL")</f>
        <v>#N/A N/A</v>
      </c>
    </row>
    <row r="3944" spans="1:9" x14ac:dyDescent="0.25">
      <c r="A3944" t="str">
        <f>_xll.BDP("FNDE1920 Mtge","ID_CUSIP")</f>
        <v>3140BED21</v>
      </c>
      <c r="B3944" t="str">
        <f>_xll.BDP("FNDE1920 Mtge","SECURITY_NAME")</f>
        <v>FN DE1920</v>
      </c>
      <c r="C3944" t="str">
        <f>_xll.BDP("FNDE1920 Mtge","GENERIC_TICKER_VINTAGE")</f>
        <v>FNCL 6 2025</v>
      </c>
      <c r="D3944" t="str">
        <f>_xll.BDP("FNDE1920 Mtge","CRNCY")</f>
        <v>USD</v>
      </c>
      <c r="E3944">
        <v>1041582</v>
      </c>
      <c r="F3944">
        <f>_xll.BDP("FNDE1920 Mtge","CPN")</f>
        <v>6</v>
      </c>
      <c r="G3944">
        <f>_xll.BDP("FNDE1920 Mtge","MTG_FACTOR")</f>
        <v>0.86834765999999997</v>
      </c>
      <c r="H3944">
        <f>_xll.BDP("FNDE1920 Mtge","MTG_WAL")</f>
        <v>3.2848999999999999</v>
      </c>
      <c r="I3944" t="str">
        <f>_xll.BDP("FNDE1920 Mtge","MTG_ORIG_WAL")</f>
        <v>#N/A N/A</v>
      </c>
    </row>
    <row r="3945" spans="1:9" x14ac:dyDescent="0.25">
      <c r="A3945" t="str">
        <f>_xll.BDP("FNDE1921 Mtge","ID_CUSIP")</f>
        <v>3140BED39</v>
      </c>
      <c r="B3945" t="str">
        <f>_xll.BDP("FNDE1921 Mtge","SECURITY_NAME")</f>
        <v>FN DE1921</v>
      </c>
      <c r="C3945" t="str">
        <f>_xll.BDP("FNDE1921 Mtge","GENERIC_TICKER_VINTAGE")</f>
        <v>FNCL 6 2025</v>
      </c>
      <c r="D3945" t="str">
        <f>_xll.BDP("FNDE1921 Mtge","CRNCY")</f>
        <v>USD</v>
      </c>
      <c r="E3945">
        <v>27734789</v>
      </c>
      <c r="F3945">
        <f>_xll.BDP("FNDE1921 Mtge","CPN")</f>
        <v>6</v>
      </c>
      <c r="G3945">
        <f>_xll.BDP("FNDE1921 Mtge","MTG_FACTOR")</f>
        <v>0.85658321999999998</v>
      </c>
      <c r="H3945">
        <f>_xll.BDP("FNDE1921 Mtge","MTG_WAL")</f>
        <v>3.2890000000000001</v>
      </c>
      <c r="I3945" t="str">
        <f>_xll.BDP("FNDE1921 Mtge","MTG_ORIG_WAL")</f>
        <v>#N/A N/A</v>
      </c>
    </row>
    <row r="3946" spans="1:9" x14ac:dyDescent="0.25">
      <c r="A3946" t="str">
        <f>_xll.BDP("FNDE1996 Mtge","ID_CUSIP")</f>
        <v>3140BEGE2</v>
      </c>
      <c r="B3946" t="str">
        <f>_xll.BDP("FNDE1996 Mtge","SECURITY_NAME")</f>
        <v>FN DE1996</v>
      </c>
      <c r="C3946" t="str">
        <f>_xll.BDP("FNDE1996 Mtge","GENERIC_TICKER_VINTAGE")</f>
        <v>FNCL 6 2025</v>
      </c>
      <c r="D3946" t="str">
        <f>_xll.BDP("FNDE1996 Mtge","CRNCY")</f>
        <v>USD</v>
      </c>
      <c r="E3946">
        <v>10802789</v>
      </c>
      <c r="F3946">
        <f>_xll.BDP("FNDE1996 Mtge","CPN")</f>
        <v>6</v>
      </c>
      <c r="G3946">
        <f>_xll.BDP("FNDE1996 Mtge","MTG_FACTOR")</f>
        <v>0.93397273000000003</v>
      </c>
      <c r="H3946">
        <f>_xll.BDP("FNDE1996 Mtge","MTG_WAL")</f>
        <v>3.3353999999999999</v>
      </c>
      <c r="I3946" t="str">
        <f>_xll.BDP("FNDE1996 Mtge","MTG_ORIG_WAL")</f>
        <v>#N/A N/A</v>
      </c>
    </row>
    <row r="3947" spans="1:9" x14ac:dyDescent="0.25">
      <c r="A3947" t="str">
        <f>_xll.BDP("FNDE2013 Mtge","ID_CUSIP")</f>
        <v>3140BEGX0</v>
      </c>
      <c r="B3947" t="str">
        <f>_xll.BDP("FNDE2013 Mtge","SECURITY_NAME")</f>
        <v>FN DE2013</v>
      </c>
      <c r="C3947" t="str">
        <f>_xll.BDP("FNDE2013 Mtge","GENERIC_TICKER_VINTAGE")</f>
        <v>FNCL 6 2025</v>
      </c>
      <c r="D3947" t="str">
        <f>_xll.BDP("FNDE2013 Mtge","CRNCY")</f>
        <v>USD</v>
      </c>
      <c r="E3947">
        <v>3571411</v>
      </c>
      <c r="F3947">
        <f>_xll.BDP("FNDE2013 Mtge","CPN")</f>
        <v>6</v>
      </c>
      <c r="G3947">
        <f>_xll.BDP("FNDE2013 Mtge","MTG_FACTOR")</f>
        <v>0.93874804999999995</v>
      </c>
      <c r="H3947">
        <f>_xll.BDP("FNDE2013 Mtge","MTG_WAL")</f>
        <v>3.3439999999999999</v>
      </c>
      <c r="I3947" t="str">
        <f>_xll.BDP("FNDE2013 Mtge","MTG_ORIG_WAL")</f>
        <v>#N/A N/A</v>
      </c>
    </row>
    <row r="3948" spans="1:9" x14ac:dyDescent="0.25">
      <c r="A3948" t="str">
        <f>_xll.BDP("FNDE2016 Mtge","ID_CUSIP")</f>
        <v>3140BEG28</v>
      </c>
      <c r="B3948" t="str">
        <f>_xll.BDP("FNDE2016 Mtge","SECURITY_NAME")</f>
        <v>FN DE2016</v>
      </c>
      <c r="C3948" t="str">
        <f>_xll.BDP("FNDE2016 Mtge","GENERIC_TICKER_VINTAGE")</f>
        <v>FNCL 6 2025</v>
      </c>
      <c r="D3948" t="str">
        <f>_xll.BDP("FNDE2016 Mtge","CRNCY")</f>
        <v>USD</v>
      </c>
      <c r="E3948">
        <v>4316861</v>
      </c>
      <c r="F3948">
        <f>_xll.BDP("FNDE2016 Mtge","CPN")</f>
        <v>6</v>
      </c>
      <c r="G3948">
        <f>_xll.BDP("FNDE2016 Mtge","MTG_FACTOR")</f>
        <v>0.95696791000000003</v>
      </c>
      <c r="H3948">
        <f>_xll.BDP("FNDE2016 Mtge","MTG_WAL")</f>
        <v>3.3397000000000001</v>
      </c>
      <c r="I3948" t="str">
        <f>_xll.BDP("FNDE2016 Mtge","MTG_ORIG_WAL")</f>
        <v>#N/A N/A</v>
      </c>
    </row>
    <row r="3949" spans="1:9" x14ac:dyDescent="0.25">
      <c r="A3949" t="str">
        <f>_xll.BDP("FNDE2017 Mtge","ID_CUSIP")</f>
        <v>3140BEG36</v>
      </c>
      <c r="B3949" t="str">
        <f>_xll.BDP("FNDE2017 Mtge","SECURITY_NAME")</f>
        <v>FN DE2017</v>
      </c>
      <c r="C3949" t="str">
        <f>_xll.BDP("FNDE2017 Mtge","GENERIC_TICKER_VINTAGE")</f>
        <v>FNCL 6 2025</v>
      </c>
      <c r="D3949" t="str">
        <f>_xll.BDP("FNDE2017 Mtge","CRNCY")</f>
        <v>USD</v>
      </c>
      <c r="E3949">
        <v>12390798</v>
      </c>
      <c r="F3949">
        <f>_xll.BDP("FNDE2017 Mtge","CPN")</f>
        <v>6</v>
      </c>
      <c r="G3949">
        <f>_xll.BDP("FNDE2017 Mtge","MTG_FACTOR")</f>
        <v>0.97969529</v>
      </c>
      <c r="H3949">
        <f>_xll.BDP("FNDE2017 Mtge","MTG_WAL")</f>
        <v>3.3372999999999999</v>
      </c>
      <c r="I3949" t="str">
        <f>_xll.BDP("FNDE2017 Mtge","MTG_ORIG_WAL")</f>
        <v>#N/A N/A</v>
      </c>
    </row>
    <row r="3950" spans="1:9" x14ac:dyDescent="0.25">
      <c r="A3950" t="str">
        <f>_xll.BDP("FNDE2021 Mtge","ID_CUSIP")</f>
        <v>3140BEG77</v>
      </c>
      <c r="B3950" t="str">
        <f>_xll.BDP("FNDE2021 Mtge","SECURITY_NAME")</f>
        <v>FN DE2021</v>
      </c>
      <c r="C3950" t="str">
        <f>_xll.BDP("FNDE2021 Mtge","GENERIC_TICKER_VINTAGE")</f>
        <v>FNCL 6 2025</v>
      </c>
      <c r="D3950" t="str">
        <f>_xll.BDP("FNDE2021 Mtge","CRNCY")</f>
        <v>USD</v>
      </c>
      <c r="E3950">
        <v>4372160</v>
      </c>
      <c r="F3950">
        <f>_xll.BDP("FNDE2021 Mtge","CPN")</f>
        <v>6</v>
      </c>
      <c r="G3950">
        <f>_xll.BDP("FNDE2021 Mtge","MTG_FACTOR")</f>
        <v>0.99075234000000001</v>
      </c>
      <c r="H3950">
        <f>_xll.BDP("FNDE2021 Mtge","MTG_WAL")</f>
        <v>3.3449</v>
      </c>
      <c r="I3950" t="str">
        <f>_xll.BDP("FNDE2021 Mtge","MTG_ORIG_WAL")</f>
        <v>#N/A N/A</v>
      </c>
    </row>
    <row r="3951" spans="1:9" x14ac:dyDescent="0.25">
      <c r="A3951" t="str">
        <f>_xll.BDP("FNDE2047 Mtge","ID_CUSIP")</f>
        <v>3140BEHZ4</v>
      </c>
      <c r="B3951" t="str">
        <f>_xll.BDP("FNDE2047 Mtge","SECURITY_NAME")</f>
        <v>FN DE2047</v>
      </c>
      <c r="C3951" t="str">
        <f>_xll.BDP("FNDE2047 Mtge","GENERIC_TICKER_VINTAGE")</f>
        <v>FNCL 6 2025</v>
      </c>
      <c r="D3951" t="str">
        <f>_xll.BDP("FNDE2047 Mtge","CRNCY")</f>
        <v>USD</v>
      </c>
      <c r="E3951">
        <v>3262598</v>
      </c>
      <c r="F3951">
        <f>_xll.BDP("FNDE2047 Mtge","CPN")</f>
        <v>6</v>
      </c>
      <c r="G3951">
        <f>_xll.BDP("FNDE2047 Mtge","MTG_FACTOR")</f>
        <v>0.87736848999999995</v>
      </c>
      <c r="H3951">
        <f>_xll.BDP("FNDE2047 Mtge","MTG_WAL")</f>
        <v>3.3420999999999998</v>
      </c>
      <c r="I3951" t="str">
        <f>_xll.BDP("FNDE2047 Mtge","MTG_ORIG_WAL")</f>
        <v>#N/A N/A</v>
      </c>
    </row>
    <row r="3952" spans="1:9" x14ac:dyDescent="0.25">
      <c r="A3952" t="str">
        <f>_xll.BDP("FNDE2055 Mtge","ID_CUSIP")</f>
        <v>3140BEH92</v>
      </c>
      <c r="B3952" t="str">
        <f>_xll.BDP("FNDE2055 Mtge","SECURITY_NAME")</f>
        <v>FN DE2055</v>
      </c>
      <c r="C3952" t="str">
        <f>_xll.BDP("FNDE2055 Mtge","GENERIC_TICKER_VINTAGE")</f>
        <v>FNCL 6 2025</v>
      </c>
      <c r="D3952" t="str">
        <f>_xll.BDP("FNDE2055 Mtge","CRNCY")</f>
        <v>USD</v>
      </c>
      <c r="E3952">
        <v>2960333</v>
      </c>
      <c r="F3952">
        <f>_xll.BDP("FNDE2055 Mtge","CPN")</f>
        <v>6</v>
      </c>
      <c r="G3952">
        <f>_xll.BDP("FNDE2055 Mtge","MTG_FACTOR")</f>
        <v>0.92431973999999995</v>
      </c>
      <c r="H3952">
        <f>_xll.BDP("FNDE2055 Mtge","MTG_WAL")</f>
        <v>3.3456000000000001</v>
      </c>
      <c r="I3952" t="str">
        <f>_xll.BDP("FNDE2055 Mtge","MTG_ORIG_WAL")</f>
        <v>#N/A N/A</v>
      </c>
    </row>
    <row r="3953" spans="1:9" x14ac:dyDescent="0.25">
      <c r="A3953" t="str">
        <f>_xll.BDP("FNDE2056 Mtge","ID_CUSIP")</f>
        <v>3140BEJA7</v>
      </c>
      <c r="B3953" t="str">
        <f>_xll.BDP("FNDE2056 Mtge","SECURITY_NAME")</f>
        <v>FN DE2056</v>
      </c>
      <c r="C3953" t="str">
        <f>_xll.BDP("FNDE2056 Mtge","GENERIC_TICKER_VINTAGE")</f>
        <v>FNCL 6 2025</v>
      </c>
      <c r="D3953" t="str">
        <f>_xll.BDP("FNDE2056 Mtge","CRNCY")</f>
        <v>USD</v>
      </c>
      <c r="E3953">
        <v>4548553</v>
      </c>
      <c r="F3953">
        <f>_xll.BDP("FNDE2056 Mtge","CPN")</f>
        <v>6</v>
      </c>
      <c r="G3953">
        <f>_xll.BDP("FNDE2056 Mtge","MTG_FACTOR")</f>
        <v>0.86531665000000002</v>
      </c>
      <c r="H3953">
        <f>_xll.BDP("FNDE2056 Mtge","MTG_WAL")</f>
        <v>3.3376000000000001</v>
      </c>
      <c r="I3953" t="str">
        <f>_xll.BDP("FNDE2056 Mtge","MTG_ORIG_WAL")</f>
        <v>#N/A N/A</v>
      </c>
    </row>
    <row r="3954" spans="1:9" x14ac:dyDescent="0.25">
      <c r="A3954" t="str">
        <f>_xll.BDP("FNDE2057 Mtge","ID_CUSIP")</f>
        <v>3140BEJB5</v>
      </c>
      <c r="B3954" t="str">
        <f>_xll.BDP("FNDE2057 Mtge","SECURITY_NAME")</f>
        <v>FN DE2057</v>
      </c>
      <c r="C3954" t="str">
        <f>_xll.BDP("FNDE2057 Mtge","GENERIC_TICKER_VINTAGE")</f>
        <v>FNCL 6 2025</v>
      </c>
      <c r="D3954" t="str">
        <f>_xll.BDP("FNDE2057 Mtge","CRNCY")</f>
        <v>USD</v>
      </c>
      <c r="E3954">
        <v>4684575</v>
      </c>
      <c r="F3954">
        <f>_xll.BDP("FNDE2057 Mtge","CPN")</f>
        <v>6</v>
      </c>
      <c r="G3954">
        <f>_xll.BDP("FNDE2057 Mtge","MTG_FACTOR")</f>
        <v>0.88418171000000001</v>
      </c>
      <c r="H3954">
        <f>_xll.BDP("FNDE2057 Mtge","MTG_WAL")</f>
        <v>3.3424</v>
      </c>
      <c r="I3954" t="str">
        <f>_xll.BDP("FNDE2057 Mtge","MTG_ORIG_WAL")</f>
        <v>#N/A N/A</v>
      </c>
    </row>
    <row r="3955" spans="1:9" x14ac:dyDescent="0.25">
      <c r="A3955" t="str">
        <f>_xll.BDP("FNDE2072 Mtge","ID_CUSIP")</f>
        <v>3140BEJS8</v>
      </c>
      <c r="B3955" t="str">
        <f>_xll.BDP("FNDE2072 Mtge","SECURITY_NAME")</f>
        <v>FN DE2072</v>
      </c>
      <c r="C3955" t="str">
        <f>_xll.BDP("FNDE2072 Mtge","GENERIC_TICKER_VINTAGE")</f>
        <v>FNCL 6 2025</v>
      </c>
      <c r="D3955" t="str">
        <f>_xll.BDP("FNDE2072 Mtge","CRNCY")</f>
        <v>USD</v>
      </c>
      <c r="E3955">
        <v>3058850</v>
      </c>
      <c r="F3955">
        <f>_xll.BDP("FNDE2072 Mtge","CPN")</f>
        <v>6</v>
      </c>
      <c r="G3955">
        <f>_xll.BDP("FNDE2072 Mtge","MTG_FACTOR")</f>
        <v>0.99103430999999997</v>
      </c>
      <c r="H3955">
        <f>_xll.BDP("FNDE2072 Mtge","MTG_WAL")</f>
        <v>3.3449</v>
      </c>
      <c r="I3955" t="str">
        <f>_xll.BDP("FNDE2072 Mtge","MTG_ORIG_WAL")</f>
        <v>#N/A N/A</v>
      </c>
    </row>
    <row r="3956" spans="1:9" x14ac:dyDescent="0.25">
      <c r="A3956" t="str">
        <f>_xll.BDP("FNDE2073 Mtge","ID_CUSIP")</f>
        <v>3140BEJT6</v>
      </c>
      <c r="B3956" t="str">
        <f>_xll.BDP("FNDE2073 Mtge","SECURITY_NAME")</f>
        <v>FN DE2073</v>
      </c>
      <c r="C3956" t="str">
        <f>_xll.BDP("FNDE2073 Mtge","GENERIC_TICKER_VINTAGE")</f>
        <v>FNCL 6 2025</v>
      </c>
      <c r="D3956" t="str">
        <f>_xll.BDP("FNDE2073 Mtge","CRNCY")</f>
        <v>USD</v>
      </c>
      <c r="E3956">
        <v>2977950</v>
      </c>
      <c r="F3956">
        <f>_xll.BDP("FNDE2073 Mtge","CPN")</f>
        <v>6</v>
      </c>
      <c r="G3956">
        <f>_xll.BDP("FNDE2073 Mtge","MTG_FACTOR")</f>
        <v>0.90567920000000002</v>
      </c>
      <c r="H3956">
        <f>_xll.BDP("FNDE2073 Mtge","MTG_WAL")</f>
        <v>3.3311999999999999</v>
      </c>
      <c r="I3956" t="str">
        <f>_xll.BDP("FNDE2073 Mtge","MTG_ORIG_WAL")</f>
        <v>#N/A N/A</v>
      </c>
    </row>
    <row r="3957" spans="1:9" x14ac:dyDescent="0.25">
      <c r="A3957" t="str">
        <f>_xll.BDP("FNDE2074 Mtge","ID_CUSIP")</f>
        <v>3140BEJU3</v>
      </c>
      <c r="B3957" t="str">
        <f>_xll.BDP("FNDE2074 Mtge","SECURITY_NAME")</f>
        <v>FN DE2074</v>
      </c>
      <c r="C3957" t="str">
        <f>_xll.BDP("FNDE2074 Mtge","GENERIC_TICKER_VINTAGE")</f>
        <v>FNCL 6 2025</v>
      </c>
      <c r="D3957" t="str">
        <f>_xll.BDP("FNDE2074 Mtge","CRNCY")</f>
        <v>USD</v>
      </c>
      <c r="E3957">
        <v>6922306</v>
      </c>
      <c r="F3957">
        <f>_xll.BDP("FNDE2074 Mtge","CPN")</f>
        <v>6</v>
      </c>
      <c r="G3957">
        <f>_xll.BDP("FNDE2074 Mtge","MTG_FACTOR")</f>
        <v>0.86816046000000002</v>
      </c>
      <c r="H3957">
        <f>_xll.BDP("FNDE2074 Mtge","MTG_WAL")</f>
        <v>3.3452999999999999</v>
      </c>
      <c r="I3957" t="str">
        <f>_xll.BDP("FNDE2074 Mtge","MTG_ORIG_WAL")</f>
        <v>#N/A N/A</v>
      </c>
    </row>
    <row r="3958" spans="1:9" x14ac:dyDescent="0.25">
      <c r="A3958" t="str">
        <f>_xll.BDP("FNDE2086 Mtge","ID_CUSIP")</f>
        <v>3140BEJ82</v>
      </c>
      <c r="B3958" t="str">
        <f>_xll.BDP("FNDE2086 Mtge","SECURITY_NAME")</f>
        <v>FN DE2086</v>
      </c>
      <c r="C3958" t="str">
        <f>_xll.BDP("FNDE2086 Mtge","GENERIC_TICKER_VINTAGE")</f>
        <v>FNCL 6 2025</v>
      </c>
      <c r="D3958" t="str">
        <f>_xll.BDP("FNDE2086 Mtge","CRNCY")</f>
        <v>USD</v>
      </c>
      <c r="E3958">
        <v>5209571</v>
      </c>
      <c r="F3958">
        <f>_xll.BDP("FNDE2086 Mtge","CPN")</f>
        <v>6</v>
      </c>
      <c r="G3958">
        <f>_xll.BDP("FNDE2086 Mtge","MTG_FACTOR")</f>
        <v>0.95402969000000004</v>
      </c>
      <c r="H3958">
        <f>_xll.BDP("FNDE2086 Mtge","MTG_WAL")</f>
        <v>3.3424</v>
      </c>
      <c r="I3958" t="str">
        <f>_xll.BDP("FNDE2086 Mtge","MTG_ORIG_WAL")</f>
        <v>#N/A N/A</v>
      </c>
    </row>
    <row r="3959" spans="1:9" x14ac:dyDescent="0.25">
      <c r="A3959" t="str">
        <f>_xll.BDP("FNDE2087 Mtge","ID_CUSIP")</f>
        <v>3140BEJ90</v>
      </c>
      <c r="B3959" t="str">
        <f>_xll.BDP("FNDE2087 Mtge","SECURITY_NAME")</f>
        <v>FN DE2087</v>
      </c>
      <c r="C3959" t="str">
        <f>_xll.BDP("FNDE2087 Mtge","GENERIC_TICKER_VINTAGE")</f>
        <v>FNCL 6 2025</v>
      </c>
      <c r="D3959" t="str">
        <f>_xll.BDP("FNDE2087 Mtge","CRNCY")</f>
        <v>USD</v>
      </c>
      <c r="E3959">
        <v>5254232</v>
      </c>
      <c r="F3959">
        <f>_xll.BDP("FNDE2087 Mtge","CPN")</f>
        <v>6</v>
      </c>
      <c r="G3959">
        <f>_xll.BDP("FNDE2087 Mtge","MTG_FACTOR")</f>
        <v>0.89769445000000003</v>
      </c>
      <c r="H3959">
        <f>_xll.BDP("FNDE2087 Mtge","MTG_WAL")</f>
        <v>3.3449</v>
      </c>
      <c r="I3959" t="str">
        <f>_xll.BDP("FNDE2087 Mtge","MTG_ORIG_WAL")</f>
        <v>#N/A N/A</v>
      </c>
    </row>
    <row r="3960" spans="1:9" x14ac:dyDescent="0.25">
      <c r="A3960" t="str">
        <f>_xll.BDP("FNDE2108 Mtge","ID_CUSIP")</f>
        <v>3140BEKW7</v>
      </c>
      <c r="B3960" t="str">
        <f>_xll.BDP("FNDE2108 Mtge","SECURITY_NAME")</f>
        <v>FN DE2108</v>
      </c>
      <c r="C3960" t="str">
        <f>_xll.BDP("FNDE2108 Mtge","GENERIC_TICKER_VINTAGE")</f>
        <v>FNCL 6 2025</v>
      </c>
      <c r="D3960" t="str">
        <f>_xll.BDP("FNDE2108 Mtge","CRNCY")</f>
        <v>USD</v>
      </c>
      <c r="E3960">
        <v>9784427</v>
      </c>
      <c r="F3960">
        <f>_xll.BDP("FNDE2108 Mtge","CPN")</f>
        <v>6</v>
      </c>
      <c r="G3960">
        <f>_xll.BDP("FNDE2108 Mtge","MTG_FACTOR")</f>
        <v>0.85690957000000001</v>
      </c>
      <c r="H3960">
        <f>_xll.BDP("FNDE2108 Mtge","MTG_WAL")</f>
        <v>3.3416999999999999</v>
      </c>
      <c r="I3960" t="str">
        <f>_xll.BDP("FNDE2108 Mtge","MTG_ORIG_WAL")</f>
        <v>#N/A N/A</v>
      </c>
    </row>
    <row r="3961" spans="1:9" x14ac:dyDescent="0.25">
      <c r="A3961" t="str">
        <f>_xll.BDP("FNDE2121 Mtge","ID_CUSIP")</f>
        <v>3140BELB2</v>
      </c>
      <c r="B3961" t="str">
        <f>_xll.BDP("FNDE2121 Mtge","SECURITY_NAME")</f>
        <v>FN DE2121</v>
      </c>
      <c r="C3961" t="str">
        <f>_xll.BDP("FNDE2121 Mtge","GENERIC_TICKER_VINTAGE")</f>
        <v>FNCL 6 2025</v>
      </c>
      <c r="D3961" t="str">
        <f>_xll.BDP("FNDE2121 Mtge","CRNCY")</f>
        <v>USD</v>
      </c>
      <c r="E3961">
        <v>11901709</v>
      </c>
      <c r="F3961">
        <f>_xll.BDP("FNDE2121 Mtge","CPN")</f>
        <v>6</v>
      </c>
      <c r="G3961">
        <f>_xll.BDP("FNDE2121 Mtge","MTG_FACTOR")</f>
        <v>0.98444536999999999</v>
      </c>
      <c r="H3961">
        <f>_xll.BDP("FNDE2121 Mtge","MTG_WAL")</f>
        <v>3.3380999999999998</v>
      </c>
      <c r="I3961" t="str">
        <f>_xll.BDP("FNDE2121 Mtge","MTG_ORIG_WAL")</f>
        <v>#N/A N/A</v>
      </c>
    </row>
    <row r="3962" spans="1:9" x14ac:dyDescent="0.25">
      <c r="A3962" t="str">
        <f>_xll.BDP("FNDE2137 Mtge","ID_CUSIP")</f>
        <v>3140BELT3</v>
      </c>
      <c r="B3962" t="str">
        <f>_xll.BDP("FNDE2137 Mtge","SECURITY_NAME")</f>
        <v>FN DE2137</v>
      </c>
      <c r="C3962" t="str">
        <f>_xll.BDP("FNDE2137 Mtge","GENERIC_TICKER_VINTAGE")</f>
        <v>FNCL 6 2025</v>
      </c>
      <c r="D3962" t="str">
        <f>_xll.BDP("FNDE2137 Mtge","CRNCY")</f>
        <v>USD</v>
      </c>
      <c r="E3962">
        <v>11888129</v>
      </c>
      <c r="F3962">
        <f>_xll.BDP("FNDE2137 Mtge","CPN")</f>
        <v>6</v>
      </c>
      <c r="G3962">
        <f>_xll.BDP("FNDE2137 Mtge","MTG_FACTOR")</f>
        <v>0.92152336999999995</v>
      </c>
      <c r="H3962">
        <f>_xll.BDP("FNDE2137 Mtge","MTG_WAL")</f>
        <v>3.339</v>
      </c>
      <c r="I3962" t="str">
        <f>_xll.BDP("FNDE2137 Mtge","MTG_ORIG_WAL")</f>
        <v>#N/A N/A</v>
      </c>
    </row>
    <row r="3963" spans="1:9" x14ac:dyDescent="0.25">
      <c r="A3963" t="str">
        <f>_xll.BDP("FNDE2140 Mtge","ID_CUSIP")</f>
        <v>3140BELW6</v>
      </c>
      <c r="B3963" t="str">
        <f>_xll.BDP("FNDE2140 Mtge","SECURITY_NAME")</f>
        <v>FN DE2140</v>
      </c>
      <c r="C3963" t="str">
        <f>_xll.BDP("FNDE2140 Mtge","GENERIC_TICKER_VINTAGE")</f>
        <v>FNCL 6 2025</v>
      </c>
      <c r="D3963" t="str">
        <f>_xll.BDP("FNDE2140 Mtge","CRNCY")</f>
        <v>USD</v>
      </c>
      <c r="E3963">
        <v>12534757</v>
      </c>
      <c r="F3963">
        <f>_xll.BDP("FNDE2140 Mtge","CPN")</f>
        <v>6</v>
      </c>
      <c r="G3963">
        <f>_xll.BDP("FNDE2140 Mtge","MTG_FACTOR")</f>
        <v>0.92308729</v>
      </c>
      <c r="H3963">
        <f>_xll.BDP("FNDE2140 Mtge","MTG_WAL")</f>
        <v>3.3424</v>
      </c>
      <c r="I3963" t="str">
        <f>_xll.BDP("FNDE2140 Mtge","MTG_ORIG_WAL")</f>
        <v>#N/A N/A</v>
      </c>
    </row>
    <row r="3964" spans="1:9" x14ac:dyDescent="0.25">
      <c r="A3964" t="str">
        <f>_xll.BDP("FNDE2158 Mtge","ID_CUSIP")</f>
        <v>3140BEMG0</v>
      </c>
      <c r="B3964" t="str">
        <f>_xll.BDP("FNDE2158 Mtge","SECURITY_NAME")</f>
        <v>FN DE2158</v>
      </c>
      <c r="C3964" t="str">
        <f>_xll.BDP("FNDE2158 Mtge","GENERIC_TICKER_VINTAGE")</f>
        <v>FNCL 6 2025</v>
      </c>
      <c r="D3964" t="str">
        <f>_xll.BDP("FNDE2158 Mtge","CRNCY")</f>
        <v>USD</v>
      </c>
      <c r="E3964">
        <v>2999656</v>
      </c>
      <c r="F3964">
        <f>_xll.BDP("FNDE2158 Mtge","CPN")</f>
        <v>6</v>
      </c>
      <c r="G3964">
        <f>_xll.BDP("FNDE2158 Mtge","MTG_FACTOR")</f>
        <v>0.98843238</v>
      </c>
      <c r="H3964">
        <f>_xll.BDP("FNDE2158 Mtge","MTG_WAL")</f>
        <v>3.3414999999999999</v>
      </c>
      <c r="I3964" t="str">
        <f>_xll.BDP("FNDE2158 Mtge","MTG_ORIG_WAL")</f>
        <v>#N/A N/A</v>
      </c>
    </row>
    <row r="3965" spans="1:9" x14ac:dyDescent="0.25">
      <c r="A3965" t="str">
        <f>_xll.BDP("FNDE2164 Mtge","ID_CUSIP")</f>
        <v>3140BEMN5</v>
      </c>
      <c r="B3965" t="str">
        <f>_xll.BDP("FNDE2164 Mtge","SECURITY_NAME")</f>
        <v>FN DE2164</v>
      </c>
      <c r="C3965" t="str">
        <f>_xll.BDP("FNDE2164 Mtge","GENERIC_TICKER_VINTAGE")</f>
        <v>FNCL 6 2025</v>
      </c>
      <c r="D3965" t="str">
        <f>_xll.BDP("FNDE2164 Mtge","CRNCY")</f>
        <v>USD</v>
      </c>
      <c r="E3965">
        <v>15397507</v>
      </c>
      <c r="F3965">
        <f>_xll.BDP("FNDE2164 Mtge","CPN")</f>
        <v>6</v>
      </c>
      <c r="G3965">
        <f>_xll.BDP("FNDE2164 Mtge","MTG_FACTOR")</f>
        <v>0.88435881000000005</v>
      </c>
      <c r="H3965">
        <f>_xll.BDP("FNDE2164 Mtge","MTG_WAL")</f>
        <v>3.3410000000000002</v>
      </c>
      <c r="I3965" t="str">
        <f>_xll.BDP("FNDE2164 Mtge","MTG_ORIG_WAL")</f>
        <v>#N/A N/A</v>
      </c>
    </row>
    <row r="3966" spans="1:9" x14ac:dyDescent="0.25">
      <c r="A3966" t="str">
        <f>_xll.BDP("FNDE2168 Mtge","ID_CUSIP")</f>
        <v>3140BEMS4</v>
      </c>
      <c r="B3966" t="str">
        <f>_xll.BDP("FNDE2168 Mtge","SECURITY_NAME")</f>
        <v>FN DE2168</v>
      </c>
      <c r="C3966" t="str">
        <f>_xll.BDP("FNDE2168 Mtge","GENERIC_TICKER_VINTAGE")</f>
        <v>FNCL 6 2025</v>
      </c>
      <c r="D3966" t="str">
        <f>_xll.BDP("FNDE2168 Mtge","CRNCY")</f>
        <v>USD</v>
      </c>
      <c r="E3966">
        <v>21634163</v>
      </c>
      <c r="F3966">
        <f>_xll.BDP("FNDE2168 Mtge","CPN")</f>
        <v>6</v>
      </c>
      <c r="G3966">
        <f>_xll.BDP("FNDE2168 Mtge","MTG_FACTOR")</f>
        <v>0.79265706000000002</v>
      </c>
      <c r="H3966">
        <f>_xll.BDP("FNDE2168 Mtge","MTG_WAL")</f>
        <v>3.3435999999999999</v>
      </c>
      <c r="I3966" t="str">
        <f>_xll.BDP("FNDE2168 Mtge","MTG_ORIG_WAL")</f>
        <v>#N/A N/A</v>
      </c>
    </row>
    <row r="3967" spans="1:9" x14ac:dyDescent="0.25">
      <c r="A3967" t="str">
        <f>_xll.BDP("FNDE2224 Mtge","ID_CUSIP")</f>
        <v>3140BEPJ1</v>
      </c>
      <c r="B3967" t="str">
        <f>_xll.BDP("FNDE2224 Mtge","SECURITY_NAME")</f>
        <v>FN DE2224</v>
      </c>
      <c r="C3967" t="str">
        <f>_xll.BDP("FNDE2224 Mtge","GENERIC_TICKER_VINTAGE")</f>
        <v>FNCL 6 2025</v>
      </c>
      <c r="D3967" t="str">
        <f>_xll.BDP("FNDE2224 Mtge","CRNCY")</f>
        <v>USD</v>
      </c>
      <c r="E3967">
        <v>15774660</v>
      </c>
      <c r="F3967">
        <f>_xll.BDP("FNDE2224 Mtge","CPN")</f>
        <v>6</v>
      </c>
      <c r="G3967">
        <f>_xll.BDP("FNDE2224 Mtge","MTG_FACTOR")</f>
        <v>0.90910891999999999</v>
      </c>
      <c r="H3967">
        <f>_xll.BDP("FNDE2224 Mtge","MTG_WAL")</f>
        <v>3.3957999999999999</v>
      </c>
      <c r="I3967" t="str">
        <f>_xll.BDP("FNDE2224 Mtge","MTG_ORIG_WAL")</f>
        <v>#N/A N/A</v>
      </c>
    </row>
    <row r="3968" spans="1:9" x14ac:dyDescent="0.25">
      <c r="A3968" t="str">
        <f>_xll.BDP("FNDE2249 Mtge","ID_CUSIP")</f>
        <v>3140BEQB7</v>
      </c>
      <c r="B3968" t="str">
        <f>_xll.BDP("FNDE2249 Mtge","SECURITY_NAME")</f>
        <v>FN DE2249</v>
      </c>
      <c r="C3968" t="str">
        <f>_xll.BDP("FNDE2249 Mtge","GENERIC_TICKER_VINTAGE")</f>
        <v>FNCL 6 2025</v>
      </c>
      <c r="D3968" t="str">
        <f>_xll.BDP("FNDE2249 Mtge","CRNCY")</f>
        <v>USD</v>
      </c>
      <c r="E3968">
        <v>5465700</v>
      </c>
      <c r="F3968">
        <f>_xll.BDP("FNDE2249 Mtge","CPN")</f>
        <v>6</v>
      </c>
      <c r="G3968">
        <f>_xll.BDP("FNDE2249 Mtge","MTG_FACTOR")</f>
        <v>0.95046233000000002</v>
      </c>
      <c r="H3968">
        <f>_xll.BDP("FNDE2249 Mtge","MTG_WAL")</f>
        <v>3.3363999999999998</v>
      </c>
      <c r="I3968" t="str">
        <f>_xll.BDP("FNDE2249 Mtge","MTG_ORIG_WAL")</f>
        <v>#N/A N/A</v>
      </c>
    </row>
    <row r="3969" spans="1:9" x14ac:dyDescent="0.25">
      <c r="A3969" t="str">
        <f>_xll.BDP("FNDE2251 Mtge","ID_CUSIP")</f>
        <v>3140BEQD3</v>
      </c>
      <c r="B3969" t="str">
        <f>_xll.BDP("FNDE2251 Mtge","SECURITY_NAME")</f>
        <v>FN DE2251</v>
      </c>
      <c r="C3969" t="str">
        <f>_xll.BDP("FNDE2251 Mtge","GENERIC_TICKER_VINTAGE")</f>
        <v>FNCL 6 2025</v>
      </c>
      <c r="D3969" t="str">
        <f>_xll.BDP("FNDE2251 Mtge","CRNCY")</f>
        <v>USD</v>
      </c>
      <c r="E3969">
        <v>14637307</v>
      </c>
      <c r="F3969">
        <f>_xll.BDP("FNDE2251 Mtge","CPN")</f>
        <v>6</v>
      </c>
      <c r="G3969">
        <f>_xll.BDP("FNDE2251 Mtge","MTG_FACTOR")</f>
        <v>0.97100443999999997</v>
      </c>
      <c r="H3969">
        <f>_xll.BDP("FNDE2251 Mtge","MTG_WAL")</f>
        <v>3.3418000000000001</v>
      </c>
      <c r="I3969" t="str">
        <f>_xll.BDP("FNDE2251 Mtge","MTG_ORIG_WAL")</f>
        <v>#N/A N/A</v>
      </c>
    </row>
    <row r="3970" spans="1:9" x14ac:dyDescent="0.25">
      <c r="A3970" t="str">
        <f>_xll.BDP("FNDE2274 Mtge","ID_CUSIP")</f>
        <v>3140BEQ43</v>
      </c>
      <c r="B3970" t="str">
        <f>_xll.BDP("FNDE2274 Mtge","SECURITY_NAME")</f>
        <v>FN DE2274</v>
      </c>
      <c r="C3970" t="str">
        <f>_xll.BDP("FNDE2274 Mtge","GENERIC_TICKER_VINTAGE")</f>
        <v>FNCL 6 2025</v>
      </c>
      <c r="D3970" t="str">
        <f>_xll.BDP("FNDE2274 Mtge","CRNCY")</f>
        <v>USD</v>
      </c>
      <c r="E3970">
        <v>2927110</v>
      </c>
      <c r="F3970">
        <f>_xll.BDP("FNDE2274 Mtge","CPN")</f>
        <v>6</v>
      </c>
      <c r="G3970">
        <f>_xll.BDP("FNDE2274 Mtge","MTG_FACTOR")</f>
        <v>0.99175395</v>
      </c>
      <c r="H3970">
        <f>_xll.BDP("FNDE2274 Mtge","MTG_WAL")</f>
        <v>3.3407</v>
      </c>
      <c r="I3970" t="str">
        <f>_xll.BDP("FNDE2274 Mtge","MTG_ORIG_WAL")</f>
        <v>#N/A N/A</v>
      </c>
    </row>
    <row r="3971" spans="1:9" x14ac:dyDescent="0.25">
      <c r="A3971" t="str">
        <f>_xll.BDP("FNDE2360 Mtge","ID_CUSIP")</f>
        <v>3140BETS7</v>
      </c>
      <c r="B3971" t="str">
        <f>_xll.BDP("FNDE2360 Mtge","SECURITY_NAME")</f>
        <v>FN DE2360</v>
      </c>
      <c r="C3971" t="str">
        <f>_xll.BDP("FNDE2360 Mtge","GENERIC_TICKER_VINTAGE")</f>
        <v>FNCL 6 2025</v>
      </c>
      <c r="D3971" t="str">
        <f>_xll.BDP("FNDE2360 Mtge","CRNCY")</f>
        <v>USD</v>
      </c>
      <c r="E3971">
        <v>1145251</v>
      </c>
      <c r="F3971">
        <f>_xll.BDP("FNDE2360 Mtge","CPN")</f>
        <v>6</v>
      </c>
      <c r="G3971">
        <f>_xll.BDP("FNDE2360 Mtge","MTG_FACTOR")</f>
        <v>0.98998839999999999</v>
      </c>
      <c r="H3971">
        <f>_xll.BDP("FNDE2360 Mtge","MTG_WAL")</f>
        <v>3.2894000000000001</v>
      </c>
      <c r="I3971" t="str">
        <f>_xll.BDP("FNDE2360 Mtge","MTG_ORIG_WAL")</f>
        <v>#N/A N/A</v>
      </c>
    </row>
    <row r="3972" spans="1:9" x14ac:dyDescent="0.25">
      <c r="A3972" t="str">
        <f>_xll.BDP("FNDE2361 Mtge","ID_CUSIP")</f>
        <v>3140BETT5</v>
      </c>
      <c r="B3972" t="str">
        <f>_xll.BDP("FNDE2361 Mtge","SECURITY_NAME")</f>
        <v>FN DE2361</v>
      </c>
      <c r="C3972" t="str">
        <f>_xll.BDP("FNDE2361 Mtge","GENERIC_TICKER_VINTAGE")</f>
        <v>FNCL 6 2025</v>
      </c>
      <c r="D3972" t="str">
        <f>_xll.BDP("FNDE2361 Mtge","CRNCY")</f>
        <v>USD</v>
      </c>
      <c r="E3972">
        <v>1748869</v>
      </c>
      <c r="F3972">
        <f>_xll.BDP("FNDE2361 Mtge","CPN")</f>
        <v>6</v>
      </c>
      <c r="G3972">
        <f>_xll.BDP("FNDE2361 Mtge","MTG_FACTOR")</f>
        <v>0.99229363000000004</v>
      </c>
      <c r="H3972">
        <f>_xll.BDP("FNDE2361 Mtge","MTG_WAL")</f>
        <v>3.2966000000000002</v>
      </c>
      <c r="I3972" t="str">
        <f>_xll.BDP("FNDE2361 Mtge","MTG_ORIG_WAL")</f>
        <v>#N/A N/A</v>
      </c>
    </row>
    <row r="3973" spans="1:9" x14ac:dyDescent="0.25">
      <c r="A3973" t="str">
        <f>_xll.BDP("FNDE2375 Mtge","ID_CUSIP")</f>
        <v>3140BET99</v>
      </c>
      <c r="B3973" t="str">
        <f>_xll.BDP("FNDE2375 Mtge","SECURITY_NAME")</f>
        <v>FN DE2375</v>
      </c>
      <c r="C3973" t="str">
        <f>_xll.BDP("FNDE2375 Mtge","GENERIC_TICKER_VINTAGE")</f>
        <v>FNCL 6 2025</v>
      </c>
      <c r="D3973" t="str">
        <f>_xll.BDP("FNDE2375 Mtge","CRNCY")</f>
        <v>USD</v>
      </c>
      <c r="E3973">
        <v>7210292</v>
      </c>
      <c r="F3973">
        <f>_xll.BDP("FNDE2375 Mtge","CPN")</f>
        <v>6</v>
      </c>
      <c r="G3973">
        <f>_xll.BDP("FNDE2375 Mtge","MTG_FACTOR")</f>
        <v>0.95654660999999996</v>
      </c>
      <c r="H3973">
        <f>_xll.BDP("FNDE2375 Mtge","MTG_WAL")</f>
        <v>3.3317999999999999</v>
      </c>
      <c r="I3973" t="str">
        <f>_xll.BDP("FNDE2375 Mtge","MTG_ORIG_WAL")</f>
        <v>#N/A N/A</v>
      </c>
    </row>
    <row r="3974" spans="1:9" x14ac:dyDescent="0.25">
      <c r="A3974" t="str">
        <f>_xll.BDP("FNDE2386 Mtge","ID_CUSIP")</f>
        <v>3140BEUL0</v>
      </c>
      <c r="B3974" t="str">
        <f>_xll.BDP("FNDE2386 Mtge","SECURITY_NAME")</f>
        <v>FN DE2386</v>
      </c>
      <c r="C3974" t="str">
        <f>_xll.BDP("FNDE2386 Mtge","GENERIC_TICKER_VINTAGE")</f>
        <v>FNCL 6 2025</v>
      </c>
      <c r="D3974" t="str">
        <f>_xll.BDP("FNDE2386 Mtge","CRNCY")</f>
        <v>USD</v>
      </c>
      <c r="E3974">
        <v>1249423</v>
      </c>
      <c r="F3974">
        <f>_xll.BDP("FNDE2386 Mtge","CPN")</f>
        <v>6</v>
      </c>
      <c r="G3974">
        <f>_xll.BDP("FNDE2386 Mtge","MTG_FACTOR")</f>
        <v>0.97649865999999996</v>
      </c>
      <c r="H3974">
        <f>_xll.BDP("FNDE2386 Mtge","MTG_WAL")</f>
        <v>3.2768000000000002</v>
      </c>
      <c r="I3974" t="str">
        <f>_xll.BDP("FNDE2386 Mtge","MTG_ORIG_WAL")</f>
        <v>#N/A N/A</v>
      </c>
    </row>
    <row r="3975" spans="1:9" x14ac:dyDescent="0.25">
      <c r="A3975" t="str">
        <f>_xll.BDP("FNDE2389 Mtge","ID_CUSIP")</f>
        <v>3140BEUP1</v>
      </c>
      <c r="B3975" t="str">
        <f>_xll.BDP("FNDE2389 Mtge","SECURITY_NAME")</f>
        <v>FN DE2389</v>
      </c>
      <c r="C3975" t="str">
        <f>_xll.BDP("FNDE2389 Mtge","GENERIC_TICKER_VINTAGE")</f>
        <v>FNCL 6 2025</v>
      </c>
      <c r="D3975" t="str">
        <f>_xll.BDP("FNDE2389 Mtge","CRNCY")</f>
        <v>USD</v>
      </c>
      <c r="E3975">
        <v>1731198</v>
      </c>
      <c r="F3975">
        <f>_xll.BDP("FNDE2389 Mtge","CPN")</f>
        <v>6</v>
      </c>
      <c r="G3975">
        <f>_xll.BDP("FNDE2389 Mtge","MTG_FACTOR")</f>
        <v>0.93403258</v>
      </c>
      <c r="H3975">
        <f>_xll.BDP("FNDE2389 Mtge","MTG_WAL")</f>
        <v>3.2972999999999999</v>
      </c>
      <c r="I3975" t="str">
        <f>_xll.BDP("FNDE2389 Mtge","MTG_ORIG_WAL")</f>
        <v>#N/A N/A</v>
      </c>
    </row>
    <row r="3976" spans="1:9" x14ac:dyDescent="0.25">
      <c r="A3976" t="str">
        <f>_xll.BDP("FNDE2390 Mtge","ID_CUSIP")</f>
        <v>3140BEUQ9</v>
      </c>
      <c r="B3976" t="str">
        <f>_xll.BDP("FNDE2390 Mtge","SECURITY_NAME")</f>
        <v>FN DE2390</v>
      </c>
      <c r="C3976" t="str">
        <f>_xll.BDP("FNDE2390 Mtge","GENERIC_TICKER_VINTAGE")</f>
        <v>FNCL 6 2025</v>
      </c>
      <c r="D3976" t="str">
        <f>_xll.BDP("FNDE2390 Mtge","CRNCY")</f>
        <v>USD</v>
      </c>
      <c r="E3976">
        <v>1147765</v>
      </c>
      <c r="F3976">
        <f>_xll.BDP("FNDE2390 Mtge","CPN")</f>
        <v>6</v>
      </c>
      <c r="G3976">
        <f>_xll.BDP("FNDE2390 Mtge","MTG_FACTOR")</f>
        <v>0.94492032999999998</v>
      </c>
      <c r="H3976">
        <f>_xll.BDP("FNDE2390 Mtge","MTG_WAL")</f>
        <v>3.3127</v>
      </c>
      <c r="I3976" t="str">
        <f>_xll.BDP("FNDE2390 Mtge","MTG_ORIG_WAL")</f>
        <v>#N/A N/A</v>
      </c>
    </row>
    <row r="3977" spans="1:9" x14ac:dyDescent="0.25">
      <c r="A3977" t="str">
        <f>_xll.BDP("FNDE2404 Mtge","ID_CUSIP")</f>
        <v>3140BEU63</v>
      </c>
      <c r="B3977" t="str">
        <f>_xll.BDP("FNDE2404 Mtge","SECURITY_NAME")</f>
        <v>FN DE2404</v>
      </c>
      <c r="C3977" t="str">
        <f>_xll.BDP("FNDE2404 Mtge","GENERIC_TICKER_VINTAGE")</f>
        <v>FNCL 6 2025</v>
      </c>
      <c r="D3977" t="str">
        <f>_xll.BDP("FNDE2404 Mtge","CRNCY")</f>
        <v>USD</v>
      </c>
      <c r="E3977">
        <v>3370955</v>
      </c>
      <c r="F3977">
        <f>_xll.BDP("FNDE2404 Mtge","CPN")</f>
        <v>6</v>
      </c>
      <c r="G3977">
        <f>_xll.BDP("FNDE2404 Mtge","MTG_FACTOR")</f>
        <v>0.99162017999999996</v>
      </c>
      <c r="H3977">
        <f>_xll.BDP("FNDE2404 Mtge","MTG_WAL")</f>
        <v>3.3454000000000002</v>
      </c>
      <c r="I3977" t="str">
        <f>_xll.BDP("FNDE2404 Mtge","MTG_ORIG_WAL")</f>
        <v>#N/A N/A</v>
      </c>
    </row>
    <row r="3978" spans="1:9" x14ac:dyDescent="0.25">
      <c r="A3978" t="str">
        <f>_xll.BDP("FNDE2405 Mtge","ID_CUSIP")</f>
        <v>3140BEU71</v>
      </c>
      <c r="B3978" t="str">
        <f>_xll.BDP("FNDE2405 Mtge","SECURITY_NAME")</f>
        <v>FN DE2405</v>
      </c>
      <c r="C3978" t="str">
        <f>_xll.BDP("FNDE2405 Mtge","GENERIC_TICKER_VINTAGE")</f>
        <v>FNCL 6 2025</v>
      </c>
      <c r="D3978" t="str">
        <f>_xll.BDP("FNDE2405 Mtge","CRNCY")</f>
        <v>USD</v>
      </c>
      <c r="E3978">
        <v>1191853</v>
      </c>
      <c r="F3978">
        <f>_xll.BDP("FNDE2405 Mtge","CPN")</f>
        <v>6</v>
      </c>
      <c r="G3978">
        <f>_xll.BDP("FNDE2405 Mtge","MTG_FACTOR")</f>
        <v>0.99223322000000003</v>
      </c>
      <c r="H3978">
        <f>_xll.BDP("FNDE2405 Mtge","MTG_WAL")</f>
        <v>3.3452000000000002</v>
      </c>
      <c r="I3978" t="str">
        <f>_xll.BDP("FNDE2405 Mtge","MTG_ORIG_WAL")</f>
        <v>#N/A N/A</v>
      </c>
    </row>
    <row r="3979" spans="1:9" x14ac:dyDescent="0.25">
      <c r="A3979" t="str">
        <f>_xll.BDP("FNDE2469 Mtge","ID_CUSIP")</f>
        <v>3140BEW79</v>
      </c>
      <c r="B3979" t="str">
        <f>_xll.BDP("FNDE2469 Mtge","SECURITY_NAME")</f>
        <v>FN DE2469</v>
      </c>
      <c r="C3979" t="str">
        <f>_xll.BDP("FNDE2469 Mtge","GENERIC_TICKER_VINTAGE")</f>
        <v>FNCL 6 2025</v>
      </c>
      <c r="D3979" t="str">
        <f>_xll.BDP("FNDE2469 Mtge","CRNCY")</f>
        <v>USD</v>
      </c>
      <c r="E3979">
        <v>10561263</v>
      </c>
      <c r="F3979">
        <f>_xll.BDP("FNDE2469 Mtge","CPN")</f>
        <v>6</v>
      </c>
      <c r="G3979">
        <f>_xll.BDP("FNDE2469 Mtge","MTG_FACTOR")</f>
        <v>0.93781555000000005</v>
      </c>
      <c r="H3979">
        <f>_xll.BDP("FNDE2469 Mtge","MTG_WAL")</f>
        <v>3.3391000000000002</v>
      </c>
      <c r="I3979" t="str">
        <f>_xll.BDP("FNDE2469 Mtge","MTG_ORIG_WAL")</f>
        <v>#N/A N/A</v>
      </c>
    </row>
    <row r="3980" spans="1:9" x14ac:dyDescent="0.25">
      <c r="A3980" t="str">
        <f>_xll.BDP("FNDE2472 Mtge","ID_CUSIP")</f>
        <v>3140BEXA1</v>
      </c>
      <c r="B3980" t="str">
        <f>_xll.BDP("FNDE2472 Mtge","SECURITY_NAME")</f>
        <v>FN DE2472</v>
      </c>
      <c r="C3980" t="str">
        <f>_xll.BDP("FNDE2472 Mtge","GENERIC_TICKER_VINTAGE")</f>
        <v>FNCL 6 2025</v>
      </c>
      <c r="D3980" t="str">
        <f>_xll.BDP("FNDE2472 Mtge","CRNCY")</f>
        <v>USD</v>
      </c>
      <c r="E3980">
        <v>19095767</v>
      </c>
      <c r="F3980">
        <f>_xll.BDP("FNDE2472 Mtge","CPN")</f>
        <v>6</v>
      </c>
      <c r="G3980">
        <f>_xll.BDP("FNDE2472 Mtge","MTG_FACTOR")</f>
        <v>0.94833151999999998</v>
      </c>
      <c r="H3980">
        <f>_xll.BDP("FNDE2472 Mtge","MTG_WAL")</f>
        <v>3.3441000000000001</v>
      </c>
      <c r="I3980" t="str">
        <f>_xll.BDP("FNDE2472 Mtge","MTG_ORIG_WAL")</f>
        <v>#N/A N/A</v>
      </c>
    </row>
    <row r="3981" spans="1:9" x14ac:dyDescent="0.25">
      <c r="A3981" t="str">
        <f>_xll.BDP("FNDE2481 Mtge","ID_CUSIP")</f>
        <v>3140BEXK9</v>
      </c>
      <c r="B3981" t="str">
        <f>_xll.BDP("FNDE2481 Mtge","SECURITY_NAME")</f>
        <v>FN DE2481</v>
      </c>
      <c r="C3981" t="str">
        <f>_xll.BDP("FNDE2481 Mtge","GENERIC_TICKER_VINTAGE")</f>
        <v>FNCL 6 2025</v>
      </c>
      <c r="D3981" t="str">
        <f>_xll.BDP("FNDE2481 Mtge","CRNCY")</f>
        <v>USD</v>
      </c>
      <c r="E3981">
        <v>1463430</v>
      </c>
      <c r="F3981">
        <f>_xll.BDP("FNDE2481 Mtge","CPN")</f>
        <v>6</v>
      </c>
      <c r="G3981">
        <f>_xll.BDP("FNDE2481 Mtge","MTG_FACTOR")</f>
        <v>0.99229109000000004</v>
      </c>
      <c r="H3981">
        <f>_xll.BDP("FNDE2481 Mtge","MTG_WAL")</f>
        <v>3.3456000000000001</v>
      </c>
      <c r="I3981" t="str">
        <f>_xll.BDP("FNDE2481 Mtge","MTG_ORIG_WAL")</f>
        <v>#N/A N/A</v>
      </c>
    </row>
    <row r="3982" spans="1:9" x14ac:dyDescent="0.25">
      <c r="A3982" t="str">
        <f>_xll.BDP("FNDE2494 Mtge","ID_CUSIP")</f>
        <v>3140BEXY9</v>
      </c>
      <c r="B3982" t="str">
        <f>_xll.BDP("FNDE2494 Mtge","SECURITY_NAME")</f>
        <v>FN DE2494</v>
      </c>
      <c r="C3982" t="str">
        <f>_xll.BDP("FNDE2494 Mtge","GENERIC_TICKER_VINTAGE")</f>
        <v>FNCL 6 2025</v>
      </c>
      <c r="D3982" t="str">
        <f>_xll.BDP("FNDE2494 Mtge","CRNCY")</f>
        <v>USD</v>
      </c>
      <c r="E3982">
        <v>1266453</v>
      </c>
      <c r="F3982">
        <f>_xll.BDP("FNDE2494 Mtge","CPN")</f>
        <v>6</v>
      </c>
      <c r="G3982">
        <f>_xll.BDP("FNDE2494 Mtge","MTG_FACTOR")</f>
        <v>0.98926106000000003</v>
      </c>
      <c r="H3982">
        <f>_xll.BDP("FNDE2494 Mtge","MTG_WAL")</f>
        <v>3.3428</v>
      </c>
      <c r="I3982" t="str">
        <f>_xll.BDP("FNDE2494 Mtge","MTG_ORIG_WAL")</f>
        <v>#N/A N/A</v>
      </c>
    </row>
    <row r="3983" spans="1:9" x14ac:dyDescent="0.25">
      <c r="A3983" t="str">
        <f>_xll.BDP("FNDE2495 Mtge","ID_CUSIP")</f>
        <v>3140BEXZ6</v>
      </c>
      <c r="B3983" t="str">
        <f>_xll.BDP("FNDE2495 Mtge","SECURITY_NAME")</f>
        <v>FN DE2495</v>
      </c>
      <c r="C3983" t="str">
        <f>_xll.BDP("FNDE2495 Mtge","GENERIC_TICKER_VINTAGE")</f>
        <v>FNCL 6 2025</v>
      </c>
      <c r="D3983" t="str">
        <f>_xll.BDP("FNDE2495 Mtge","CRNCY")</f>
        <v>USD</v>
      </c>
      <c r="E3983">
        <v>1346112</v>
      </c>
      <c r="F3983">
        <f>_xll.BDP("FNDE2495 Mtge","CPN")</f>
        <v>6</v>
      </c>
      <c r="G3983">
        <f>_xll.BDP("FNDE2495 Mtge","MTG_FACTOR")</f>
        <v>0.74688843000000005</v>
      </c>
      <c r="H3983">
        <f>_xll.BDP("FNDE2495 Mtge","MTG_WAL")</f>
        <v>3.3456999999999999</v>
      </c>
      <c r="I3983" t="str">
        <f>_xll.BDP("FNDE2495 Mtge","MTG_ORIG_WAL")</f>
        <v>#N/A N/A</v>
      </c>
    </row>
    <row r="3984" spans="1:9" x14ac:dyDescent="0.25">
      <c r="A3984" t="str">
        <f>_xll.BDP("FNDE2505 Mtge","ID_CUSIP")</f>
        <v>3140BEYB8</v>
      </c>
      <c r="B3984" t="str">
        <f>_xll.BDP("FNDE2505 Mtge","SECURITY_NAME")</f>
        <v>FN DE2505</v>
      </c>
      <c r="C3984" t="str">
        <f>_xll.BDP("FNDE2505 Mtge","GENERIC_TICKER_VINTAGE")</f>
        <v>FNCL 6 2025</v>
      </c>
      <c r="D3984" t="str">
        <f>_xll.BDP("FNDE2505 Mtge","CRNCY")</f>
        <v>USD</v>
      </c>
      <c r="E3984">
        <v>1447680</v>
      </c>
      <c r="F3984">
        <f>_xll.BDP("FNDE2505 Mtge","CPN")</f>
        <v>6</v>
      </c>
      <c r="G3984">
        <f>_xll.BDP("FNDE2505 Mtge","MTG_FACTOR")</f>
        <v>0.80027395000000001</v>
      </c>
      <c r="H3984">
        <f>_xll.BDP("FNDE2505 Mtge","MTG_WAL")</f>
        <v>3.3488000000000002</v>
      </c>
      <c r="I3984" t="str">
        <f>_xll.BDP("FNDE2505 Mtge","MTG_ORIG_WAL")</f>
        <v>#N/A N/A</v>
      </c>
    </row>
    <row r="3985" spans="1:9" x14ac:dyDescent="0.25">
      <c r="A3985" t="str">
        <f>_xll.BDP("FNDE2507 Mtge","ID_CUSIP")</f>
        <v>3140BEYD4</v>
      </c>
      <c r="B3985" t="str">
        <f>_xll.BDP("FNDE2507 Mtge","SECURITY_NAME")</f>
        <v>FN DE2507</v>
      </c>
      <c r="C3985" t="str">
        <f>_xll.BDP("FNDE2507 Mtge","GENERIC_TICKER_VINTAGE")</f>
        <v>FNCL 6 2025</v>
      </c>
      <c r="D3985" t="str">
        <f>_xll.BDP("FNDE2507 Mtge","CRNCY")</f>
        <v>USD</v>
      </c>
      <c r="E3985">
        <v>1895795</v>
      </c>
      <c r="F3985">
        <f>_xll.BDP("FNDE2507 Mtge","CPN")</f>
        <v>6</v>
      </c>
      <c r="G3985">
        <f>_xll.BDP("FNDE2507 Mtge","MTG_FACTOR")</f>
        <v>0.87096037000000004</v>
      </c>
      <c r="H3985">
        <f>_xll.BDP("FNDE2507 Mtge","MTG_WAL")</f>
        <v>3.3451</v>
      </c>
      <c r="I3985" t="str">
        <f>_xll.BDP("FNDE2507 Mtge","MTG_ORIG_WAL")</f>
        <v>#N/A N/A</v>
      </c>
    </row>
    <row r="3986" spans="1:9" x14ac:dyDescent="0.25">
      <c r="A3986" t="str">
        <f>_xll.BDP("FNDE2508 Mtge","ID_CUSIP")</f>
        <v>3140BEYE2</v>
      </c>
      <c r="B3986" t="str">
        <f>_xll.BDP("FNDE2508 Mtge","SECURITY_NAME")</f>
        <v>FN DE2508</v>
      </c>
      <c r="C3986" t="str">
        <f>_xll.BDP("FNDE2508 Mtge","GENERIC_TICKER_VINTAGE")</f>
        <v>FNCL 6 2025</v>
      </c>
      <c r="D3986" t="str">
        <f>_xll.BDP("FNDE2508 Mtge","CRNCY")</f>
        <v>USD</v>
      </c>
      <c r="E3986">
        <v>1858705</v>
      </c>
      <c r="F3986">
        <f>_xll.BDP("FNDE2508 Mtge","CPN")</f>
        <v>6</v>
      </c>
      <c r="G3986">
        <f>_xll.BDP("FNDE2508 Mtge","MTG_FACTOR")</f>
        <v>0.90730714000000001</v>
      </c>
      <c r="H3986">
        <f>_xll.BDP("FNDE2508 Mtge","MTG_WAL")</f>
        <v>3.3290000000000002</v>
      </c>
      <c r="I3986" t="str">
        <f>_xll.BDP("FNDE2508 Mtge","MTG_ORIG_WAL")</f>
        <v>#N/A N/A</v>
      </c>
    </row>
    <row r="3987" spans="1:9" x14ac:dyDescent="0.25">
      <c r="A3987" t="str">
        <f>_xll.BDP("FNDE2509 Mtge","ID_CUSIP")</f>
        <v>3140BEYF9</v>
      </c>
      <c r="B3987" t="str">
        <f>_xll.BDP("FNDE2509 Mtge","SECURITY_NAME")</f>
        <v>FN DE2509</v>
      </c>
      <c r="C3987" t="str">
        <f>_xll.BDP("FNDE2509 Mtge","GENERIC_TICKER_VINTAGE")</f>
        <v>FNCL 6 2025</v>
      </c>
      <c r="D3987" t="str">
        <f>_xll.BDP("FNDE2509 Mtge","CRNCY")</f>
        <v>USD</v>
      </c>
      <c r="E3987">
        <v>1349700</v>
      </c>
      <c r="F3987">
        <f>_xll.BDP("FNDE2509 Mtge","CPN")</f>
        <v>6</v>
      </c>
      <c r="G3987">
        <f>_xll.BDP("FNDE2509 Mtge","MTG_FACTOR")</f>
        <v>0.9912706</v>
      </c>
      <c r="H3987">
        <f>_xll.BDP("FNDE2509 Mtge","MTG_WAL")</f>
        <v>3.3473000000000002</v>
      </c>
      <c r="I3987" t="str">
        <f>_xll.BDP("FNDE2509 Mtge","MTG_ORIG_WAL")</f>
        <v>#N/A N/A</v>
      </c>
    </row>
    <row r="3988" spans="1:9" x14ac:dyDescent="0.25">
      <c r="A3988" t="str">
        <f>_xll.BDP("FNDE2517 Mtge","ID_CUSIP")</f>
        <v>3140BEYP7</v>
      </c>
      <c r="B3988" t="str">
        <f>_xll.BDP("FNDE2517 Mtge","SECURITY_NAME")</f>
        <v>FN DE2517</v>
      </c>
      <c r="C3988" t="str">
        <f>_xll.BDP("FNDE2517 Mtge","GENERIC_TICKER_VINTAGE")</f>
        <v>FNCL 6 2025</v>
      </c>
      <c r="D3988" t="str">
        <f>_xll.BDP("FNDE2517 Mtge","CRNCY")</f>
        <v>USD</v>
      </c>
      <c r="E3988">
        <v>1270475</v>
      </c>
      <c r="F3988">
        <f>_xll.BDP("FNDE2517 Mtge","CPN")</f>
        <v>6</v>
      </c>
      <c r="G3988">
        <f>_xll.BDP("FNDE2517 Mtge","MTG_FACTOR")</f>
        <v>0.73976012999999996</v>
      </c>
      <c r="H3988">
        <f>_xll.BDP("FNDE2517 Mtge","MTG_WAL")</f>
        <v>3.3492000000000002</v>
      </c>
      <c r="I3988" t="str">
        <f>_xll.BDP("FNDE2517 Mtge","MTG_ORIG_WAL")</f>
        <v>#N/A N/A</v>
      </c>
    </row>
    <row r="3989" spans="1:9" x14ac:dyDescent="0.25">
      <c r="A3989" t="str">
        <f>_xll.BDP("FNDE2529 Mtge","ID_CUSIP")</f>
        <v>3140BEY36</v>
      </c>
      <c r="B3989" t="str">
        <f>_xll.BDP("FNDE2529 Mtge","SECURITY_NAME")</f>
        <v>FN DE2529</v>
      </c>
      <c r="C3989" t="str">
        <f>_xll.BDP("FNDE2529 Mtge","GENERIC_TICKER_VINTAGE")</f>
        <v>FNCL 6 2025</v>
      </c>
      <c r="D3989" t="str">
        <f>_xll.BDP("FNDE2529 Mtge","CRNCY")</f>
        <v>USD</v>
      </c>
      <c r="E3989">
        <v>1563192</v>
      </c>
      <c r="F3989">
        <f>_xll.BDP("FNDE2529 Mtge","CPN")</f>
        <v>6</v>
      </c>
      <c r="G3989">
        <f>_xll.BDP("FNDE2529 Mtge","MTG_FACTOR")</f>
        <v>0.68763043000000001</v>
      </c>
      <c r="H3989">
        <f>_xll.BDP("FNDE2529 Mtge","MTG_WAL")</f>
        <v>3.3460000000000001</v>
      </c>
      <c r="I3989" t="str">
        <f>_xll.BDP("FNDE2529 Mtge","MTG_ORIG_WAL")</f>
        <v>#N/A N/A</v>
      </c>
    </row>
    <row r="3990" spans="1:9" x14ac:dyDescent="0.25">
      <c r="A3990" t="str">
        <f>_xll.BDP("FNDE2532 Mtge","ID_CUSIP")</f>
        <v>3140BEY69</v>
      </c>
      <c r="B3990" t="str">
        <f>_xll.BDP("FNDE2532 Mtge","SECURITY_NAME")</f>
        <v>FN DE2532</v>
      </c>
      <c r="C3990" t="str">
        <f>_xll.BDP("FNDE2532 Mtge","GENERIC_TICKER_VINTAGE")</f>
        <v>FNCL 6 2025</v>
      </c>
      <c r="D3990" t="str">
        <f>_xll.BDP("FNDE2532 Mtge","CRNCY")</f>
        <v>USD</v>
      </c>
      <c r="E3990">
        <v>1150000</v>
      </c>
      <c r="F3990">
        <f>_xll.BDP("FNDE2532 Mtge","CPN")</f>
        <v>6</v>
      </c>
      <c r="G3990">
        <f>_xll.BDP("FNDE2532 Mtge","MTG_FACTOR")</f>
        <v>0.96317878000000001</v>
      </c>
      <c r="H3990">
        <f>_xll.BDP("FNDE2532 Mtge","MTG_WAL")</f>
        <v>3.3237999999999999</v>
      </c>
      <c r="I3990" t="str">
        <f>_xll.BDP("FNDE2532 Mtge","MTG_ORIG_WAL")</f>
        <v>#N/A N/A</v>
      </c>
    </row>
    <row r="3991" spans="1:9" x14ac:dyDescent="0.25">
      <c r="A3991" t="str">
        <f>_xll.BDP("FNDE2555 Mtge","ID_CUSIP")</f>
        <v>3140BEZV3</v>
      </c>
      <c r="B3991" t="str">
        <f>_xll.BDP("FNDE2555 Mtge","SECURITY_NAME")</f>
        <v>FN DE2555</v>
      </c>
      <c r="C3991" t="str">
        <f>_xll.BDP("FNDE2555 Mtge","GENERIC_TICKER_VINTAGE")</f>
        <v>FNCL 6 2025</v>
      </c>
      <c r="D3991" t="str">
        <f>_xll.BDP("FNDE2555 Mtge","CRNCY")</f>
        <v>USD</v>
      </c>
      <c r="E3991">
        <v>1050900</v>
      </c>
      <c r="F3991">
        <f>_xll.BDP("FNDE2555 Mtge","CPN")</f>
        <v>6</v>
      </c>
      <c r="G3991">
        <f>_xll.BDP("FNDE2555 Mtge","MTG_FACTOR")</f>
        <v>0.99138135000000005</v>
      </c>
      <c r="H3991">
        <f>_xll.BDP("FNDE2555 Mtge","MTG_WAL")</f>
        <v>3.3955000000000002</v>
      </c>
      <c r="I3991" t="str">
        <f>_xll.BDP("FNDE2555 Mtge","MTG_ORIG_WAL")</f>
        <v>#N/A N/A</v>
      </c>
    </row>
    <row r="3992" spans="1:9" x14ac:dyDescent="0.25">
      <c r="A3992" t="str">
        <f>_xll.BDP("FNDE2560 Mtge","ID_CUSIP")</f>
        <v>3140BEZ27</v>
      </c>
      <c r="B3992" t="str">
        <f>_xll.BDP("FNDE2560 Mtge","SECURITY_NAME")</f>
        <v>FN DE2560</v>
      </c>
      <c r="C3992" t="str">
        <f>_xll.BDP("FNDE2560 Mtge","GENERIC_TICKER_VINTAGE")</f>
        <v>FNCL 6 2025</v>
      </c>
      <c r="D3992" t="str">
        <f>_xll.BDP("FNDE2560 Mtge","CRNCY")</f>
        <v>USD</v>
      </c>
      <c r="E3992">
        <v>1657750</v>
      </c>
      <c r="F3992">
        <f>_xll.BDP("FNDE2560 Mtge","CPN")</f>
        <v>6</v>
      </c>
      <c r="G3992">
        <f>_xll.BDP("FNDE2560 Mtge","MTG_FACTOR")</f>
        <v>0.95284449000000004</v>
      </c>
      <c r="H3992">
        <f>_xll.BDP("FNDE2560 Mtge","MTG_WAL")</f>
        <v>3.3978000000000002</v>
      </c>
      <c r="I3992" t="str">
        <f>_xll.BDP("FNDE2560 Mtge","MTG_ORIG_WAL")</f>
        <v>#N/A N/A</v>
      </c>
    </row>
    <row r="3993" spans="1:9" x14ac:dyDescent="0.25">
      <c r="A3993" t="str">
        <f>_xll.BDP("FNDE2561 Mtge","ID_CUSIP")</f>
        <v>3140BEZ35</v>
      </c>
      <c r="B3993" t="str">
        <f>_xll.BDP("FNDE2561 Mtge","SECURITY_NAME")</f>
        <v>FN DE2561</v>
      </c>
      <c r="C3993" t="str">
        <f>_xll.BDP("FNDE2561 Mtge","GENERIC_TICKER_VINTAGE")</f>
        <v>FNCL 6 2025</v>
      </c>
      <c r="D3993" t="str">
        <f>_xll.BDP("FNDE2561 Mtge","CRNCY")</f>
        <v>USD</v>
      </c>
      <c r="E3993">
        <v>1367255</v>
      </c>
      <c r="F3993">
        <f>_xll.BDP("FNDE2561 Mtge","CPN")</f>
        <v>6</v>
      </c>
      <c r="G3993">
        <f>_xll.BDP("FNDE2561 Mtge","MTG_FACTOR")</f>
        <v>0.98918346999999995</v>
      </c>
      <c r="H3993">
        <f>_xll.BDP("FNDE2561 Mtge","MTG_WAL")</f>
        <v>3.3441000000000001</v>
      </c>
      <c r="I3993" t="str">
        <f>_xll.BDP("FNDE2561 Mtge","MTG_ORIG_WAL")</f>
        <v>#N/A N/A</v>
      </c>
    </row>
    <row r="3994" spans="1:9" x14ac:dyDescent="0.25">
      <c r="A3994" t="str">
        <f>_xll.BDP("FNDE2562 Mtge","ID_CUSIP")</f>
        <v>3140BEZ43</v>
      </c>
      <c r="B3994" t="str">
        <f>_xll.BDP("FNDE2562 Mtge","SECURITY_NAME")</f>
        <v>FN DE2562</v>
      </c>
      <c r="C3994" t="str">
        <f>_xll.BDP("FNDE2562 Mtge","GENERIC_TICKER_VINTAGE")</f>
        <v>FNCL 6 2025</v>
      </c>
      <c r="D3994" t="str">
        <f>_xll.BDP("FNDE2562 Mtge","CRNCY")</f>
        <v>USD</v>
      </c>
      <c r="E3994">
        <v>1189000</v>
      </c>
      <c r="F3994">
        <f>_xll.BDP("FNDE2562 Mtge","CPN")</f>
        <v>6</v>
      </c>
      <c r="G3994">
        <f>_xll.BDP("FNDE2562 Mtge","MTG_FACTOR")</f>
        <v>0.94159839000000001</v>
      </c>
      <c r="H3994">
        <f>_xll.BDP("FNDE2562 Mtge","MTG_WAL")</f>
        <v>3.3603999999999998</v>
      </c>
      <c r="I3994" t="str">
        <f>_xll.BDP("FNDE2562 Mtge","MTG_ORIG_WAL")</f>
        <v>#N/A N/A</v>
      </c>
    </row>
    <row r="3995" spans="1:9" x14ac:dyDescent="0.25">
      <c r="A3995" t="str">
        <f>_xll.BDP("FNDE2570 Mtge","ID_CUSIP")</f>
        <v>3140BE2C1</v>
      </c>
      <c r="B3995" t="str">
        <f>_xll.BDP("FNDE2570 Mtge","SECURITY_NAME")</f>
        <v>FN DE2570</v>
      </c>
      <c r="C3995" t="str">
        <f>_xll.BDP("FNDE2570 Mtge","GENERIC_TICKER_VINTAGE")</f>
        <v>FNCL 6 2025</v>
      </c>
      <c r="D3995" t="str">
        <f>_xll.BDP("FNDE2570 Mtge","CRNCY")</f>
        <v>USD</v>
      </c>
      <c r="E3995">
        <v>1638320</v>
      </c>
      <c r="F3995">
        <f>_xll.BDP("FNDE2570 Mtge","CPN")</f>
        <v>6</v>
      </c>
      <c r="G3995">
        <f>_xll.BDP("FNDE2570 Mtge","MTG_FACTOR")</f>
        <v>0.99297263999999996</v>
      </c>
      <c r="H3995">
        <f>_xll.BDP("FNDE2570 Mtge","MTG_WAL")</f>
        <v>3.3988</v>
      </c>
      <c r="I3995" t="str">
        <f>_xll.BDP("FNDE2570 Mtge","MTG_ORIG_WAL")</f>
        <v>#N/A N/A</v>
      </c>
    </row>
    <row r="3996" spans="1:9" x14ac:dyDescent="0.25">
      <c r="A3996" t="str">
        <f>_xll.BDP("FNDE2597 Mtge","ID_CUSIP")</f>
        <v>3140BE3F3</v>
      </c>
      <c r="B3996" t="str">
        <f>_xll.BDP("FNDE2597 Mtge","SECURITY_NAME")</f>
        <v>FN DE2597</v>
      </c>
      <c r="C3996" t="str">
        <f>_xll.BDP("FNDE2597 Mtge","GENERIC_TICKER_VINTAGE")</f>
        <v>FNCL 6 2025</v>
      </c>
      <c r="D3996" t="str">
        <f>_xll.BDP("FNDE2597 Mtge","CRNCY")</f>
        <v>USD</v>
      </c>
      <c r="E3996">
        <v>2346000</v>
      </c>
      <c r="F3996">
        <f>_xll.BDP("FNDE2597 Mtge","CPN")</f>
        <v>6</v>
      </c>
      <c r="G3996">
        <f>_xll.BDP("FNDE2597 Mtge","MTG_FACTOR")</f>
        <v>0.99292751000000001</v>
      </c>
      <c r="H3996">
        <f>_xll.BDP("FNDE2597 Mtge","MTG_WAL")</f>
        <v>3.3980999999999999</v>
      </c>
      <c r="I3996" t="str">
        <f>_xll.BDP("FNDE2597 Mtge","MTG_ORIG_WAL")</f>
        <v>#N/A N/A</v>
      </c>
    </row>
    <row r="3997" spans="1:9" x14ac:dyDescent="0.25">
      <c r="A3997" t="str">
        <f>_xll.BDP("FNDE2601 Mtge","ID_CUSIP")</f>
        <v>3140BE3K2</v>
      </c>
      <c r="B3997" t="str">
        <f>_xll.BDP("FNDE2601 Mtge","SECURITY_NAME")</f>
        <v>FN DE2601</v>
      </c>
      <c r="C3997" t="str">
        <f>_xll.BDP("FNDE2601 Mtge","GENERIC_TICKER_VINTAGE")</f>
        <v>FNCL 6 2025</v>
      </c>
      <c r="D3997" t="str">
        <f>_xll.BDP("FNDE2601 Mtge","CRNCY")</f>
        <v>USD</v>
      </c>
      <c r="E3997">
        <v>1030698</v>
      </c>
      <c r="F3997">
        <f>_xll.BDP("FNDE2601 Mtge","CPN")</f>
        <v>6</v>
      </c>
      <c r="G3997">
        <f>_xll.BDP("FNDE2601 Mtge","MTG_FACTOR")</f>
        <v>0.99048751999999995</v>
      </c>
      <c r="H3997">
        <f>_xll.BDP("FNDE2601 Mtge","MTG_WAL")</f>
        <v>3.3428</v>
      </c>
      <c r="I3997" t="str">
        <f>_xll.BDP("FNDE2601 Mtge","MTG_ORIG_WAL")</f>
        <v>#N/A N/A</v>
      </c>
    </row>
    <row r="3998" spans="1:9" x14ac:dyDescent="0.25">
      <c r="A3998" t="str">
        <f>_xll.BDP("FNDE2607 Mtge","ID_CUSIP")</f>
        <v>3140BE3R7</v>
      </c>
      <c r="B3998" t="str">
        <f>_xll.BDP("FNDE2607 Mtge","SECURITY_NAME")</f>
        <v>FN DE2607</v>
      </c>
      <c r="C3998" t="str">
        <f>_xll.BDP("FNDE2607 Mtge","GENERIC_TICKER_VINTAGE")</f>
        <v>FNCL 6 2025</v>
      </c>
      <c r="D3998" t="str">
        <f>_xll.BDP("FNDE2607 Mtge","CRNCY")</f>
        <v>USD</v>
      </c>
      <c r="E3998">
        <v>1086387</v>
      </c>
      <c r="F3998">
        <f>_xll.BDP("FNDE2607 Mtge","CPN")</f>
        <v>6</v>
      </c>
      <c r="G3998">
        <f>_xll.BDP("FNDE2607 Mtge","MTG_FACTOR")</f>
        <v>0.79467763000000002</v>
      </c>
      <c r="H3998">
        <f>_xll.BDP("FNDE2607 Mtge","MTG_WAL")</f>
        <v>3.3961000000000001</v>
      </c>
      <c r="I3998" t="str">
        <f>_xll.BDP("FNDE2607 Mtge","MTG_ORIG_WAL")</f>
        <v>#N/A N/A</v>
      </c>
    </row>
    <row r="3999" spans="1:9" x14ac:dyDescent="0.25">
      <c r="A3999" t="str">
        <f>_xll.BDP("FNDE2626 Mtge","ID_CUSIP")</f>
        <v>3140BE4L9</v>
      </c>
      <c r="B3999" t="str">
        <f>_xll.BDP("FNDE2626 Mtge","SECURITY_NAME")</f>
        <v>FN DE2626</v>
      </c>
      <c r="C3999" t="str">
        <f>_xll.BDP("FNDE2626 Mtge","GENERIC_TICKER_VINTAGE")</f>
        <v>FNCL 6 2025</v>
      </c>
      <c r="D3999" t="str">
        <f>_xll.BDP("FNDE2626 Mtge","CRNCY")</f>
        <v>USD</v>
      </c>
      <c r="E3999">
        <v>1009494</v>
      </c>
      <c r="F3999">
        <f>_xll.BDP("FNDE2626 Mtge","CPN")</f>
        <v>6</v>
      </c>
      <c r="G3999">
        <f>_xll.BDP("FNDE2626 Mtge","MTG_FACTOR")</f>
        <v>0.65678230999999998</v>
      </c>
      <c r="H3999">
        <f>_xll.BDP("FNDE2626 Mtge","MTG_WAL")</f>
        <v>3.3995000000000002</v>
      </c>
      <c r="I3999" t="str">
        <f>_xll.BDP("FNDE2626 Mtge","MTG_ORIG_WAL")</f>
        <v>#N/A N/A</v>
      </c>
    </row>
    <row r="4000" spans="1:9" x14ac:dyDescent="0.25">
      <c r="A4000" t="str">
        <f>_xll.BDP("FNDE2644 Mtge","ID_CUSIP")</f>
        <v>3140BE5E4</v>
      </c>
      <c r="B4000" t="str">
        <f>_xll.BDP("FNDE2644 Mtge","SECURITY_NAME")</f>
        <v>FN DE2644</v>
      </c>
      <c r="C4000" t="str">
        <f>_xll.BDP("FNDE2644 Mtge","GENERIC_TICKER_VINTAGE")</f>
        <v>FNCL 6 2025</v>
      </c>
      <c r="D4000" t="str">
        <f>_xll.BDP("FNDE2644 Mtge","CRNCY")</f>
        <v>USD</v>
      </c>
      <c r="E4000">
        <v>1294950</v>
      </c>
      <c r="F4000">
        <f>_xll.BDP("FNDE2644 Mtge","CPN")</f>
        <v>6</v>
      </c>
      <c r="G4000">
        <f>_xll.BDP("FNDE2644 Mtge","MTG_FACTOR")</f>
        <v>0.99299046999999996</v>
      </c>
      <c r="H4000">
        <f>_xll.BDP("FNDE2644 Mtge","MTG_WAL")</f>
        <v>3.4011</v>
      </c>
      <c r="I4000" t="str">
        <f>_xll.BDP("FNDE2644 Mtge","MTG_ORIG_WAL")</f>
        <v>#N/A N/A</v>
      </c>
    </row>
    <row r="4001" spans="1:9" x14ac:dyDescent="0.25">
      <c r="A4001" t="str">
        <f>_xll.BDP("FNDE2653 Mtge","ID_CUSIP")</f>
        <v>3140BE5P9</v>
      </c>
      <c r="B4001" t="str">
        <f>_xll.BDP("FNDE2653 Mtge","SECURITY_NAME")</f>
        <v>FN DE2653</v>
      </c>
      <c r="C4001" t="str">
        <f>_xll.BDP("FNDE2653 Mtge","GENERIC_TICKER_VINTAGE")</f>
        <v>FNCL 6 2025</v>
      </c>
      <c r="D4001" t="str">
        <f>_xll.BDP("FNDE2653 Mtge","CRNCY")</f>
        <v>USD</v>
      </c>
      <c r="E4001">
        <v>1664231</v>
      </c>
      <c r="F4001">
        <f>_xll.BDP("FNDE2653 Mtge","CPN")</f>
        <v>6</v>
      </c>
      <c r="G4001">
        <f>_xll.BDP("FNDE2653 Mtge","MTG_FACTOR")</f>
        <v>0.98626079</v>
      </c>
      <c r="H4001">
        <f>_xll.BDP("FNDE2653 Mtge","MTG_WAL")</f>
        <v>3.3410000000000002</v>
      </c>
      <c r="I4001" t="str">
        <f>_xll.BDP("FNDE2653 Mtge","MTG_ORIG_WAL")</f>
        <v>#N/A N/A</v>
      </c>
    </row>
    <row r="4002" spans="1:9" x14ac:dyDescent="0.25">
      <c r="A4002" t="str">
        <f>_xll.BDP("FNDE2656 Mtge","ID_CUSIP")</f>
        <v>3140BE5S3</v>
      </c>
      <c r="B4002" t="str">
        <f>_xll.BDP("FNDE2656 Mtge","SECURITY_NAME")</f>
        <v>FN DE2656</v>
      </c>
      <c r="C4002" t="str">
        <f>_xll.BDP("FNDE2656 Mtge","GENERIC_TICKER_VINTAGE")</f>
        <v>FNCL 6 2025</v>
      </c>
      <c r="D4002" t="str">
        <f>_xll.BDP("FNDE2656 Mtge","CRNCY")</f>
        <v>USD</v>
      </c>
      <c r="E4002">
        <v>2383820</v>
      </c>
      <c r="F4002">
        <f>_xll.BDP("FNDE2656 Mtge","CPN")</f>
        <v>6</v>
      </c>
      <c r="G4002">
        <f>_xll.BDP("FNDE2656 Mtge","MTG_FACTOR")</f>
        <v>0.79779531999999997</v>
      </c>
      <c r="H4002">
        <f>_xll.BDP("FNDE2656 Mtge","MTG_WAL")</f>
        <v>3.3268</v>
      </c>
      <c r="I4002" t="str">
        <f>_xll.BDP("FNDE2656 Mtge","MTG_ORIG_WAL")</f>
        <v>#N/A N/A</v>
      </c>
    </row>
    <row r="4003" spans="1:9" x14ac:dyDescent="0.25">
      <c r="A4003" t="str">
        <f>_xll.BDP("FNDE2661 Mtge","ID_CUSIP")</f>
        <v>3140BE5X2</v>
      </c>
      <c r="B4003" t="str">
        <f>_xll.BDP("FNDE2661 Mtge","SECURITY_NAME")</f>
        <v>FN DE2661</v>
      </c>
      <c r="C4003" t="str">
        <f>_xll.BDP("FNDE2661 Mtge","GENERIC_TICKER_VINTAGE")</f>
        <v>FNCL 6 2025</v>
      </c>
      <c r="D4003" t="str">
        <f>_xll.BDP("FNDE2661 Mtge","CRNCY")</f>
        <v>USD</v>
      </c>
      <c r="E4003">
        <v>4047300</v>
      </c>
      <c r="F4003">
        <f>_xll.BDP("FNDE2661 Mtge","CPN")</f>
        <v>6</v>
      </c>
      <c r="G4003">
        <f>_xll.BDP("FNDE2661 Mtge","MTG_FACTOR")</f>
        <v>0.92551921000000004</v>
      </c>
      <c r="H4003">
        <f>_xll.BDP("FNDE2661 Mtge","MTG_WAL")</f>
        <v>3.3429000000000002</v>
      </c>
      <c r="I4003" t="str">
        <f>_xll.BDP("FNDE2661 Mtge","MTG_ORIG_WAL")</f>
        <v>#N/A N/A</v>
      </c>
    </row>
    <row r="4004" spans="1:9" x14ac:dyDescent="0.25">
      <c r="A4004" t="str">
        <f>_xll.BDP("FNDE2662 Mtge","ID_CUSIP")</f>
        <v>3140BE5Y0</v>
      </c>
      <c r="B4004" t="str">
        <f>_xll.BDP("FNDE2662 Mtge","SECURITY_NAME")</f>
        <v>FN DE2662</v>
      </c>
      <c r="C4004" t="str">
        <f>_xll.BDP("FNDE2662 Mtge","GENERIC_TICKER_VINTAGE")</f>
        <v>FNCL 6 2025</v>
      </c>
      <c r="D4004" t="str">
        <f>_xll.BDP("FNDE2662 Mtge","CRNCY")</f>
        <v>USD</v>
      </c>
      <c r="E4004">
        <v>1598695</v>
      </c>
      <c r="F4004">
        <f>_xll.BDP("FNDE2662 Mtge","CPN")</f>
        <v>6</v>
      </c>
      <c r="G4004">
        <f>_xll.BDP("FNDE2662 Mtge","MTG_FACTOR")</f>
        <v>0.98656211000000005</v>
      </c>
      <c r="H4004">
        <f>_xll.BDP("FNDE2662 Mtge","MTG_WAL")</f>
        <v>3.3418999999999999</v>
      </c>
      <c r="I4004" t="str">
        <f>_xll.BDP("FNDE2662 Mtge","MTG_ORIG_WAL")</f>
        <v>#N/A N/A</v>
      </c>
    </row>
    <row r="4005" spans="1:9" x14ac:dyDescent="0.25">
      <c r="A4005" t="str">
        <f>_xll.BDP("FNDE2663 Mtge","ID_CUSIP")</f>
        <v>3140BE5Z7</v>
      </c>
      <c r="B4005" t="str">
        <f>_xll.BDP("FNDE2663 Mtge","SECURITY_NAME")</f>
        <v>FN DE2663</v>
      </c>
      <c r="C4005" t="str">
        <f>_xll.BDP("FNDE2663 Mtge","GENERIC_TICKER_VINTAGE")</f>
        <v>FNCL 6 2025</v>
      </c>
      <c r="D4005" t="str">
        <f>_xll.BDP("FNDE2663 Mtge","CRNCY")</f>
        <v>USD</v>
      </c>
      <c r="E4005">
        <v>1322330</v>
      </c>
      <c r="F4005">
        <f>_xll.BDP("FNDE2663 Mtge","CPN")</f>
        <v>6</v>
      </c>
      <c r="G4005">
        <f>_xll.BDP("FNDE2663 Mtge","MTG_FACTOR")</f>
        <v>0.99069443000000001</v>
      </c>
      <c r="H4005">
        <f>_xll.BDP("FNDE2663 Mtge","MTG_WAL")</f>
        <v>3.3456000000000001</v>
      </c>
      <c r="I4005" t="str">
        <f>_xll.BDP("FNDE2663 Mtge","MTG_ORIG_WAL")</f>
        <v>#N/A N/A</v>
      </c>
    </row>
    <row r="4006" spans="1:9" x14ac:dyDescent="0.25">
      <c r="A4006" t="str">
        <f>_xll.BDP("FNDE2665 Mtge","ID_CUSIP")</f>
        <v>3140BE6B9</v>
      </c>
      <c r="B4006" t="str">
        <f>_xll.BDP("FNDE2665 Mtge","SECURITY_NAME")</f>
        <v>FN DE2665</v>
      </c>
      <c r="C4006" t="str">
        <f>_xll.BDP("FNDE2665 Mtge","GENERIC_TICKER_VINTAGE")</f>
        <v>FNCL 6 2025</v>
      </c>
      <c r="D4006" t="str">
        <f>_xll.BDP("FNDE2665 Mtge","CRNCY")</f>
        <v>USD</v>
      </c>
      <c r="E4006">
        <v>7169565</v>
      </c>
      <c r="F4006">
        <f>_xll.BDP("FNDE2665 Mtge","CPN")</f>
        <v>6</v>
      </c>
      <c r="G4006">
        <f>_xll.BDP("FNDE2665 Mtge","MTG_FACTOR")</f>
        <v>0.83526513999999996</v>
      </c>
      <c r="H4006">
        <f>_xll.BDP("FNDE2665 Mtge","MTG_WAL")</f>
        <v>3.3460999999999999</v>
      </c>
      <c r="I4006" t="str">
        <f>_xll.BDP("FNDE2665 Mtge","MTG_ORIG_WAL")</f>
        <v>#N/A N/A</v>
      </c>
    </row>
    <row r="4007" spans="1:9" x14ac:dyDescent="0.25">
      <c r="A4007" t="str">
        <f>_xll.BDP("FNDE2667 Mtge","ID_CUSIP")</f>
        <v>3140BE6D5</v>
      </c>
      <c r="B4007" t="str">
        <f>_xll.BDP("FNDE2667 Mtge","SECURITY_NAME")</f>
        <v>FN DE2667</v>
      </c>
      <c r="C4007" t="str">
        <f>_xll.BDP("FNDE2667 Mtge","GENERIC_TICKER_VINTAGE")</f>
        <v>FNCL 6 2025</v>
      </c>
      <c r="D4007" t="str">
        <f>_xll.BDP("FNDE2667 Mtge","CRNCY")</f>
        <v>USD</v>
      </c>
      <c r="E4007">
        <v>1873173</v>
      </c>
      <c r="F4007">
        <f>_xll.BDP("FNDE2667 Mtge","CPN")</f>
        <v>6</v>
      </c>
      <c r="G4007">
        <f>_xll.BDP("FNDE2667 Mtge","MTG_FACTOR")</f>
        <v>0.97784961999999997</v>
      </c>
      <c r="H4007">
        <f>_xll.BDP("FNDE2667 Mtge","MTG_WAL")</f>
        <v>3.3336999999999999</v>
      </c>
      <c r="I4007" t="str">
        <f>_xll.BDP("FNDE2667 Mtge","MTG_ORIG_WAL")</f>
        <v>#N/A N/A</v>
      </c>
    </row>
    <row r="4008" spans="1:9" x14ac:dyDescent="0.25">
      <c r="A4008" t="str">
        <f>_xll.BDP("FNDE2678 Mtge","ID_CUSIP")</f>
        <v>3140BE6Q6</v>
      </c>
      <c r="B4008" t="str">
        <f>_xll.BDP("FNDE2678 Mtge","SECURITY_NAME")</f>
        <v>FN DE2678</v>
      </c>
      <c r="C4008" t="str">
        <f>_xll.BDP("FNDE2678 Mtge","GENERIC_TICKER_VINTAGE")</f>
        <v>FNCL 6 2025</v>
      </c>
      <c r="D4008" t="str">
        <f>_xll.BDP("FNDE2678 Mtge","CRNCY")</f>
        <v>USD</v>
      </c>
      <c r="E4008">
        <v>7405347</v>
      </c>
      <c r="F4008">
        <f>_xll.BDP("FNDE2678 Mtge","CPN")</f>
        <v>6</v>
      </c>
      <c r="G4008">
        <f>_xll.BDP("FNDE2678 Mtge","MTG_FACTOR")</f>
        <v>0.94775091</v>
      </c>
      <c r="H4008">
        <f>_xll.BDP("FNDE2678 Mtge","MTG_WAL")</f>
        <v>3.3355000000000001</v>
      </c>
      <c r="I4008" t="str">
        <f>_xll.BDP("FNDE2678 Mtge","MTG_ORIG_WAL")</f>
        <v>#N/A N/A</v>
      </c>
    </row>
    <row r="4009" spans="1:9" x14ac:dyDescent="0.25">
      <c r="A4009" t="str">
        <f>_xll.BDP("FNDE2701 Mtge","ID_CUSIP")</f>
        <v>3140BFAB1</v>
      </c>
      <c r="B4009" t="str">
        <f>_xll.BDP("FNDE2701 Mtge","SECURITY_NAME")</f>
        <v>FN DE2701</v>
      </c>
      <c r="C4009" t="str">
        <f>_xll.BDP("FNDE2701 Mtge","GENERIC_TICKER_VINTAGE")</f>
        <v>FNCL 6 2025</v>
      </c>
      <c r="D4009" t="str">
        <f>_xll.BDP("FNDE2701 Mtge","CRNCY")</f>
        <v>USD</v>
      </c>
      <c r="E4009">
        <v>14880908</v>
      </c>
      <c r="F4009">
        <f>_xll.BDP("FNDE2701 Mtge","CPN")</f>
        <v>6</v>
      </c>
      <c r="G4009">
        <f>_xll.BDP("FNDE2701 Mtge","MTG_FACTOR")</f>
        <v>0.90713858999999997</v>
      </c>
      <c r="H4009">
        <f>_xll.BDP("FNDE2701 Mtge","MTG_WAL")</f>
        <v>3.3395999999999999</v>
      </c>
      <c r="I4009" t="str">
        <f>_xll.BDP("FNDE2701 Mtge","MTG_ORIG_WAL")</f>
        <v>#N/A N/A</v>
      </c>
    </row>
    <row r="4010" spans="1:9" x14ac:dyDescent="0.25">
      <c r="A4010" t="str">
        <f>_xll.BDP("FNDE2735 Mtge","ID_CUSIP")</f>
        <v>3140BFBD6</v>
      </c>
      <c r="B4010" t="str">
        <f>_xll.BDP("FNDE2735 Mtge","SECURITY_NAME")</f>
        <v>FN DE2735</v>
      </c>
      <c r="C4010" t="str">
        <f>_xll.BDP("FNDE2735 Mtge","GENERIC_TICKER_VINTAGE")</f>
        <v>FNCL 6 2025</v>
      </c>
      <c r="D4010" t="str">
        <f>_xll.BDP("FNDE2735 Mtge","CRNCY")</f>
        <v>USD</v>
      </c>
      <c r="E4010">
        <v>2088981</v>
      </c>
      <c r="F4010">
        <f>_xll.BDP("FNDE2735 Mtge","CPN")</f>
        <v>6</v>
      </c>
      <c r="G4010">
        <f>_xll.BDP("FNDE2735 Mtge","MTG_FACTOR")</f>
        <v>0.96332454000000001</v>
      </c>
      <c r="H4010">
        <f>_xll.BDP("FNDE2735 Mtge","MTG_WAL")</f>
        <v>3.3858000000000001</v>
      </c>
      <c r="I4010" t="str">
        <f>_xll.BDP("FNDE2735 Mtge","MTG_ORIG_WAL")</f>
        <v>#N/A N/A</v>
      </c>
    </row>
    <row r="4011" spans="1:9" x14ac:dyDescent="0.25">
      <c r="A4011" t="str">
        <f>_xll.BDP("FNDE2828 Mtge","ID_CUSIP")</f>
        <v>3140BFEA9</v>
      </c>
      <c r="B4011" t="str">
        <f>_xll.BDP("FNDE2828 Mtge","SECURITY_NAME")</f>
        <v>FN DE2828</v>
      </c>
      <c r="C4011" t="str">
        <f>_xll.BDP("FNDE2828 Mtge","GENERIC_TICKER_VINTAGE")</f>
        <v>FNCL 6 2025</v>
      </c>
      <c r="D4011" t="str">
        <f>_xll.BDP("FNDE2828 Mtge","CRNCY")</f>
        <v>USD</v>
      </c>
      <c r="E4011">
        <v>8230087</v>
      </c>
      <c r="F4011">
        <f>_xll.BDP("FNDE2828 Mtge","CPN")</f>
        <v>6</v>
      </c>
      <c r="G4011">
        <f>_xll.BDP("FNDE2828 Mtge","MTG_FACTOR")</f>
        <v>0.83282776000000003</v>
      </c>
      <c r="H4011">
        <f>_xll.BDP("FNDE2828 Mtge","MTG_WAL")</f>
        <v>3.3395999999999999</v>
      </c>
      <c r="I4011" t="str">
        <f>_xll.BDP("FNDE2828 Mtge","MTG_ORIG_WAL")</f>
        <v>#N/A N/A</v>
      </c>
    </row>
    <row r="4012" spans="1:9" x14ac:dyDescent="0.25">
      <c r="A4012" t="str">
        <f>_xll.BDP("FNDE2875 Mtge","ID_CUSIP")</f>
        <v>3140BFFR1</v>
      </c>
      <c r="B4012" t="str">
        <f>_xll.BDP("FNDE2875 Mtge","SECURITY_NAME")</f>
        <v>FN DE2875</v>
      </c>
      <c r="C4012" t="str">
        <f>_xll.BDP("FNDE2875 Mtge","GENERIC_TICKER_VINTAGE")</f>
        <v>FNCL 6 2025</v>
      </c>
      <c r="D4012" t="str">
        <f>_xll.BDP("FNDE2875 Mtge","CRNCY")</f>
        <v>USD</v>
      </c>
      <c r="E4012">
        <v>4995475</v>
      </c>
      <c r="F4012">
        <f>_xll.BDP("FNDE2875 Mtge","CPN")</f>
        <v>6</v>
      </c>
      <c r="G4012">
        <f>_xll.BDP("FNDE2875 Mtge","MTG_FACTOR")</f>
        <v>0.93555918999999998</v>
      </c>
      <c r="H4012">
        <f>_xll.BDP("FNDE2875 Mtge","MTG_WAL")</f>
        <v>3.3424999999999998</v>
      </c>
      <c r="I4012" t="str">
        <f>_xll.BDP("FNDE2875 Mtge","MTG_ORIG_WAL")</f>
        <v>#N/A N/A</v>
      </c>
    </row>
    <row r="4013" spans="1:9" x14ac:dyDescent="0.25">
      <c r="A4013" t="str">
        <f>_xll.BDP("FNDE2878 Mtge","ID_CUSIP")</f>
        <v>3140BFFU4</v>
      </c>
      <c r="B4013" t="str">
        <f>_xll.BDP("FNDE2878 Mtge","SECURITY_NAME")</f>
        <v>FN DE2878</v>
      </c>
      <c r="C4013" t="str">
        <f>_xll.BDP("FNDE2878 Mtge","GENERIC_TICKER_VINTAGE")</f>
        <v>FNCL 6 2025</v>
      </c>
      <c r="D4013" t="str">
        <f>_xll.BDP("FNDE2878 Mtge","CRNCY")</f>
        <v>USD</v>
      </c>
      <c r="E4013">
        <v>35421257</v>
      </c>
      <c r="F4013">
        <f>_xll.BDP("FNDE2878 Mtge","CPN")</f>
        <v>6</v>
      </c>
      <c r="G4013">
        <f>_xll.BDP("FNDE2878 Mtge","MTG_FACTOR")</f>
        <v>0.90381676</v>
      </c>
      <c r="H4013">
        <f>_xll.BDP("FNDE2878 Mtge","MTG_WAL")</f>
        <v>3.3399000000000001</v>
      </c>
      <c r="I4013" t="str">
        <f>_xll.BDP("FNDE2878 Mtge","MTG_ORIG_WAL")</f>
        <v>#N/A N/A</v>
      </c>
    </row>
    <row r="4014" spans="1:9" x14ac:dyDescent="0.25">
      <c r="A4014" t="str">
        <f>_xll.BDP("FNDE2886 Mtge","ID_CUSIP")</f>
        <v>3140BFF42</v>
      </c>
      <c r="B4014" t="str">
        <f>_xll.BDP("FNDE2886 Mtge","SECURITY_NAME")</f>
        <v>FN DE2886</v>
      </c>
      <c r="C4014" t="str">
        <f>_xll.BDP("FNDE2886 Mtge","GENERIC_TICKER_VINTAGE")</f>
        <v>FNCL 6 2025</v>
      </c>
      <c r="D4014" t="str">
        <f>_xll.BDP("FNDE2886 Mtge","CRNCY")</f>
        <v>USD</v>
      </c>
      <c r="E4014">
        <v>3649979</v>
      </c>
      <c r="F4014">
        <f>_xll.BDP("FNDE2886 Mtge","CPN")</f>
        <v>6</v>
      </c>
      <c r="G4014">
        <f>_xll.BDP("FNDE2886 Mtge","MTG_FACTOR")</f>
        <v>0.89074741000000002</v>
      </c>
      <c r="H4014">
        <f>_xll.BDP("FNDE2886 Mtge","MTG_WAL")</f>
        <v>3.3412999999999999</v>
      </c>
      <c r="I4014" t="str">
        <f>_xll.BDP("FNDE2886 Mtge","MTG_ORIG_WAL")</f>
        <v>#N/A N/A</v>
      </c>
    </row>
    <row r="4015" spans="1:9" x14ac:dyDescent="0.25">
      <c r="A4015" t="str">
        <f>_xll.BDP("FNDE2940 Mtge","ID_CUSIP")</f>
        <v>3140BFHS7</v>
      </c>
      <c r="B4015" t="str">
        <f>_xll.BDP("FNDE2940 Mtge","SECURITY_NAME")</f>
        <v>FN DE2940</v>
      </c>
      <c r="C4015" t="str">
        <f>_xll.BDP("FNDE2940 Mtge","GENERIC_TICKER_VINTAGE")</f>
        <v>FNCL 6 2025</v>
      </c>
      <c r="D4015" t="str">
        <f>_xll.BDP("FNDE2940 Mtge","CRNCY")</f>
        <v>USD</v>
      </c>
      <c r="E4015">
        <v>10186190</v>
      </c>
      <c r="F4015">
        <f>_xll.BDP("FNDE2940 Mtge","CPN")</f>
        <v>6</v>
      </c>
      <c r="G4015">
        <f>_xll.BDP("FNDE2940 Mtge","MTG_FACTOR")</f>
        <v>0.96627905999999997</v>
      </c>
      <c r="H4015">
        <f>_xll.BDP("FNDE2940 Mtge","MTG_WAL")</f>
        <v>3.3420999999999998</v>
      </c>
      <c r="I4015" t="str">
        <f>_xll.BDP("FNDE2940 Mtge","MTG_ORIG_WAL")</f>
        <v>#N/A N/A</v>
      </c>
    </row>
    <row r="4016" spans="1:9" x14ac:dyDescent="0.25">
      <c r="A4016" t="str">
        <f>_xll.BDP("FNDE2961 Mtge","ID_CUSIP")</f>
        <v>3140BFJF3</v>
      </c>
      <c r="B4016" t="str">
        <f>_xll.BDP("FNDE2961 Mtge","SECURITY_NAME")</f>
        <v>FN DE2961</v>
      </c>
      <c r="C4016" t="str">
        <f>_xll.BDP("FNDE2961 Mtge","GENERIC_TICKER_VINTAGE")</f>
        <v>FNCL 6 2025</v>
      </c>
      <c r="D4016" t="str">
        <f>_xll.BDP("FNDE2961 Mtge","CRNCY")</f>
        <v>USD</v>
      </c>
      <c r="E4016">
        <v>4391490</v>
      </c>
      <c r="F4016">
        <f>_xll.BDP("FNDE2961 Mtge","CPN")</f>
        <v>6</v>
      </c>
      <c r="G4016">
        <f>_xll.BDP("FNDE2961 Mtge","MTG_FACTOR")</f>
        <v>0.99152779000000002</v>
      </c>
      <c r="H4016">
        <f>_xll.BDP("FNDE2961 Mtge","MTG_WAL")</f>
        <v>3.3950999999999998</v>
      </c>
      <c r="I4016" t="str">
        <f>_xll.BDP("FNDE2961 Mtge","MTG_ORIG_WAL")</f>
        <v>#N/A N/A</v>
      </c>
    </row>
    <row r="4017" spans="1:9" x14ac:dyDescent="0.25">
      <c r="A4017" t="str">
        <f>_xll.BDP("FNDE2992 Mtge","ID_CUSIP")</f>
        <v>3140BFKE4</v>
      </c>
      <c r="B4017" t="str">
        <f>_xll.BDP("FNDE2992 Mtge","SECURITY_NAME")</f>
        <v>FN DE2992</v>
      </c>
      <c r="C4017" t="str">
        <f>_xll.BDP("FNDE2992 Mtge","GENERIC_TICKER_VINTAGE")</f>
        <v>FNCL 6 2025</v>
      </c>
      <c r="D4017" t="str">
        <f>_xll.BDP("FNDE2992 Mtge","CRNCY")</f>
        <v>USD</v>
      </c>
      <c r="E4017">
        <v>2110199</v>
      </c>
      <c r="F4017">
        <f>_xll.BDP("FNDE2992 Mtge","CPN")</f>
        <v>6</v>
      </c>
      <c r="G4017">
        <f>_xll.BDP("FNDE2992 Mtge","MTG_FACTOR")</f>
        <v>0.99166958999999999</v>
      </c>
      <c r="H4017">
        <f>_xll.BDP("FNDE2992 Mtge","MTG_WAL")</f>
        <v>3.3448000000000002</v>
      </c>
      <c r="I4017" t="str">
        <f>_xll.BDP("FNDE2992 Mtge","MTG_ORIG_WAL")</f>
        <v>#N/A N/A</v>
      </c>
    </row>
    <row r="4018" spans="1:9" x14ac:dyDescent="0.25">
      <c r="A4018" t="str">
        <f>_xll.BDP("FNDE3000 Mtge","ID_CUSIP")</f>
        <v>3140BFKN4</v>
      </c>
      <c r="B4018" t="str">
        <f>_xll.BDP("FNDE3000 Mtge","SECURITY_NAME")</f>
        <v>FN DE3000</v>
      </c>
      <c r="C4018" t="str">
        <f>_xll.BDP("FNDE3000 Mtge","GENERIC_TICKER_VINTAGE")</f>
        <v>FNCL 6 2025</v>
      </c>
      <c r="D4018" t="str">
        <f>_xll.BDP("FNDE3000 Mtge","CRNCY")</f>
        <v>USD</v>
      </c>
      <c r="E4018">
        <v>1242543</v>
      </c>
      <c r="F4018">
        <f>_xll.BDP("FNDE3000 Mtge","CPN")</f>
        <v>6</v>
      </c>
      <c r="G4018">
        <f>_xll.BDP("FNDE3000 Mtge","MTG_FACTOR")</f>
        <v>0.90299395000000005</v>
      </c>
      <c r="H4018">
        <f>_xll.BDP("FNDE3000 Mtge","MTG_WAL")</f>
        <v>3.2909999999999999</v>
      </c>
      <c r="I4018" t="str">
        <f>_xll.BDP("FNDE3000 Mtge","MTG_ORIG_WAL")</f>
        <v>#N/A N/A</v>
      </c>
    </row>
    <row r="4019" spans="1:9" x14ac:dyDescent="0.25">
      <c r="A4019" t="str">
        <f>_xll.BDP("FNDE3008 Mtge","ID_CUSIP")</f>
        <v>3140BFKW4</v>
      </c>
      <c r="B4019" t="str">
        <f>_xll.BDP("FNDE3008 Mtge","SECURITY_NAME")</f>
        <v>FN DE3008</v>
      </c>
      <c r="C4019" t="str">
        <f>_xll.BDP("FNDE3008 Mtge","GENERIC_TICKER_VINTAGE")</f>
        <v>FNCL 6 2025</v>
      </c>
      <c r="D4019" t="str">
        <f>_xll.BDP("FNDE3008 Mtge","CRNCY")</f>
        <v>USD</v>
      </c>
      <c r="E4019">
        <v>1117732</v>
      </c>
      <c r="F4019">
        <f>_xll.BDP("FNDE3008 Mtge","CPN")</f>
        <v>6</v>
      </c>
      <c r="G4019">
        <f>_xll.BDP("FNDE3008 Mtge","MTG_FACTOR")</f>
        <v>0.99015841000000004</v>
      </c>
      <c r="H4019">
        <f>_xll.BDP("FNDE3008 Mtge","MTG_WAL")</f>
        <v>3.2953000000000001</v>
      </c>
      <c r="I4019" t="str">
        <f>_xll.BDP("FNDE3008 Mtge","MTG_ORIG_WAL")</f>
        <v>#N/A N/A</v>
      </c>
    </row>
    <row r="4020" spans="1:9" x14ac:dyDescent="0.25">
      <c r="A4020" t="str">
        <f>_xll.BDP("FNDE3013 Mtge","ID_CUSIP")</f>
        <v>3140BFK38</v>
      </c>
      <c r="B4020" t="str">
        <f>_xll.BDP("FNDE3013 Mtge","SECURITY_NAME")</f>
        <v>FN DE3013</v>
      </c>
      <c r="C4020" t="str">
        <f>_xll.BDP("FNDE3013 Mtge","GENERIC_TICKER_VINTAGE")</f>
        <v>FNCL 6 2025</v>
      </c>
      <c r="D4020" t="str">
        <f>_xll.BDP("FNDE3013 Mtge","CRNCY")</f>
        <v>USD</v>
      </c>
      <c r="E4020">
        <v>4352620</v>
      </c>
      <c r="F4020">
        <f>_xll.BDP("FNDE3013 Mtge","CPN")</f>
        <v>6</v>
      </c>
      <c r="G4020">
        <f>_xll.BDP("FNDE3013 Mtge","MTG_FACTOR")</f>
        <v>0.96647039000000001</v>
      </c>
      <c r="H4020">
        <f>_xll.BDP("FNDE3013 Mtge","MTG_WAL")</f>
        <v>3.3315000000000001</v>
      </c>
      <c r="I4020" t="str">
        <f>_xll.BDP("FNDE3013 Mtge","MTG_ORIG_WAL")</f>
        <v>#N/A N/A</v>
      </c>
    </row>
    <row r="4021" spans="1:9" x14ac:dyDescent="0.25">
      <c r="A4021" t="str">
        <f>_xll.BDP("FNDE3040 Mtge","ID_CUSIP")</f>
        <v>3140BFLW3</v>
      </c>
      <c r="B4021" t="str">
        <f>_xll.BDP("FNDE3040 Mtge","SECURITY_NAME")</f>
        <v>FN DE3040</v>
      </c>
      <c r="C4021" t="str">
        <f>_xll.BDP("FNDE3040 Mtge","GENERIC_TICKER_VINTAGE")</f>
        <v>FNCL 6 2025</v>
      </c>
      <c r="D4021" t="str">
        <f>_xll.BDP("FNDE3040 Mtge","CRNCY")</f>
        <v>USD</v>
      </c>
      <c r="E4021">
        <v>5518420</v>
      </c>
      <c r="F4021">
        <f>_xll.BDP("FNDE3040 Mtge","CPN")</f>
        <v>6</v>
      </c>
      <c r="G4021">
        <f>_xll.BDP("FNDE3040 Mtge","MTG_FACTOR")</f>
        <v>0.87757481999999998</v>
      </c>
      <c r="H4021">
        <f>_xll.BDP("FNDE3040 Mtge","MTG_WAL")</f>
        <v>3.2881999999999998</v>
      </c>
      <c r="I4021" t="str">
        <f>_xll.BDP("FNDE3040 Mtge","MTG_ORIG_WAL")</f>
        <v>#N/A N/A</v>
      </c>
    </row>
    <row r="4022" spans="1:9" x14ac:dyDescent="0.25">
      <c r="A4022" t="str">
        <f>_xll.BDP("FNDE3043 Mtge","ID_CUSIP")</f>
        <v>3140BFLZ6</v>
      </c>
      <c r="B4022" t="str">
        <f>_xll.BDP("FNDE3043 Mtge","SECURITY_NAME")</f>
        <v>FN DE3043</v>
      </c>
      <c r="C4022" t="str">
        <f>_xll.BDP("FNDE3043 Mtge","GENERIC_TICKER_VINTAGE")</f>
        <v>FNCL 6 2025</v>
      </c>
      <c r="D4022" t="str">
        <f>_xll.BDP("FNDE3043 Mtge","CRNCY")</f>
        <v>USD</v>
      </c>
      <c r="E4022">
        <v>5451358</v>
      </c>
      <c r="F4022">
        <f>_xll.BDP("FNDE3043 Mtge","CPN")</f>
        <v>6</v>
      </c>
      <c r="G4022">
        <f>_xll.BDP("FNDE3043 Mtge","MTG_FACTOR")</f>
        <v>0.86216037999999995</v>
      </c>
      <c r="H4022">
        <f>_xll.BDP("FNDE3043 Mtge","MTG_WAL")</f>
        <v>3.2902999999999998</v>
      </c>
      <c r="I4022" t="str">
        <f>_xll.BDP("FNDE3043 Mtge","MTG_ORIG_WAL")</f>
        <v>#N/A N/A</v>
      </c>
    </row>
    <row r="4023" spans="1:9" x14ac:dyDescent="0.25">
      <c r="A4023" t="str">
        <f>_xll.BDP("FNDE3044 Mtge","ID_CUSIP")</f>
        <v>3140BFL29</v>
      </c>
      <c r="B4023" t="str">
        <f>_xll.BDP("FNDE3044 Mtge","SECURITY_NAME")</f>
        <v>FN DE3044</v>
      </c>
      <c r="C4023" t="str">
        <f>_xll.BDP("FNDE3044 Mtge","GENERIC_TICKER_VINTAGE")</f>
        <v>FNCL 6 2025</v>
      </c>
      <c r="D4023" t="str">
        <f>_xll.BDP("FNDE3044 Mtge","CRNCY")</f>
        <v>USD</v>
      </c>
      <c r="E4023">
        <v>4516725</v>
      </c>
      <c r="F4023">
        <f>_xll.BDP("FNDE3044 Mtge","CPN")</f>
        <v>6</v>
      </c>
      <c r="G4023">
        <f>_xll.BDP("FNDE3044 Mtge","MTG_FACTOR")</f>
        <v>0.98852430000000002</v>
      </c>
      <c r="H4023">
        <f>_xll.BDP("FNDE3044 Mtge","MTG_WAL")</f>
        <v>3.3384999999999998</v>
      </c>
      <c r="I4023" t="str">
        <f>_xll.BDP("FNDE3044 Mtge","MTG_ORIG_WAL")</f>
        <v>#N/A N/A</v>
      </c>
    </row>
    <row r="4024" spans="1:9" x14ac:dyDescent="0.25">
      <c r="A4024" t="str">
        <f>_xll.BDP("FNDE3057 Mtge","ID_CUSIP")</f>
        <v>3140BFMF9</v>
      </c>
      <c r="B4024" t="str">
        <f>_xll.BDP("FNDE3057 Mtge","SECURITY_NAME")</f>
        <v>FN DE3057</v>
      </c>
      <c r="C4024" t="str">
        <f>_xll.BDP("FNDE3057 Mtge","GENERIC_TICKER_VINTAGE")</f>
        <v>FNCL 6 2025</v>
      </c>
      <c r="D4024" t="str">
        <f>_xll.BDP("FNDE3057 Mtge","CRNCY")</f>
        <v>USD</v>
      </c>
      <c r="E4024">
        <v>6120892</v>
      </c>
      <c r="F4024">
        <f>_xll.BDP("FNDE3057 Mtge","CPN")</f>
        <v>6</v>
      </c>
      <c r="G4024">
        <f>_xll.BDP("FNDE3057 Mtge","MTG_FACTOR")</f>
        <v>0.98384329999999998</v>
      </c>
      <c r="H4024">
        <f>_xll.BDP("FNDE3057 Mtge","MTG_WAL")</f>
        <v>3.3348</v>
      </c>
      <c r="I4024" t="str">
        <f>_xll.BDP("FNDE3057 Mtge","MTG_ORIG_WAL")</f>
        <v>#N/A N/A</v>
      </c>
    </row>
    <row r="4025" spans="1:9" x14ac:dyDescent="0.25">
      <c r="A4025" t="str">
        <f>_xll.BDP("FNDE3081 Mtge","ID_CUSIP")</f>
        <v>3140BFM77</v>
      </c>
      <c r="B4025" t="str">
        <f>_xll.BDP("FNDE3081 Mtge","SECURITY_NAME")</f>
        <v>FN DE3081</v>
      </c>
      <c r="C4025" t="str">
        <f>_xll.BDP("FNDE3081 Mtge","GENERIC_TICKER_VINTAGE")</f>
        <v>FNCL 6 2025</v>
      </c>
      <c r="D4025" t="str">
        <f>_xll.BDP("FNDE3081 Mtge","CRNCY")</f>
        <v>USD</v>
      </c>
      <c r="E4025">
        <v>1633396</v>
      </c>
      <c r="F4025">
        <f>_xll.BDP("FNDE3081 Mtge","CPN")</f>
        <v>6</v>
      </c>
      <c r="G4025">
        <f>_xll.BDP("FNDE3081 Mtge","MTG_FACTOR")</f>
        <v>0.99246909999999999</v>
      </c>
      <c r="H4025">
        <f>_xll.BDP("FNDE3081 Mtge","MTG_WAL")</f>
        <v>3.3462999999999998</v>
      </c>
      <c r="I4025" t="str">
        <f>_xll.BDP("FNDE3081 Mtge","MTG_ORIG_WAL")</f>
        <v>#N/A N/A</v>
      </c>
    </row>
    <row r="4026" spans="1:9" x14ac:dyDescent="0.25">
      <c r="A4026" t="str">
        <f>_xll.BDP("FNDE3098 Mtge","ID_CUSIP")</f>
        <v>3140BFNQ4</v>
      </c>
      <c r="B4026" t="str">
        <f>_xll.BDP("FNDE3098 Mtge","SECURITY_NAME")</f>
        <v>FN DE3098</v>
      </c>
      <c r="C4026" t="str">
        <f>_xll.BDP("FNDE3098 Mtge","GENERIC_TICKER_VINTAGE")</f>
        <v>FNCL 6 2025</v>
      </c>
      <c r="D4026" t="str">
        <f>_xll.BDP("FNDE3098 Mtge","CRNCY")</f>
        <v>USD</v>
      </c>
      <c r="E4026">
        <v>6535149</v>
      </c>
      <c r="F4026">
        <f>_xll.BDP("FNDE3098 Mtge","CPN")</f>
        <v>6</v>
      </c>
      <c r="G4026">
        <f>_xll.BDP("FNDE3098 Mtge","MTG_FACTOR")</f>
        <v>0.97707261999999995</v>
      </c>
      <c r="H4026">
        <f>_xll.BDP("FNDE3098 Mtge","MTG_WAL")</f>
        <v>3.3447</v>
      </c>
      <c r="I4026" t="str">
        <f>_xll.BDP("FNDE3098 Mtge","MTG_ORIG_WAL")</f>
        <v>#N/A N/A</v>
      </c>
    </row>
    <row r="4027" spans="1:9" x14ac:dyDescent="0.25">
      <c r="A4027" t="str">
        <f>_xll.BDP("FNDE3099 Mtge","ID_CUSIP")</f>
        <v>3140BFNR2</v>
      </c>
      <c r="B4027" t="str">
        <f>_xll.BDP("FNDE3099 Mtge","SECURITY_NAME")</f>
        <v>FN DE3099</v>
      </c>
      <c r="C4027" t="str">
        <f>_xll.BDP("FNDE3099 Mtge","GENERIC_TICKER_VINTAGE")</f>
        <v>FNCL 6 2025</v>
      </c>
      <c r="D4027" t="str">
        <f>_xll.BDP("FNDE3099 Mtge","CRNCY")</f>
        <v>USD</v>
      </c>
      <c r="E4027">
        <v>10384151</v>
      </c>
      <c r="F4027">
        <f>_xll.BDP("FNDE3099 Mtge","CPN")</f>
        <v>6</v>
      </c>
      <c r="G4027">
        <f>_xll.BDP("FNDE3099 Mtge","MTG_FACTOR")</f>
        <v>0.89535076999999996</v>
      </c>
      <c r="H4027">
        <f>_xll.BDP("FNDE3099 Mtge","MTG_WAL")</f>
        <v>3.3932000000000002</v>
      </c>
      <c r="I4027" t="str">
        <f>_xll.BDP("FNDE3099 Mtge","MTG_ORIG_WAL")</f>
        <v>#N/A N/A</v>
      </c>
    </row>
    <row r="4028" spans="1:9" x14ac:dyDescent="0.25">
      <c r="A4028" t="str">
        <f>_xll.BDP("FNDE3203 Mtge","ID_CUSIP")</f>
        <v>3140BFRZ0</v>
      </c>
      <c r="B4028" t="str">
        <f>_xll.BDP("FNDE3203 Mtge","SECURITY_NAME")</f>
        <v>FN DE3203</v>
      </c>
      <c r="C4028" t="str">
        <f>_xll.BDP("FNDE3203 Mtge","GENERIC_TICKER_VINTAGE")</f>
        <v>FNCL 6 2025</v>
      </c>
      <c r="D4028" t="str">
        <f>_xll.BDP("FNDE3203 Mtge","CRNCY")</f>
        <v>USD</v>
      </c>
      <c r="E4028">
        <v>2124630</v>
      </c>
      <c r="F4028">
        <f>_xll.BDP("FNDE3203 Mtge","CPN")</f>
        <v>6</v>
      </c>
      <c r="G4028">
        <f>_xll.BDP("FNDE3203 Mtge","MTG_FACTOR")</f>
        <v>0.99247657</v>
      </c>
      <c r="H4028">
        <f>_xll.BDP("FNDE3203 Mtge","MTG_WAL")</f>
        <v>3.3976999999999999</v>
      </c>
      <c r="I4028" t="str">
        <f>_xll.BDP("FNDE3203 Mtge","MTG_ORIG_WAL")</f>
        <v>#N/A N/A</v>
      </c>
    </row>
    <row r="4029" spans="1:9" x14ac:dyDescent="0.25">
      <c r="A4029" t="str">
        <f>_xll.BDP("FNDE3251 Mtge","ID_CUSIP")</f>
        <v>3140BFTH8</v>
      </c>
      <c r="B4029" t="str">
        <f>_xll.BDP("FNDE3251 Mtge","SECURITY_NAME")</f>
        <v>FN DE3251</v>
      </c>
      <c r="C4029" t="str">
        <f>_xll.BDP("FNDE3251 Mtge","GENERIC_TICKER_VINTAGE")</f>
        <v>FNCL 6 2025</v>
      </c>
      <c r="D4029" t="str">
        <f>_xll.BDP("FNDE3251 Mtge","CRNCY")</f>
        <v>USD</v>
      </c>
      <c r="E4029">
        <v>3419461</v>
      </c>
      <c r="F4029">
        <f>_xll.BDP("FNDE3251 Mtge","CPN")</f>
        <v>6</v>
      </c>
      <c r="G4029">
        <f>_xll.BDP("FNDE3251 Mtge","MTG_FACTOR")</f>
        <v>0.88076120999999996</v>
      </c>
      <c r="H4029">
        <f>_xll.BDP("FNDE3251 Mtge","MTG_WAL")</f>
        <v>3.3862000000000001</v>
      </c>
      <c r="I4029" t="str">
        <f>_xll.BDP("FNDE3251 Mtge","MTG_ORIG_WAL")</f>
        <v>#N/A N/A</v>
      </c>
    </row>
    <row r="4030" spans="1:9" x14ac:dyDescent="0.25">
      <c r="A4030" t="str">
        <f>_xll.BDP("FNDE3255 Mtge","ID_CUSIP")</f>
        <v>3140BFTM7</v>
      </c>
      <c r="B4030" t="str">
        <f>_xll.BDP("FNDE3255 Mtge","SECURITY_NAME")</f>
        <v>FN DE3255</v>
      </c>
      <c r="C4030" t="str">
        <f>_xll.BDP("FNDE3255 Mtge","GENERIC_TICKER_VINTAGE")</f>
        <v>FNCL 6 2025</v>
      </c>
      <c r="D4030" t="str">
        <f>_xll.BDP("FNDE3255 Mtge","CRNCY")</f>
        <v>USD</v>
      </c>
      <c r="E4030">
        <v>4367946</v>
      </c>
      <c r="F4030">
        <f>_xll.BDP("FNDE3255 Mtge","CPN")</f>
        <v>6</v>
      </c>
      <c r="G4030">
        <f>_xll.BDP("FNDE3255 Mtge","MTG_FACTOR")</f>
        <v>0.84826098999999999</v>
      </c>
      <c r="H4030">
        <f>_xll.BDP("FNDE3255 Mtge","MTG_WAL")</f>
        <v>3.3950999999999998</v>
      </c>
      <c r="I4030" t="str">
        <f>_xll.BDP("FNDE3255 Mtge","MTG_ORIG_WAL")</f>
        <v>#N/A N/A</v>
      </c>
    </row>
    <row r="4031" spans="1:9" x14ac:dyDescent="0.25">
      <c r="A4031" t="str">
        <f>_xll.BDP("FNDE3265 Mtge","ID_CUSIP")</f>
        <v>3140BFTX3</v>
      </c>
      <c r="B4031" t="str">
        <f>_xll.BDP("FNDE3265 Mtge","SECURITY_NAME")</f>
        <v>FN DE3265</v>
      </c>
      <c r="C4031" t="str">
        <f>_xll.BDP("FNDE3265 Mtge","GENERIC_TICKER_VINTAGE")</f>
        <v>FNCL 6 2025</v>
      </c>
      <c r="D4031" t="str">
        <f>_xll.BDP("FNDE3265 Mtge","CRNCY")</f>
        <v>USD</v>
      </c>
      <c r="E4031">
        <v>2099150</v>
      </c>
      <c r="F4031">
        <f>_xll.BDP("FNDE3265 Mtge","CPN")</f>
        <v>6</v>
      </c>
      <c r="G4031">
        <f>_xll.BDP("FNDE3265 Mtge","MTG_FACTOR")</f>
        <v>0.99180992999999995</v>
      </c>
      <c r="H4031">
        <f>_xll.BDP("FNDE3265 Mtge","MTG_WAL")</f>
        <v>3.3393000000000002</v>
      </c>
      <c r="I4031" t="str">
        <f>_xll.BDP("FNDE3265 Mtge","MTG_ORIG_WAL")</f>
        <v>#N/A N/A</v>
      </c>
    </row>
    <row r="4032" spans="1:9" x14ac:dyDescent="0.25">
      <c r="A4032" t="str">
        <f>_xll.BDP("FNDE3286 Mtge","ID_CUSIP")</f>
        <v>3140BFUL7</v>
      </c>
      <c r="B4032" t="str">
        <f>_xll.BDP("FNDE3286 Mtge","SECURITY_NAME")</f>
        <v>FN DE3286</v>
      </c>
      <c r="C4032" t="str">
        <f>_xll.BDP("FNDE3286 Mtge","GENERIC_TICKER_VINTAGE")</f>
        <v>FNCL 6 2025</v>
      </c>
      <c r="D4032" t="str">
        <f>_xll.BDP("FNDE3286 Mtge","CRNCY")</f>
        <v>USD</v>
      </c>
      <c r="E4032">
        <v>6322657</v>
      </c>
      <c r="F4032">
        <f>_xll.BDP("FNDE3286 Mtge","CPN")</f>
        <v>6</v>
      </c>
      <c r="G4032">
        <f>_xll.BDP("FNDE3286 Mtge","MTG_FACTOR")</f>
        <v>0.7998248</v>
      </c>
      <c r="H4032">
        <f>_xll.BDP("FNDE3286 Mtge","MTG_WAL")</f>
        <v>3.3456000000000001</v>
      </c>
      <c r="I4032" t="str">
        <f>_xll.BDP("FNDE3286 Mtge","MTG_ORIG_WAL")</f>
        <v>#N/A N/A</v>
      </c>
    </row>
    <row r="4033" spans="1:9" x14ac:dyDescent="0.25">
      <c r="A4033" t="str">
        <f>_xll.BDP("FNDE3329 Mtge","ID_CUSIP")</f>
        <v>3140BFVX0</v>
      </c>
      <c r="B4033" t="str">
        <f>_xll.BDP("FNDE3329 Mtge","SECURITY_NAME")</f>
        <v>FN DE3329</v>
      </c>
      <c r="C4033" t="str">
        <f>_xll.BDP("FNDE3329 Mtge","GENERIC_TICKER_VINTAGE")</f>
        <v>FNCL 6 2025</v>
      </c>
      <c r="D4033" t="str">
        <f>_xll.BDP("FNDE3329 Mtge","CRNCY")</f>
        <v>USD</v>
      </c>
      <c r="E4033">
        <v>4725177</v>
      </c>
      <c r="F4033">
        <f>_xll.BDP("FNDE3329 Mtge","CPN")</f>
        <v>6</v>
      </c>
      <c r="G4033">
        <f>_xll.BDP("FNDE3329 Mtge","MTG_FACTOR")</f>
        <v>0.88941612999999997</v>
      </c>
      <c r="H4033">
        <f>_xll.BDP("FNDE3329 Mtge","MTG_WAL")</f>
        <v>3.383</v>
      </c>
      <c r="I4033" t="str">
        <f>_xll.BDP("FNDE3329 Mtge","MTG_ORIG_WAL")</f>
        <v>#N/A N/A</v>
      </c>
    </row>
    <row r="4034" spans="1:9" x14ac:dyDescent="0.25">
      <c r="A4034" t="str">
        <f>_xll.BDP("FNDE3337 Mtge","ID_CUSIP")</f>
        <v>3140BFV77</v>
      </c>
      <c r="B4034" t="str">
        <f>_xll.BDP("FNDE3337 Mtge","SECURITY_NAME")</f>
        <v>FN DE3337</v>
      </c>
      <c r="C4034" t="str">
        <f>_xll.BDP("FNDE3337 Mtge","GENERIC_TICKER_VINTAGE")</f>
        <v>FNCL 6 2025</v>
      </c>
      <c r="D4034" t="str">
        <f>_xll.BDP("FNDE3337 Mtge","CRNCY")</f>
        <v>USD</v>
      </c>
      <c r="E4034">
        <v>3778492</v>
      </c>
      <c r="F4034">
        <f>_xll.BDP("FNDE3337 Mtge","CPN")</f>
        <v>6</v>
      </c>
      <c r="G4034">
        <f>_xll.BDP("FNDE3337 Mtge","MTG_FACTOR")</f>
        <v>0.99329683000000002</v>
      </c>
      <c r="H4034">
        <f>_xll.BDP("FNDE3337 Mtge","MTG_WAL")</f>
        <v>3.3995000000000002</v>
      </c>
      <c r="I4034" t="str">
        <f>_xll.BDP("FNDE3337 Mtge","MTG_ORIG_WAL")</f>
        <v>#N/A N/A</v>
      </c>
    </row>
    <row r="4035" spans="1:9" x14ac:dyDescent="0.25">
      <c r="A4035" t="str">
        <f>_xll.BDP("FNDE3358 Mtge","ID_CUSIP")</f>
        <v>3140BFWU5</v>
      </c>
      <c r="B4035" t="str">
        <f>_xll.BDP("FNDE3358 Mtge","SECURITY_NAME")</f>
        <v>FN DE3358</v>
      </c>
      <c r="C4035" t="str">
        <f>_xll.BDP("FNDE3358 Mtge","GENERIC_TICKER_VINTAGE")</f>
        <v>FNCL 6 2025</v>
      </c>
      <c r="D4035" t="str">
        <f>_xll.BDP("FNDE3358 Mtge","CRNCY")</f>
        <v>USD</v>
      </c>
      <c r="E4035">
        <v>1114602</v>
      </c>
      <c r="F4035">
        <f>_xll.BDP("FNDE3358 Mtge","CPN")</f>
        <v>6</v>
      </c>
      <c r="G4035">
        <f>_xll.BDP("FNDE3358 Mtge","MTG_FACTOR")</f>
        <v>0.79319141999999998</v>
      </c>
      <c r="H4035">
        <f>_xll.BDP("FNDE3358 Mtge","MTG_WAL")</f>
        <v>3.2399</v>
      </c>
      <c r="I4035" t="str">
        <f>_xll.BDP("FNDE3358 Mtge","MTG_ORIG_WAL")</f>
        <v>#N/A N/A</v>
      </c>
    </row>
    <row r="4036" spans="1:9" x14ac:dyDescent="0.25">
      <c r="A4036" t="str">
        <f>_xll.BDP("FNDE3408 Mtge","ID_CUSIP")</f>
        <v>3140BFYE9</v>
      </c>
      <c r="B4036" t="str">
        <f>_xll.BDP("FNDE3408 Mtge","SECURITY_NAME")</f>
        <v>FN DE3408</v>
      </c>
      <c r="C4036" t="str">
        <f>_xll.BDP("FNDE3408 Mtge","GENERIC_TICKER_VINTAGE")</f>
        <v>FNCL 6 2025</v>
      </c>
      <c r="D4036" t="str">
        <f>_xll.BDP("FNDE3408 Mtge","CRNCY")</f>
        <v>USD</v>
      </c>
      <c r="E4036">
        <v>1019836</v>
      </c>
      <c r="F4036">
        <f>_xll.BDP("FNDE3408 Mtge","CPN")</f>
        <v>6</v>
      </c>
      <c r="G4036">
        <f>_xll.BDP("FNDE3408 Mtge","MTG_FACTOR")</f>
        <v>0.99231276999999996</v>
      </c>
      <c r="H4036">
        <f>_xll.BDP("FNDE3408 Mtge","MTG_WAL")</f>
        <v>3.3439999999999999</v>
      </c>
      <c r="I4036" t="str">
        <f>_xll.BDP("FNDE3408 Mtge","MTG_ORIG_WAL")</f>
        <v>#N/A N/A</v>
      </c>
    </row>
    <row r="4037" spans="1:9" x14ac:dyDescent="0.25">
      <c r="A4037" t="str">
        <f>_xll.BDP("FNDE3464 Mtge","ID_CUSIP")</f>
        <v>3140BFZ65</v>
      </c>
      <c r="B4037" t="str">
        <f>_xll.BDP("FNDE3464 Mtge","SECURITY_NAME")</f>
        <v>FN DE3464</v>
      </c>
      <c r="C4037" t="str">
        <f>_xll.BDP("FNDE3464 Mtge","GENERIC_TICKER_VINTAGE")</f>
        <v>FNCL 6 2025</v>
      </c>
      <c r="D4037" t="str">
        <f>_xll.BDP("FNDE3464 Mtge","CRNCY")</f>
        <v>USD</v>
      </c>
      <c r="E4037">
        <v>29094120</v>
      </c>
      <c r="F4037">
        <f>_xll.BDP("FNDE3464 Mtge","CPN")</f>
        <v>6</v>
      </c>
      <c r="G4037">
        <f>_xll.BDP("FNDE3464 Mtge","MTG_FACTOR")</f>
        <v>0.91784617999999996</v>
      </c>
      <c r="H4037">
        <f>_xll.BDP("FNDE3464 Mtge","MTG_WAL")</f>
        <v>3.3940000000000001</v>
      </c>
      <c r="I4037" t="str">
        <f>_xll.BDP("FNDE3464 Mtge","MTG_ORIG_WAL")</f>
        <v>#N/A N/A</v>
      </c>
    </row>
    <row r="4038" spans="1:9" x14ac:dyDescent="0.25">
      <c r="A4038" t="str">
        <f>_xll.BDP("FNDE3469 Mtge","ID_CUSIP")</f>
        <v>3140BF2B0</v>
      </c>
      <c r="B4038" t="str">
        <f>_xll.BDP("FNDE3469 Mtge","SECURITY_NAME")</f>
        <v>FN DE3469</v>
      </c>
      <c r="C4038" t="str">
        <f>_xll.BDP("FNDE3469 Mtge","GENERIC_TICKER_VINTAGE")</f>
        <v>FNCL 6 2025</v>
      </c>
      <c r="D4038" t="str">
        <f>_xll.BDP("FNDE3469 Mtge","CRNCY")</f>
        <v>USD</v>
      </c>
      <c r="E4038">
        <v>10784635</v>
      </c>
      <c r="F4038">
        <f>_xll.BDP("FNDE3469 Mtge","CPN")</f>
        <v>6</v>
      </c>
      <c r="G4038">
        <f>_xll.BDP("FNDE3469 Mtge","MTG_FACTOR")</f>
        <v>0.89401138000000002</v>
      </c>
      <c r="H4038">
        <f>_xll.BDP("FNDE3469 Mtge","MTG_WAL")</f>
        <v>3.3917999999999999</v>
      </c>
      <c r="I4038" t="str">
        <f>_xll.BDP("FNDE3469 Mtge","MTG_ORIG_WAL")</f>
        <v>#N/A N/A</v>
      </c>
    </row>
    <row r="4039" spans="1:9" x14ac:dyDescent="0.25">
      <c r="A4039" t="str">
        <f>_xll.BDP("FNDE3475 Mtge","ID_CUSIP")</f>
        <v>3140BF2H7</v>
      </c>
      <c r="B4039" t="str">
        <f>_xll.BDP("FNDE3475 Mtge","SECURITY_NAME")</f>
        <v>FN DE3475</v>
      </c>
      <c r="C4039" t="str">
        <f>_xll.BDP("FNDE3475 Mtge","GENERIC_TICKER_VINTAGE")</f>
        <v>FNCL 6 2025</v>
      </c>
      <c r="D4039" t="str">
        <f>_xll.BDP("FNDE3475 Mtge","CRNCY")</f>
        <v>USD</v>
      </c>
      <c r="E4039">
        <v>74537025</v>
      </c>
      <c r="F4039">
        <f>_xll.BDP("FNDE3475 Mtge","CPN")</f>
        <v>6</v>
      </c>
      <c r="G4039">
        <f>_xll.BDP("FNDE3475 Mtge","MTG_FACTOR")</f>
        <v>0.89027356000000002</v>
      </c>
      <c r="H4039">
        <f>_xll.BDP("FNDE3475 Mtge","MTG_WAL")</f>
        <v>3.3940999999999999</v>
      </c>
      <c r="I4039" t="str">
        <f>_xll.BDP("FNDE3475 Mtge","MTG_ORIG_WAL")</f>
        <v>#N/A N/A</v>
      </c>
    </row>
    <row r="4040" spans="1:9" x14ac:dyDescent="0.25">
      <c r="A4040" t="str">
        <f>_xll.BDP("FNDE3477 Mtge","ID_CUSIP")</f>
        <v>3140BF2K0</v>
      </c>
      <c r="B4040" t="str">
        <f>_xll.BDP("FNDE3477 Mtge","SECURITY_NAME")</f>
        <v>FN DE3477</v>
      </c>
      <c r="C4040" t="str">
        <f>_xll.BDP("FNDE3477 Mtge","GENERIC_TICKER_VINTAGE")</f>
        <v>FNCL 6 2025</v>
      </c>
      <c r="D4040" t="str">
        <f>_xll.BDP("FNDE3477 Mtge","CRNCY")</f>
        <v>USD</v>
      </c>
      <c r="E4040">
        <v>13663293</v>
      </c>
      <c r="F4040">
        <f>_xll.BDP("FNDE3477 Mtge","CPN")</f>
        <v>6</v>
      </c>
      <c r="G4040">
        <f>_xll.BDP("FNDE3477 Mtge","MTG_FACTOR")</f>
        <v>0.92301887000000005</v>
      </c>
      <c r="H4040">
        <f>_xll.BDP("FNDE3477 Mtge","MTG_WAL")</f>
        <v>3.3938999999999999</v>
      </c>
      <c r="I4040" t="str">
        <f>_xll.BDP("FNDE3477 Mtge","MTG_ORIG_WAL")</f>
        <v>#N/A N/A</v>
      </c>
    </row>
    <row r="4041" spans="1:9" x14ac:dyDescent="0.25">
      <c r="A4041" t="str">
        <f>_xll.BDP("FNDE3515 Mtge","ID_CUSIP")</f>
        <v>3140BF3Z6</v>
      </c>
      <c r="B4041" t="str">
        <f>_xll.BDP("FNDE3515 Mtge","SECURITY_NAME")</f>
        <v>FN DE3515</v>
      </c>
      <c r="C4041" t="str">
        <f>_xll.BDP("FNDE3515 Mtge","GENERIC_TICKER_VINTAGE")</f>
        <v>FNCL 6 2025</v>
      </c>
      <c r="D4041" t="str">
        <f>_xll.BDP("FNDE3515 Mtge","CRNCY")</f>
        <v>USD</v>
      </c>
      <c r="E4041">
        <v>1273468</v>
      </c>
      <c r="F4041">
        <f>_xll.BDP("FNDE3515 Mtge","CPN")</f>
        <v>6</v>
      </c>
      <c r="G4041">
        <f>_xll.BDP("FNDE3515 Mtge","MTG_FACTOR")</f>
        <v>0.99325523999999998</v>
      </c>
      <c r="H4041">
        <f>_xll.BDP("FNDE3515 Mtge","MTG_WAL")</f>
        <v>3.3988999999999998</v>
      </c>
      <c r="I4041" t="str">
        <f>_xll.BDP("FNDE3515 Mtge","MTG_ORIG_WAL")</f>
        <v>#N/A N/A</v>
      </c>
    </row>
    <row r="4042" spans="1:9" x14ac:dyDescent="0.25">
      <c r="A4042" t="str">
        <f>_xll.BDP("FNDE3523 Mtge","ID_CUSIP")</f>
        <v>3140BF4H5</v>
      </c>
      <c r="B4042" t="str">
        <f>_xll.BDP("FNDE3523 Mtge","SECURITY_NAME")</f>
        <v>FN DE3523</v>
      </c>
      <c r="C4042" t="str">
        <f>_xll.BDP("FNDE3523 Mtge","GENERIC_TICKER_VINTAGE")</f>
        <v>FNCL 6 2025</v>
      </c>
      <c r="D4042" t="str">
        <f>_xll.BDP("FNDE3523 Mtge","CRNCY")</f>
        <v>USD</v>
      </c>
      <c r="E4042">
        <v>2274754</v>
      </c>
      <c r="F4042">
        <f>_xll.BDP("FNDE3523 Mtge","CPN")</f>
        <v>6</v>
      </c>
      <c r="G4042">
        <f>_xll.BDP("FNDE3523 Mtge","MTG_FACTOR")</f>
        <v>0.99248952999999995</v>
      </c>
      <c r="H4042">
        <f>_xll.BDP("FNDE3523 Mtge","MTG_WAL")</f>
        <v>3.3954</v>
      </c>
      <c r="I4042" t="str">
        <f>_xll.BDP("FNDE3523 Mtge","MTG_ORIG_WAL")</f>
        <v>#N/A N/A</v>
      </c>
    </row>
    <row r="4043" spans="1:9" x14ac:dyDescent="0.25">
      <c r="A4043" t="str">
        <f>_xll.BDP("FNDE3533 Mtge","ID_CUSIP")</f>
        <v>3140BF4T9</v>
      </c>
      <c r="B4043" t="str">
        <f>_xll.BDP("FNDE3533 Mtge","SECURITY_NAME")</f>
        <v>FN DE3533</v>
      </c>
      <c r="C4043" t="str">
        <f>_xll.BDP("FNDE3533 Mtge","GENERIC_TICKER_VINTAGE")</f>
        <v>FNCL 6 2025</v>
      </c>
      <c r="D4043" t="str">
        <f>_xll.BDP("FNDE3533 Mtge","CRNCY")</f>
        <v>USD</v>
      </c>
      <c r="E4043">
        <v>2915112</v>
      </c>
      <c r="F4043">
        <f>_xll.BDP("FNDE3533 Mtge","CPN")</f>
        <v>6</v>
      </c>
      <c r="G4043">
        <f>_xll.BDP("FNDE3533 Mtge","MTG_FACTOR")</f>
        <v>0.87349367</v>
      </c>
      <c r="H4043">
        <f>_xll.BDP("FNDE3533 Mtge","MTG_WAL")</f>
        <v>3.3963000000000001</v>
      </c>
      <c r="I4043" t="str">
        <f>_xll.BDP("FNDE3533 Mtge","MTG_ORIG_WAL")</f>
        <v>#N/A N/A</v>
      </c>
    </row>
    <row r="4044" spans="1:9" x14ac:dyDescent="0.25">
      <c r="A4044" t="str">
        <f>_xll.BDP("FNDE3534 Mtge","ID_CUSIP")</f>
        <v>3140BF4U6</v>
      </c>
      <c r="B4044" t="str">
        <f>_xll.BDP("FNDE3534 Mtge","SECURITY_NAME")</f>
        <v>FN DE3534</v>
      </c>
      <c r="C4044" t="str">
        <f>_xll.BDP("FNDE3534 Mtge","GENERIC_TICKER_VINTAGE")</f>
        <v>FNCL 6 2025</v>
      </c>
      <c r="D4044" t="str">
        <f>_xll.BDP("FNDE3534 Mtge","CRNCY")</f>
        <v>USD</v>
      </c>
      <c r="E4044">
        <v>8251940</v>
      </c>
      <c r="F4044">
        <f>_xll.BDP("FNDE3534 Mtge","CPN")</f>
        <v>6</v>
      </c>
      <c r="G4044">
        <f>_xll.BDP("FNDE3534 Mtge","MTG_FACTOR")</f>
        <v>0.84433574</v>
      </c>
      <c r="H4044">
        <f>_xll.BDP("FNDE3534 Mtge","MTG_WAL")</f>
        <v>3.3953000000000002</v>
      </c>
      <c r="I4044" t="str">
        <f>_xll.BDP("FNDE3534 Mtge","MTG_ORIG_WAL")</f>
        <v>#N/A N/A</v>
      </c>
    </row>
    <row r="4045" spans="1:9" x14ac:dyDescent="0.25">
      <c r="A4045" t="str">
        <f>_xll.BDP("FNDE3535 Mtge","ID_CUSIP")</f>
        <v>3140BF4V4</v>
      </c>
      <c r="B4045" t="str">
        <f>_xll.BDP("FNDE3535 Mtge","SECURITY_NAME")</f>
        <v>FN DE3535</v>
      </c>
      <c r="C4045" t="str">
        <f>_xll.BDP("FNDE3535 Mtge","GENERIC_TICKER_VINTAGE")</f>
        <v>FNCL 6 2025</v>
      </c>
      <c r="D4045" t="str">
        <f>_xll.BDP("FNDE3535 Mtge","CRNCY")</f>
        <v>USD</v>
      </c>
      <c r="E4045">
        <v>1327400</v>
      </c>
      <c r="F4045">
        <f>_xll.BDP("FNDE3535 Mtge","CPN")</f>
        <v>6</v>
      </c>
      <c r="G4045">
        <f>_xll.BDP("FNDE3535 Mtge","MTG_FACTOR")</f>
        <v>0.99317738</v>
      </c>
      <c r="H4045">
        <f>_xll.BDP("FNDE3535 Mtge","MTG_WAL")</f>
        <v>3.3944000000000001</v>
      </c>
      <c r="I4045" t="str">
        <f>_xll.BDP("FNDE3535 Mtge","MTG_ORIG_WAL")</f>
        <v>#N/A N/A</v>
      </c>
    </row>
    <row r="4046" spans="1:9" x14ac:dyDescent="0.25">
      <c r="A4046" t="str">
        <f>_xll.BDP("FNDE3537 Mtge","ID_CUSIP")</f>
        <v>3140BF4X0</v>
      </c>
      <c r="B4046" t="str">
        <f>_xll.BDP("FNDE3537 Mtge","SECURITY_NAME")</f>
        <v>FN DE3537</v>
      </c>
      <c r="C4046" t="str">
        <f>_xll.BDP("FNDE3537 Mtge","GENERIC_TICKER_VINTAGE")</f>
        <v>FNCL 6 2025</v>
      </c>
      <c r="D4046" t="str">
        <f>_xll.BDP("FNDE3537 Mtge","CRNCY")</f>
        <v>USD</v>
      </c>
      <c r="E4046">
        <v>2923555</v>
      </c>
      <c r="F4046">
        <f>_xll.BDP("FNDE3537 Mtge","CPN")</f>
        <v>6</v>
      </c>
      <c r="G4046">
        <f>_xll.BDP("FNDE3537 Mtge","MTG_FACTOR")</f>
        <v>0.89972083000000003</v>
      </c>
      <c r="H4046">
        <f>_xll.BDP("FNDE3537 Mtge","MTG_WAL")</f>
        <v>3.3942000000000001</v>
      </c>
      <c r="I4046" t="str">
        <f>_xll.BDP("FNDE3537 Mtge","MTG_ORIG_WAL")</f>
        <v>#N/A N/A</v>
      </c>
    </row>
    <row r="4047" spans="1:9" x14ac:dyDescent="0.25">
      <c r="A4047" t="str">
        <f>_xll.BDP("FNDE3538 Mtge","ID_CUSIP")</f>
        <v>3140BF4Y8</v>
      </c>
      <c r="B4047" t="str">
        <f>_xll.BDP("FNDE3538 Mtge","SECURITY_NAME")</f>
        <v>FN DE3538</v>
      </c>
      <c r="C4047" t="str">
        <f>_xll.BDP("FNDE3538 Mtge","GENERIC_TICKER_VINTAGE")</f>
        <v>FNCL 6 2025</v>
      </c>
      <c r="D4047" t="str">
        <f>_xll.BDP("FNDE3538 Mtge","CRNCY")</f>
        <v>USD</v>
      </c>
      <c r="E4047">
        <v>9027388</v>
      </c>
      <c r="F4047">
        <f>_xll.BDP("FNDE3538 Mtge","CPN")</f>
        <v>6</v>
      </c>
      <c r="G4047">
        <f>_xll.BDP("FNDE3538 Mtge","MTG_FACTOR")</f>
        <v>0.86909546999999998</v>
      </c>
      <c r="H4047">
        <f>_xll.BDP("FNDE3538 Mtge","MTG_WAL")</f>
        <v>3.3898000000000001</v>
      </c>
      <c r="I4047" t="str">
        <f>_xll.BDP("FNDE3538 Mtge","MTG_ORIG_WAL")</f>
        <v>#N/A N/A</v>
      </c>
    </row>
    <row r="4048" spans="1:9" x14ac:dyDescent="0.25">
      <c r="A4048" t="str">
        <f>_xll.BDP("FNDE3546 Mtge","ID_CUSIP")</f>
        <v>3140BF5G6</v>
      </c>
      <c r="B4048" t="str">
        <f>_xll.BDP("FNDE3546 Mtge","SECURITY_NAME")</f>
        <v>FN DE3546</v>
      </c>
      <c r="C4048" t="str">
        <f>_xll.BDP("FNDE3546 Mtge","GENERIC_TICKER_VINTAGE")</f>
        <v>FNCL 6 2025</v>
      </c>
      <c r="D4048" t="str">
        <f>_xll.BDP("FNDE3546 Mtge","CRNCY")</f>
        <v>USD</v>
      </c>
      <c r="E4048">
        <v>1137579</v>
      </c>
      <c r="F4048">
        <f>_xll.BDP("FNDE3546 Mtge","CPN")</f>
        <v>6</v>
      </c>
      <c r="G4048">
        <f>_xll.BDP("FNDE3546 Mtge","MTG_FACTOR")</f>
        <v>0.99206417999999996</v>
      </c>
      <c r="H4048">
        <f>_xll.BDP("FNDE3546 Mtge","MTG_WAL")</f>
        <v>3.3935</v>
      </c>
      <c r="I4048" t="str">
        <f>_xll.BDP("FNDE3546 Mtge","MTG_ORIG_WAL")</f>
        <v>#N/A N/A</v>
      </c>
    </row>
    <row r="4049" spans="1:9" x14ac:dyDescent="0.25">
      <c r="A4049" t="str">
        <f>_xll.BDP("FNDE3625 Mtge","ID_CUSIP")</f>
        <v>3140BGA37</v>
      </c>
      <c r="B4049" t="str">
        <f>_xll.BDP("FNDE3625 Mtge","SECURITY_NAME")</f>
        <v>FN DE3625</v>
      </c>
      <c r="C4049" t="str">
        <f>_xll.BDP("FNDE3625 Mtge","GENERIC_TICKER_VINTAGE")</f>
        <v>FNCL 6 2025</v>
      </c>
      <c r="D4049" t="str">
        <f>_xll.BDP("FNDE3625 Mtge","CRNCY")</f>
        <v>USD</v>
      </c>
      <c r="E4049">
        <v>2659650</v>
      </c>
      <c r="F4049">
        <f>_xll.BDP("FNDE3625 Mtge","CPN")</f>
        <v>6</v>
      </c>
      <c r="G4049">
        <f>_xll.BDP("FNDE3625 Mtge","MTG_FACTOR")</f>
        <v>0.98877720000000002</v>
      </c>
      <c r="H4049">
        <f>_xll.BDP("FNDE3625 Mtge","MTG_WAL")</f>
        <v>3.3847</v>
      </c>
      <c r="I4049" t="str">
        <f>_xll.BDP("FNDE3625 Mtge","MTG_ORIG_WAL")</f>
        <v>#N/A N/A</v>
      </c>
    </row>
    <row r="4050" spans="1:9" x14ac:dyDescent="0.25">
      <c r="A4050" t="str">
        <f>_xll.BDP("FNDE3639 Mtge","ID_CUSIP")</f>
        <v>3140BGBH5</v>
      </c>
      <c r="B4050" t="str">
        <f>_xll.BDP("FNDE3639 Mtge","SECURITY_NAME")</f>
        <v>FN DE3639</v>
      </c>
      <c r="C4050" t="str">
        <f>_xll.BDP("FNDE3639 Mtge","GENERIC_TICKER_VINTAGE")</f>
        <v>FNCL 6 2025</v>
      </c>
      <c r="D4050" t="str">
        <f>_xll.BDP("FNDE3639 Mtge","CRNCY")</f>
        <v>USD</v>
      </c>
      <c r="E4050">
        <v>17930141</v>
      </c>
      <c r="F4050">
        <f>_xll.BDP("FNDE3639 Mtge","CPN")</f>
        <v>6</v>
      </c>
      <c r="G4050">
        <f>_xll.BDP("FNDE3639 Mtge","MTG_FACTOR")</f>
        <v>0.88479973000000001</v>
      </c>
      <c r="H4050">
        <f>_xll.BDP("FNDE3639 Mtge","MTG_WAL")</f>
        <v>3.3972000000000002</v>
      </c>
      <c r="I4050" t="str">
        <f>_xll.BDP("FNDE3639 Mtge","MTG_ORIG_WAL")</f>
        <v>#N/A N/A</v>
      </c>
    </row>
    <row r="4051" spans="1:9" x14ac:dyDescent="0.25">
      <c r="A4051" t="str">
        <f>_xll.BDP("FNDE3648 Mtge","ID_CUSIP")</f>
        <v>3140BGBS1</v>
      </c>
      <c r="B4051" t="str">
        <f>_xll.BDP("FNDE3648 Mtge","SECURITY_NAME")</f>
        <v>FN DE3648</v>
      </c>
      <c r="C4051" t="str">
        <f>_xll.BDP("FNDE3648 Mtge","GENERIC_TICKER_VINTAGE")</f>
        <v>FNCL 6 2025</v>
      </c>
      <c r="D4051" t="str">
        <f>_xll.BDP("FNDE3648 Mtge","CRNCY")</f>
        <v>USD</v>
      </c>
      <c r="E4051">
        <v>1941310</v>
      </c>
      <c r="F4051">
        <f>_xll.BDP("FNDE3648 Mtge","CPN")</f>
        <v>6</v>
      </c>
      <c r="G4051">
        <f>_xll.BDP("FNDE3648 Mtge","MTG_FACTOR")</f>
        <v>0.78602528999999999</v>
      </c>
      <c r="H4051">
        <f>_xll.BDP("FNDE3648 Mtge","MTG_WAL")</f>
        <v>3.3974000000000002</v>
      </c>
      <c r="I4051" t="str">
        <f>_xll.BDP("FNDE3648 Mtge","MTG_ORIG_WAL")</f>
        <v>#N/A N/A</v>
      </c>
    </row>
    <row r="4052" spans="1:9" x14ac:dyDescent="0.25">
      <c r="A4052" t="str">
        <f>_xll.BDP("FNDE3670 Mtge","ID_CUSIP")</f>
        <v>3140BGCG6</v>
      </c>
      <c r="B4052" t="str">
        <f>_xll.BDP("FNDE3670 Mtge","SECURITY_NAME")</f>
        <v>FN DE3670</v>
      </c>
      <c r="C4052" t="str">
        <f>_xll.BDP("FNDE3670 Mtge","GENERIC_TICKER_VINTAGE")</f>
        <v>FNCL 6 2025</v>
      </c>
      <c r="D4052" t="str">
        <f>_xll.BDP("FNDE3670 Mtge","CRNCY")</f>
        <v>USD</v>
      </c>
      <c r="E4052">
        <v>4909720</v>
      </c>
      <c r="F4052">
        <f>_xll.BDP("FNDE3670 Mtge","CPN")</f>
        <v>6</v>
      </c>
      <c r="G4052">
        <f>_xll.BDP("FNDE3670 Mtge","MTG_FACTOR")</f>
        <v>0.93798300999999995</v>
      </c>
      <c r="H4052">
        <f>_xll.BDP("FNDE3670 Mtge","MTG_WAL")</f>
        <v>3.3984999999999999</v>
      </c>
      <c r="I4052" t="str">
        <f>_xll.BDP("FNDE3670 Mtge","MTG_ORIG_WAL")</f>
        <v>#N/A N/A</v>
      </c>
    </row>
    <row r="4053" spans="1:9" x14ac:dyDescent="0.25">
      <c r="A4053" t="str">
        <f>_xll.BDP("FNDE3689 Mtge","ID_CUSIP")</f>
        <v>3140BGC35</v>
      </c>
      <c r="B4053" t="str">
        <f>_xll.BDP("FNDE3689 Mtge","SECURITY_NAME")</f>
        <v>FN DE3689</v>
      </c>
      <c r="C4053" t="str">
        <f>_xll.BDP("FNDE3689 Mtge","GENERIC_TICKER_VINTAGE")</f>
        <v>FNCL 6 2025</v>
      </c>
      <c r="D4053" t="str">
        <f>_xll.BDP("FNDE3689 Mtge","CRNCY")</f>
        <v>USD</v>
      </c>
      <c r="E4053">
        <v>5518650</v>
      </c>
      <c r="F4053">
        <f>_xll.BDP("FNDE3689 Mtge","CPN")</f>
        <v>6</v>
      </c>
      <c r="G4053">
        <f>_xll.BDP("FNDE3689 Mtge","MTG_FACTOR")</f>
        <v>0.89266230000000002</v>
      </c>
      <c r="H4053">
        <f>_xll.BDP("FNDE3689 Mtge","MTG_WAL")</f>
        <v>3.3923999999999999</v>
      </c>
      <c r="I4053" t="str">
        <f>_xll.BDP("FNDE3689 Mtge","MTG_ORIG_WAL")</f>
        <v>#N/A N/A</v>
      </c>
    </row>
    <row r="4054" spans="1:9" x14ac:dyDescent="0.25">
      <c r="A4054" t="str">
        <f>_xll.BDP("FNDE3738 Mtge","ID_CUSIP")</f>
        <v>3140BGEL3</v>
      </c>
      <c r="B4054" t="str">
        <f>_xll.BDP("FNDE3738 Mtge","SECURITY_NAME")</f>
        <v>FN DE3738</v>
      </c>
      <c r="C4054" t="str">
        <f>_xll.BDP("FNDE3738 Mtge","GENERIC_TICKER_VINTAGE")</f>
        <v>FNCL 6 2025</v>
      </c>
      <c r="D4054" t="str">
        <f>_xll.BDP("FNDE3738 Mtge","CRNCY")</f>
        <v>USD</v>
      </c>
      <c r="E4054">
        <v>297155</v>
      </c>
      <c r="F4054">
        <f>_xll.BDP("FNDE3738 Mtge","CPN")</f>
        <v>6</v>
      </c>
      <c r="G4054">
        <f>_xll.BDP("FNDE3738 Mtge","MTG_FACTOR")</f>
        <v>0.99249186</v>
      </c>
      <c r="H4054">
        <f>_xll.BDP("FNDE3738 Mtge","MTG_WAL")</f>
        <v>3.3424</v>
      </c>
      <c r="I4054" t="str">
        <f>_xll.BDP("FNDE3738 Mtge","MTG_ORIG_WAL")</f>
        <v>#N/A N/A</v>
      </c>
    </row>
    <row r="4055" spans="1:9" x14ac:dyDescent="0.25">
      <c r="A4055" t="str">
        <f>_xll.BDP("FNDE3758 Mtge","ID_CUSIP")</f>
        <v>3140BGE82</v>
      </c>
      <c r="B4055" t="str">
        <f>_xll.BDP("FNDE3758 Mtge","SECURITY_NAME")</f>
        <v>FN DE3758</v>
      </c>
      <c r="C4055" t="str">
        <f>_xll.BDP("FNDE3758 Mtge","GENERIC_TICKER_VINTAGE")</f>
        <v>FNCL 6 2025</v>
      </c>
      <c r="D4055" t="str">
        <f>_xll.BDP("FNDE3758 Mtge","CRNCY")</f>
        <v>USD</v>
      </c>
      <c r="E4055">
        <v>365732</v>
      </c>
      <c r="F4055">
        <f>_xll.BDP("FNDE3758 Mtge","CPN")</f>
        <v>6</v>
      </c>
      <c r="G4055">
        <f>_xll.BDP("FNDE3758 Mtge","MTG_FACTOR")</f>
        <v>0.99152836</v>
      </c>
      <c r="H4055">
        <f>_xll.BDP("FNDE3758 Mtge","MTG_WAL")</f>
        <v>3.3925999999999998</v>
      </c>
      <c r="I4055" t="str">
        <f>_xll.BDP("FNDE3758 Mtge","MTG_ORIG_WAL")</f>
        <v>#N/A N/A</v>
      </c>
    </row>
    <row r="4056" spans="1:9" x14ac:dyDescent="0.25">
      <c r="A4056" t="str">
        <f>_xll.BDP("FNDE3921 Mtge","ID_CUSIP")</f>
        <v>3140BGLB7</v>
      </c>
      <c r="B4056" t="str">
        <f>_xll.BDP("FNDE3921 Mtge","SECURITY_NAME")</f>
        <v>FN DE3921</v>
      </c>
      <c r="C4056" t="str">
        <f>_xll.BDP("FNDE3921 Mtge","GENERIC_TICKER_VINTAGE")</f>
        <v>FNCL 6 2025</v>
      </c>
      <c r="D4056" t="str">
        <f>_xll.BDP("FNDE3921 Mtge","CRNCY")</f>
        <v>USD</v>
      </c>
      <c r="E4056">
        <v>1306500</v>
      </c>
      <c r="F4056">
        <f>_xll.BDP("FNDE3921 Mtge","CPN")</f>
        <v>6</v>
      </c>
      <c r="G4056">
        <f>_xll.BDP("FNDE3921 Mtge","MTG_FACTOR")</f>
        <v>0.99307853999999995</v>
      </c>
      <c r="H4056">
        <f>_xll.BDP("FNDE3921 Mtge","MTG_WAL")</f>
        <v>3.3959999999999999</v>
      </c>
      <c r="I4056" t="str">
        <f>_xll.BDP("FNDE3921 Mtge","MTG_ORIG_WAL")</f>
        <v>#N/A N/A</v>
      </c>
    </row>
    <row r="4057" spans="1:9" x14ac:dyDescent="0.25">
      <c r="A4057" t="str">
        <f>_xll.BDP("FNDE3963 Mtge","ID_CUSIP")</f>
        <v>3140BGMM2</v>
      </c>
      <c r="B4057" t="str">
        <f>_xll.BDP("FNDE3963 Mtge","SECURITY_NAME")</f>
        <v>FN DE3963</v>
      </c>
      <c r="C4057" t="str">
        <f>_xll.BDP("FNDE3963 Mtge","GENERIC_TICKER_VINTAGE")</f>
        <v>FNCL 6 2025</v>
      </c>
      <c r="D4057" t="str">
        <f>_xll.BDP("FNDE3963 Mtge","CRNCY")</f>
        <v>USD</v>
      </c>
      <c r="E4057">
        <v>9187127</v>
      </c>
      <c r="F4057">
        <f>_xll.BDP("FNDE3963 Mtge","CPN")</f>
        <v>6</v>
      </c>
      <c r="G4057">
        <f>_xll.BDP("FNDE3963 Mtge","MTG_FACTOR")</f>
        <v>0.74357329000000005</v>
      </c>
      <c r="H4057">
        <f>_xll.BDP("FNDE3963 Mtge","MTG_WAL")</f>
        <v>3.3378999999999999</v>
      </c>
      <c r="I4057" t="str">
        <f>_xll.BDP("FNDE3963 Mtge","MTG_ORIG_WAL")</f>
        <v>#N/A N/A</v>
      </c>
    </row>
    <row r="4058" spans="1:9" x14ac:dyDescent="0.25">
      <c r="A4058" t="str">
        <f>_xll.BDP("FNDE4041 Mtge","ID_CUSIP")</f>
        <v>3140BGP31</v>
      </c>
      <c r="B4058" t="str">
        <f>_xll.BDP("FNDE4041 Mtge","SECURITY_NAME")</f>
        <v>FN DE4041</v>
      </c>
      <c r="C4058" t="str">
        <f>_xll.BDP("FNDE4041 Mtge","GENERIC_TICKER_VINTAGE")</f>
        <v>FNCL 6 2025</v>
      </c>
      <c r="D4058" t="str">
        <f>_xll.BDP("FNDE4041 Mtge","CRNCY")</f>
        <v>USD</v>
      </c>
      <c r="E4058">
        <v>2168550</v>
      </c>
      <c r="F4058">
        <f>_xll.BDP("FNDE4041 Mtge","CPN")</f>
        <v>6</v>
      </c>
      <c r="G4058">
        <f>_xll.BDP("FNDE4041 Mtge","MTG_FACTOR")</f>
        <v>0.45286092999999999</v>
      </c>
      <c r="H4058">
        <f>_xll.BDP("FNDE4041 Mtge","MTG_WAL")</f>
        <v>3.4479000000000002</v>
      </c>
      <c r="I4058" t="str">
        <f>_xll.BDP("FNDE4041 Mtge","MTG_ORIG_WAL")</f>
        <v>#N/A N/A</v>
      </c>
    </row>
    <row r="4059" spans="1:9" x14ac:dyDescent="0.25">
      <c r="A4059" t="str">
        <f>_xll.BDP("FNDE4067 Mtge","ID_CUSIP")</f>
        <v>3140BGQV8</v>
      </c>
      <c r="B4059" t="str">
        <f>_xll.BDP("FNDE4067 Mtge","SECURITY_NAME")</f>
        <v>FN DE4067</v>
      </c>
      <c r="C4059" t="str">
        <f>_xll.BDP("FNDE4067 Mtge","GENERIC_TICKER_VINTAGE")</f>
        <v>FNCL 6 2025</v>
      </c>
      <c r="D4059" t="str">
        <f>_xll.BDP("FNDE4067 Mtge","CRNCY")</f>
        <v>USD</v>
      </c>
      <c r="E4059">
        <v>2183300</v>
      </c>
      <c r="F4059">
        <f>_xll.BDP("FNDE4067 Mtge","CPN")</f>
        <v>6</v>
      </c>
      <c r="G4059">
        <f>_xll.BDP("FNDE4067 Mtge","MTG_FACTOR")</f>
        <v>0.99292024000000001</v>
      </c>
      <c r="H4059">
        <f>_xll.BDP("FNDE4067 Mtge","MTG_WAL")</f>
        <v>3.4489000000000001</v>
      </c>
      <c r="I4059" t="str">
        <f>_xll.BDP("FNDE4067 Mtge","MTG_ORIG_WAL")</f>
        <v>#N/A N/A</v>
      </c>
    </row>
    <row r="4060" spans="1:9" x14ac:dyDescent="0.25">
      <c r="A4060" t="str">
        <f>_xll.BDP("FNDE4088 Mtge","ID_CUSIP")</f>
        <v>3140BGRJ4</v>
      </c>
      <c r="B4060" t="str">
        <f>_xll.BDP("FNDE4088 Mtge","SECURITY_NAME")</f>
        <v>FN DE4088</v>
      </c>
      <c r="C4060" t="str">
        <f>_xll.BDP("FNDE4088 Mtge","GENERIC_TICKER_VINTAGE")</f>
        <v>FNCL 6 2025</v>
      </c>
      <c r="D4060" t="str">
        <f>_xll.BDP("FNDE4088 Mtge","CRNCY")</f>
        <v>USD</v>
      </c>
      <c r="E4060">
        <v>1973170</v>
      </c>
      <c r="F4060">
        <f>_xll.BDP("FNDE4088 Mtge","CPN")</f>
        <v>6</v>
      </c>
      <c r="G4060">
        <f>_xll.BDP("FNDE4088 Mtge","MTG_FACTOR")</f>
        <v>0.77493645</v>
      </c>
      <c r="H4060">
        <f>_xll.BDP("FNDE4088 Mtge","MTG_WAL")</f>
        <v>3.4531000000000001</v>
      </c>
      <c r="I4060" t="str">
        <f>_xll.BDP("FNDE4088 Mtge","MTG_ORIG_WAL")</f>
        <v>#N/A N/A</v>
      </c>
    </row>
    <row r="4061" spans="1:9" x14ac:dyDescent="0.25">
      <c r="A4061" t="str">
        <f>_xll.BDP("FNDE4089 Mtge","ID_CUSIP")</f>
        <v>3140BGRK1</v>
      </c>
      <c r="B4061" t="str">
        <f>_xll.BDP("FNDE4089 Mtge","SECURITY_NAME")</f>
        <v>FN DE4089</v>
      </c>
      <c r="C4061" t="str">
        <f>_xll.BDP("FNDE4089 Mtge","GENERIC_TICKER_VINTAGE")</f>
        <v>FNCL 6 2025</v>
      </c>
      <c r="D4061" t="str">
        <f>_xll.BDP("FNDE4089 Mtge","CRNCY")</f>
        <v>USD</v>
      </c>
      <c r="E4061">
        <v>1183500</v>
      </c>
      <c r="F4061">
        <f>_xll.BDP("FNDE4089 Mtge","CPN")</f>
        <v>6</v>
      </c>
      <c r="G4061">
        <f>_xll.BDP("FNDE4089 Mtge","MTG_FACTOR")</f>
        <v>0.78477808999999998</v>
      </c>
      <c r="H4061">
        <f>_xll.BDP("FNDE4089 Mtge","MTG_WAL")</f>
        <v>3.4514</v>
      </c>
      <c r="I4061" t="str">
        <f>_xll.BDP("FNDE4089 Mtge","MTG_ORIG_WAL")</f>
        <v>#N/A N/A</v>
      </c>
    </row>
    <row r="4062" spans="1:9" x14ac:dyDescent="0.25">
      <c r="A4062" t="str">
        <f>_xll.BDP("FNDE4091 Mtge","ID_CUSIP")</f>
        <v>3140BGRM7</v>
      </c>
      <c r="B4062" t="str">
        <f>_xll.BDP("FNDE4091 Mtge","SECURITY_NAME")</f>
        <v>FN DE4091</v>
      </c>
      <c r="C4062" t="str">
        <f>_xll.BDP("FNDE4091 Mtge","GENERIC_TICKER_VINTAGE")</f>
        <v>FNCL 6 2025</v>
      </c>
      <c r="D4062" t="str">
        <f>_xll.BDP("FNDE4091 Mtge","CRNCY")</f>
        <v>USD</v>
      </c>
      <c r="E4062">
        <v>1026014</v>
      </c>
      <c r="F4062">
        <f>_xll.BDP("FNDE4091 Mtge","CPN")</f>
        <v>6</v>
      </c>
      <c r="G4062">
        <f>_xll.BDP("FNDE4091 Mtge","MTG_FACTOR")</f>
        <v>0.99405664999999999</v>
      </c>
      <c r="H4062">
        <f>_xll.BDP("FNDE4091 Mtge","MTG_WAL")</f>
        <v>3.4523999999999999</v>
      </c>
      <c r="I4062" t="str">
        <f>_xll.BDP("FNDE4091 Mtge","MTG_ORIG_WAL")</f>
        <v>#N/A N/A</v>
      </c>
    </row>
    <row r="4063" spans="1:9" x14ac:dyDescent="0.25">
      <c r="A4063" t="str">
        <f>_xll.BDP("FNDE4093 Mtge","ID_CUSIP")</f>
        <v>3140BGRP0</v>
      </c>
      <c r="B4063" t="str">
        <f>_xll.BDP("FNDE4093 Mtge","SECURITY_NAME")</f>
        <v>FN DE4093</v>
      </c>
      <c r="C4063" t="str">
        <f>_xll.BDP("FNDE4093 Mtge","GENERIC_TICKER_VINTAGE")</f>
        <v>FNCL 6 2025</v>
      </c>
      <c r="D4063" t="str">
        <f>_xll.BDP("FNDE4093 Mtge","CRNCY")</f>
        <v>USD</v>
      </c>
      <c r="E4063">
        <v>2704688</v>
      </c>
      <c r="F4063">
        <f>_xll.BDP("FNDE4093 Mtge","CPN")</f>
        <v>6</v>
      </c>
      <c r="G4063">
        <f>_xll.BDP("FNDE4093 Mtge","MTG_FACTOR")</f>
        <v>0.99399588000000005</v>
      </c>
      <c r="H4063">
        <f>_xll.BDP("FNDE4093 Mtge","MTG_WAL")</f>
        <v>3.4523999999999999</v>
      </c>
      <c r="I4063" t="str">
        <f>_xll.BDP("FNDE4093 Mtge","MTG_ORIG_WAL")</f>
        <v>#N/A N/A</v>
      </c>
    </row>
    <row r="4064" spans="1:9" x14ac:dyDescent="0.25">
      <c r="A4064" t="str">
        <f>_xll.BDP("FNDE4099 Mtge","ID_CUSIP")</f>
        <v>3140BGRV7</v>
      </c>
      <c r="B4064" t="str">
        <f>_xll.BDP("FNDE4099 Mtge","SECURITY_NAME")</f>
        <v>FN DE4099</v>
      </c>
      <c r="C4064" t="str">
        <f>_xll.BDP("FNDE4099 Mtge","GENERIC_TICKER_VINTAGE")</f>
        <v>FNCL 6 2025</v>
      </c>
      <c r="D4064" t="str">
        <f>_xll.BDP("FNDE4099 Mtge","CRNCY")</f>
        <v>USD</v>
      </c>
      <c r="E4064">
        <v>1229270</v>
      </c>
      <c r="F4064">
        <f>_xll.BDP("FNDE4099 Mtge","CPN")</f>
        <v>6</v>
      </c>
      <c r="G4064">
        <f>_xll.BDP("FNDE4099 Mtge","MTG_FACTOR")</f>
        <v>0.99157662999999996</v>
      </c>
      <c r="H4064">
        <f>_xll.BDP("FNDE4099 Mtge","MTG_WAL")</f>
        <v>3.4491000000000001</v>
      </c>
      <c r="I4064" t="str">
        <f>_xll.BDP("FNDE4099 Mtge","MTG_ORIG_WAL")</f>
        <v>#N/A N/A</v>
      </c>
    </row>
    <row r="4065" spans="1:9" x14ac:dyDescent="0.25">
      <c r="A4065" t="str">
        <f>_xll.BDP("FNDE4110 Mtge","ID_CUSIP")</f>
        <v>3140BGR88</v>
      </c>
      <c r="B4065" t="str">
        <f>_xll.BDP("FNDE4110 Mtge","SECURITY_NAME")</f>
        <v>FN DE4110</v>
      </c>
      <c r="C4065" t="str">
        <f>_xll.BDP("FNDE4110 Mtge","GENERIC_TICKER_VINTAGE")</f>
        <v>FNCL 6 2025</v>
      </c>
      <c r="D4065" t="str">
        <f>_xll.BDP("FNDE4110 Mtge","CRNCY")</f>
        <v>USD</v>
      </c>
      <c r="E4065">
        <v>1014660</v>
      </c>
      <c r="F4065">
        <f>_xll.BDP("FNDE4110 Mtge","CPN")</f>
        <v>6</v>
      </c>
      <c r="G4065">
        <f>_xll.BDP("FNDE4110 Mtge","MTG_FACTOR")</f>
        <v>0.99154005000000001</v>
      </c>
      <c r="H4065">
        <f>_xll.BDP("FNDE4110 Mtge","MTG_WAL")</f>
        <v>3.4487999999999999</v>
      </c>
      <c r="I4065" t="str">
        <f>_xll.BDP("FNDE4110 Mtge","MTG_ORIG_WAL")</f>
        <v>#N/A N/A</v>
      </c>
    </row>
    <row r="4066" spans="1:9" x14ac:dyDescent="0.25">
      <c r="A4066" t="str">
        <f>_xll.BDP("FNDE4140 Mtge","ID_CUSIP")</f>
        <v>3140BGS61</v>
      </c>
      <c r="B4066" t="str">
        <f>_xll.BDP("FNDE4140 Mtge","SECURITY_NAME")</f>
        <v>FN DE4140</v>
      </c>
      <c r="C4066" t="str">
        <f>_xll.BDP("FNDE4140 Mtge","GENERIC_TICKER_VINTAGE")</f>
        <v>FNCL 6 2025</v>
      </c>
      <c r="D4066" t="str">
        <f>_xll.BDP("FNDE4140 Mtge","CRNCY")</f>
        <v>USD</v>
      </c>
      <c r="E4066">
        <v>1211550</v>
      </c>
      <c r="F4066">
        <f>_xll.BDP("FNDE4140 Mtge","CPN")</f>
        <v>6</v>
      </c>
      <c r="G4066">
        <f>_xll.BDP("FNDE4140 Mtge","MTG_FACTOR")</f>
        <v>0.96002352000000002</v>
      </c>
      <c r="H4066">
        <f>_xll.BDP("FNDE4140 Mtge","MTG_WAL")</f>
        <v>3.3860000000000001</v>
      </c>
      <c r="I4066" t="str">
        <f>_xll.BDP("FNDE4140 Mtge","MTG_ORIG_WAL")</f>
        <v>#N/A N/A</v>
      </c>
    </row>
    <row r="4067" spans="1:9" x14ac:dyDescent="0.25">
      <c r="A4067" t="str">
        <f>_xll.BDP("FNDE4141 Mtge","ID_CUSIP")</f>
        <v>3140BGS79</v>
      </c>
      <c r="B4067" t="str">
        <f>_xll.BDP("FNDE4141 Mtge","SECURITY_NAME")</f>
        <v>FN DE4141</v>
      </c>
      <c r="C4067" t="str">
        <f>_xll.BDP("FNDE4141 Mtge","GENERIC_TICKER_VINTAGE")</f>
        <v>FNCL 6 2025</v>
      </c>
      <c r="D4067" t="str">
        <f>_xll.BDP("FNDE4141 Mtge","CRNCY")</f>
        <v>USD</v>
      </c>
      <c r="E4067">
        <v>1186090</v>
      </c>
      <c r="F4067">
        <f>_xll.BDP("FNDE4141 Mtge","CPN")</f>
        <v>6</v>
      </c>
      <c r="G4067">
        <f>_xll.BDP("FNDE4141 Mtge","MTG_FACTOR")</f>
        <v>0.85123483</v>
      </c>
      <c r="H4067">
        <f>_xll.BDP("FNDE4141 Mtge","MTG_WAL")</f>
        <v>3.3978000000000002</v>
      </c>
      <c r="I4067" t="str">
        <f>_xll.BDP("FNDE4141 Mtge","MTG_ORIG_WAL")</f>
        <v>#N/A N/A</v>
      </c>
    </row>
    <row r="4068" spans="1:9" x14ac:dyDescent="0.25">
      <c r="A4068" t="str">
        <f>_xll.BDP("FNDE4142 Mtge","ID_CUSIP")</f>
        <v>3140BGS87</v>
      </c>
      <c r="B4068" t="str">
        <f>_xll.BDP("FNDE4142 Mtge","SECURITY_NAME")</f>
        <v>FN DE4142</v>
      </c>
      <c r="C4068" t="str">
        <f>_xll.BDP("FNDE4142 Mtge","GENERIC_TICKER_VINTAGE")</f>
        <v>FNCL 6 2025</v>
      </c>
      <c r="D4068" t="str">
        <f>_xll.BDP("FNDE4142 Mtge","CRNCY")</f>
        <v>USD</v>
      </c>
      <c r="E4068">
        <v>1835832</v>
      </c>
      <c r="F4068">
        <f>_xll.BDP("FNDE4142 Mtge","CPN")</f>
        <v>6</v>
      </c>
      <c r="G4068">
        <f>_xll.BDP("FNDE4142 Mtge","MTG_FACTOR")</f>
        <v>0.85615026999999999</v>
      </c>
      <c r="H4068">
        <f>_xll.BDP("FNDE4142 Mtge","MTG_WAL")</f>
        <v>3.3803000000000001</v>
      </c>
      <c r="I4068" t="str">
        <f>_xll.BDP("FNDE4142 Mtge","MTG_ORIG_WAL")</f>
        <v>#N/A N/A</v>
      </c>
    </row>
    <row r="4069" spans="1:9" x14ac:dyDescent="0.25">
      <c r="A4069" t="str">
        <f>_xll.BDP("FNDE4144 Mtge","ID_CUSIP")</f>
        <v>3140BGTA1</v>
      </c>
      <c r="B4069" t="str">
        <f>_xll.BDP("FNDE4144 Mtge","SECURITY_NAME")</f>
        <v>FN DE4144</v>
      </c>
      <c r="C4069" t="str">
        <f>_xll.BDP("FNDE4144 Mtge","GENERIC_TICKER_VINTAGE")</f>
        <v>FNCL 6 2025</v>
      </c>
      <c r="D4069" t="str">
        <f>_xll.BDP("FNDE4144 Mtge","CRNCY")</f>
        <v>USD</v>
      </c>
      <c r="E4069">
        <v>1075410</v>
      </c>
      <c r="F4069">
        <f>_xll.BDP("FNDE4144 Mtge","CPN")</f>
        <v>6</v>
      </c>
      <c r="G4069">
        <f>_xll.BDP("FNDE4144 Mtge","MTG_FACTOR")</f>
        <v>0.81435519000000001</v>
      </c>
      <c r="H4069">
        <f>_xll.BDP("FNDE4144 Mtge","MTG_WAL")</f>
        <v>3.3986999999999998</v>
      </c>
      <c r="I4069" t="str">
        <f>_xll.BDP("FNDE4144 Mtge","MTG_ORIG_WAL")</f>
        <v>#N/A N/A</v>
      </c>
    </row>
    <row r="4070" spans="1:9" x14ac:dyDescent="0.25">
      <c r="A4070" t="str">
        <f>_xll.BDP("FNDE4149 Mtge","ID_CUSIP")</f>
        <v>3140BGTF0</v>
      </c>
      <c r="B4070" t="str">
        <f>_xll.BDP("FNDE4149 Mtge","SECURITY_NAME")</f>
        <v>FN DE4149</v>
      </c>
      <c r="C4070" t="str">
        <f>_xll.BDP("FNDE4149 Mtge","GENERIC_TICKER_VINTAGE")</f>
        <v>FNCL 6 2025</v>
      </c>
      <c r="D4070" t="str">
        <f>_xll.BDP("FNDE4149 Mtge","CRNCY")</f>
        <v>USD</v>
      </c>
      <c r="E4070">
        <v>2725200</v>
      </c>
      <c r="F4070">
        <f>_xll.BDP("FNDE4149 Mtge","CPN")</f>
        <v>6</v>
      </c>
      <c r="G4070">
        <f>_xll.BDP("FNDE4149 Mtge","MTG_FACTOR")</f>
        <v>0.99174865999999995</v>
      </c>
      <c r="H4070">
        <f>_xll.BDP("FNDE4149 Mtge","MTG_WAL")</f>
        <v>3.3972000000000002</v>
      </c>
      <c r="I4070" t="str">
        <f>_xll.BDP("FNDE4149 Mtge","MTG_ORIG_WAL")</f>
        <v>#N/A N/A</v>
      </c>
    </row>
    <row r="4071" spans="1:9" x14ac:dyDescent="0.25">
      <c r="A4071" t="str">
        <f>_xll.BDP("FNDE4166 Mtge","ID_CUSIP")</f>
        <v>3140BGTY9</v>
      </c>
      <c r="B4071" t="str">
        <f>_xll.BDP("FNDE4166 Mtge","SECURITY_NAME")</f>
        <v>FN DE4166</v>
      </c>
      <c r="C4071" t="str">
        <f>_xll.BDP("FNDE4166 Mtge","GENERIC_TICKER_VINTAGE")</f>
        <v>FNCL 6 2025</v>
      </c>
      <c r="D4071" t="str">
        <f>_xll.BDP("FNDE4166 Mtge","CRNCY")</f>
        <v>USD</v>
      </c>
      <c r="E4071">
        <v>1018500</v>
      </c>
      <c r="F4071">
        <f>_xll.BDP("FNDE4166 Mtge","CPN")</f>
        <v>6</v>
      </c>
      <c r="G4071">
        <f>_xll.BDP("FNDE4166 Mtge","MTG_FACTOR")</f>
        <v>0.99354235000000002</v>
      </c>
      <c r="H4071">
        <f>_xll.BDP("FNDE4166 Mtge","MTG_WAL")</f>
        <v>3.3988</v>
      </c>
      <c r="I4071" t="str">
        <f>_xll.BDP("FNDE4166 Mtge","MTG_ORIG_WAL")</f>
        <v>#N/A N/A</v>
      </c>
    </row>
    <row r="4072" spans="1:9" x14ac:dyDescent="0.25">
      <c r="A4072" t="str">
        <f>_xll.BDP("FNDE4186 Mtge","ID_CUSIP")</f>
        <v>3140BGUL5</v>
      </c>
      <c r="B4072" t="str">
        <f>_xll.BDP("FNDE4186 Mtge","SECURITY_NAME")</f>
        <v>FN DE4186</v>
      </c>
      <c r="C4072" t="str">
        <f>_xll.BDP("FNDE4186 Mtge","GENERIC_TICKER_VINTAGE")</f>
        <v>FNCL 6 2025</v>
      </c>
      <c r="D4072" t="str">
        <f>_xll.BDP("FNDE4186 Mtge","CRNCY")</f>
        <v>USD</v>
      </c>
      <c r="E4072">
        <v>1812853</v>
      </c>
      <c r="F4072">
        <f>_xll.BDP("FNDE4186 Mtge","CPN")</f>
        <v>6</v>
      </c>
      <c r="G4072">
        <f>_xll.BDP("FNDE4186 Mtge","MTG_FACTOR")</f>
        <v>0.99039924999999995</v>
      </c>
      <c r="H4072">
        <f>_xll.BDP("FNDE4186 Mtge","MTG_WAL")</f>
        <v>3.4479000000000002</v>
      </c>
      <c r="I4072" t="str">
        <f>_xll.BDP("FNDE4186 Mtge","MTG_ORIG_WAL")</f>
        <v>#N/A N/A</v>
      </c>
    </row>
    <row r="4073" spans="1:9" x14ac:dyDescent="0.25">
      <c r="A4073" t="str">
        <f>_xll.BDP("FNDE4187 Mtge","ID_CUSIP")</f>
        <v>3140BGUM3</v>
      </c>
      <c r="B4073" t="str">
        <f>_xll.BDP("FNDE4187 Mtge","SECURITY_NAME")</f>
        <v>FN DE4187</v>
      </c>
      <c r="C4073" t="str">
        <f>_xll.BDP("FNDE4187 Mtge","GENERIC_TICKER_VINTAGE")</f>
        <v>FNCL 6 2025</v>
      </c>
      <c r="D4073" t="str">
        <f>_xll.BDP("FNDE4187 Mtge","CRNCY")</f>
        <v>USD</v>
      </c>
      <c r="E4073">
        <v>1179414</v>
      </c>
      <c r="F4073">
        <f>_xll.BDP("FNDE4187 Mtge","CPN")</f>
        <v>6</v>
      </c>
      <c r="G4073">
        <f>_xll.BDP("FNDE4187 Mtge","MTG_FACTOR")</f>
        <v>0.99078173999999997</v>
      </c>
      <c r="H4073">
        <f>_xll.BDP("FNDE4187 Mtge","MTG_WAL")</f>
        <v>3.3952</v>
      </c>
      <c r="I4073" t="str">
        <f>_xll.BDP("FNDE4187 Mtge","MTG_ORIG_WAL")</f>
        <v>#N/A N/A</v>
      </c>
    </row>
    <row r="4074" spans="1:9" x14ac:dyDescent="0.25">
      <c r="A4074" t="str">
        <f>_xll.BDP("FNDE4194 Mtge","ID_CUSIP")</f>
        <v>3140BGUU5</v>
      </c>
      <c r="B4074" t="str">
        <f>_xll.BDP("FNDE4194 Mtge","SECURITY_NAME")</f>
        <v>FN DE4194</v>
      </c>
      <c r="C4074" t="str">
        <f>_xll.BDP("FNDE4194 Mtge","GENERIC_TICKER_VINTAGE")</f>
        <v>FNCL 6 2025</v>
      </c>
      <c r="D4074" t="str">
        <f>_xll.BDP("FNDE4194 Mtge","CRNCY")</f>
        <v>USD</v>
      </c>
      <c r="E4074">
        <v>1370100</v>
      </c>
      <c r="F4074">
        <f>_xll.BDP("FNDE4194 Mtge","CPN")</f>
        <v>6</v>
      </c>
      <c r="G4074">
        <f>_xll.BDP("FNDE4194 Mtge","MTG_FACTOR")</f>
        <v>0.99315704000000005</v>
      </c>
      <c r="H4074">
        <f>_xll.BDP("FNDE4194 Mtge","MTG_WAL")</f>
        <v>3.3982999999999999</v>
      </c>
      <c r="I4074" t="str">
        <f>_xll.BDP("FNDE4194 Mtge","MTG_ORIG_WAL")</f>
        <v>#N/A N/A</v>
      </c>
    </row>
    <row r="4075" spans="1:9" x14ac:dyDescent="0.25">
      <c r="A4075" t="str">
        <f>_xll.BDP("FNDE4195 Mtge","ID_CUSIP")</f>
        <v>3140BGUV3</v>
      </c>
      <c r="B4075" t="str">
        <f>_xll.BDP("FNDE4195 Mtge","SECURITY_NAME")</f>
        <v>FN DE4195</v>
      </c>
      <c r="C4075" t="str">
        <f>_xll.BDP("FNDE4195 Mtge","GENERIC_TICKER_VINTAGE")</f>
        <v>FNCL 6 2025</v>
      </c>
      <c r="D4075" t="str">
        <f>_xll.BDP("FNDE4195 Mtge","CRNCY")</f>
        <v>USD</v>
      </c>
      <c r="E4075">
        <v>1069850</v>
      </c>
      <c r="F4075">
        <f>_xll.BDP("FNDE4195 Mtge","CPN")</f>
        <v>6</v>
      </c>
      <c r="G4075">
        <f>_xll.BDP("FNDE4195 Mtge","MTG_FACTOR")</f>
        <v>0.99303010999999997</v>
      </c>
      <c r="H4075">
        <f>_xll.BDP("FNDE4195 Mtge","MTG_WAL")</f>
        <v>3.3953000000000002</v>
      </c>
      <c r="I4075" t="str">
        <f>_xll.BDP("FNDE4195 Mtge","MTG_ORIG_WAL")</f>
        <v>#N/A N/A</v>
      </c>
    </row>
    <row r="4076" spans="1:9" x14ac:dyDescent="0.25">
      <c r="A4076" t="str">
        <f>_xll.BDP("FNDE4217 Mtge","ID_CUSIP")</f>
        <v>3140BGVK6</v>
      </c>
      <c r="B4076" t="str">
        <f>_xll.BDP("FNDE4217 Mtge","SECURITY_NAME")</f>
        <v>FN DE4217</v>
      </c>
      <c r="C4076" t="str">
        <f>_xll.BDP("FNDE4217 Mtge","GENERIC_TICKER_VINTAGE")</f>
        <v>FNCL 6 2025</v>
      </c>
      <c r="D4076" t="str">
        <f>_xll.BDP("FNDE4217 Mtge","CRNCY")</f>
        <v>USD</v>
      </c>
      <c r="E4076">
        <v>2505150</v>
      </c>
      <c r="F4076">
        <f>_xll.BDP("FNDE4217 Mtge","CPN")</f>
        <v>6</v>
      </c>
      <c r="G4076">
        <f>_xll.BDP("FNDE4217 Mtge","MTG_FACTOR")</f>
        <v>0.99373076999999999</v>
      </c>
      <c r="H4076">
        <f>_xll.BDP("FNDE4217 Mtge","MTG_WAL")</f>
        <v>3.4539</v>
      </c>
      <c r="I4076" t="str">
        <f>_xll.BDP("FNDE4217 Mtge","MTG_ORIG_WAL")</f>
        <v>#N/A N/A</v>
      </c>
    </row>
    <row r="4077" spans="1:9" x14ac:dyDescent="0.25">
      <c r="A4077" t="str">
        <f>_xll.BDP("FNDE4220 Mtge","ID_CUSIP")</f>
        <v>3140BGVN0</v>
      </c>
      <c r="B4077" t="str">
        <f>_xll.BDP("FNDE4220 Mtge","SECURITY_NAME")</f>
        <v>FN DE4220</v>
      </c>
      <c r="C4077" t="str">
        <f>_xll.BDP("FNDE4220 Mtge","GENERIC_TICKER_VINTAGE")</f>
        <v>FNCL 6 2025</v>
      </c>
      <c r="D4077" t="str">
        <f>_xll.BDP("FNDE4220 Mtge","CRNCY")</f>
        <v>USD</v>
      </c>
      <c r="E4077">
        <v>1058660</v>
      </c>
      <c r="F4077">
        <f>_xll.BDP("FNDE4220 Mtge","CPN")</f>
        <v>6</v>
      </c>
      <c r="G4077">
        <f>_xll.BDP("FNDE4220 Mtge","MTG_FACTOR")</f>
        <v>0.99016486999999997</v>
      </c>
      <c r="H4077">
        <f>_xll.BDP("FNDE4220 Mtge","MTG_WAL")</f>
        <v>3.45</v>
      </c>
      <c r="I4077" t="str">
        <f>_xll.BDP("FNDE4220 Mtge","MTG_ORIG_WAL")</f>
        <v>#N/A N/A</v>
      </c>
    </row>
    <row r="4078" spans="1:9" x14ac:dyDescent="0.25">
      <c r="A4078" t="str">
        <f>_xll.BDP("FNDE4223 Mtge","ID_CUSIP")</f>
        <v>3140BGVR1</v>
      </c>
      <c r="B4078" t="str">
        <f>_xll.BDP("FNDE4223 Mtge","SECURITY_NAME")</f>
        <v>FN DE4223</v>
      </c>
      <c r="C4078" t="str">
        <f>_xll.BDP("FNDE4223 Mtge","GENERIC_TICKER_VINTAGE")</f>
        <v>FNCL 6 2025</v>
      </c>
      <c r="D4078" t="str">
        <f>_xll.BDP("FNDE4223 Mtge","CRNCY")</f>
        <v>USD</v>
      </c>
      <c r="E4078">
        <v>1180319</v>
      </c>
      <c r="F4078">
        <f>_xll.BDP("FNDE4223 Mtge","CPN")</f>
        <v>6</v>
      </c>
      <c r="G4078">
        <f>_xll.BDP("FNDE4223 Mtge","MTG_FACTOR")</f>
        <v>0.65743700999999999</v>
      </c>
      <c r="H4078">
        <f>_xll.BDP("FNDE4223 Mtge","MTG_WAL")</f>
        <v>3.4516</v>
      </c>
      <c r="I4078" t="str">
        <f>_xll.BDP("FNDE4223 Mtge","MTG_ORIG_WAL")</f>
        <v>#N/A N/A</v>
      </c>
    </row>
    <row r="4079" spans="1:9" x14ac:dyDescent="0.25">
      <c r="A4079" t="str">
        <f>_xll.BDP("FNDE4234 Mtge","ID_CUSIP")</f>
        <v>3140BGV42</v>
      </c>
      <c r="B4079" t="str">
        <f>_xll.BDP("FNDE4234 Mtge","SECURITY_NAME")</f>
        <v>FN DE4234</v>
      </c>
      <c r="C4079" t="str">
        <f>_xll.BDP("FNDE4234 Mtge","GENERIC_TICKER_VINTAGE")</f>
        <v>FNCL 6 2025</v>
      </c>
      <c r="D4079" t="str">
        <f>_xll.BDP("FNDE4234 Mtge","CRNCY")</f>
        <v>USD</v>
      </c>
      <c r="E4079">
        <v>1276955</v>
      </c>
      <c r="F4079">
        <f>_xll.BDP("FNDE4234 Mtge","CPN")</f>
        <v>6</v>
      </c>
      <c r="G4079">
        <f>_xll.BDP("FNDE4234 Mtge","MTG_FACTOR")</f>
        <v>0.99401614000000005</v>
      </c>
      <c r="H4079">
        <f>_xll.BDP("FNDE4234 Mtge","MTG_WAL")</f>
        <v>3.4516</v>
      </c>
      <c r="I4079" t="str">
        <f>_xll.BDP("FNDE4234 Mtge","MTG_ORIG_WAL")</f>
        <v>#N/A N/A</v>
      </c>
    </row>
    <row r="4080" spans="1:9" x14ac:dyDescent="0.25">
      <c r="A4080" t="str">
        <f>_xll.BDP("FNDE4241 Mtge","ID_CUSIP")</f>
        <v>3140BGWB5</v>
      </c>
      <c r="B4080" t="str">
        <f>_xll.BDP("FNDE4241 Mtge","SECURITY_NAME")</f>
        <v>FN DE4241</v>
      </c>
      <c r="C4080" t="str">
        <f>_xll.BDP("FNDE4241 Mtge","GENERIC_TICKER_VINTAGE")</f>
        <v>FNCL 6 2025</v>
      </c>
      <c r="D4080" t="str">
        <f>_xll.BDP("FNDE4241 Mtge","CRNCY")</f>
        <v>USD</v>
      </c>
      <c r="E4080">
        <v>1276677</v>
      </c>
      <c r="F4080">
        <f>_xll.BDP("FNDE4241 Mtge","CPN")</f>
        <v>6</v>
      </c>
      <c r="G4080">
        <f>_xll.BDP("FNDE4241 Mtge","MTG_FACTOR")</f>
        <v>0.78686551000000005</v>
      </c>
      <c r="H4080">
        <f>_xll.BDP("FNDE4241 Mtge","MTG_WAL")</f>
        <v>3.3757000000000001</v>
      </c>
      <c r="I4080" t="str">
        <f>_xll.BDP("FNDE4241 Mtge","MTG_ORIG_WAL")</f>
        <v>#N/A N/A</v>
      </c>
    </row>
    <row r="4081" spans="1:9" x14ac:dyDescent="0.25">
      <c r="A4081" t="str">
        <f>_xll.BDP("FNDE4244 Mtge","ID_CUSIP")</f>
        <v>3140BGWE9</v>
      </c>
      <c r="B4081" t="str">
        <f>_xll.BDP("FNDE4244 Mtge","SECURITY_NAME")</f>
        <v>FN DE4244</v>
      </c>
      <c r="C4081" t="str">
        <f>_xll.BDP("FNDE4244 Mtge","GENERIC_TICKER_VINTAGE")</f>
        <v>FNCL 6 2025</v>
      </c>
      <c r="D4081" t="str">
        <f>_xll.BDP("FNDE4244 Mtge","CRNCY")</f>
        <v>USD</v>
      </c>
      <c r="E4081">
        <v>2073600</v>
      </c>
      <c r="F4081">
        <f>_xll.BDP("FNDE4244 Mtge","CPN")</f>
        <v>6</v>
      </c>
      <c r="G4081">
        <f>_xll.BDP("FNDE4244 Mtge","MTG_FACTOR")</f>
        <v>0.99320693999999998</v>
      </c>
      <c r="H4081">
        <f>_xll.BDP("FNDE4244 Mtge","MTG_WAL")</f>
        <v>3.3980999999999999</v>
      </c>
      <c r="I4081" t="str">
        <f>_xll.BDP("FNDE4244 Mtge","MTG_ORIG_WAL")</f>
        <v>#N/A N/A</v>
      </c>
    </row>
    <row r="4082" spans="1:9" x14ac:dyDescent="0.25">
      <c r="A4082" t="str">
        <f>_xll.BDP("FNDE4255 Mtge","ID_CUSIP")</f>
        <v>3140BGWR0</v>
      </c>
      <c r="B4082" t="str">
        <f>_xll.BDP("FNDE4255 Mtge","SECURITY_NAME")</f>
        <v>FN DE4255</v>
      </c>
      <c r="C4082" t="str">
        <f>_xll.BDP("FNDE4255 Mtge","GENERIC_TICKER_VINTAGE")</f>
        <v>FNCL 6 2025</v>
      </c>
      <c r="D4082" t="str">
        <f>_xll.BDP("FNDE4255 Mtge","CRNCY")</f>
        <v>USD</v>
      </c>
      <c r="E4082">
        <v>1437940</v>
      </c>
      <c r="F4082">
        <f>_xll.BDP("FNDE4255 Mtge","CPN")</f>
        <v>6</v>
      </c>
      <c r="G4082">
        <f>_xll.BDP("FNDE4255 Mtge","MTG_FACTOR")</f>
        <v>0.99322211999999999</v>
      </c>
      <c r="H4082">
        <f>_xll.BDP("FNDE4255 Mtge","MTG_WAL")</f>
        <v>3.3982999999999999</v>
      </c>
      <c r="I4082" t="str">
        <f>_xll.BDP("FNDE4255 Mtge","MTG_ORIG_WAL")</f>
        <v>#N/A N/A</v>
      </c>
    </row>
    <row r="4083" spans="1:9" x14ac:dyDescent="0.25">
      <c r="A4083" t="str">
        <f>_xll.BDP("FNDE4260 Mtge","ID_CUSIP")</f>
        <v>3140BGWW9</v>
      </c>
      <c r="B4083" t="str">
        <f>_xll.BDP("FNDE4260 Mtge","SECURITY_NAME")</f>
        <v>FN DE4260</v>
      </c>
      <c r="C4083" t="str">
        <f>_xll.BDP("FNDE4260 Mtge","GENERIC_TICKER_VINTAGE")</f>
        <v>FNCL 6 2025</v>
      </c>
      <c r="D4083" t="str">
        <f>_xll.BDP("FNDE4260 Mtge","CRNCY")</f>
        <v>USD</v>
      </c>
      <c r="E4083">
        <v>1311426</v>
      </c>
      <c r="F4083">
        <f>_xll.BDP("FNDE4260 Mtge","CPN")</f>
        <v>6</v>
      </c>
      <c r="G4083">
        <f>_xll.BDP("FNDE4260 Mtge","MTG_FACTOR")</f>
        <v>0.79326483999999997</v>
      </c>
      <c r="H4083">
        <f>_xll.BDP("FNDE4260 Mtge","MTG_WAL")</f>
        <v>3.3982999999999999</v>
      </c>
      <c r="I4083" t="str">
        <f>_xll.BDP("FNDE4260 Mtge","MTG_ORIG_WAL")</f>
        <v>#N/A N/A</v>
      </c>
    </row>
    <row r="4084" spans="1:9" x14ac:dyDescent="0.25">
      <c r="A4084" t="str">
        <f>_xll.BDP("FNDE4270 Mtge","ID_CUSIP")</f>
        <v>3140BGW82</v>
      </c>
      <c r="B4084" t="str">
        <f>_xll.BDP("FNDE4270 Mtge","SECURITY_NAME")</f>
        <v>FN DE4270</v>
      </c>
      <c r="C4084" t="str">
        <f>_xll.BDP("FNDE4270 Mtge","GENERIC_TICKER_VINTAGE")</f>
        <v>FNCL 6 2025</v>
      </c>
      <c r="D4084" t="str">
        <f>_xll.BDP("FNDE4270 Mtge","CRNCY")</f>
        <v>USD</v>
      </c>
      <c r="E4084">
        <v>2277725</v>
      </c>
      <c r="F4084">
        <f>_xll.BDP("FNDE4270 Mtge","CPN")</f>
        <v>6</v>
      </c>
      <c r="G4084">
        <f>_xll.BDP("FNDE4270 Mtge","MTG_FACTOR")</f>
        <v>0.98638881</v>
      </c>
      <c r="H4084">
        <f>_xll.BDP("FNDE4270 Mtge","MTG_WAL")</f>
        <v>3.3914</v>
      </c>
      <c r="I4084" t="str">
        <f>_xll.BDP("FNDE4270 Mtge","MTG_ORIG_WAL")</f>
        <v>#N/A N/A</v>
      </c>
    </row>
    <row r="4085" spans="1:9" x14ac:dyDescent="0.25">
      <c r="A4085" t="str">
        <f>_xll.BDP("FNDE4273 Mtge","ID_CUSIP")</f>
        <v>3140BGXB4</v>
      </c>
      <c r="B4085" t="str">
        <f>_xll.BDP("FNDE4273 Mtge","SECURITY_NAME")</f>
        <v>FN DE4273</v>
      </c>
      <c r="C4085" t="str">
        <f>_xll.BDP("FNDE4273 Mtge","GENERIC_TICKER_VINTAGE")</f>
        <v>FNCL 6 2025</v>
      </c>
      <c r="D4085" t="str">
        <f>_xll.BDP("FNDE4273 Mtge","CRNCY")</f>
        <v>USD</v>
      </c>
      <c r="E4085">
        <v>1902197</v>
      </c>
      <c r="F4085">
        <f>_xll.BDP("FNDE4273 Mtge","CPN")</f>
        <v>6</v>
      </c>
      <c r="G4085">
        <f>_xll.BDP("FNDE4273 Mtge","MTG_FACTOR")</f>
        <v>0.98998870000000005</v>
      </c>
      <c r="H4085">
        <f>_xll.BDP("FNDE4273 Mtge","MTG_WAL")</f>
        <v>3.3957999999999999</v>
      </c>
      <c r="I4085" t="str">
        <f>_xll.BDP("FNDE4273 Mtge","MTG_ORIG_WAL")</f>
        <v>#N/A N/A</v>
      </c>
    </row>
    <row r="4086" spans="1:9" x14ac:dyDescent="0.25">
      <c r="A4086" t="str">
        <f>_xll.BDP("FNDE4294 Mtge","ID_CUSIP")</f>
        <v>3140BGXY4</v>
      </c>
      <c r="B4086" t="str">
        <f>_xll.BDP("FNDE4294 Mtge","SECURITY_NAME")</f>
        <v>FN DE4294</v>
      </c>
      <c r="C4086" t="str">
        <f>_xll.BDP("FNDE4294 Mtge","GENERIC_TICKER_VINTAGE")</f>
        <v>FNCL 6 2025</v>
      </c>
      <c r="D4086" t="str">
        <f>_xll.BDP("FNDE4294 Mtge","CRNCY")</f>
        <v>USD</v>
      </c>
      <c r="E4086">
        <v>1420000</v>
      </c>
      <c r="F4086">
        <f>_xll.BDP("FNDE4294 Mtge","CPN")</f>
        <v>6</v>
      </c>
      <c r="G4086">
        <f>_xll.BDP("FNDE4294 Mtge","MTG_FACTOR")</f>
        <v>0.99020432000000003</v>
      </c>
      <c r="H4086">
        <f>_xll.BDP("FNDE4294 Mtge","MTG_WAL")</f>
        <v>3.3936000000000002</v>
      </c>
      <c r="I4086" t="str">
        <f>_xll.BDP("FNDE4294 Mtge","MTG_ORIG_WAL")</f>
        <v>#N/A N/A</v>
      </c>
    </row>
    <row r="4087" spans="1:9" x14ac:dyDescent="0.25">
      <c r="A4087" t="str">
        <f>_xll.BDP("FNDE4296 Mtge","ID_CUSIP")</f>
        <v>3140BGX24</v>
      </c>
      <c r="B4087" t="str">
        <f>_xll.BDP("FNDE4296 Mtge","SECURITY_NAME")</f>
        <v>FN DE4296</v>
      </c>
      <c r="C4087" t="str">
        <f>_xll.BDP("FNDE4296 Mtge","GENERIC_TICKER_VINTAGE")</f>
        <v>FNCL 6 2025</v>
      </c>
      <c r="D4087" t="str">
        <f>_xll.BDP("FNDE4296 Mtge","CRNCY")</f>
        <v>USD</v>
      </c>
      <c r="E4087">
        <v>1319400</v>
      </c>
      <c r="F4087">
        <f>_xll.BDP("FNDE4296 Mtge","CPN")</f>
        <v>6</v>
      </c>
      <c r="G4087">
        <f>_xll.BDP("FNDE4296 Mtge","MTG_FACTOR")</f>
        <v>0.99107997999999997</v>
      </c>
      <c r="H4087">
        <f>_xll.BDP("FNDE4296 Mtge","MTG_WAL")</f>
        <v>3.3963000000000001</v>
      </c>
      <c r="I4087" t="str">
        <f>_xll.BDP("FNDE4296 Mtge","MTG_ORIG_WAL")</f>
        <v>#N/A N/A</v>
      </c>
    </row>
    <row r="4088" spans="1:9" x14ac:dyDescent="0.25">
      <c r="A4088" t="str">
        <f>_xll.BDP("FNDE4298 Mtge","ID_CUSIP")</f>
        <v>3140BGX40</v>
      </c>
      <c r="B4088" t="str">
        <f>_xll.BDP("FNDE4298 Mtge","SECURITY_NAME")</f>
        <v>FN DE4298</v>
      </c>
      <c r="C4088" t="str">
        <f>_xll.BDP("FNDE4298 Mtge","GENERIC_TICKER_VINTAGE")</f>
        <v>FNCL 6 2025</v>
      </c>
      <c r="D4088" t="str">
        <f>_xll.BDP("FNDE4298 Mtge","CRNCY")</f>
        <v>USD</v>
      </c>
      <c r="E4088">
        <v>1691385</v>
      </c>
      <c r="F4088">
        <f>_xll.BDP("FNDE4298 Mtge","CPN")</f>
        <v>6</v>
      </c>
      <c r="G4088">
        <f>_xll.BDP("FNDE4298 Mtge","MTG_FACTOR")</f>
        <v>0.99189090000000002</v>
      </c>
      <c r="H4088">
        <f>_xll.BDP("FNDE4298 Mtge","MTG_WAL")</f>
        <v>3.3972000000000002</v>
      </c>
      <c r="I4088" t="str">
        <f>_xll.BDP("FNDE4298 Mtge","MTG_ORIG_WAL")</f>
        <v>#N/A N/A</v>
      </c>
    </row>
    <row r="4089" spans="1:9" x14ac:dyDescent="0.25">
      <c r="A4089" t="str">
        <f>_xll.BDP("FNDE4300 Mtge","ID_CUSIP")</f>
        <v>3140BGX65</v>
      </c>
      <c r="B4089" t="str">
        <f>_xll.BDP("FNDE4300 Mtge","SECURITY_NAME")</f>
        <v>FN DE4300</v>
      </c>
      <c r="C4089" t="str">
        <f>_xll.BDP("FNDE4300 Mtge","GENERIC_TICKER_VINTAGE")</f>
        <v>FNCL 6 2025</v>
      </c>
      <c r="D4089" t="str">
        <f>_xll.BDP("FNDE4300 Mtge","CRNCY")</f>
        <v>USD</v>
      </c>
      <c r="E4089">
        <v>1133130</v>
      </c>
      <c r="F4089">
        <f>_xll.BDP("FNDE4300 Mtge","CPN")</f>
        <v>6</v>
      </c>
      <c r="G4089">
        <f>_xll.BDP("FNDE4300 Mtge","MTG_FACTOR")</f>
        <v>0.99328567000000001</v>
      </c>
      <c r="H4089">
        <f>_xll.BDP("FNDE4300 Mtge","MTG_WAL")</f>
        <v>3.3995000000000002</v>
      </c>
      <c r="I4089" t="str">
        <f>_xll.BDP("FNDE4300 Mtge","MTG_ORIG_WAL")</f>
        <v>#N/A N/A</v>
      </c>
    </row>
    <row r="4090" spans="1:9" x14ac:dyDescent="0.25">
      <c r="A4090" t="str">
        <f>_xll.BDP("FNDE4301 Mtge","ID_CUSIP")</f>
        <v>3140BGX73</v>
      </c>
      <c r="B4090" t="str">
        <f>_xll.BDP("FNDE4301 Mtge","SECURITY_NAME")</f>
        <v>FN DE4301</v>
      </c>
      <c r="C4090" t="str">
        <f>_xll.BDP("FNDE4301 Mtge","GENERIC_TICKER_VINTAGE")</f>
        <v>FNCL 6 2025</v>
      </c>
      <c r="D4090" t="str">
        <f>_xll.BDP("FNDE4301 Mtge","CRNCY")</f>
        <v>USD</v>
      </c>
      <c r="E4090">
        <v>1322080</v>
      </c>
      <c r="F4090">
        <f>_xll.BDP("FNDE4301 Mtge","CPN")</f>
        <v>6</v>
      </c>
      <c r="G4090">
        <f>_xll.BDP("FNDE4301 Mtge","MTG_FACTOR")</f>
        <v>0.99318174000000004</v>
      </c>
      <c r="H4090">
        <f>_xll.BDP("FNDE4301 Mtge","MTG_WAL")</f>
        <v>3.3976999999999999</v>
      </c>
      <c r="I4090" t="str">
        <f>_xll.BDP("FNDE4301 Mtge","MTG_ORIG_WAL")</f>
        <v>#N/A N/A</v>
      </c>
    </row>
    <row r="4091" spans="1:9" x14ac:dyDescent="0.25">
      <c r="A4091" t="str">
        <f>_xll.BDP("FNDE4302 Mtge","ID_CUSIP")</f>
        <v>3140BGX81</v>
      </c>
      <c r="B4091" t="str">
        <f>_xll.BDP("FNDE4302 Mtge","SECURITY_NAME")</f>
        <v>FN DE4302</v>
      </c>
      <c r="C4091" t="str">
        <f>_xll.BDP("FNDE4302 Mtge","GENERIC_TICKER_VINTAGE")</f>
        <v>FNCL 6 2025</v>
      </c>
      <c r="D4091" t="str">
        <f>_xll.BDP("FNDE4302 Mtge","CRNCY")</f>
        <v>USD</v>
      </c>
      <c r="E4091">
        <v>3371716</v>
      </c>
      <c r="F4091">
        <f>_xll.BDP("FNDE4302 Mtge","CPN")</f>
        <v>6</v>
      </c>
      <c r="G4091">
        <f>_xll.BDP("FNDE4302 Mtge","MTG_FACTOR")</f>
        <v>0.99263453000000001</v>
      </c>
      <c r="H4091">
        <f>_xll.BDP("FNDE4302 Mtge","MTG_WAL")</f>
        <v>3.3961999999999999</v>
      </c>
      <c r="I4091" t="str">
        <f>_xll.BDP("FNDE4302 Mtge","MTG_ORIG_WAL")</f>
        <v>#N/A N/A</v>
      </c>
    </row>
    <row r="4092" spans="1:9" x14ac:dyDescent="0.25">
      <c r="A4092" t="str">
        <f>_xll.BDP("FNDE4316 Mtge","ID_CUSIP")</f>
        <v>3140BGYN7</v>
      </c>
      <c r="B4092" t="str">
        <f>_xll.BDP("FNDE4316 Mtge","SECURITY_NAME")</f>
        <v>FN DE4316</v>
      </c>
      <c r="C4092" t="str">
        <f>_xll.BDP("FNDE4316 Mtge","GENERIC_TICKER_VINTAGE")</f>
        <v>FNCL 6 2025</v>
      </c>
      <c r="D4092" t="str">
        <f>_xll.BDP("FNDE4316 Mtge","CRNCY")</f>
        <v>USD</v>
      </c>
      <c r="E4092">
        <v>3073996</v>
      </c>
      <c r="F4092">
        <f>_xll.BDP("FNDE4316 Mtge","CPN")</f>
        <v>6</v>
      </c>
      <c r="G4092">
        <f>_xll.BDP("FNDE4316 Mtge","MTG_FACTOR")</f>
        <v>0.87862777000000003</v>
      </c>
      <c r="H4092">
        <f>_xll.BDP("FNDE4316 Mtge","MTG_WAL")</f>
        <v>3.3971</v>
      </c>
      <c r="I4092" t="str">
        <f>_xll.BDP("FNDE4316 Mtge","MTG_ORIG_WAL")</f>
        <v>#N/A N/A</v>
      </c>
    </row>
    <row r="4093" spans="1:9" x14ac:dyDescent="0.25">
      <c r="A4093" t="str">
        <f>_xll.BDP("FNDE4336 Mtge","ID_CUSIP")</f>
        <v>3140BGZA4</v>
      </c>
      <c r="B4093" t="str">
        <f>_xll.BDP("FNDE4336 Mtge","SECURITY_NAME")</f>
        <v>FN DE4336</v>
      </c>
      <c r="C4093" t="str">
        <f>_xll.BDP("FNDE4336 Mtge","GENERIC_TICKER_VINTAGE")</f>
        <v>FNCL 6 2025</v>
      </c>
      <c r="D4093" t="str">
        <f>_xll.BDP("FNDE4336 Mtge","CRNCY")</f>
        <v>USD</v>
      </c>
      <c r="E4093">
        <v>1003942</v>
      </c>
      <c r="F4093">
        <f>_xll.BDP("FNDE4336 Mtge","CPN")</f>
        <v>6</v>
      </c>
      <c r="G4093">
        <f>_xll.BDP("FNDE4336 Mtge","MTG_FACTOR")</f>
        <v>0.88699549</v>
      </c>
      <c r="H4093">
        <f>_xll.BDP("FNDE4336 Mtge","MTG_WAL")</f>
        <v>3.3837000000000002</v>
      </c>
      <c r="I4093" t="str">
        <f>_xll.BDP("FNDE4336 Mtge","MTG_ORIG_WAL")</f>
        <v>#N/A N/A</v>
      </c>
    </row>
    <row r="4094" spans="1:9" x14ac:dyDescent="0.25">
      <c r="A4094" t="str">
        <f>_xll.BDP("FNDE4339 Mtge","ID_CUSIP")</f>
        <v>3140BGZD8</v>
      </c>
      <c r="B4094" t="str">
        <f>_xll.BDP("FNDE4339 Mtge","SECURITY_NAME")</f>
        <v>FN DE4339</v>
      </c>
      <c r="C4094" t="str">
        <f>_xll.BDP("FNDE4339 Mtge","GENERIC_TICKER_VINTAGE")</f>
        <v>FNCL 6 2025</v>
      </c>
      <c r="D4094" t="str">
        <f>_xll.BDP("FNDE4339 Mtge","CRNCY")</f>
        <v>USD</v>
      </c>
      <c r="E4094">
        <v>1274923</v>
      </c>
      <c r="F4094">
        <f>_xll.BDP("FNDE4339 Mtge","CPN")</f>
        <v>6</v>
      </c>
      <c r="G4094">
        <f>_xll.BDP("FNDE4339 Mtge","MTG_FACTOR")</f>
        <v>0.74369764999999999</v>
      </c>
      <c r="H4094">
        <f>_xll.BDP("FNDE4339 Mtge","MTG_WAL")</f>
        <v>3.4508000000000001</v>
      </c>
      <c r="I4094" t="str">
        <f>_xll.BDP("FNDE4339 Mtge","MTG_ORIG_WAL")</f>
        <v>#N/A N/A</v>
      </c>
    </row>
    <row r="4095" spans="1:9" x14ac:dyDescent="0.25">
      <c r="A4095" t="str">
        <f>_xll.BDP("FNDE4341 Mtge","ID_CUSIP")</f>
        <v>3140BGZF3</v>
      </c>
      <c r="B4095" t="str">
        <f>_xll.BDP("FNDE4341 Mtge","SECURITY_NAME")</f>
        <v>FN DE4341</v>
      </c>
      <c r="C4095" t="str">
        <f>_xll.BDP("FNDE4341 Mtge","GENERIC_TICKER_VINTAGE")</f>
        <v>FNCL 6 2025</v>
      </c>
      <c r="D4095" t="str">
        <f>_xll.BDP("FNDE4341 Mtge","CRNCY")</f>
        <v>USD</v>
      </c>
      <c r="E4095">
        <v>1038900</v>
      </c>
      <c r="F4095">
        <f>_xll.BDP("FNDE4341 Mtge","CPN")</f>
        <v>6</v>
      </c>
      <c r="G4095">
        <f>_xll.BDP("FNDE4341 Mtge","MTG_FACTOR")</f>
        <v>0.99393589000000004</v>
      </c>
      <c r="H4095">
        <f>_xll.BDP("FNDE4341 Mtge","MTG_WAL")</f>
        <v>3.4529999999999998</v>
      </c>
      <c r="I4095" t="str">
        <f>_xll.BDP("FNDE4341 Mtge","MTG_ORIG_WAL")</f>
        <v>#N/A N/A</v>
      </c>
    </row>
    <row r="4096" spans="1:9" x14ac:dyDescent="0.25">
      <c r="A4096" t="str">
        <f>_xll.BDP("FNDE4589 Mtge","ID_CUSIP")</f>
        <v>3140BHC33</v>
      </c>
      <c r="B4096" t="str">
        <f>_xll.BDP("FNDE4589 Mtge","SECURITY_NAME")</f>
        <v>FN DE4589</v>
      </c>
      <c r="C4096" t="str">
        <f>_xll.BDP("FNDE4589 Mtge","GENERIC_TICKER_VINTAGE")</f>
        <v>FNCL 6 2025</v>
      </c>
      <c r="D4096" t="str">
        <f>_xll.BDP("FNDE4589 Mtge","CRNCY")</f>
        <v>USD</v>
      </c>
      <c r="E4096">
        <v>12903831</v>
      </c>
      <c r="F4096">
        <f>_xll.BDP("FNDE4589 Mtge","CPN")</f>
        <v>6</v>
      </c>
      <c r="G4096">
        <f>_xll.BDP("FNDE4589 Mtge","MTG_FACTOR")</f>
        <v>0.90667989000000004</v>
      </c>
      <c r="H4096">
        <f>_xll.BDP("FNDE4589 Mtge","MTG_WAL")</f>
        <v>3.3912</v>
      </c>
      <c r="I4096" t="str">
        <f>_xll.BDP("FNDE4589 Mtge","MTG_ORIG_WAL")</f>
        <v>#N/A N/A</v>
      </c>
    </row>
    <row r="4097" spans="1:9" x14ac:dyDescent="0.25">
      <c r="A4097" t="str">
        <f>_xll.BDP("FNDE4638 Mtge","ID_CUSIP")</f>
        <v>3140BHEL1</v>
      </c>
      <c r="B4097" t="str">
        <f>_xll.BDP("FNDE4638 Mtge","SECURITY_NAME")</f>
        <v>FN DE4638</v>
      </c>
      <c r="C4097" t="str">
        <f>_xll.BDP("FNDE4638 Mtge","GENERIC_TICKER_VINTAGE")</f>
        <v>FNCL 6 2025</v>
      </c>
      <c r="D4097" t="str">
        <f>_xll.BDP("FNDE4638 Mtge","CRNCY")</f>
        <v>USD</v>
      </c>
      <c r="E4097">
        <v>13094075</v>
      </c>
      <c r="F4097">
        <f>_xll.BDP("FNDE4638 Mtge","CPN")</f>
        <v>6</v>
      </c>
      <c r="G4097">
        <f>_xll.BDP("FNDE4638 Mtge","MTG_FACTOR")</f>
        <v>0.94528964999999998</v>
      </c>
      <c r="H4097">
        <f>_xll.BDP("FNDE4638 Mtge","MTG_WAL")</f>
        <v>3.3954</v>
      </c>
      <c r="I4097" t="str">
        <f>_xll.BDP("FNDE4638 Mtge","MTG_ORIG_WAL")</f>
        <v>#N/A N/A</v>
      </c>
    </row>
    <row r="4098" spans="1:9" x14ac:dyDescent="0.25">
      <c r="A4098" t="str">
        <f>_xll.BDP("FNDE4662 Mtge","ID_CUSIP")</f>
        <v>3140BHFC0</v>
      </c>
      <c r="B4098" t="str">
        <f>_xll.BDP("FNDE4662 Mtge","SECURITY_NAME")</f>
        <v>FN DE4662</v>
      </c>
      <c r="C4098" t="str">
        <f>_xll.BDP("FNDE4662 Mtge","GENERIC_TICKER_VINTAGE")</f>
        <v>FNCL 6 2025</v>
      </c>
      <c r="D4098" t="str">
        <f>_xll.BDP("FNDE4662 Mtge","CRNCY")</f>
        <v>USD</v>
      </c>
      <c r="E4098">
        <v>8485281</v>
      </c>
      <c r="F4098">
        <f>_xll.BDP("FNDE4662 Mtge","CPN")</f>
        <v>6</v>
      </c>
      <c r="G4098">
        <f>_xll.BDP("FNDE4662 Mtge","MTG_FACTOR")</f>
        <v>0.98112505000000005</v>
      </c>
      <c r="H4098">
        <f>_xll.BDP("FNDE4662 Mtge","MTG_WAL")</f>
        <v>3.3290000000000002</v>
      </c>
      <c r="I4098" t="str">
        <f>_xll.BDP("FNDE4662 Mtge","MTG_ORIG_WAL")</f>
        <v>#N/A N/A</v>
      </c>
    </row>
    <row r="4099" spans="1:9" x14ac:dyDescent="0.25">
      <c r="A4099" t="str">
        <f>_xll.BDP("FNDE4665 Mtge","ID_CUSIP")</f>
        <v>3140BHFF3</v>
      </c>
      <c r="B4099" t="str">
        <f>_xll.BDP("FNDE4665 Mtge","SECURITY_NAME")</f>
        <v>FN DE4665</v>
      </c>
      <c r="C4099" t="str">
        <f>_xll.BDP("FNDE4665 Mtge","GENERIC_TICKER_VINTAGE")</f>
        <v>FNCL 6 2025</v>
      </c>
      <c r="D4099" t="str">
        <f>_xll.BDP("FNDE4665 Mtge","CRNCY")</f>
        <v>USD</v>
      </c>
      <c r="E4099">
        <v>8692002</v>
      </c>
      <c r="F4099">
        <f>_xll.BDP("FNDE4665 Mtge","CPN")</f>
        <v>6</v>
      </c>
      <c r="G4099">
        <f>_xll.BDP("FNDE4665 Mtge","MTG_FACTOR")</f>
        <v>0.95906451000000004</v>
      </c>
      <c r="H4099">
        <f>_xll.BDP("FNDE4665 Mtge","MTG_WAL")</f>
        <v>3.3447</v>
      </c>
      <c r="I4099" t="str">
        <f>_xll.BDP("FNDE4665 Mtge","MTG_ORIG_WAL")</f>
        <v>#N/A N/A</v>
      </c>
    </row>
    <row r="4100" spans="1:9" x14ac:dyDescent="0.25">
      <c r="A4100" t="str">
        <f>_xll.BDP("FNDE4727 Mtge","ID_CUSIP")</f>
        <v>3140BHHD6</v>
      </c>
      <c r="B4100" t="str">
        <f>_xll.BDP("FNDE4727 Mtge","SECURITY_NAME")</f>
        <v>FN DE4727</v>
      </c>
      <c r="C4100" t="str">
        <f>_xll.BDP("FNDE4727 Mtge","GENERIC_TICKER_VINTAGE")</f>
        <v>FNCL 6 2025</v>
      </c>
      <c r="D4100" t="str">
        <f>_xll.BDP("FNDE4727 Mtge","CRNCY")</f>
        <v>USD</v>
      </c>
      <c r="E4100">
        <v>4154315</v>
      </c>
      <c r="F4100">
        <f>_xll.BDP("FNDE4727 Mtge","CPN")</f>
        <v>6</v>
      </c>
      <c r="G4100">
        <f>_xll.BDP("FNDE4727 Mtge","MTG_FACTOR")</f>
        <v>0.88595931999999999</v>
      </c>
      <c r="H4100">
        <f>_xll.BDP("FNDE4727 Mtge","MTG_WAL")</f>
        <v>3.3959000000000001</v>
      </c>
      <c r="I4100" t="str">
        <f>_xll.BDP("FNDE4727 Mtge","MTG_ORIG_WAL")</f>
        <v>#N/A N/A</v>
      </c>
    </row>
    <row r="4101" spans="1:9" x14ac:dyDescent="0.25">
      <c r="A4101" t="str">
        <f>_xll.BDP("FNDE4758 Mtge","ID_CUSIP")</f>
        <v>3140BHJC6</v>
      </c>
      <c r="B4101" t="str">
        <f>_xll.BDP("FNDE4758 Mtge","SECURITY_NAME")</f>
        <v>FN DE4758</v>
      </c>
      <c r="C4101" t="str">
        <f>_xll.BDP("FNDE4758 Mtge","GENERIC_TICKER_VINTAGE")</f>
        <v>FNCL 6 2025</v>
      </c>
      <c r="D4101" t="str">
        <f>_xll.BDP("FNDE4758 Mtge","CRNCY")</f>
        <v>USD</v>
      </c>
      <c r="E4101">
        <v>1184952</v>
      </c>
      <c r="F4101">
        <f>_xll.BDP("FNDE4758 Mtge","CPN")</f>
        <v>6</v>
      </c>
      <c r="G4101">
        <f>_xll.BDP("FNDE4758 Mtge","MTG_FACTOR")</f>
        <v>0.98737162999999994</v>
      </c>
      <c r="H4101">
        <f>_xll.BDP("FNDE4758 Mtge","MTG_WAL")</f>
        <v>3.3391000000000002</v>
      </c>
      <c r="I4101" t="str">
        <f>_xll.BDP("FNDE4758 Mtge","MTG_ORIG_WAL")</f>
        <v>#N/A N/A</v>
      </c>
    </row>
    <row r="4102" spans="1:9" x14ac:dyDescent="0.25">
      <c r="A4102" t="str">
        <f>_xll.BDP("FNDE4862 Mtge","ID_CUSIP")</f>
        <v>3140BHML2</v>
      </c>
      <c r="B4102" t="str">
        <f>_xll.BDP("FNDE4862 Mtge","SECURITY_NAME")</f>
        <v>FN DE4862</v>
      </c>
      <c r="C4102" t="str">
        <f>_xll.BDP("FNDE4862 Mtge","GENERIC_TICKER_VINTAGE")</f>
        <v>FNCL 6 2025</v>
      </c>
      <c r="D4102" t="str">
        <f>_xll.BDP("FNDE4862 Mtge","CRNCY")</f>
        <v>USD</v>
      </c>
      <c r="E4102">
        <v>5371534</v>
      </c>
      <c r="F4102">
        <f>_xll.BDP("FNDE4862 Mtge","CPN")</f>
        <v>6</v>
      </c>
      <c r="G4102">
        <f>_xll.BDP("FNDE4862 Mtge","MTG_FACTOR")</f>
        <v>0.99303933</v>
      </c>
      <c r="H4102">
        <f>_xll.BDP("FNDE4862 Mtge","MTG_WAL")</f>
        <v>3.3456000000000001</v>
      </c>
      <c r="I4102" t="str">
        <f>_xll.BDP("FNDE4862 Mtge","MTG_ORIG_WAL")</f>
        <v>#N/A N/A</v>
      </c>
    </row>
    <row r="4103" spans="1:9" x14ac:dyDescent="0.25">
      <c r="A4103" t="str">
        <f>_xll.BDP("FNDE4950 Mtge","ID_CUSIP")</f>
        <v>3140BHQC8</v>
      </c>
      <c r="B4103" t="str">
        <f>_xll.BDP("FNDE4950 Mtge","SECURITY_NAME")</f>
        <v>FN DE4950</v>
      </c>
      <c r="C4103" t="str">
        <f>_xll.BDP("FNDE4950 Mtge","GENERIC_TICKER_VINTAGE")</f>
        <v>FNCL 6 2025</v>
      </c>
      <c r="D4103" t="str">
        <f>_xll.BDP("FNDE4950 Mtge","CRNCY")</f>
        <v>USD</v>
      </c>
      <c r="E4103">
        <v>530703</v>
      </c>
      <c r="F4103">
        <f>_xll.BDP("FNDE4950 Mtge","CPN")</f>
        <v>6</v>
      </c>
      <c r="G4103">
        <f>_xll.BDP("FNDE4950 Mtge","MTG_FACTOR")</f>
        <v>0.99249217999999995</v>
      </c>
      <c r="H4103">
        <f>_xll.BDP("FNDE4950 Mtge","MTG_WAL")</f>
        <v>3.3355999999999999</v>
      </c>
      <c r="I4103" t="str">
        <f>_xll.BDP("FNDE4950 Mtge","MTG_ORIG_WAL")</f>
        <v>#N/A N/A</v>
      </c>
    </row>
    <row r="4104" spans="1:9" x14ac:dyDescent="0.25">
      <c r="A4104" t="str">
        <f>_xll.BDP("FNDE4963 Mtge","ID_CUSIP")</f>
        <v>3140BHQR5</v>
      </c>
      <c r="B4104" t="str">
        <f>_xll.BDP("FNDE4963 Mtge","SECURITY_NAME")</f>
        <v>FN DE4963</v>
      </c>
      <c r="C4104" t="str">
        <f>_xll.BDP("FNDE4963 Mtge","GENERIC_TICKER_VINTAGE")</f>
        <v>FNCL 6 2025</v>
      </c>
      <c r="D4104" t="str">
        <f>_xll.BDP("FNDE4963 Mtge","CRNCY")</f>
        <v>USD</v>
      </c>
      <c r="E4104">
        <v>1365747</v>
      </c>
      <c r="F4104">
        <f>_xll.BDP("FNDE4963 Mtge","CPN")</f>
        <v>6</v>
      </c>
      <c r="G4104">
        <f>_xll.BDP("FNDE4963 Mtge","MTG_FACTOR")</f>
        <v>0.98059227999999998</v>
      </c>
      <c r="H4104">
        <f>_xll.BDP("FNDE4963 Mtge","MTG_WAL")</f>
        <v>3.3351000000000002</v>
      </c>
      <c r="I4104" t="str">
        <f>_xll.BDP("FNDE4963 Mtge","MTG_ORIG_WAL")</f>
        <v>#N/A N/A</v>
      </c>
    </row>
    <row r="4105" spans="1:9" x14ac:dyDescent="0.25">
      <c r="A4105" t="str">
        <f>_xll.BDP("FNDE5083 Mtge","ID_CUSIP")</f>
        <v>3140BHUH2</v>
      </c>
      <c r="B4105" t="str">
        <f>_xll.BDP("FNDE5083 Mtge","SECURITY_NAME")</f>
        <v>FN DE5083</v>
      </c>
      <c r="C4105" t="str">
        <f>_xll.BDP("FNDE5083 Mtge","GENERIC_TICKER_VINTAGE")</f>
        <v>FNCL 6 2025</v>
      </c>
      <c r="D4105" t="str">
        <f>_xll.BDP("FNDE5083 Mtge","CRNCY")</f>
        <v>USD</v>
      </c>
      <c r="E4105">
        <v>1795949</v>
      </c>
      <c r="F4105">
        <f>_xll.BDP("FNDE5083 Mtge","CPN")</f>
        <v>6</v>
      </c>
      <c r="G4105">
        <f>_xll.BDP("FNDE5083 Mtge","MTG_FACTOR")</f>
        <v>0.99012102999999996</v>
      </c>
      <c r="H4105">
        <f>_xll.BDP("FNDE5083 Mtge","MTG_WAL")</f>
        <v>3.3403999999999998</v>
      </c>
      <c r="I4105" t="str">
        <f>_xll.BDP("FNDE5083 Mtge","MTG_ORIG_WAL")</f>
        <v>#N/A N/A</v>
      </c>
    </row>
    <row r="4106" spans="1:9" x14ac:dyDescent="0.25">
      <c r="A4106" t="str">
        <f>_xll.BDP("FNDE5126 Mtge","ID_CUSIP")</f>
        <v>3140BHVU2</v>
      </c>
      <c r="B4106" t="str">
        <f>_xll.BDP("FNDE5126 Mtge","SECURITY_NAME")</f>
        <v>FN DE5126</v>
      </c>
      <c r="C4106" t="str">
        <f>_xll.BDP("FNDE5126 Mtge","GENERIC_TICKER_VINTAGE")</f>
        <v>FNCL 6 2025</v>
      </c>
      <c r="D4106" t="str">
        <f>_xll.BDP("FNDE5126 Mtge","CRNCY")</f>
        <v>USD</v>
      </c>
      <c r="E4106">
        <v>4933550</v>
      </c>
      <c r="F4106">
        <f>_xll.BDP("FNDE5126 Mtge","CPN")</f>
        <v>6</v>
      </c>
      <c r="G4106">
        <f>_xll.BDP("FNDE5126 Mtge","MTG_FACTOR")</f>
        <v>0.86203996999999999</v>
      </c>
      <c r="H4106">
        <f>_xll.BDP("FNDE5126 Mtge","MTG_WAL")</f>
        <v>3.3898999999999999</v>
      </c>
      <c r="I4106" t="str">
        <f>_xll.BDP("FNDE5126 Mtge","MTG_ORIG_WAL")</f>
        <v>#N/A N/A</v>
      </c>
    </row>
    <row r="4107" spans="1:9" x14ac:dyDescent="0.25">
      <c r="A4107" t="str">
        <f>_xll.BDP("FNDE5140 Mtge","ID_CUSIP")</f>
        <v>3140BHWA5</v>
      </c>
      <c r="B4107" t="str">
        <f>_xll.BDP("FNDE5140 Mtge","SECURITY_NAME")</f>
        <v>FN DE5140</v>
      </c>
      <c r="C4107" t="str">
        <f>_xll.BDP("FNDE5140 Mtge","GENERIC_TICKER_VINTAGE")</f>
        <v>FNCL 6 2025</v>
      </c>
      <c r="D4107" t="str">
        <f>_xll.BDP("FNDE5140 Mtge","CRNCY")</f>
        <v>USD</v>
      </c>
      <c r="E4107">
        <v>3541405</v>
      </c>
      <c r="F4107">
        <f>_xll.BDP("FNDE5140 Mtge","CPN")</f>
        <v>6</v>
      </c>
      <c r="G4107">
        <f>_xll.BDP("FNDE5140 Mtge","MTG_FACTOR")</f>
        <v>0.99218998999999997</v>
      </c>
      <c r="H4107">
        <f>_xll.BDP("FNDE5140 Mtge","MTG_WAL")</f>
        <v>3.3976999999999999</v>
      </c>
      <c r="I4107" t="str">
        <f>_xll.BDP("FNDE5140 Mtge","MTG_ORIG_WAL")</f>
        <v>#N/A N/A</v>
      </c>
    </row>
    <row r="4108" spans="1:9" x14ac:dyDescent="0.25">
      <c r="A4108" t="str">
        <f>_xll.BDP("FNDE5150 Mtge","ID_CUSIP")</f>
        <v>3140BHWL1</v>
      </c>
      <c r="B4108" t="str">
        <f>_xll.BDP("FNDE5150 Mtge","SECURITY_NAME")</f>
        <v>FN DE5150</v>
      </c>
      <c r="C4108" t="str">
        <f>_xll.BDP("FNDE5150 Mtge","GENERIC_TICKER_VINTAGE")</f>
        <v>FNCL 6 2025</v>
      </c>
      <c r="D4108" t="str">
        <f>_xll.BDP("FNDE5150 Mtge","CRNCY")</f>
        <v>USD</v>
      </c>
      <c r="E4108">
        <v>5470786</v>
      </c>
      <c r="F4108">
        <f>_xll.BDP("FNDE5150 Mtge","CPN")</f>
        <v>6</v>
      </c>
      <c r="G4108">
        <f>_xll.BDP("FNDE5150 Mtge","MTG_FACTOR")</f>
        <v>0.99253913999999999</v>
      </c>
      <c r="H4108">
        <f>_xll.BDP("FNDE5150 Mtge","MTG_WAL")</f>
        <v>3.3976000000000002</v>
      </c>
      <c r="I4108" t="str">
        <f>_xll.BDP("FNDE5150 Mtge","MTG_ORIG_WAL")</f>
        <v>#N/A N/A</v>
      </c>
    </row>
    <row r="4109" spans="1:9" x14ac:dyDescent="0.25">
      <c r="A4109" t="str">
        <f>_xll.BDP("FNDE5174 Mtge","ID_CUSIP")</f>
        <v>3140BHXC0</v>
      </c>
      <c r="B4109" t="str">
        <f>_xll.BDP("FNDE5174 Mtge","SECURITY_NAME")</f>
        <v>FN DE5174</v>
      </c>
      <c r="C4109" t="str">
        <f>_xll.BDP("FNDE5174 Mtge","GENERIC_TICKER_VINTAGE")</f>
        <v>FNCL 6 2025</v>
      </c>
      <c r="D4109" t="str">
        <f>_xll.BDP("FNDE5174 Mtge","CRNCY")</f>
        <v>USD</v>
      </c>
      <c r="E4109">
        <v>7105037</v>
      </c>
      <c r="F4109">
        <f>_xll.BDP("FNDE5174 Mtge","CPN")</f>
        <v>6</v>
      </c>
      <c r="G4109">
        <f>_xll.BDP("FNDE5174 Mtge","MTG_FACTOR")</f>
        <v>0.98415032000000002</v>
      </c>
      <c r="H4109">
        <f>_xll.BDP("FNDE5174 Mtge","MTG_WAL")</f>
        <v>3.3921999999999999</v>
      </c>
      <c r="I4109" t="str">
        <f>_xll.BDP("FNDE5174 Mtge","MTG_ORIG_WAL")</f>
        <v>#N/A N/A</v>
      </c>
    </row>
    <row r="4110" spans="1:9" x14ac:dyDescent="0.25">
      <c r="A4110" t="str">
        <f>_xll.BDP("FNDE5175 Mtge","ID_CUSIP")</f>
        <v>3140BHXD8</v>
      </c>
      <c r="B4110" t="str">
        <f>_xll.BDP("FNDE5175 Mtge","SECURITY_NAME")</f>
        <v>FN DE5175</v>
      </c>
      <c r="C4110" t="str">
        <f>_xll.BDP("FNDE5175 Mtge","GENERIC_TICKER_VINTAGE")</f>
        <v>FNCL 6 2025</v>
      </c>
      <c r="D4110" t="str">
        <f>_xll.BDP("FNDE5175 Mtge","CRNCY")</f>
        <v>USD</v>
      </c>
      <c r="E4110">
        <v>7373112</v>
      </c>
      <c r="F4110">
        <f>_xll.BDP("FNDE5175 Mtge","CPN")</f>
        <v>6</v>
      </c>
      <c r="G4110">
        <f>_xll.BDP("FNDE5175 Mtge","MTG_FACTOR")</f>
        <v>0.96759972000000005</v>
      </c>
      <c r="H4110">
        <f>_xll.BDP("FNDE5175 Mtge","MTG_WAL")</f>
        <v>3.3936000000000002</v>
      </c>
      <c r="I4110" t="str">
        <f>_xll.BDP("FNDE5175 Mtge","MTG_ORIG_WAL")</f>
        <v>#N/A N/A</v>
      </c>
    </row>
    <row r="4111" spans="1:9" x14ac:dyDescent="0.25">
      <c r="A4111" t="str">
        <f>_xll.BDP("FNDE5176 Mtge","ID_CUSIP")</f>
        <v>3140BHXE6</v>
      </c>
      <c r="B4111" t="str">
        <f>_xll.BDP("FNDE5176 Mtge","SECURITY_NAME")</f>
        <v>FN DE5176</v>
      </c>
      <c r="C4111" t="str">
        <f>_xll.BDP("FNDE5176 Mtge","GENERIC_TICKER_VINTAGE")</f>
        <v>FNCL 6 2025</v>
      </c>
      <c r="D4111" t="str">
        <f>_xll.BDP("FNDE5176 Mtge","CRNCY")</f>
        <v>USD</v>
      </c>
      <c r="E4111">
        <v>3028630</v>
      </c>
      <c r="F4111">
        <f>_xll.BDP("FNDE5176 Mtge","CPN")</f>
        <v>6</v>
      </c>
      <c r="G4111">
        <f>_xll.BDP("FNDE5176 Mtge","MTG_FACTOR")</f>
        <v>0.78001666000000003</v>
      </c>
      <c r="H4111">
        <f>_xll.BDP("FNDE5176 Mtge","MTG_WAL")</f>
        <v>3.4003000000000001</v>
      </c>
      <c r="I4111" t="str">
        <f>_xll.BDP("FNDE5176 Mtge","MTG_ORIG_WAL")</f>
        <v>#N/A N/A</v>
      </c>
    </row>
    <row r="4112" spans="1:9" x14ac:dyDescent="0.25">
      <c r="A4112" t="str">
        <f>_xll.BDP("FNDE5200 Mtge","ID_CUSIP")</f>
        <v>3140BHX63</v>
      </c>
      <c r="B4112" t="str">
        <f>_xll.BDP("FNDE5200 Mtge","SECURITY_NAME")</f>
        <v>FN DE5200</v>
      </c>
      <c r="C4112" t="str">
        <f>_xll.BDP("FNDE5200 Mtge","GENERIC_TICKER_VINTAGE")</f>
        <v>FNCL 6 2025</v>
      </c>
      <c r="D4112" t="str">
        <f>_xll.BDP("FNDE5200 Mtge","CRNCY")</f>
        <v>USD</v>
      </c>
      <c r="E4112">
        <v>6239711</v>
      </c>
      <c r="F4112">
        <f>_xll.BDP("FNDE5200 Mtge","CPN")</f>
        <v>6</v>
      </c>
      <c r="G4112">
        <f>_xll.BDP("FNDE5200 Mtge","MTG_FACTOR")</f>
        <v>0.92668554999999997</v>
      </c>
      <c r="H4112">
        <f>_xll.BDP("FNDE5200 Mtge","MTG_WAL")</f>
        <v>3.3923000000000001</v>
      </c>
      <c r="I4112" t="str">
        <f>_xll.BDP("FNDE5200 Mtge","MTG_ORIG_WAL")</f>
        <v>#N/A N/A</v>
      </c>
    </row>
    <row r="4113" spans="1:9" x14ac:dyDescent="0.25">
      <c r="A4113" t="str">
        <f>_xll.BDP("FNDE5201 Mtge","ID_CUSIP")</f>
        <v>3140BHX71</v>
      </c>
      <c r="B4113" t="str">
        <f>_xll.BDP("FNDE5201 Mtge","SECURITY_NAME")</f>
        <v>FN DE5201</v>
      </c>
      <c r="C4113" t="str">
        <f>_xll.BDP("FNDE5201 Mtge","GENERIC_TICKER_VINTAGE")</f>
        <v>FNCL 6 2025</v>
      </c>
      <c r="D4113" t="str">
        <f>_xll.BDP("FNDE5201 Mtge","CRNCY")</f>
        <v>USD</v>
      </c>
      <c r="E4113">
        <v>6438159</v>
      </c>
      <c r="F4113">
        <f>_xll.BDP("FNDE5201 Mtge","CPN")</f>
        <v>6</v>
      </c>
      <c r="G4113">
        <f>_xll.BDP("FNDE5201 Mtge","MTG_FACTOR")</f>
        <v>0.95290299999999994</v>
      </c>
      <c r="H4113">
        <f>_xll.BDP("FNDE5201 Mtge","MTG_WAL")</f>
        <v>3.3948999999999998</v>
      </c>
      <c r="I4113" t="str">
        <f>_xll.BDP("FNDE5201 Mtge","MTG_ORIG_WAL")</f>
        <v>#N/A N/A</v>
      </c>
    </row>
    <row r="4114" spans="1:9" x14ac:dyDescent="0.25">
      <c r="A4114" t="str">
        <f>_xll.BDP("FNDE5219 Mtge","ID_CUSIP")</f>
        <v>3140BHYR6</v>
      </c>
      <c r="B4114" t="str">
        <f>_xll.BDP("FNDE5219 Mtge","SECURITY_NAME")</f>
        <v>FN DE5219</v>
      </c>
      <c r="C4114" t="str">
        <f>_xll.BDP("FNDE5219 Mtge","GENERIC_TICKER_VINTAGE")</f>
        <v>FNCL 6 2025</v>
      </c>
      <c r="D4114" t="str">
        <f>_xll.BDP("FNDE5219 Mtge","CRNCY")</f>
        <v>USD</v>
      </c>
      <c r="E4114">
        <v>11537053</v>
      </c>
      <c r="F4114">
        <f>_xll.BDP("FNDE5219 Mtge","CPN")</f>
        <v>6</v>
      </c>
      <c r="G4114">
        <f>_xll.BDP("FNDE5219 Mtge","MTG_FACTOR")</f>
        <v>0.62085826</v>
      </c>
      <c r="H4114">
        <f>_xll.BDP("FNDE5219 Mtge","MTG_WAL")</f>
        <v>3.3984000000000001</v>
      </c>
      <c r="I4114" t="str">
        <f>_xll.BDP("FNDE5219 Mtge","MTG_ORIG_WAL")</f>
        <v>#N/A N/A</v>
      </c>
    </row>
    <row r="4115" spans="1:9" x14ac:dyDescent="0.25">
      <c r="A4115" t="str">
        <f>_xll.BDP("FNDE5220 Mtge","ID_CUSIP")</f>
        <v>3140BHYS4</v>
      </c>
      <c r="B4115" t="str">
        <f>_xll.BDP("FNDE5220 Mtge","SECURITY_NAME")</f>
        <v>FN DE5220</v>
      </c>
      <c r="C4115" t="str">
        <f>_xll.BDP("FNDE5220 Mtge","GENERIC_TICKER_VINTAGE")</f>
        <v>FNCL 6 2025</v>
      </c>
      <c r="D4115" t="str">
        <f>_xll.BDP("FNDE5220 Mtge","CRNCY")</f>
        <v>USD</v>
      </c>
      <c r="E4115">
        <v>3116123</v>
      </c>
      <c r="F4115">
        <f>_xll.BDP("FNDE5220 Mtge","CPN")</f>
        <v>6</v>
      </c>
      <c r="G4115">
        <f>_xll.BDP("FNDE5220 Mtge","MTG_FACTOR")</f>
        <v>0.99244547000000005</v>
      </c>
      <c r="H4115">
        <f>_xll.BDP("FNDE5220 Mtge","MTG_WAL")</f>
        <v>3.4453</v>
      </c>
      <c r="I4115" t="str">
        <f>_xll.BDP("FNDE5220 Mtge","MTG_ORIG_WAL")</f>
        <v>#N/A N/A</v>
      </c>
    </row>
    <row r="4116" spans="1:9" x14ac:dyDescent="0.25">
      <c r="A4116" t="str">
        <f>_xll.BDP("FNDE5249 Mtge","ID_CUSIP")</f>
        <v>3140BHZP9</v>
      </c>
      <c r="B4116" t="str">
        <f>_xll.BDP("FNDE5249 Mtge","SECURITY_NAME")</f>
        <v>FN DE5249</v>
      </c>
      <c r="C4116" t="str">
        <f>_xll.BDP("FNDE5249 Mtge","GENERIC_TICKER_VINTAGE")</f>
        <v>FNCL 6 2025</v>
      </c>
      <c r="D4116" t="str">
        <f>_xll.BDP("FNDE5249 Mtge","CRNCY")</f>
        <v>USD</v>
      </c>
      <c r="E4116">
        <v>5446350</v>
      </c>
      <c r="F4116">
        <f>_xll.BDP("FNDE5249 Mtge","CPN")</f>
        <v>6</v>
      </c>
      <c r="G4116">
        <f>_xll.BDP("FNDE5249 Mtge","MTG_FACTOR")</f>
        <v>0.91857129999999998</v>
      </c>
      <c r="H4116">
        <f>_xll.BDP("FNDE5249 Mtge","MTG_WAL")</f>
        <v>3.3953000000000002</v>
      </c>
      <c r="I4116" t="str">
        <f>_xll.BDP("FNDE5249 Mtge","MTG_ORIG_WAL")</f>
        <v>#N/A N/A</v>
      </c>
    </row>
    <row r="4117" spans="1:9" x14ac:dyDescent="0.25">
      <c r="A4117" t="str">
        <f>_xll.BDP("FNDE5250 Mtge","ID_CUSIP")</f>
        <v>3140BHZQ7</v>
      </c>
      <c r="B4117" t="str">
        <f>_xll.BDP("FNDE5250 Mtge","SECURITY_NAME")</f>
        <v>FN DE5250</v>
      </c>
      <c r="C4117" t="str">
        <f>_xll.BDP("FNDE5250 Mtge","GENERIC_TICKER_VINTAGE")</f>
        <v>FNCL 6 2025</v>
      </c>
      <c r="D4117" t="str">
        <f>_xll.BDP("FNDE5250 Mtge","CRNCY")</f>
        <v>USD</v>
      </c>
      <c r="E4117">
        <v>4929100</v>
      </c>
      <c r="F4117">
        <f>_xll.BDP("FNDE5250 Mtge","CPN")</f>
        <v>6</v>
      </c>
      <c r="G4117">
        <f>_xll.BDP("FNDE5250 Mtge","MTG_FACTOR")</f>
        <v>0.95152380999999997</v>
      </c>
      <c r="H4117">
        <f>_xll.BDP("FNDE5250 Mtge","MTG_WAL")</f>
        <v>3.3975</v>
      </c>
      <c r="I4117" t="str">
        <f>_xll.BDP("FNDE5250 Mtge","MTG_ORIG_WAL")</f>
        <v>#N/A N/A</v>
      </c>
    </row>
    <row r="4118" spans="1:9" x14ac:dyDescent="0.25">
      <c r="A4118" t="str">
        <f>_xll.BDP("FNDE5546 Mtge","ID_CUSIP")</f>
        <v>3140BJEU7</v>
      </c>
      <c r="B4118" t="str">
        <f>_xll.BDP("FNDE5546 Mtge","SECURITY_NAME")</f>
        <v>FN DE5546</v>
      </c>
      <c r="C4118" t="str">
        <f>_xll.BDP("FNDE5546 Mtge","GENERIC_TICKER_VINTAGE")</f>
        <v>FNCL 6 2025</v>
      </c>
      <c r="D4118" t="str">
        <f>_xll.BDP("FNDE5546 Mtge","CRNCY")</f>
        <v>USD</v>
      </c>
      <c r="E4118">
        <v>5174068</v>
      </c>
      <c r="F4118">
        <f>_xll.BDP("FNDE5546 Mtge","CPN")</f>
        <v>6</v>
      </c>
      <c r="G4118">
        <f>_xll.BDP("FNDE5546 Mtge","MTG_FACTOR")</f>
        <v>0.99110640000000005</v>
      </c>
      <c r="H4118">
        <f>_xll.BDP("FNDE5546 Mtge","MTG_WAL")</f>
        <v>3.3885000000000001</v>
      </c>
      <c r="I4118" t="str">
        <f>_xll.BDP("FNDE5546 Mtge","MTG_ORIG_WAL")</f>
        <v>#N/A N/A</v>
      </c>
    </row>
    <row r="4119" spans="1:9" x14ac:dyDescent="0.25">
      <c r="A4119" t="str">
        <f>_xll.BDP("FNDE5554 Mtge","ID_CUSIP")</f>
        <v>3140BJE45</v>
      </c>
      <c r="B4119" t="str">
        <f>_xll.BDP("FNDE5554 Mtge","SECURITY_NAME")</f>
        <v>FN DE5554</v>
      </c>
      <c r="C4119" t="str">
        <f>_xll.BDP("FNDE5554 Mtge","GENERIC_TICKER_VINTAGE")</f>
        <v>FNCL 6 2025</v>
      </c>
      <c r="D4119" t="str">
        <f>_xll.BDP("FNDE5554 Mtge","CRNCY")</f>
        <v>USD</v>
      </c>
      <c r="E4119">
        <v>1674106</v>
      </c>
      <c r="F4119">
        <f>_xll.BDP("FNDE5554 Mtge","CPN")</f>
        <v>6</v>
      </c>
      <c r="G4119">
        <f>_xll.BDP("FNDE5554 Mtge","MTG_FACTOR")</f>
        <v>0.99198783999999995</v>
      </c>
      <c r="H4119">
        <f>_xll.BDP("FNDE5554 Mtge","MTG_WAL")</f>
        <v>3.3961000000000001</v>
      </c>
      <c r="I4119" t="str">
        <f>_xll.BDP("FNDE5554 Mtge","MTG_ORIG_WAL")</f>
        <v>#N/A N/A</v>
      </c>
    </row>
    <row r="4120" spans="1:9" x14ac:dyDescent="0.25">
      <c r="A4120" t="str">
        <f>_xll.BDP("FNDE5597 Mtge","ID_CUSIP")</f>
        <v>3140BJGF8</v>
      </c>
      <c r="B4120" t="str">
        <f>_xll.BDP("FNDE5597 Mtge","SECURITY_NAME")</f>
        <v>FN DE5597</v>
      </c>
      <c r="C4120" t="str">
        <f>_xll.BDP("FNDE5597 Mtge","GENERIC_TICKER_VINTAGE")</f>
        <v>FNCL 6 2025</v>
      </c>
      <c r="D4120" t="str">
        <f>_xll.BDP("FNDE5597 Mtge","CRNCY")</f>
        <v>USD</v>
      </c>
      <c r="E4120">
        <v>10051991</v>
      </c>
      <c r="F4120">
        <f>_xll.BDP("FNDE5597 Mtge","CPN")</f>
        <v>6</v>
      </c>
      <c r="G4120">
        <f>_xll.BDP("FNDE5597 Mtge","MTG_FACTOR")</f>
        <v>0.98421111999999999</v>
      </c>
      <c r="H4120">
        <f>_xll.BDP("FNDE5597 Mtge","MTG_WAL")</f>
        <v>3.3923999999999999</v>
      </c>
      <c r="I4120" t="str">
        <f>_xll.BDP("FNDE5597 Mtge","MTG_ORIG_WAL")</f>
        <v>#N/A N/A</v>
      </c>
    </row>
    <row r="4121" spans="1:9" x14ac:dyDescent="0.25">
      <c r="A4121" t="str">
        <f>_xll.BDP("FNDE5719 Mtge","ID_CUSIP")</f>
        <v>3140BJK97</v>
      </c>
      <c r="B4121" t="str">
        <f>_xll.BDP("FNDE5719 Mtge","SECURITY_NAME")</f>
        <v>FN DE5719</v>
      </c>
      <c r="C4121" t="str">
        <f>_xll.BDP("FNDE5719 Mtge","GENERIC_TICKER_VINTAGE")</f>
        <v>FNCL 6 2025</v>
      </c>
      <c r="D4121" t="str">
        <f>_xll.BDP("FNDE5719 Mtge","CRNCY")</f>
        <v>USD</v>
      </c>
      <c r="E4121">
        <v>1124442</v>
      </c>
      <c r="F4121">
        <f>_xll.BDP("FNDE5719 Mtge","CPN")</f>
        <v>6</v>
      </c>
      <c r="G4121">
        <f>_xll.BDP("FNDE5719 Mtge","MTG_FACTOR")</f>
        <v>0.99317111000000002</v>
      </c>
      <c r="H4121">
        <f>_xll.BDP("FNDE5719 Mtge","MTG_WAL")</f>
        <v>3.3980999999999999</v>
      </c>
      <c r="I4121" t="str">
        <f>_xll.BDP("FNDE5719 Mtge","MTG_ORIG_WAL")</f>
        <v>#N/A N/A</v>
      </c>
    </row>
    <row r="4122" spans="1:9" x14ac:dyDescent="0.25">
      <c r="A4122" t="str">
        <f>_xll.BDP("FNDE5750 Mtge","ID_CUSIP")</f>
        <v>3140BJL88</v>
      </c>
      <c r="B4122" t="str">
        <f>_xll.BDP("FNDE5750 Mtge","SECURITY_NAME")</f>
        <v>FN DE5750</v>
      </c>
      <c r="C4122" t="str">
        <f>_xll.BDP("FNDE5750 Mtge","GENERIC_TICKER_VINTAGE")</f>
        <v>FNCL 6 2025</v>
      </c>
      <c r="D4122" t="str">
        <f>_xll.BDP("FNDE5750 Mtge","CRNCY")</f>
        <v>USD</v>
      </c>
      <c r="E4122">
        <v>165759</v>
      </c>
      <c r="F4122">
        <f>_xll.BDP("FNDE5750 Mtge","CPN")</f>
        <v>5.94</v>
      </c>
      <c r="G4122">
        <f>_xll.BDP("FNDE5750 Mtge","MTG_FACTOR")</f>
        <v>0.99280142000000005</v>
      </c>
      <c r="H4122">
        <f>_xll.BDP("FNDE5750 Mtge","MTG_WAL")</f>
        <v>3.2915999999999999</v>
      </c>
      <c r="I4122" t="str">
        <f>_xll.BDP("FNDE5750 Mtge","MTG_ORIG_WAL")</f>
        <v>#N/A N/A</v>
      </c>
    </row>
    <row r="4123" spans="1:9" x14ac:dyDescent="0.25">
      <c r="A4123" t="str">
        <f>_xll.BDP("FNDE5764 Mtge","ID_CUSIP")</f>
        <v>3140BJMN4</v>
      </c>
      <c r="B4123" t="str">
        <f>_xll.BDP("FNDE5764 Mtge","SECURITY_NAME")</f>
        <v>FN DE5764</v>
      </c>
      <c r="C4123" t="str">
        <f>_xll.BDP("FNDE5764 Mtge","GENERIC_TICKER_VINTAGE")</f>
        <v>FNCL 6 2025</v>
      </c>
      <c r="D4123" t="str">
        <f>_xll.BDP("FNDE5764 Mtge","CRNCY")</f>
        <v>USD</v>
      </c>
      <c r="E4123">
        <v>1501503</v>
      </c>
      <c r="F4123">
        <f>_xll.BDP("FNDE5764 Mtge","CPN")</f>
        <v>6</v>
      </c>
      <c r="G4123">
        <f>_xll.BDP("FNDE5764 Mtge","MTG_FACTOR")</f>
        <v>0.99251352000000004</v>
      </c>
      <c r="H4123">
        <f>_xll.BDP("FNDE5764 Mtge","MTG_WAL")</f>
        <v>3.3978999999999999</v>
      </c>
      <c r="I4123" t="str">
        <f>_xll.BDP("FNDE5764 Mtge","MTG_ORIG_WAL")</f>
        <v>#N/A N/A</v>
      </c>
    </row>
    <row r="4124" spans="1:9" x14ac:dyDescent="0.25">
      <c r="A4124" t="str">
        <f>_xll.BDP("FNDE5771 Mtge","ID_CUSIP")</f>
        <v>3140BJMV6</v>
      </c>
      <c r="B4124" t="str">
        <f>_xll.BDP("FNDE5771 Mtge","SECURITY_NAME")</f>
        <v>FN DE5771</v>
      </c>
      <c r="C4124" t="str">
        <f>_xll.BDP("FNDE5771 Mtge","GENERIC_TICKER_VINTAGE")</f>
        <v>FNCL 6 2025</v>
      </c>
      <c r="D4124" t="str">
        <f>_xll.BDP("FNDE5771 Mtge","CRNCY")</f>
        <v>USD</v>
      </c>
      <c r="E4124">
        <v>1007245</v>
      </c>
      <c r="F4124">
        <f>_xll.BDP("FNDE5771 Mtge","CPN")</f>
        <v>6</v>
      </c>
      <c r="G4124">
        <f>_xll.BDP("FNDE5771 Mtge","MTG_FACTOR")</f>
        <v>0.99141115999999996</v>
      </c>
      <c r="H4124">
        <f>_xll.BDP("FNDE5771 Mtge","MTG_WAL")</f>
        <v>3.3956</v>
      </c>
      <c r="I4124" t="str">
        <f>_xll.BDP("FNDE5771 Mtge","MTG_ORIG_WAL")</f>
        <v>#N/A N/A</v>
      </c>
    </row>
    <row r="4125" spans="1:9" x14ac:dyDescent="0.25">
      <c r="A4125" t="str">
        <f>_xll.BDP("FNDE5778 Mtge","ID_CUSIP")</f>
        <v>3140BJM46</v>
      </c>
      <c r="B4125" t="str">
        <f>_xll.BDP("FNDE5778 Mtge","SECURITY_NAME")</f>
        <v>FN DE5778</v>
      </c>
      <c r="C4125" t="str">
        <f>_xll.BDP("FNDE5778 Mtge","GENERIC_TICKER_VINTAGE")</f>
        <v>FNCL 6 2025</v>
      </c>
      <c r="D4125" t="str">
        <f>_xll.BDP("FNDE5778 Mtge","CRNCY")</f>
        <v>USD</v>
      </c>
      <c r="E4125">
        <v>6323850</v>
      </c>
      <c r="F4125">
        <f>_xll.BDP("FNDE5778 Mtge","CPN")</f>
        <v>6</v>
      </c>
      <c r="G4125">
        <f>_xll.BDP("FNDE5778 Mtge","MTG_FACTOR")</f>
        <v>0.99244714000000001</v>
      </c>
      <c r="H4125">
        <f>_xll.BDP("FNDE5778 Mtge","MTG_WAL")</f>
        <v>3.3972000000000002</v>
      </c>
      <c r="I4125" t="str">
        <f>_xll.BDP("FNDE5778 Mtge","MTG_ORIG_WAL")</f>
        <v>#N/A N/A</v>
      </c>
    </row>
    <row r="4126" spans="1:9" x14ac:dyDescent="0.25">
      <c r="A4126" t="str">
        <f>_xll.BDP("FNDE5839 Mtge","ID_CUSIP")</f>
        <v>3140BJPZ4</v>
      </c>
      <c r="B4126" t="str">
        <f>_xll.BDP("FNDE5839 Mtge","SECURITY_NAME")</f>
        <v>FN DE5839</v>
      </c>
      <c r="C4126" t="str">
        <f>_xll.BDP("FNDE5839 Mtge","GENERIC_TICKER_VINTAGE")</f>
        <v>FNCL 6 2025</v>
      </c>
      <c r="D4126" t="str">
        <f>_xll.BDP("FNDE5839 Mtge","CRNCY")</f>
        <v>USD</v>
      </c>
      <c r="E4126">
        <v>1134589</v>
      </c>
      <c r="F4126">
        <f>_xll.BDP("FNDE5839 Mtge","CPN")</f>
        <v>6</v>
      </c>
      <c r="G4126">
        <f>_xll.BDP("FNDE5839 Mtge","MTG_FACTOR")</f>
        <v>0.79099169000000003</v>
      </c>
      <c r="H4126">
        <f>_xll.BDP("FNDE5839 Mtge","MTG_WAL")</f>
        <v>3.3978999999999999</v>
      </c>
      <c r="I4126" t="str">
        <f>_xll.BDP("FNDE5839 Mtge","MTG_ORIG_WAL")</f>
        <v>#N/A N/A</v>
      </c>
    </row>
    <row r="4127" spans="1:9" x14ac:dyDescent="0.25">
      <c r="A4127" t="str">
        <f>_xll.BDP("FNDE5845 Mtge","ID_CUSIP")</f>
        <v>3140BJP76</v>
      </c>
      <c r="B4127" t="str">
        <f>_xll.BDP("FNDE5845 Mtge","SECURITY_NAME")</f>
        <v>FN DE5845</v>
      </c>
      <c r="C4127" t="str">
        <f>_xll.BDP("FNDE5845 Mtge","GENERIC_TICKER_VINTAGE")</f>
        <v>FNCL 6 2025</v>
      </c>
      <c r="D4127" t="str">
        <f>_xll.BDP("FNDE5845 Mtge","CRNCY")</f>
        <v>USD</v>
      </c>
      <c r="E4127">
        <v>3124113</v>
      </c>
      <c r="F4127">
        <f>_xll.BDP("FNDE5845 Mtge","CPN")</f>
        <v>6</v>
      </c>
      <c r="G4127">
        <f>_xll.BDP("FNDE5845 Mtge","MTG_FACTOR")</f>
        <v>0.92323675000000005</v>
      </c>
      <c r="H4127">
        <f>_xll.BDP("FNDE5845 Mtge","MTG_WAL")</f>
        <v>3.3815</v>
      </c>
      <c r="I4127" t="str">
        <f>_xll.BDP("FNDE5845 Mtge","MTG_ORIG_WAL")</f>
        <v>#N/A N/A</v>
      </c>
    </row>
    <row r="4128" spans="1:9" x14ac:dyDescent="0.25">
      <c r="A4128" t="str">
        <f>_xll.BDP("FNDE5858 Mtge","ID_CUSIP")</f>
        <v>3140BJQL4</v>
      </c>
      <c r="B4128" t="str">
        <f>_xll.BDP("FNDE5858 Mtge","SECURITY_NAME")</f>
        <v>FN DE5858</v>
      </c>
      <c r="C4128" t="str">
        <f>_xll.BDP("FNDE5858 Mtge","GENERIC_TICKER_VINTAGE")</f>
        <v>FNCL 6 2025</v>
      </c>
      <c r="D4128" t="str">
        <f>_xll.BDP("FNDE5858 Mtge","CRNCY")</f>
        <v>USD</v>
      </c>
      <c r="E4128">
        <v>3232627</v>
      </c>
      <c r="F4128">
        <f>_xll.BDP("FNDE5858 Mtge","CPN")</f>
        <v>6</v>
      </c>
      <c r="G4128">
        <f>_xll.BDP("FNDE5858 Mtge","MTG_FACTOR")</f>
        <v>0.98613808999999997</v>
      </c>
      <c r="H4128">
        <f>_xll.BDP("FNDE5858 Mtge","MTG_WAL")</f>
        <v>3.4470999999999998</v>
      </c>
      <c r="I4128" t="str">
        <f>_xll.BDP("FNDE5858 Mtge","MTG_ORIG_WAL")</f>
        <v>#N/A N/A</v>
      </c>
    </row>
    <row r="4129" spans="1:9" x14ac:dyDescent="0.25">
      <c r="A4129" t="str">
        <f>_xll.BDP("FNDE5899 Mtge","ID_CUSIP")</f>
        <v>3140BJRV1</v>
      </c>
      <c r="B4129" t="str">
        <f>_xll.BDP("FNDE5899 Mtge","SECURITY_NAME")</f>
        <v>FN DE5899</v>
      </c>
      <c r="C4129" t="str">
        <f>_xll.BDP("FNDE5899 Mtge","GENERIC_TICKER_VINTAGE")</f>
        <v>FNCL 6 2025</v>
      </c>
      <c r="D4129" t="str">
        <f>_xll.BDP("FNDE5899 Mtge","CRNCY")</f>
        <v>USD</v>
      </c>
      <c r="E4129">
        <v>33070037</v>
      </c>
      <c r="F4129">
        <f>_xll.BDP("FNDE5899 Mtge","CPN")</f>
        <v>6</v>
      </c>
      <c r="G4129">
        <f>_xll.BDP("FNDE5899 Mtge","MTG_FACTOR")</f>
        <v>0.87645554000000003</v>
      </c>
      <c r="H4129">
        <f>_xll.BDP("FNDE5899 Mtge","MTG_WAL")</f>
        <v>3.3984999999999999</v>
      </c>
      <c r="I4129" t="str">
        <f>_xll.BDP("FNDE5899 Mtge","MTG_ORIG_WAL")</f>
        <v>#N/A N/A</v>
      </c>
    </row>
    <row r="4130" spans="1:9" x14ac:dyDescent="0.25">
      <c r="A4130" t="str">
        <f>_xll.BDP("FNDE5920 Mtge","ID_CUSIP")</f>
        <v>3140BJSJ7</v>
      </c>
      <c r="B4130" t="str">
        <f>_xll.BDP("FNDE5920 Mtge","SECURITY_NAME")</f>
        <v>FN DE5920</v>
      </c>
      <c r="C4130" t="str">
        <f>_xll.BDP("FNDE5920 Mtge","GENERIC_TICKER_VINTAGE")</f>
        <v>FNCL 6 2025</v>
      </c>
      <c r="D4130" t="str">
        <f>_xll.BDP("FNDE5920 Mtge","CRNCY")</f>
        <v>USD</v>
      </c>
      <c r="E4130">
        <v>10269911</v>
      </c>
      <c r="F4130">
        <f>_xll.BDP("FNDE5920 Mtge","CPN")</f>
        <v>6</v>
      </c>
      <c r="G4130">
        <f>_xll.BDP("FNDE5920 Mtge","MTG_FACTOR")</f>
        <v>0.94497277999999996</v>
      </c>
      <c r="H4130">
        <f>_xll.BDP("FNDE5920 Mtge","MTG_WAL")</f>
        <v>3.3980999999999999</v>
      </c>
      <c r="I4130" t="str">
        <f>_xll.BDP("FNDE5920 Mtge","MTG_ORIG_WAL")</f>
        <v>#N/A N/A</v>
      </c>
    </row>
    <row r="4131" spans="1:9" x14ac:dyDescent="0.25">
      <c r="A4131" t="str">
        <f>_xll.BDP("FNDE5924 Mtge","ID_CUSIP")</f>
        <v>3140BJSN8</v>
      </c>
      <c r="B4131" t="str">
        <f>_xll.BDP("FNDE5924 Mtge","SECURITY_NAME")</f>
        <v>FN DE5924</v>
      </c>
      <c r="C4131" t="str">
        <f>_xll.BDP("FNDE5924 Mtge","GENERIC_TICKER_VINTAGE")</f>
        <v>FNCL 6 2025</v>
      </c>
      <c r="D4131" t="str">
        <f>_xll.BDP("FNDE5924 Mtge","CRNCY")</f>
        <v>USD</v>
      </c>
      <c r="E4131">
        <v>6900209</v>
      </c>
      <c r="F4131">
        <f>_xll.BDP("FNDE5924 Mtge","CPN")</f>
        <v>6</v>
      </c>
      <c r="G4131">
        <f>_xll.BDP("FNDE5924 Mtge","MTG_FACTOR")</f>
        <v>0.98635123999999996</v>
      </c>
      <c r="H4131">
        <f>_xll.BDP("FNDE5924 Mtge","MTG_WAL")</f>
        <v>3.4485999999999999</v>
      </c>
      <c r="I4131" t="str">
        <f>_xll.BDP("FNDE5924 Mtge","MTG_ORIG_WAL")</f>
        <v>#N/A N/A</v>
      </c>
    </row>
    <row r="4132" spans="1:9" x14ac:dyDescent="0.25">
      <c r="A4132" t="str">
        <f>_xll.BDP("FNDE6043 Mtge","ID_CUSIP")</f>
        <v>3140BJWD5</v>
      </c>
      <c r="B4132" t="str">
        <f>_xll.BDP("FNDE6043 Mtge","SECURITY_NAME")</f>
        <v>FN DE6043</v>
      </c>
      <c r="C4132" t="str">
        <f>_xll.BDP("FNDE6043 Mtge","GENERIC_TICKER_VINTAGE")</f>
        <v>FNCL 6 2025</v>
      </c>
      <c r="D4132" t="str">
        <f>_xll.BDP("FNDE6043 Mtge","CRNCY")</f>
        <v>USD</v>
      </c>
      <c r="E4132">
        <v>12542063</v>
      </c>
      <c r="F4132">
        <f>_xll.BDP("FNDE6043 Mtge","CPN")</f>
        <v>6</v>
      </c>
      <c r="G4132">
        <f>_xll.BDP("FNDE6043 Mtge","MTG_FACTOR")</f>
        <v>0.93898241000000005</v>
      </c>
      <c r="H4132">
        <f>_xll.BDP("FNDE6043 Mtge","MTG_WAL")</f>
        <v>3.3715000000000002</v>
      </c>
      <c r="I4132" t="str">
        <f>_xll.BDP("FNDE6043 Mtge","MTG_ORIG_WAL")</f>
        <v>#N/A N/A</v>
      </c>
    </row>
    <row r="4133" spans="1:9" x14ac:dyDescent="0.25">
      <c r="A4133" t="str">
        <f>_xll.BDP("FNDE6045 Mtge","ID_CUSIP")</f>
        <v>3140BJWF0</v>
      </c>
      <c r="B4133" t="str">
        <f>_xll.BDP("FNDE6045 Mtge","SECURITY_NAME")</f>
        <v>FN DE6045</v>
      </c>
      <c r="C4133" t="str">
        <f>_xll.BDP("FNDE6045 Mtge","GENERIC_TICKER_VINTAGE")</f>
        <v>FNCL 6 2025</v>
      </c>
      <c r="D4133" t="str">
        <f>_xll.BDP("FNDE6045 Mtge","CRNCY")</f>
        <v>USD</v>
      </c>
      <c r="E4133">
        <v>2695660</v>
      </c>
      <c r="F4133">
        <f>_xll.BDP("FNDE6045 Mtge","CPN")</f>
        <v>6</v>
      </c>
      <c r="G4133">
        <f>_xll.BDP("FNDE6045 Mtge","MTG_FACTOR")</f>
        <v>0.99281200999999997</v>
      </c>
      <c r="H4133">
        <f>_xll.BDP("FNDE6045 Mtge","MTG_WAL")</f>
        <v>3.3967999999999998</v>
      </c>
      <c r="I4133" t="str">
        <f>_xll.BDP("FNDE6045 Mtge","MTG_ORIG_WAL")</f>
        <v>#N/A N/A</v>
      </c>
    </row>
    <row r="4134" spans="1:9" x14ac:dyDescent="0.25">
      <c r="A4134" t="str">
        <f>_xll.BDP("FNDE6058 Mtge","ID_CUSIP")</f>
        <v>3140BJWU7</v>
      </c>
      <c r="B4134" t="str">
        <f>_xll.BDP("FNDE6058 Mtge","SECURITY_NAME")</f>
        <v>FN DE6058</v>
      </c>
      <c r="C4134" t="str">
        <f>_xll.BDP("FNDE6058 Mtge","GENERIC_TICKER_VINTAGE")</f>
        <v>FNCL 6 2025</v>
      </c>
      <c r="D4134" t="str">
        <f>_xll.BDP("FNDE6058 Mtge","CRNCY")</f>
        <v>USD</v>
      </c>
      <c r="E4134">
        <v>6827386</v>
      </c>
      <c r="F4134">
        <f>_xll.BDP("FNDE6058 Mtge","CPN")</f>
        <v>6</v>
      </c>
      <c r="G4134">
        <f>_xll.BDP("FNDE6058 Mtge","MTG_FACTOR")</f>
        <v>0.99275634000000001</v>
      </c>
      <c r="H4134">
        <f>_xll.BDP("FNDE6058 Mtge","MTG_WAL")</f>
        <v>3.3980999999999999</v>
      </c>
      <c r="I4134" t="str">
        <f>_xll.BDP("FNDE6058 Mtge","MTG_ORIG_WAL")</f>
        <v>#N/A N/A</v>
      </c>
    </row>
    <row r="4135" spans="1:9" x14ac:dyDescent="0.25">
      <c r="A4135" t="str">
        <f>_xll.BDP("FNDE6061 Mtge","ID_CUSIP")</f>
        <v>3140BJWX1</v>
      </c>
      <c r="B4135" t="str">
        <f>_xll.BDP("FNDE6061 Mtge","SECURITY_NAME")</f>
        <v>FN DE6061</v>
      </c>
      <c r="C4135" t="str">
        <f>_xll.BDP("FNDE6061 Mtge","GENERIC_TICKER_VINTAGE")</f>
        <v>FNCL 6 2025</v>
      </c>
      <c r="D4135" t="str">
        <f>_xll.BDP("FNDE6061 Mtge","CRNCY")</f>
        <v>USD</v>
      </c>
      <c r="E4135">
        <v>5337450</v>
      </c>
      <c r="F4135">
        <f>_xll.BDP("FNDE6061 Mtge","CPN")</f>
        <v>6</v>
      </c>
      <c r="G4135">
        <f>_xll.BDP("FNDE6061 Mtge","MTG_FACTOR")</f>
        <v>0.91511326000000004</v>
      </c>
      <c r="H4135">
        <f>_xll.BDP("FNDE6061 Mtge","MTG_WAL")</f>
        <v>3.3956</v>
      </c>
      <c r="I4135" t="str">
        <f>_xll.BDP("FNDE6061 Mtge","MTG_ORIG_WAL")</f>
        <v>#N/A N/A</v>
      </c>
    </row>
    <row r="4136" spans="1:9" x14ac:dyDescent="0.25">
      <c r="A4136" t="str">
        <f>_xll.BDP("FNDE6062 Mtge","ID_CUSIP")</f>
        <v>3140BJWY9</v>
      </c>
      <c r="B4136" t="str">
        <f>_xll.BDP("FNDE6062 Mtge","SECURITY_NAME")</f>
        <v>FN DE6062</v>
      </c>
      <c r="C4136" t="str">
        <f>_xll.BDP("FNDE6062 Mtge","GENERIC_TICKER_VINTAGE")</f>
        <v>FNCL 6 2025</v>
      </c>
      <c r="D4136" t="str">
        <f>_xll.BDP("FNDE6062 Mtge","CRNCY")</f>
        <v>USD</v>
      </c>
      <c r="E4136">
        <v>4429732</v>
      </c>
      <c r="F4136">
        <f>_xll.BDP("FNDE6062 Mtge","CPN")</f>
        <v>6</v>
      </c>
      <c r="G4136">
        <f>_xll.BDP("FNDE6062 Mtge","MTG_FACTOR")</f>
        <v>0.99167939000000005</v>
      </c>
      <c r="H4136">
        <f>_xll.BDP("FNDE6062 Mtge","MTG_WAL")</f>
        <v>3.3763999999999998</v>
      </c>
      <c r="I4136" t="str">
        <f>_xll.BDP("FNDE6062 Mtge","MTG_ORIG_WAL")</f>
        <v>#N/A N/A</v>
      </c>
    </row>
    <row r="4137" spans="1:9" x14ac:dyDescent="0.25">
      <c r="A4137" t="str">
        <f>_xll.BDP("FNDE6075 Mtge","ID_CUSIP")</f>
        <v>3140BJXD4</v>
      </c>
      <c r="B4137" t="str">
        <f>_xll.BDP("FNDE6075 Mtge","SECURITY_NAME")</f>
        <v>FN DE6075</v>
      </c>
      <c r="C4137" t="str">
        <f>_xll.BDP("FNDE6075 Mtge","GENERIC_TICKER_VINTAGE")</f>
        <v>FNCL 6 2025</v>
      </c>
      <c r="D4137" t="str">
        <f>_xll.BDP("FNDE6075 Mtge","CRNCY")</f>
        <v>USD</v>
      </c>
      <c r="E4137">
        <v>2330979</v>
      </c>
      <c r="F4137">
        <f>_xll.BDP("FNDE6075 Mtge","CPN")</f>
        <v>6</v>
      </c>
      <c r="G4137">
        <f>_xll.BDP("FNDE6075 Mtge","MTG_FACTOR")</f>
        <v>0.98785838999999998</v>
      </c>
      <c r="H4137">
        <f>_xll.BDP("FNDE6075 Mtge","MTG_WAL")</f>
        <v>3.3414000000000001</v>
      </c>
      <c r="I4137" t="str">
        <f>_xll.BDP("FNDE6075 Mtge","MTG_ORIG_WAL")</f>
        <v>#N/A N/A</v>
      </c>
    </row>
    <row r="4138" spans="1:9" x14ac:dyDescent="0.25">
      <c r="A4138" t="str">
        <f>_xll.BDP("FNDE6203 Mtge","ID_CUSIP")</f>
        <v>3140BJ3M7</v>
      </c>
      <c r="B4138" t="str">
        <f>_xll.BDP("FNDE6203 Mtge","SECURITY_NAME")</f>
        <v>FN DE6203</v>
      </c>
      <c r="C4138" t="str">
        <f>_xll.BDP("FNDE6203 Mtge","GENERIC_TICKER_VINTAGE")</f>
        <v>FNCL 6 2025</v>
      </c>
      <c r="D4138" t="str">
        <f>_xll.BDP("FNDE6203 Mtge","CRNCY")</f>
        <v>USD</v>
      </c>
      <c r="E4138">
        <v>2675602</v>
      </c>
      <c r="F4138">
        <f>_xll.BDP("FNDE6203 Mtge","CPN")</f>
        <v>6</v>
      </c>
      <c r="G4138">
        <f>_xll.BDP("FNDE6203 Mtge","MTG_FACTOR")</f>
        <v>0.88570373999999996</v>
      </c>
      <c r="H4138">
        <f>_xll.BDP("FNDE6203 Mtge","MTG_WAL")</f>
        <v>3.3944000000000001</v>
      </c>
      <c r="I4138" t="str">
        <f>_xll.BDP("FNDE6203 Mtge","MTG_ORIG_WAL")</f>
        <v>#N/A N/A</v>
      </c>
    </row>
    <row r="4139" spans="1:9" x14ac:dyDescent="0.25">
      <c r="A4139" t="str">
        <f>_xll.BDP("FNDE6439 Mtge","ID_CUSIP")</f>
        <v>3140BKEM2</v>
      </c>
      <c r="B4139" t="str">
        <f>_xll.BDP("FNDE6439 Mtge","SECURITY_NAME")</f>
        <v>FN DE6439</v>
      </c>
      <c r="C4139" t="str">
        <f>_xll.BDP("FNDE6439 Mtge","GENERIC_TICKER_VINTAGE")</f>
        <v>FNCL 6 2025</v>
      </c>
      <c r="D4139" t="str">
        <f>_xll.BDP("FNDE6439 Mtge","CRNCY")</f>
        <v>USD</v>
      </c>
      <c r="E4139">
        <v>1153211</v>
      </c>
      <c r="F4139">
        <f>_xll.BDP("FNDE6439 Mtge","CPN")</f>
        <v>6</v>
      </c>
      <c r="G4139">
        <f>_xll.BDP("FNDE6439 Mtge","MTG_FACTOR")</f>
        <v>0.97378505999999998</v>
      </c>
      <c r="H4139">
        <f>_xll.BDP("FNDE6439 Mtge","MTG_WAL")</f>
        <v>3.4413</v>
      </c>
      <c r="I4139" t="str">
        <f>_xll.BDP("FNDE6439 Mtge","MTG_ORIG_WAL")</f>
        <v>#N/A N/A</v>
      </c>
    </row>
    <row r="4140" spans="1:9" x14ac:dyDescent="0.25">
      <c r="A4140" t="str">
        <f>_xll.BDP("FNDE6440 Mtge","ID_CUSIP")</f>
        <v>3140BKEN0</v>
      </c>
      <c r="B4140" t="str">
        <f>_xll.BDP("FNDE6440 Mtge","SECURITY_NAME")</f>
        <v>FN DE6440</v>
      </c>
      <c r="C4140" t="str">
        <f>_xll.BDP("FNDE6440 Mtge","GENERIC_TICKER_VINTAGE")</f>
        <v>FNCL 6 2025</v>
      </c>
      <c r="D4140" t="str">
        <f>_xll.BDP("FNDE6440 Mtge","CRNCY")</f>
        <v>USD</v>
      </c>
      <c r="E4140">
        <v>1187250</v>
      </c>
      <c r="F4140">
        <f>_xll.BDP("FNDE6440 Mtge","CPN")</f>
        <v>6</v>
      </c>
      <c r="G4140">
        <f>_xll.BDP("FNDE6440 Mtge","MTG_FACTOR")</f>
        <v>0.92501763999999997</v>
      </c>
      <c r="H4140">
        <f>_xll.BDP("FNDE6440 Mtge","MTG_WAL")</f>
        <v>3.452</v>
      </c>
      <c r="I4140" t="str">
        <f>_xll.BDP("FNDE6440 Mtge","MTG_ORIG_WAL")</f>
        <v>#N/A N/A</v>
      </c>
    </row>
    <row r="4141" spans="1:9" x14ac:dyDescent="0.25">
      <c r="A4141" t="str">
        <f>_xll.BDP("FNDE6447 Mtge","ID_CUSIP")</f>
        <v>3140BKEV2</v>
      </c>
      <c r="B4141" t="str">
        <f>_xll.BDP("FNDE6447 Mtge","SECURITY_NAME")</f>
        <v>FN DE6447</v>
      </c>
      <c r="C4141" t="str">
        <f>_xll.BDP("FNDE6447 Mtge","GENERIC_TICKER_VINTAGE")</f>
        <v>FNCL 6 2025</v>
      </c>
      <c r="D4141" t="str">
        <f>_xll.BDP("FNDE6447 Mtge","CRNCY")</f>
        <v>USD</v>
      </c>
      <c r="E4141">
        <v>1588405</v>
      </c>
      <c r="F4141">
        <f>_xll.BDP("FNDE6447 Mtge","CPN")</f>
        <v>6</v>
      </c>
      <c r="G4141">
        <f>_xll.BDP("FNDE6447 Mtge","MTG_FACTOR")</f>
        <v>0.99368301999999997</v>
      </c>
      <c r="H4141">
        <f>_xll.BDP("FNDE6447 Mtge","MTG_WAL")</f>
        <v>3.4521000000000002</v>
      </c>
      <c r="I4141" t="str">
        <f>_xll.BDP("FNDE6447 Mtge","MTG_ORIG_WAL")</f>
        <v>#N/A N/A</v>
      </c>
    </row>
    <row r="4142" spans="1:9" x14ac:dyDescent="0.25">
      <c r="A4142" t="str">
        <f>_xll.BDP("FNDE6538 Mtge","ID_CUSIP")</f>
        <v>3140BKHQ0</v>
      </c>
      <c r="B4142" t="str">
        <f>_xll.BDP("FNDE6538 Mtge","SECURITY_NAME")</f>
        <v>FN DE6538</v>
      </c>
      <c r="C4142" t="str">
        <f>_xll.BDP("FNDE6538 Mtge","GENERIC_TICKER_VINTAGE")</f>
        <v>FNCL 6 2025</v>
      </c>
      <c r="D4142" t="str">
        <f>_xll.BDP("FNDE6538 Mtge","CRNCY")</f>
        <v>USD</v>
      </c>
      <c r="E4142">
        <v>11141337</v>
      </c>
      <c r="F4142">
        <f>_xll.BDP("FNDE6538 Mtge","CPN")</f>
        <v>6</v>
      </c>
      <c r="G4142">
        <f>_xll.BDP("FNDE6538 Mtge","MTG_FACTOR")</f>
        <v>0.99278619000000001</v>
      </c>
      <c r="H4142">
        <f>_xll.BDP("FNDE6538 Mtge","MTG_WAL")</f>
        <v>3.3944000000000001</v>
      </c>
      <c r="I4142" t="str">
        <f>_xll.BDP("FNDE6538 Mtge","MTG_ORIG_WAL")</f>
        <v>#N/A N/A</v>
      </c>
    </row>
    <row r="4143" spans="1:9" x14ac:dyDescent="0.25">
      <c r="A4143" t="str">
        <f>_xll.BDP("FNDE6539 Mtge","ID_CUSIP")</f>
        <v>3140BKHR8</v>
      </c>
      <c r="B4143" t="str">
        <f>_xll.BDP("FNDE6539 Mtge","SECURITY_NAME")</f>
        <v>FN DE6539</v>
      </c>
      <c r="C4143" t="str">
        <f>_xll.BDP("FNDE6539 Mtge","GENERIC_TICKER_VINTAGE")</f>
        <v>FNCL 6 2025</v>
      </c>
      <c r="D4143" t="str">
        <f>_xll.BDP("FNDE6539 Mtge","CRNCY")</f>
        <v>USD</v>
      </c>
      <c r="E4143">
        <v>8324375</v>
      </c>
      <c r="F4143">
        <f>_xll.BDP("FNDE6539 Mtge","CPN")</f>
        <v>6</v>
      </c>
      <c r="G4143">
        <f>_xll.BDP("FNDE6539 Mtge","MTG_FACTOR")</f>
        <v>0.86929626000000004</v>
      </c>
      <c r="H4143">
        <f>_xll.BDP("FNDE6539 Mtge","MTG_WAL")</f>
        <v>3.3955000000000002</v>
      </c>
      <c r="I4143" t="str">
        <f>_xll.BDP("FNDE6539 Mtge","MTG_ORIG_WAL")</f>
        <v>#N/A N/A</v>
      </c>
    </row>
    <row r="4144" spans="1:9" x14ac:dyDescent="0.25">
      <c r="A4144" t="str">
        <f>_xll.BDP("FNDE6548 Mtge","ID_CUSIP")</f>
        <v>3140BKH23</v>
      </c>
      <c r="B4144" t="str">
        <f>_xll.BDP("FNDE6548 Mtge","SECURITY_NAME")</f>
        <v>FN DE6548</v>
      </c>
      <c r="C4144" t="str">
        <f>_xll.BDP("FNDE6548 Mtge","GENERIC_TICKER_VINTAGE")</f>
        <v>FNCL 6 2025</v>
      </c>
      <c r="D4144" t="str">
        <f>_xll.BDP("FNDE6548 Mtge","CRNCY")</f>
        <v>USD</v>
      </c>
      <c r="E4144">
        <v>45239287</v>
      </c>
      <c r="F4144">
        <f>_xll.BDP("FNDE6548 Mtge","CPN")</f>
        <v>6</v>
      </c>
      <c r="G4144">
        <f>_xll.BDP("FNDE6548 Mtge","MTG_FACTOR")</f>
        <v>0.90399339999999995</v>
      </c>
      <c r="H4144">
        <f>_xll.BDP("FNDE6548 Mtge","MTG_WAL")</f>
        <v>3.3925999999999998</v>
      </c>
      <c r="I4144" t="str">
        <f>_xll.BDP("FNDE6548 Mtge","MTG_ORIG_WAL")</f>
        <v>#N/A N/A</v>
      </c>
    </row>
    <row r="4145" spans="1:9" x14ac:dyDescent="0.25">
      <c r="A4145" t="str">
        <f>_xll.BDP("FNDE6562 Mtge","ID_CUSIP")</f>
        <v>3140BKJG0</v>
      </c>
      <c r="B4145" t="str">
        <f>_xll.BDP("FNDE6562 Mtge","SECURITY_NAME")</f>
        <v>FN DE6562</v>
      </c>
      <c r="C4145" t="str">
        <f>_xll.BDP("FNDE6562 Mtge","GENERIC_TICKER_VINTAGE")</f>
        <v>FNCL 6 2025</v>
      </c>
      <c r="D4145" t="str">
        <f>_xll.BDP("FNDE6562 Mtge","CRNCY")</f>
        <v>USD</v>
      </c>
      <c r="E4145">
        <v>3976970</v>
      </c>
      <c r="F4145">
        <f>_xll.BDP("FNDE6562 Mtge","CPN")</f>
        <v>6</v>
      </c>
      <c r="G4145">
        <f>_xll.BDP("FNDE6562 Mtge","MTG_FACTOR")</f>
        <v>0.99291061000000003</v>
      </c>
      <c r="H4145">
        <f>_xll.BDP("FNDE6562 Mtge","MTG_WAL")</f>
        <v>3.4514999999999998</v>
      </c>
      <c r="I4145" t="str">
        <f>_xll.BDP("FNDE6562 Mtge","MTG_ORIG_WAL")</f>
        <v>#N/A N/A</v>
      </c>
    </row>
    <row r="4146" spans="1:9" x14ac:dyDescent="0.25">
      <c r="A4146" t="str">
        <f>_xll.BDP("FNDE6628 Mtge","ID_CUSIP")</f>
        <v>3140BKLJ1</v>
      </c>
      <c r="B4146" t="str">
        <f>_xll.BDP("FNDE6628 Mtge","SECURITY_NAME")</f>
        <v>FN DE6628</v>
      </c>
      <c r="C4146" t="str">
        <f>_xll.BDP("FNDE6628 Mtge","GENERIC_TICKER_VINTAGE")</f>
        <v>FNCL 6 2025</v>
      </c>
      <c r="D4146" t="str">
        <f>_xll.BDP("FNDE6628 Mtge","CRNCY")</f>
        <v>USD</v>
      </c>
      <c r="E4146">
        <v>1132300</v>
      </c>
      <c r="F4146">
        <f>_xll.BDP("FNDE6628 Mtge","CPN")</f>
        <v>6</v>
      </c>
      <c r="G4146">
        <f>_xll.BDP("FNDE6628 Mtge","MTG_FACTOR")</f>
        <v>0.98662532999999997</v>
      </c>
      <c r="H4146">
        <f>_xll.BDP("FNDE6628 Mtge","MTG_WAL")</f>
        <v>3.3936999999999999</v>
      </c>
      <c r="I4146" t="str">
        <f>_xll.BDP("FNDE6628 Mtge","MTG_ORIG_WAL")</f>
        <v>#N/A N/A</v>
      </c>
    </row>
    <row r="4147" spans="1:9" x14ac:dyDescent="0.25">
      <c r="A4147" t="str">
        <f>_xll.BDP("FNDE6630 Mtge","ID_CUSIP")</f>
        <v>3140BKLL6</v>
      </c>
      <c r="B4147" t="str">
        <f>_xll.BDP("FNDE6630 Mtge","SECURITY_NAME")</f>
        <v>FN DE6630</v>
      </c>
      <c r="C4147" t="str">
        <f>_xll.BDP("FNDE6630 Mtge","GENERIC_TICKER_VINTAGE")</f>
        <v>FNCL 6 2025</v>
      </c>
      <c r="D4147" t="str">
        <f>_xll.BDP("FNDE6630 Mtge","CRNCY")</f>
        <v>USD</v>
      </c>
      <c r="E4147">
        <v>5365045</v>
      </c>
      <c r="F4147">
        <f>_xll.BDP("FNDE6630 Mtge","CPN")</f>
        <v>6</v>
      </c>
      <c r="G4147">
        <f>_xll.BDP("FNDE6630 Mtge","MTG_FACTOR")</f>
        <v>0.87683823999999999</v>
      </c>
      <c r="H4147">
        <f>_xll.BDP("FNDE6630 Mtge","MTG_WAL")</f>
        <v>3.3992</v>
      </c>
      <c r="I4147" t="str">
        <f>_xll.BDP("FNDE6630 Mtge","MTG_ORIG_WAL")</f>
        <v>#N/A N/A</v>
      </c>
    </row>
    <row r="4148" spans="1:9" x14ac:dyDescent="0.25">
      <c r="A4148" t="str">
        <f>_xll.BDP("FNDE6655 Mtge","ID_CUSIP")</f>
        <v>3140BKMD3</v>
      </c>
      <c r="B4148" t="str">
        <f>_xll.BDP("FNDE6655 Mtge","SECURITY_NAME")</f>
        <v>FN DE6655</v>
      </c>
      <c r="C4148" t="str">
        <f>_xll.BDP("FNDE6655 Mtge","GENERIC_TICKER_VINTAGE")</f>
        <v>FNCL 6 2025</v>
      </c>
      <c r="D4148" t="str">
        <f>_xll.BDP("FNDE6655 Mtge","CRNCY")</f>
        <v>USD</v>
      </c>
      <c r="E4148">
        <v>2124926</v>
      </c>
      <c r="F4148">
        <f>_xll.BDP("FNDE6655 Mtge","CPN")</f>
        <v>6</v>
      </c>
      <c r="G4148">
        <f>_xll.BDP("FNDE6655 Mtge","MTG_FACTOR")</f>
        <v>0.99119707000000001</v>
      </c>
      <c r="H4148">
        <f>_xll.BDP("FNDE6655 Mtge","MTG_WAL")</f>
        <v>3.4502999999999999</v>
      </c>
      <c r="I4148" t="str">
        <f>_xll.BDP("FNDE6655 Mtge","MTG_ORIG_WAL")</f>
        <v>#N/A N/A</v>
      </c>
    </row>
    <row r="4149" spans="1:9" x14ac:dyDescent="0.25">
      <c r="A4149" t="str">
        <f>_xll.BDP("FNDE6711 Mtge","ID_CUSIP")</f>
        <v>3140BKN59</v>
      </c>
      <c r="B4149" t="str">
        <f>_xll.BDP("FNDE6711 Mtge","SECURITY_NAME")</f>
        <v>FN DE6711</v>
      </c>
      <c r="C4149" t="str">
        <f>_xll.BDP("FNDE6711 Mtge","GENERIC_TICKER_VINTAGE")</f>
        <v>FNCL 6 2025</v>
      </c>
      <c r="D4149" t="str">
        <f>_xll.BDP("FNDE6711 Mtge","CRNCY")</f>
        <v>USD</v>
      </c>
      <c r="E4149">
        <v>10724383</v>
      </c>
      <c r="F4149">
        <f>_xll.BDP("FNDE6711 Mtge","CPN")</f>
        <v>6</v>
      </c>
      <c r="G4149">
        <f>_xll.BDP("FNDE6711 Mtge","MTG_FACTOR")</f>
        <v>0.97095454999999997</v>
      </c>
      <c r="H4149">
        <f>_xll.BDP("FNDE6711 Mtge","MTG_WAL")</f>
        <v>3.4508000000000001</v>
      </c>
      <c r="I4149" t="str">
        <f>_xll.BDP("FNDE6711 Mtge","MTG_ORIG_WAL")</f>
        <v>#N/A N/A</v>
      </c>
    </row>
    <row r="4150" spans="1:9" x14ac:dyDescent="0.25">
      <c r="A4150" t="str">
        <f>_xll.BDP("FNDE6765 Mtge","ID_CUSIP")</f>
        <v>3140BKQT4</v>
      </c>
      <c r="B4150" t="str">
        <f>_xll.BDP("FNDE6765 Mtge","SECURITY_NAME")</f>
        <v>FN DE6765</v>
      </c>
      <c r="C4150" t="str">
        <f>_xll.BDP("FNDE6765 Mtge","GENERIC_TICKER_VINTAGE")</f>
        <v>FNCL 6 2025</v>
      </c>
      <c r="D4150" t="str">
        <f>_xll.BDP("FNDE6765 Mtge","CRNCY")</f>
        <v>USD</v>
      </c>
      <c r="E4150">
        <v>11325203</v>
      </c>
      <c r="F4150">
        <f>_xll.BDP("FNDE6765 Mtge","CPN")</f>
        <v>6</v>
      </c>
      <c r="G4150">
        <f>_xll.BDP("FNDE6765 Mtge","MTG_FACTOR")</f>
        <v>0.98014226000000004</v>
      </c>
      <c r="H4150">
        <f>_xll.BDP("FNDE6765 Mtge","MTG_WAL")</f>
        <v>3.3408000000000002</v>
      </c>
      <c r="I4150" t="str">
        <f>_xll.BDP("FNDE6765 Mtge","MTG_ORIG_WAL")</f>
        <v>#N/A N/A</v>
      </c>
    </row>
    <row r="4151" spans="1:9" x14ac:dyDescent="0.25">
      <c r="A4151" t="str">
        <f>_xll.BDP("FNDE7196 Mtge","ID_CUSIP")</f>
        <v>3140BK7J7</v>
      </c>
      <c r="B4151" t="str">
        <f>_xll.BDP("FNDE7196 Mtge","SECURITY_NAME")</f>
        <v>FN DE7196</v>
      </c>
      <c r="C4151" t="str">
        <f>_xll.BDP("FNDE7196 Mtge","GENERIC_TICKER_VINTAGE")</f>
        <v>FNCL 6 2025</v>
      </c>
      <c r="D4151" t="str">
        <f>_xll.BDP("FNDE7196 Mtge","CRNCY")</f>
        <v>USD</v>
      </c>
      <c r="E4151">
        <v>5967966</v>
      </c>
      <c r="F4151">
        <f>_xll.BDP("FNDE7196 Mtge","CPN")</f>
        <v>6</v>
      </c>
      <c r="G4151">
        <f>_xll.BDP("FNDE7196 Mtge","MTG_FACTOR")</f>
        <v>0.91574096999999999</v>
      </c>
      <c r="H4151">
        <f>_xll.BDP("FNDE7196 Mtge","MTG_WAL")</f>
        <v>3.3961000000000001</v>
      </c>
      <c r="I4151" t="str">
        <f>_xll.BDP("FNDE7196 Mtge","MTG_ORIG_WAL")</f>
        <v>#N/A N/A</v>
      </c>
    </row>
    <row r="4152" spans="1:9" x14ac:dyDescent="0.25">
      <c r="A4152" t="str">
        <f>_xll.BDP("FNDE7230 Mtge","ID_CUSIP")</f>
        <v>3140BLA85</v>
      </c>
      <c r="B4152" t="str">
        <f>_xll.BDP("FNDE7230 Mtge","SECURITY_NAME")</f>
        <v>FN DE7230</v>
      </c>
      <c r="C4152" t="str">
        <f>_xll.BDP("FNDE7230 Mtge","GENERIC_TICKER_VINTAGE")</f>
        <v>FNCL 6 2025</v>
      </c>
      <c r="D4152" t="str">
        <f>_xll.BDP("FNDE7230 Mtge","CRNCY")</f>
        <v>USD</v>
      </c>
      <c r="E4152">
        <v>14211529</v>
      </c>
      <c r="F4152">
        <f>_xll.BDP("FNDE7230 Mtge","CPN")</f>
        <v>6</v>
      </c>
      <c r="G4152">
        <f>_xll.BDP("FNDE7230 Mtge","MTG_FACTOR")</f>
        <v>0.94135197999999998</v>
      </c>
      <c r="H4152">
        <f>_xll.BDP("FNDE7230 Mtge","MTG_WAL")</f>
        <v>3.395</v>
      </c>
      <c r="I4152" t="str">
        <f>_xll.BDP("FNDE7230 Mtge","MTG_ORIG_WAL")</f>
        <v>#N/A N/A</v>
      </c>
    </row>
    <row r="4153" spans="1:9" x14ac:dyDescent="0.25">
      <c r="A4153" t="str">
        <f>_xll.BDP("FNDE7296 Mtge","ID_CUSIP")</f>
        <v>3140BLDA7</v>
      </c>
      <c r="B4153" t="str">
        <f>_xll.BDP("FNDE7296 Mtge","SECURITY_NAME")</f>
        <v>FN DE7296</v>
      </c>
      <c r="C4153" t="str">
        <f>_xll.BDP("FNDE7296 Mtge","GENERIC_TICKER_VINTAGE")</f>
        <v>FNCL 6 2025</v>
      </c>
      <c r="D4153" t="str">
        <f>_xll.BDP("FNDE7296 Mtge","CRNCY")</f>
        <v>USD</v>
      </c>
      <c r="E4153">
        <v>18559718</v>
      </c>
      <c r="F4153">
        <f>_xll.BDP("FNDE7296 Mtge","CPN")</f>
        <v>6</v>
      </c>
      <c r="G4153">
        <f>_xll.BDP("FNDE7296 Mtge","MTG_FACTOR")</f>
        <v>0.94721317999999999</v>
      </c>
      <c r="H4153">
        <f>_xll.BDP("FNDE7296 Mtge","MTG_WAL")</f>
        <v>3.4512</v>
      </c>
      <c r="I4153" t="str">
        <f>_xll.BDP("FNDE7296 Mtge","MTG_ORIG_WAL")</f>
        <v>#N/A N/A</v>
      </c>
    </row>
    <row r="4154" spans="1:9" x14ac:dyDescent="0.25">
      <c r="A4154" t="str">
        <f>_xll.BDP("FNDE7406 Mtge","ID_CUSIP")</f>
        <v>3140BLGQ9</v>
      </c>
      <c r="B4154" t="str">
        <f>_xll.BDP("FNDE7406 Mtge","SECURITY_NAME")</f>
        <v>FN DE7406</v>
      </c>
      <c r="C4154" t="str">
        <f>_xll.BDP("FNDE7406 Mtge","GENERIC_TICKER_VINTAGE")</f>
        <v>FNCL 6 2025</v>
      </c>
      <c r="D4154" t="str">
        <f>_xll.BDP("FNDE7406 Mtge","CRNCY")</f>
        <v>USD</v>
      </c>
      <c r="E4154">
        <v>10140715</v>
      </c>
      <c r="F4154">
        <f>_xll.BDP("FNDE7406 Mtge","CPN")</f>
        <v>6</v>
      </c>
      <c r="G4154">
        <f>_xll.BDP("FNDE7406 Mtge","MTG_FACTOR")</f>
        <v>0.91816618000000005</v>
      </c>
      <c r="H4154">
        <f>_xll.BDP("FNDE7406 Mtge","MTG_WAL")</f>
        <v>3.4489999999999998</v>
      </c>
      <c r="I4154" t="str">
        <f>_xll.BDP("FNDE7406 Mtge","MTG_ORIG_WAL")</f>
        <v>#N/A N/A</v>
      </c>
    </row>
    <row r="4155" spans="1:9" x14ac:dyDescent="0.25">
      <c r="A4155" t="str">
        <f>_xll.BDP("FNDE7420 Mtge","ID_CUSIP")</f>
        <v>3140BLG63</v>
      </c>
      <c r="B4155" t="str">
        <f>_xll.BDP("FNDE7420 Mtge","SECURITY_NAME")</f>
        <v>FN DE7420</v>
      </c>
      <c r="C4155" t="str">
        <f>_xll.BDP("FNDE7420 Mtge","GENERIC_TICKER_VINTAGE")</f>
        <v>FNCL 6 2025</v>
      </c>
      <c r="D4155" t="str">
        <f>_xll.BDP("FNDE7420 Mtge","CRNCY")</f>
        <v>USD</v>
      </c>
      <c r="E4155">
        <v>1033541</v>
      </c>
      <c r="F4155">
        <f>_xll.BDP("FNDE7420 Mtge","CPN")</f>
        <v>6</v>
      </c>
      <c r="G4155">
        <f>_xll.BDP("FNDE7420 Mtge","MTG_FACTOR")</f>
        <v>0.99244398</v>
      </c>
      <c r="H4155">
        <f>_xll.BDP("FNDE7420 Mtge","MTG_WAL")</f>
        <v>3.4487999999999999</v>
      </c>
      <c r="I4155" t="str">
        <f>_xll.BDP("FNDE7420 Mtge","MTG_ORIG_WAL")</f>
        <v>#N/A N/A</v>
      </c>
    </row>
    <row r="4156" spans="1:9" x14ac:dyDescent="0.25">
      <c r="A4156" t="str">
        <f>_xll.BDP("FNDE7422 Mtge","ID_CUSIP")</f>
        <v>3140BLG89</v>
      </c>
      <c r="B4156" t="str">
        <f>_xll.BDP("FNDE7422 Mtge","SECURITY_NAME")</f>
        <v>FN DE7422</v>
      </c>
      <c r="C4156" t="str">
        <f>_xll.BDP("FNDE7422 Mtge","GENERIC_TICKER_VINTAGE")</f>
        <v>FNCL 6 2025</v>
      </c>
      <c r="D4156" t="str">
        <f>_xll.BDP("FNDE7422 Mtge","CRNCY")</f>
        <v>USD</v>
      </c>
      <c r="E4156">
        <v>1147301</v>
      </c>
      <c r="F4156">
        <f>_xll.BDP("FNDE7422 Mtge","CPN")</f>
        <v>6</v>
      </c>
      <c r="G4156">
        <f>_xll.BDP("FNDE7422 Mtge","MTG_FACTOR")</f>
        <v>0.95898004999999997</v>
      </c>
      <c r="H4156">
        <f>_xll.BDP("FNDE7422 Mtge","MTG_WAL")</f>
        <v>3.3969999999999998</v>
      </c>
      <c r="I4156" t="str">
        <f>_xll.BDP("FNDE7422 Mtge","MTG_ORIG_WAL")</f>
        <v>#N/A N/A</v>
      </c>
    </row>
    <row r="4157" spans="1:9" x14ac:dyDescent="0.25">
      <c r="A4157" t="str">
        <f>_xll.BDP("FNDE7738 Mtge","ID_CUSIP")</f>
        <v>3140BLS45</v>
      </c>
      <c r="B4157" t="str">
        <f>_xll.BDP("FNDE7738 Mtge","SECURITY_NAME")</f>
        <v>FN DE7738</v>
      </c>
      <c r="C4157" t="str">
        <f>_xll.BDP("FNDE7738 Mtge","GENERIC_TICKER_VINTAGE")</f>
        <v>FNCL 6 2025</v>
      </c>
      <c r="D4157" t="str">
        <f>_xll.BDP("FNDE7738 Mtge","CRNCY")</f>
        <v>USD</v>
      </c>
      <c r="E4157">
        <v>1011745</v>
      </c>
      <c r="F4157">
        <f>_xll.BDP("FNDE7738 Mtge","CPN")</f>
        <v>6</v>
      </c>
      <c r="G4157">
        <f>_xll.BDP("FNDE7738 Mtge","MTG_FACTOR")</f>
        <v>0.99399128000000003</v>
      </c>
      <c r="H4157">
        <f>_xll.BDP("FNDE7738 Mtge","MTG_WAL")</f>
        <v>3.4516</v>
      </c>
      <c r="I4157" t="str">
        <f>_xll.BDP("FNDE7738 Mtge","MTG_ORIG_WAL")</f>
        <v>#N/A N/A</v>
      </c>
    </row>
    <row r="4158" spans="1:9" x14ac:dyDescent="0.25">
      <c r="A4158" t="str">
        <f>_xll.BDP("FNDE7757 Mtge","ID_CUSIP")</f>
        <v>3140BLTP7</v>
      </c>
      <c r="B4158" t="str">
        <f>_xll.BDP("FNDE7757 Mtge","SECURITY_NAME")</f>
        <v>FN DE7757</v>
      </c>
      <c r="C4158" t="str">
        <f>_xll.BDP("FNDE7757 Mtge","GENERIC_TICKER_VINTAGE")</f>
        <v>FNCL 6 2025</v>
      </c>
      <c r="D4158" t="str">
        <f>_xll.BDP("FNDE7757 Mtge","CRNCY")</f>
        <v>USD</v>
      </c>
      <c r="E4158">
        <v>1029608</v>
      </c>
      <c r="F4158">
        <f>_xll.BDP("FNDE7757 Mtge","CPN")</f>
        <v>6</v>
      </c>
      <c r="G4158">
        <f>_xll.BDP("FNDE7757 Mtge","MTG_FACTOR")</f>
        <v>0.98623534000000002</v>
      </c>
      <c r="H4158">
        <f>_xll.BDP("FNDE7757 Mtge","MTG_WAL")</f>
        <v>3.4468000000000001</v>
      </c>
      <c r="I4158" t="str">
        <f>_xll.BDP("FNDE7757 Mtge","MTG_ORIG_WAL")</f>
        <v>#N/A N/A</v>
      </c>
    </row>
    <row r="4159" spans="1:9" x14ac:dyDescent="0.25">
      <c r="A4159" t="str">
        <f>_xll.BDP("FNDE7907 Mtge","ID_CUSIP")</f>
        <v>3140BLYD8</v>
      </c>
      <c r="B4159" t="str">
        <f>_xll.BDP("FNDE7907 Mtge","SECURITY_NAME")</f>
        <v>FN DE7907</v>
      </c>
      <c r="C4159" t="str">
        <f>_xll.BDP("FNDE7907 Mtge","GENERIC_TICKER_VINTAGE")</f>
        <v>FNCL 6 2025</v>
      </c>
      <c r="D4159" t="str">
        <f>_xll.BDP("FNDE7907 Mtge","CRNCY")</f>
        <v>USD</v>
      </c>
      <c r="E4159">
        <v>5705355</v>
      </c>
      <c r="F4159">
        <f>_xll.BDP("FNDE7907 Mtge","CPN")</f>
        <v>6</v>
      </c>
      <c r="G4159">
        <f>_xll.BDP("FNDE7907 Mtge","MTG_FACTOR")</f>
        <v>0.99320045999999995</v>
      </c>
      <c r="H4159">
        <f>_xll.BDP("FNDE7907 Mtge","MTG_WAL")</f>
        <v>3.4476</v>
      </c>
      <c r="I4159" t="str">
        <f>_xll.BDP("FNDE7907 Mtge","MTG_ORIG_WAL")</f>
        <v>#N/A N/A</v>
      </c>
    </row>
    <row r="4160" spans="1:9" x14ac:dyDescent="0.25">
      <c r="A4160" t="str">
        <f>_xll.BDP("FNDE7928 Mtge","ID_CUSIP")</f>
        <v>3140BLY22</v>
      </c>
      <c r="B4160" t="str">
        <f>_xll.BDP("FNDE7928 Mtge","SECURITY_NAME")</f>
        <v>FN DE7928</v>
      </c>
      <c r="C4160" t="str">
        <f>_xll.BDP("FNDE7928 Mtge","GENERIC_TICKER_VINTAGE")</f>
        <v>FNCL 6 2025</v>
      </c>
      <c r="D4160" t="str">
        <f>_xll.BDP("FNDE7928 Mtge","CRNCY")</f>
        <v>USD</v>
      </c>
      <c r="E4160">
        <v>1105215</v>
      </c>
      <c r="F4160">
        <f>_xll.BDP("FNDE7928 Mtge","CPN")</f>
        <v>6</v>
      </c>
      <c r="G4160">
        <f>_xll.BDP("FNDE7928 Mtge","MTG_FACTOR")</f>
        <v>0.99381514999999998</v>
      </c>
      <c r="H4160">
        <f>_xll.BDP("FNDE7928 Mtge","MTG_WAL")</f>
        <v>3.4516</v>
      </c>
      <c r="I4160" t="str">
        <f>_xll.BDP("FNDE7928 Mtge","MTG_ORIG_WAL")</f>
        <v>#N/A N/A</v>
      </c>
    </row>
    <row r="4161" spans="1:9" x14ac:dyDescent="0.25">
      <c r="A4161" t="str">
        <f>_xll.BDP("FNDE7943 Mtge","ID_CUSIP")</f>
        <v>3140BLZH8</v>
      </c>
      <c r="B4161" t="str">
        <f>_xll.BDP("FNDE7943 Mtge","SECURITY_NAME")</f>
        <v>FN DE7943</v>
      </c>
      <c r="C4161" t="str">
        <f>_xll.BDP("FNDE7943 Mtge","GENERIC_TICKER_VINTAGE")</f>
        <v>FNCL 6 2025</v>
      </c>
      <c r="D4161" t="str">
        <f>_xll.BDP("FNDE7943 Mtge","CRNCY")</f>
        <v>USD</v>
      </c>
      <c r="E4161">
        <v>1198304</v>
      </c>
      <c r="F4161">
        <f>_xll.BDP("FNDE7943 Mtge","CPN")</f>
        <v>6</v>
      </c>
      <c r="G4161">
        <f>_xll.BDP("FNDE7943 Mtge","MTG_FACTOR")</f>
        <v>0.98681078</v>
      </c>
      <c r="H4161">
        <f>_xll.BDP("FNDE7943 Mtge","MTG_WAL")</f>
        <v>3.4462999999999999</v>
      </c>
      <c r="I4161" t="str">
        <f>_xll.BDP("FNDE7943 Mtge","MTG_ORIG_WAL")</f>
        <v>#N/A N/A</v>
      </c>
    </row>
    <row r="4162" spans="1:9" x14ac:dyDescent="0.25">
      <c r="A4162" t="str">
        <f>_xll.BDP("FNDE8091 Mtge","ID_CUSIP")</f>
        <v>3140BL7D8</v>
      </c>
      <c r="B4162" t="str">
        <f>_xll.BDP("FNDE8091 Mtge","SECURITY_NAME")</f>
        <v>FN DE8091</v>
      </c>
      <c r="C4162" t="str">
        <f>_xll.BDP("FNDE8091 Mtge","GENERIC_TICKER_VINTAGE")</f>
        <v>FNCL 6 2025</v>
      </c>
      <c r="D4162" t="str">
        <f>_xll.BDP("FNDE8091 Mtge","CRNCY")</f>
        <v>USD</v>
      </c>
      <c r="E4162">
        <v>4990690</v>
      </c>
      <c r="F4162">
        <f>_xll.BDP("FNDE8091 Mtge","CPN")</f>
        <v>6</v>
      </c>
      <c r="G4162">
        <f>_xll.BDP("FNDE8091 Mtge","MTG_FACTOR")</f>
        <v>0.99297188999999997</v>
      </c>
      <c r="H4162">
        <f>_xll.BDP("FNDE8091 Mtge","MTG_WAL")</f>
        <v>3.4512</v>
      </c>
      <c r="I4162" t="str">
        <f>_xll.BDP("FNDE8091 Mtge","MTG_ORIG_WAL")</f>
        <v>#N/A N/A</v>
      </c>
    </row>
    <row r="4163" spans="1:9" x14ac:dyDescent="0.25">
      <c r="A4163" t="str">
        <f>_xll.BDP("FNFA0085 Mtge","ID_CUSIP")</f>
        <v>3140W0CX1</v>
      </c>
      <c r="B4163" t="str">
        <f>_xll.BDP("FNFA0085 Mtge","SECURITY_NAME")</f>
        <v>FN FA0085</v>
      </c>
      <c r="C4163" t="str">
        <f>_xll.BDP("FNFA0085 Mtge","GENERIC_TICKER_VINTAGE")</f>
        <v>FNCL 3 2021</v>
      </c>
      <c r="D4163" t="str">
        <f>_xll.BDP("FNFA0085 Mtge","CRNCY")</f>
        <v>USD</v>
      </c>
      <c r="E4163">
        <v>9874925</v>
      </c>
      <c r="F4163">
        <f>_xll.BDP("FNFA0085 Mtge","CPN")</f>
        <v>3</v>
      </c>
      <c r="G4163">
        <f>_xll.BDP("FNFA0085 Mtge","MTG_FACTOR")</f>
        <v>0.8980089</v>
      </c>
      <c r="H4163">
        <f>_xll.BDP("FNFA0085 Mtge","MTG_WAL")</f>
        <v>8.2609999999999992</v>
      </c>
      <c r="I4163" t="str">
        <f>_xll.BDP("FNFA0085 Mtge","MTG_ORIG_WAL")</f>
        <v>#N/A N/A</v>
      </c>
    </row>
    <row r="4164" spans="1:9" x14ac:dyDescent="0.25">
      <c r="A4164" t="str">
        <f>_xll.BDP("FNFA0114 Mtge","ID_CUSIP")</f>
        <v>3140W0DU6</v>
      </c>
      <c r="B4164" t="str">
        <f>_xll.BDP("FNFA0114 Mtge","SECURITY_NAME")</f>
        <v>FN FA0114</v>
      </c>
      <c r="C4164" t="str">
        <f>_xll.BDP("FNFA0114 Mtge","GENERIC_TICKER_VINTAGE")</f>
        <v>FNCL 3 2021</v>
      </c>
      <c r="D4164" t="str">
        <f>_xll.BDP("FNFA0114 Mtge","CRNCY")</f>
        <v>USD</v>
      </c>
      <c r="E4164">
        <v>59205557</v>
      </c>
      <c r="F4164">
        <f>_xll.BDP("FNFA0114 Mtge","CPN")</f>
        <v>3</v>
      </c>
      <c r="G4164">
        <f>_xll.BDP("FNFA0114 Mtge","MTG_FACTOR")</f>
        <v>0.90120303000000002</v>
      </c>
      <c r="H4164">
        <f>_xll.BDP("FNFA0114 Mtge","MTG_WAL")</f>
        <v>8.3468999999999998</v>
      </c>
      <c r="I4164" t="str">
        <f>_xll.BDP("FNFA0114 Mtge","MTG_ORIG_WAL")</f>
        <v>#N/A N/A</v>
      </c>
    </row>
    <row r="4165" spans="1:9" x14ac:dyDescent="0.25">
      <c r="A4165" t="str">
        <f>_xll.BDP("FNFA0194 Mtge","ID_CUSIP")</f>
        <v>3140W0GC3</v>
      </c>
      <c r="B4165" t="str">
        <f>_xll.BDP("FNFA0194 Mtge","SECURITY_NAME")</f>
        <v>FN FA0194</v>
      </c>
      <c r="C4165" t="str">
        <f>_xll.BDP("FNFA0194 Mtge","GENERIC_TICKER_VINTAGE")</f>
        <v>FNCL 3 2021</v>
      </c>
      <c r="D4165" t="str">
        <f>_xll.BDP("FNFA0194 Mtge","CRNCY")</f>
        <v>USD</v>
      </c>
      <c r="E4165">
        <v>44449659</v>
      </c>
      <c r="F4165">
        <f>_xll.BDP("FNFA0194 Mtge","CPN")</f>
        <v>3</v>
      </c>
      <c r="G4165">
        <f>_xll.BDP("FNFA0194 Mtge","MTG_FACTOR")</f>
        <v>0.88374262000000003</v>
      </c>
      <c r="H4165">
        <f>_xll.BDP("FNFA0194 Mtge","MTG_WAL")</f>
        <v>8.0843000000000007</v>
      </c>
      <c r="I4165" t="str">
        <f>_xll.BDP("FNFA0194 Mtge","MTG_ORIG_WAL")</f>
        <v>#N/A N/A</v>
      </c>
    </row>
    <row r="4166" spans="1:9" x14ac:dyDescent="0.25">
      <c r="A4166" t="str">
        <f>_xll.BDP("FNFA0402 Mtge","ID_CUSIP")</f>
        <v>3140W0NU5</v>
      </c>
      <c r="B4166" t="str">
        <f>_xll.BDP("FNFA0402 Mtge","SECURITY_NAME")</f>
        <v>FN FA0402</v>
      </c>
      <c r="C4166" t="str">
        <f>_xll.BDP("FNFA0402 Mtge","GENERIC_TICKER_VINTAGE")</f>
        <v>FNCL 3 2021</v>
      </c>
      <c r="D4166" t="str">
        <f>_xll.BDP("FNFA0402 Mtge","CRNCY")</f>
        <v>USD</v>
      </c>
      <c r="E4166">
        <v>14126904</v>
      </c>
      <c r="F4166">
        <f>_xll.BDP("FNFA0402 Mtge","CPN")</f>
        <v>3</v>
      </c>
      <c r="G4166">
        <f>_xll.BDP("FNFA0402 Mtge","MTG_FACTOR")</f>
        <v>0.88826295</v>
      </c>
      <c r="H4166">
        <f>_xll.BDP("FNFA0402 Mtge","MTG_WAL")</f>
        <v>8.2931000000000008</v>
      </c>
      <c r="I4166" t="str">
        <f>_xll.BDP("FNFA0402 Mtge","MTG_ORIG_WAL")</f>
        <v>#N/A N/A</v>
      </c>
    </row>
    <row r="4167" spans="1:9" x14ac:dyDescent="0.25">
      <c r="A4167" t="str">
        <f>_xll.BDP("FNFA0522 Mtge","ID_CUSIP")</f>
        <v>3140W0SL0</v>
      </c>
      <c r="B4167" t="str">
        <f>_xll.BDP("FNFA0522 Mtge","SECURITY_NAME")</f>
        <v>FN FA0522</v>
      </c>
      <c r="C4167" t="str">
        <f>_xll.BDP("FNFA0522 Mtge","GENERIC_TICKER_VINTAGE")</f>
        <v>FNCL 3 2021</v>
      </c>
      <c r="D4167" t="str">
        <f>_xll.BDP("FNFA0522 Mtge","CRNCY")</f>
        <v>USD</v>
      </c>
      <c r="E4167">
        <v>20877637</v>
      </c>
      <c r="F4167">
        <f>_xll.BDP("FNFA0522 Mtge","CPN")</f>
        <v>3</v>
      </c>
      <c r="G4167">
        <f>_xll.BDP("FNFA0522 Mtge","MTG_FACTOR")</f>
        <v>0.89919793999999997</v>
      </c>
      <c r="H4167">
        <f>_xll.BDP("FNFA0522 Mtge","MTG_WAL")</f>
        <v>8.3004999999999995</v>
      </c>
      <c r="I4167" t="str">
        <f>_xll.BDP("FNFA0522 Mtge","MTG_ORIG_WAL")</f>
        <v>#N/A N/A</v>
      </c>
    </row>
    <row r="4168" spans="1:9" x14ac:dyDescent="0.25">
      <c r="A4168" t="str">
        <f>_xll.BDP("FNFA0523 Mtge","ID_CUSIP")</f>
        <v>3140W0SM8</v>
      </c>
      <c r="B4168" t="str">
        <f>_xll.BDP("FNFA0523 Mtge","SECURITY_NAME")</f>
        <v>FN FA0523</v>
      </c>
      <c r="C4168" t="str">
        <f>_xll.BDP("FNFA0523 Mtge","GENERIC_TICKER_VINTAGE")</f>
        <v>FNCL 3 2021</v>
      </c>
      <c r="D4168" t="str">
        <f>_xll.BDP("FNFA0523 Mtge","CRNCY")</f>
        <v>USD</v>
      </c>
      <c r="E4168">
        <v>16075814</v>
      </c>
      <c r="F4168">
        <f>_xll.BDP("FNFA0523 Mtge","CPN")</f>
        <v>3</v>
      </c>
      <c r="G4168">
        <f>_xll.BDP("FNFA0523 Mtge","MTG_FACTOR")</f>
        <v>0.8826832</v>
      </c>
      <c r="H4168">
        <f>_xll.BDP("FNFA0523 Mtge","MTG_WAL")</f>
        <v>8.3406000000000002</v>
      </c>
      <c r="I4168" t="str">
        <f>_xll.BDP("FNFA0523 Mtge","MTG_ORIG_WAL")</f>
        <v>#N/A N/A</v>
      </c>
    </row>
    <row r="4169" spans="1:9" x14ac:dyDescent="0.25">
      <c r="A4169" t="str">
        <f>_xll.BDP("FNFA0666 Mtge","ID_CUSIP")</f>
        <v>3140W0W43</v>
      </c>
      <c r="B4169" t="str">
        <f>_xll.BDP("FNFA0666 Mtge","SECURITY_NAME")</f>
        <v>FN FA0666</v>
      </c>
      <c r="C4169" t="str">
        <f>_xll.BDP("FNFA0666 Mtge","GENERIC_TICKER_VINTAGE")</f>
        <v>FNCL 3 2021</v>
      </c>
      <c r="D4169" t="str">
        <f>_xll.BDP("FNFA0666 Mtge","CRNCY")</f>
        <v>USD</v>
      </c>
      <c r="E4169">
        <v>26381872</v>
      </c>
      <c r="F4169">
        <f>_xll.BDP("FNFA0666 Mtge","CPN")</f>
        <v>3</v>
      </c>
      <c r="G4169">
        <f>_xll.BDP("FNFA0666 Mtge","MTG_FACTOR")</f>
        <v>0.90393139</v>
      </c>
      <c r="H4169">
        <f>_xll.BDP("FNFA0666 Mtge","MTG_WAL")</f>
        <v>8.3458000000000006</v>
      </c>
      <c r="I4169" t="str">
        <f>_xll.BDP("FNFA0666 Mtge","MTG_ORIG_WAL")</f>
        <v>#N/A N/A</v>
      </c>
    </row>
    <row r="4170" spans="1:9" x14ac:dyDescent="0.25">
      <c r="A4170" t="str">
        <f>_xll.BDP("FNFA0733 Mtge","ID_CUSIP")</f>
        <v>3140W0Y74</v>
      </c>
      <c r="B4170" t="str">
        <f>_xll.BDP("FNFA0733 Mtge","SECURITY_NAME")</f>
        <v>FN FA0733</v>
      </c>
      <c r="C4170" t="str">
        <f>_xll.BDP("FNFA0733 Mtge","GENERIC_TICKER_VINTAGE")</f>
        <v>FNCL 3 2021</v>
      </c>
      <c r="D4170" t="str">
        <f>_xll.BDP("FNFA0733 Mtge","CRNCY")</f>
        <v>USD</v>
      </c>
      <c r="E4170">
        <v>21329058</v>
      </c>
      <c r="F4170">
        <f>_xll.BDP("FNFA0733 Mtge","CPN")</f>
        <v>3</v>
      </c>
      <c r="G4170">
        <f>_xll.BDP("FNFA0733 Mtge","MTG_FACTOR")</f>
        <v>0.87480827000000005</v>
      </c>
      <c r="H4170">
        <f>_xll.BDP("FNFA0733 Mtge","MTG_WAL")</f>
        <v>8.1865000000000006</v>
      </c>
      <c r="I4170" t="str">
        <f>_xll.BDP("FNFA0733 Mtge","MTG_ORIG_WAL")</f>
        <v>#N/A N/A</v>
      </c>
    </row>
    <row r="4171" spans="1:9" x14ac:dyDescent="0.25">
      <c r="A4171" t="str">
        <f>_xll.BDP("FNFA0844 Mtge","ID_CUSIP")</f>
        <v>3140W05E1</v>
      </c>
      <c r="B4171" t="str">
        <f>_xll.BDP("FNFA0844 Mtge","SECURITY_NAME")</f>
        <v>FN FA0844</v>
      </c>
      <c r="C4171" t="str">
        <f>_xll.BDP("FNFA0844 Mtge","GENERIC_TICKER_VINTAGE")</f>
        <v>FNCL 3 2021</v>
      </c>
      <c r="D4171" t="str">
        <f>_xll.BDP("FNFA0844 Mtge","CRNCY")</f>
        <v>USD</v>
      </c>
      <c r="E4171">
        <v>30534346</v>
      </c>
      <c r="F4171">
        <f>_xll.BDP("FNFA0844 Mtge","CPN")</f>
        <v>3</v>
      </c>
      <c r="G4171">
        <f>_xll.BDP("FNFA0844 Mtge","MTG_FACTOR")</f>
        <v>0.87307372999999999</v>
      </c>
      <c r="H4171">
        <f>_xll.BDP("FNFA0844 Mtge","MTG_WAL")</f>
        <v>8.2222000000000008</v>
      </c>
      <c r="I4171" t="str">
        <f>_xll.BDP("FNFA0844 Mtge","MTG_ORIG_WAL")</f>
        <v>#N/A N/A</v>
      </c>
    </row>
    <row r="4172" spans="1:9" x14ac:dyDescent="0.25">
      <c r="A4172" t="str">
        <f>_xll.BDP("FNFA0921 Mtge","ID_CUSIP")</f>
        <v>3140W1AX1</v>
      </c>
      <c r="B4172" t="str">
        <f>_xll.BDP("FNFA0921 Mtge","SECURITY_NAME")</f>
        <v>FN FA0921</v>
      </c>
      <c r="C4172" t="str">
        <f>_xll.BDP("FNFA0921 Mtge","GENERIC_TICKER_VINTAGE")</f>
        <v>FNCL 3 2021</v>
      </c>
      <c r="D4172" t="str">
        <f>_xll.BDP("FNFA0921 Mtge","CRNCY")</f>
        <v>USD</v>
      </c>
      <c r="E4172">
        <v>2675899</v>
      </c>
      <c r="F4172">
        <f>_xll.BDP("FNFA0921 Mtge","CPN")</f>
        <v>3</v>
      </c>
      <c r="G4172">
        <f>_xll.BDP("FNFA0921 Mtge","MTG_FACTOR")</f>
        <v>0.90125719000000004</v>
      </c>
      <c r="H4172">
        <f>_xll.BDP("FNFA0921 Mtge","MTG_WAL")</f>
        <v>8.2334999999999994</v>
      </c>
      <c r="I4172" t="str">
        <f>_xll.BDP("FNFA0921 Mtge","MTG_ORIG_WAL")</f>
        <v>#N/A N/A</v>
      </c>
    </row>
    <row r="4173" spans="1:9" x14ac:dyDescent="0.25">
      <c r="A4173" t="str">
        <f>_xll.BDP("FNFA0922 Mtge","ID_CUSIP")</f>
        <v>3140W1AY9</v>
      </c>
      <c r="B4173" t="str">
        <f>_xll.BDP("FNFA0922 Mtge","SECURITY_NAME")</f>
        <v>FN FA0922</v>
      </c>
      <c r="C4173" t="str">
        <f>_xll.BDP("FNFA0922 Mtge","GENERIC_TICKER_VINTAGE")</f>
        <v>FNCL 3 2021</v>
      </c>
      <c r="D4173" t="str">
        <f>_xll.BDP("FNFA0922 Mtge","CRNCY")</f>
        <v>USD</v>
      </c>
      <c r="E4173">
        <v>6396413</v>
      </c>
      <c r="F4173">
        <f>_xll.BDP("FNFA0922 Mtge","CPN")</f>
        <v>3</v>
      </c>
      <c r="G4173">
        <f>_xll.BDP("FNFA0922 Mtge","MTG_FACTOR")</f>
        <v>0.87967633999999995</v>
      </c>
      <c r="H4173">
        <f>_xll.BDP("FNFA0922 Mtge","MTG_WAL")</f>
        <v>8.0327000000000002</v>
      </c>
      <c r="I4173" t="str">
        <f>_xll.BDP("FNFA0922 Mtge","MTG_ORIG_WAL")</f>
        <v>#N/A N/A</v>
      </c>
    </row>
    <row r="4174" spans="1:9" x14ac:dyDescent="0.25">
      <c r="A4174" t="str">
        <f>_xll.BDP("FNFA0924 Mtge","ID_CUSIP")</f>
        <v>3140W1A29</v>
      </c>
      <c r="B4174" t="str">
        <f>_xll.BDP("FNFA0924 Mtge","SECURITY_NAME")</f>
        <v>FN FA0924</v>
      </c>
      <c r="C4174" t="str">
        <f>_xll.BDP("FNFA0924 Mtge","GENERIC_TICKER_VINTAGE")</f>
        <v>FNCL 3 2021</v>
      </c>
      <c r="D4174" t="str">
        <f>_xll.BDP("FNFA0924 Mtge","CRNCY")</f>
        <v>USD</v>
      </c>
      <c r="E4174">
        <v>11282863</v>
      </c>
      <c r="F4174">
        <f>_xll.BDP("FNFA0924 Mtge","CPN")</f>
        <v>3</v>
      </c>
      <c r="G4174">
        <f>_xll.BDP("FNFA0924 Mtge","MTG_FACTOR")</f>
        <v>0.91968214999999998</v>
      </c>
      <c r="H4174">
        <f>_xll.BDP("FNFA0924 Mtge","MTG_WAL")</f>
        <v>8.3146000000000004</v>
      </c>
      <c r="I4174" t="str">
        <f>_xll.BDP("FNFA0924 Mtge","MTG_ORIG_WAL")</f>
        <v>#N/A N/A</v>
      </c>
    </row>
    <row r="4175" spans="1:9" x14ac:dyDescent="0.25">
      <c r="A4175" t="str">
        <f>_xll.BDP("FNFA0968 Mtge","ID_CUSIP")</f>
        <v>3140W1CE1</v>
      </c>
      <c r="B4175" t="str">
        <f>_xll.BDP("FNFA0968 Mtge","SECURITY_NAME")</f>
        <v>FN FA0968</v>
      </c>
      <c r="C4175" t="str">
        <f>_xll.BDP("FNFA0968 Mtge","GENERIC_TICKER_VINTAGE")</f>
        <v>FNCL 6 2025</v>
      </c>
      <c r="D4175" t="str">
        <f>_xll.BDP("FNFA0968 Mtge","CRNCY")</f>
        <v>USD</v>
      </c>
      <c r="E4175">
        <v>28087340</v>
      </c>
      <c r="F4175">
        <f>_xll.BDP("FNFA0968 Mtge","CPN")</f>
        <v>6</v>
      </c>
      <c r="G4175">
        <f>_xll.BDP("FNFA0968 Mtge","MTG_FACTOR")</f>
        <v>0.89202650000000006</v>
      </c>
      <c r="H4175">
        <f>_xll.BDP("FNFA0968 Mtge","MTG_WAL")</f>
        <v>3.1566999999999998</v>
      </c>
      <c r="I4175" t="str">
        <f>_xll.BDP("FNFA0968 Mtge","MTG_ORIG_WAL")</f>
        <v>#N/A N/A</v>
      </c>
    </row>
    <row r="4176" spans="1:9" x14ac:dyDescent="0.25">
      <c r="A4176" t="str">
        <f>_xll.BDP("FNFA0971 Mtge","ID_CUSIP")</f>
        <v>3140W1CH4</v>
      </c>
      <c r="B4176" t="str">
        <f>_xll.BDP("FNFA0971 Mtge","SECURITY_NAME")</f>
        <v>FN FA0971</v>
      </c>
      <c r="C4176" t="str">
        <f>_xll.BDP("FNFA0971 Mtge","GENERIC_TICKER_VINTAGE")</f>
        <v>FNCL 6 2025</v>
      </c>
      <c r="D4176" t="str">
        <f>_xll.BDP("FNFA0971 Mtge","CRNCY")</f>
        <v>USD</v>
      </c>
      <c r="E4176">
        <v>30123056</v>
      </c>
      <c r="F4176">
        <f>_xll.BDP("FNFA0971 Mtge","CPN")</f>
        <v>6</v>
      </c>
      <c r="G4176">
        <f>_xll.BDP("FNFA0971 Mtge","MTG_FACTOR")</f>
        <v>0.73511784000000002</v>
      </c>
      <c r="H4176">
        <f>_xll.BDP("FNFA0971 Mtge","MTG_WAL")</f>
        <v>3.1541999999999999</v>
      </c>
      <c r="I4176" t="str">
        <f>_xll.BDP("FNFA0971 Mtge","MTG_ORIG_WAL")</f>
        <v>#N/A N/A</v>
      </c>
    </row>
    <row r="4177" spans="1:9" x14ac:dyDescent="0.25">
      <c r="A4177" t="str">
        <f>_xll.BDP("FNFA1006 Mtge","ID_CUSIP")</f>
        <v>3140W1DL4</v>
      </c>
      <c r="B4177" t="str">
        <f>_xll.BDP("FNFA1006 Mtge","SECURITY_NAME")</f>
        <v>FN FA1006</v>
      </c>
      <c r="C4177" t="str">
        <f>_xll.BDP("FNFA1006 Mtge","GENERIC_TICKER_VINTAGE")</f>
        <v>FNCL 3 2021</v>
      </c>
      <c r="D4177" t="str">
        <f>_xll.BDP("FNFA1006 Mtge","CRNCY")</f>
        <v>USD</v>
      </c>
      <c r="E4177">
        <v>63061847</v>
      </c>
      <c r="F4177">
        <f>_xll.BDP("FNFA1006 Mtge","CPN")</f>
        <v>3</v>
      </c>
      <c r="G4177">
        <f>_xll.BDP("FNFA1006 Mtge","MTG_FACTOR")</f>
        <v>0.90770077999999998</v>
      </c>
      <c r="H4177">
        <f>_xll.BDP("FNFA1006 Mtge","MTG_WAL")</f>
        <v>8.1532999999999998</v>
      </c>
      <c r="I4177" t="str">
        <f>_xll.BDP("FNFA1006 Mtge","MTG_ORIG_WAL")</f>
        <v>#N/A N/A</v>
      </c>
    </row>
    <row r="4178" spans="1:9" x14ac:dyDescent="0.25">
      <c r="A4178" t="str">
        <f>_xll.BDP("FNFA1020 Mtge","ID_CUSIP")</f>
        <v>3140W1D26</v>
      </c>
      <c r="B4178" t="str">
        <f>_xll.BDP("FNFA1020 Mtge","SECURITY_NAME")</f>
        <v>FN FA1020</v>
      </c>
      <c r="C4178" t="str">
        <f>_xll.BDP("FNFA1020 Mtge","GENERIC_TICKER_VINTAGE")</f>
        <v>FNCL 3 2021</v>
      </c>
      <c r="D4178" t="str">
        <f>_xll.BDP("FNFA1020 Mtge","CRNCY")</f>
        <v>USD</v>
      </c>
      <c r="E4178">
        <v>43155191</v>
      </c>
      <c r="F4178">
        <f>_xll.BDP("FNFA1020 Mtge","CPN")</f>
        <v>3</v>
      </c>
      <c r="G4178">
        <f>_xll.BDP("FNFA1020 Mtge","MTG_FACTOR")</f>
        <v>0.89739963</v>
      </c>
      <c r="H4178">
        <f>_xll.BDP("FNFA1020 Mtge","MTG_WAL")</f>
        <v>8.3519000000000005</v>
      </c>
      <c r="I4178" t="str">
        <f>_xll.BDP("FNFA1020 Mtge","MTG_ORIG_WAL")</f>
        <v>#N/A N/A</v>
      </c>
    </row>
    <row r="4179" spans="1:9" x14ac:dyDescent="0.25">
      <c r="A4179" t="str">
        <f>_xll.BDP("FNFA1025 Mtge","ID_CUSIP")</f>
        <v>3140W1D75</v>
      </c>
      <c r="B4179" t="str">
        <f>_xll.BDP("FNFA1025 Mtge","SECURITY_NAME")</f>
        <v>FN FA1025</v>
      </c>
      <c r="C4179" t="str">
        <f>_xll.BDP("FNFA1025 Mtge","GENERIC_TICKER_VINTAGE")</f>
        <v>FNCL 3 2021</v>
      </c>
      <c r="D4179" t="str">
        <f>_xll.BDP("FNFA1025 Mtge","CRNCY")</f>
        <v>USD</v>
      </c>
      <c r="E4179">
        <v>41449295</v>
      </c>
      <c r="F4179">
        <f>_xll.BDP("FNFA1025 Mtge","CPN")</f>
        <v>3</v>
      </c>
      <c r="G4179">
        <f>_xll.BDP("FNFA1025 Mtge","MTG_FACTOR")</f>
        <v>0.90256530000000001</v>
      </c>
      <c r="H4179">
        <f>_xll.BDP("FNFA1025 Mtge","MTG_WAL")</f>
        <v>8.3251000000000008</v>
      </c>
      <c r="I4179" t="str">
        <f>_xll.BDP("FNFA1025 Mtge","MTG_ORIG_WAL")</f>
        <v>#N/A N/A</v>
      </c>
    </row>
    <row r="4180" spans="1:9" x14ac:dyDescent="0.25">
      <c r="A4180" t="str">
        <f>_xll.BDP("FNFA1044 Mtge","ID_CUSIP")</f>
        <v>3140W1ES8</v>
      </c>
      <c r="B4180" t="str">
        <f>_xll.BDP("FNFA1044 Mtge","SECURITY_NAME")</f>
        <v>FN FA1044</v>
      </c>
      <c r="C4180" t="str">
        <f>_xll.BDP("FNFA1044 Mtge","GENERIC_TICKER_VINTAGE")</f>
        <v>FNCL 3 2021</v>
      </c>
      <c r="D4180" t="str">
        <f>_xll.BDP("FNFA1044 Mtge","CRNCY")</f>
        <v>USD</v>
      </c>
      <c r="E4180">
        <v>15209013</v>
      </c>
      <c r="F4180">
        <f>_xll.BDP("FNFA1044 Mtge","CPN")</f>
        <v>3</v>
      </c>
      <c r="G4180">
        <f>_xll.BDP("FNFA1044 Mtge","MTG_FACTOR")</f>
        <v>0.91571093000000003</v>
      </c>
      <c r="H4180">
        <f>_xll.BDP("FNFA1044 Mtge","MTG_WAL")</f>
        <v>8.3567</v>
      </c>
      <c r="I4180" t="str">
        <f>_xll.BDP("FNFA1044 Mtge","MTG_ORIG_WAL")</f>
        <v>#N/A N/A</v>
      </c>
    </row>
    <row r="4181" spans="1:9" x14ac:dyDescent="0.25">
      <c r="A4181" t="str">
        <f>_xll.BDP("FNFA1098 Mtge","ID_CUSIP")</f>
        <v>3140W1GG2</v>
      </c>
      <c r="B4181" t="str">
        <f>_xll.BDP("FNFA1098 Mtge","SECURITY_NAME")</f>
        <v>FN FA1098</v>
      </c>
      <c r="C4181" t="str">
        <f>_xll.BDP("FNFA1098 Mtge","GENERIC_TICKER_VINTAGE")</f>
        <v>FNCL 3 2021</v>
      </c>
      <c r="D4181" t="str">
        <f>_xll.BDP("FNFA1098 Mtge","CRNCY")</f>
        <v>USD</v>
      </c>
      <c r="E4181">
        <v>94751594</v>
      </c>
      <c r="F4181">
        <f>_xll.BDP("FNFA1098 Mtge","CPN")</f>
        <v>3</v>
      </c>
      <c r="G4181">
        <f>_xll.BDP("FNFA1098 Mtge","MTG_FACTOR")</f>
        <v>0.90293082000000002</v>
      </c>
      <c r="H4181">
        <f>_xll.BDP("FNFA1098 Mtge","MTG_WAL")</f>
        <v>8.2874999999999996</v>
      </c>
      <c r="I4181" t="str">
        <f>_xll.BDP("FNFA1098 Mtge","MTG_ORIG_WAL")</f>
        <v>#N/A N/A</v>
      </c>
    </row>
    <row r="4182" spans="1:9" x14ac:dyDescent="0.25">
      <c r="A4182" t="str">
        <f>_xll.BDP("FNFA1161 Mtge","ID_CUSIP")</f>
        <v>3140W1JF1</v>
      </c>
      <c r="B4182" t="str">
        <f>_xll.BDP("FNFA1161 Mtge","SECURITY_NAME")</f>
        <v>FN FA1161</v>
      </c>
      <c r="C4182" t="str">
        <f>_xll.BDP("FNFA1161 Mtge","GENERIC_TICKER_VINTAGE")</f>
        <v>FNCL 3 2021</v>
      </c>
      <c r="D4182" t="str">
        <f>_xll.BDP("FNFA1161 Mtge","CRNCY")</f>
        <v>USD</v>
      </c>
      <c r="E4182">
        <v>25017334</v>
      </c>
      <c r="F4182">
        <f>_xll.BDP("FNFA1161 Mtge","CPN")</f>
        <v>3</v>
      </c>
      <c r="G4182">
        <f>_xll.BDP("FNFA1161 Mtge","MTG_FACTOR")</f>
        <v>0.93997012000000002</v>
      </c>
      <c r="H4182">
        <f>_xll.BDP("FNFA1161 Mtge","MTG_WAL")</f>
        <v>8.2805</v>
      </c>
      <c r="I4182" t="str">
        <f>_xll.BDP("FNFA1161 Mtge","MTG_ORIG_WAL")</f>
        <v>#N/A N/A</v>
      </c>
    </row>
    <row r="4183" spans="1:9" x14ac:dyDescent="0.25">
      <c r="A4183" t="str">
        <f>_xll.BDP("FNFA1162 Mtge","ID_CUSIP")</f>
        <v>3140W1JG9</v>
      </c>
      <c r="B4183" t="str">
        <f>_xll.BDP("FNFA1162 Mtge","SECURITY_NAME")</f>
        <v>FN FA1162</v>
      </c>
      <c r="C4183" t="str">
        <f>_xll.BDP("FNFA1162 Mtge","GENERIC_TICKER_VINTAGE")</f>
        <v>FNCL 6 2025</v>
      </c>
      <c r="D4183" t="str">
        <f>_xll.BDP("FNFA1162 Mtge","CRNCY")</f>
        <v>USD</v>
      </c>
      <c r="E4183">
        <v>47060649</v>
      </c>
      <c r="F4183">
        <f>_xll.BDP("FNFA1162 Mtge","CPN")</f>
        <v>6</v>
      </c>
      <c r="G4183">
        <f>_xll.BDP("FNFA1162 Mtge","MTG_FACTOR")</f>
        <v>0.81696471999999998</v>
      </c>
      <c r="H4183">
        <f>_xll.BDP("FNFA1162 Mtge","MTG_WAL")</f>
        <v>3.15</v>
      </c>
      <c r="I4183" t="str">
        <f>_xll.BDP("FNFA1162 Mtge","MTG_ORIG_WAL")</f>
        <v>#N/A N/A</v>
      </c>
    </row>
    <row r="4184" spans="1:9" x14ac:dyDescent="0.25">
      <c r="A4184" t="str">
        <f>_xll.BDP("FNFA1201 Mtge","ID_CUSIP")</f>
        <v>3140W1KP7</v>
      </c>
      <c r="B4184" t="str">
        <f>_xll.BDP("FNFA1201 Mtge","SECURITY_NAME")</f>
        <v>FN FA1201</v>
      </c>
      <c r="C4184" t="str">
        <f>_xll.BDP("FNFA1201 Mtge","GENERIC_TICKER_VINTAGE")</f>
        <v>FNCL 3 2021</v>
      </c>
      <c r="D4184" t="str">
        <f>_xll.BDP("FNFA1201 Mtge","CRNCY")</f>
        <v>USD</v>
      </c>
      <c r="E4184">
        <v>10801568</v>
      </c>
      <c r="F4184">
        <f>_xll.BDP("FNFA1201 Mtge","CPN")</f>
        <v>3</v>
      </c>
      <c r="G4184">
        <f>_xll.BDP("FNFA1201 Mtge","MTG_FACTOR")</f>
        <v>0.91230222999999999</v>
      </c>
      <c r="H4184">
        <f>_xll.BDP("FNFA1201 Mtge","MTG_WAL")</f>
        <v>8.3470999999999993</v>
      </c>
      <c r="I4184" t="str">
        <f>_xll.BDP("FNFA1201 Mtge","MTG_ORIG_WAL")</f>
        <v>#N/A N/A</v>
      </c>
    </row>
    <row r="4185" spans="1:9" x14ac:dyDescent="0.25">
      <c r="A4185" t="str">
        <f>_xll.BDP("FNFA1284 Mtge","ID_CUSIP")</f>
        <v>3140W1NA7</v>
      </c>
      <c r="B4185" t="str">
        <f>_xll.BDP("FNFA1284 Mtge","SECURITY_NAME")</f>
        <v>FN FA1284</v>
      </c>
      <c r="C4185" t="str">
        <f>_xll.BDP("FNFA1284 Mtge","GENERIC_TICKER_VINTAGE")</f>
        <v>FNCL 3 2021</v>
      </c>
      <c r="D4185" t="str">
        <f>_xll.BDP("FNFA1284 Mtge","CRNCY")</f>
        <v>USD</v>
      </c>
      <c r="E4185">
        <v>7636769</v>
      </c>
      <c r="F4185">
        <f>_xll.BDP("FNFA1284 Mtge","CPN")</f>
        <v>3</v>
      </c>
      <c r="G4185">
        <f>_xll.BDP("FNFA1284 Mtge","MTG_FACTOR")</f>
        <v>0.91155222999999996</v>
      </c>
      <c r="H4185">
        <f>_xll.BDP("FNFA1284 Mtge","MTG_WAL")</f>
        <v>8.1259999999999994</v>
      </c>
      <c r="I4185" t="str">
        <f>_xll.BDP("FNFA1284 Mtge","MTG_ORIG_WAL")</f>
        <v>#N/A N/A</v>
      </c>
    </row>
    <row r="4186" spans="1:9" x14ac:dyDescent="0.25">
      <c r="A4186" t="str">
        <f>_xll.BDP("FNFA1285 Mtge","ID_CUSIP")</f>
        <v>3140W1NB5</v>
      </c>
      <c r="B4186" t="str">
        <f>_xll.BDP("FNFA1285 Mtge","SECURITY_NAME")</f>
        <v>FN FA1285</v>
      </c>
      <c r="C4186" t="str">
        <f>_xll.BDP("FNFA1285 Mtge","GENERIC_TICKER_VINTAGE")</f>
        <v>FNCL 3 2021</v>
      </c>
      <c r="D4186" t="str">
        <f>_xll.BDP("FNFA1285 Mtge","CRNCY")</f>
        <v>USD</v>
      </c>
      <c r="E4186">
        <v>43685476</v>
      </c>
      <c r="F4186">
        <f>_xll.BDP("FNFA1285 Mtge","CPN")</f>
        <v>3</v>
      </c>
      <c r="G4186">
        <f>_xll.BDP("FNFA1285 Mtge","MTG_FACTOR")</f>
        <v>0.90600462999999998</v>
      </c>
      <c r="H4186">
        <f>_xll.BDP("FNFA1285 Mtge","MTG_WAL")</f>
        <v>8.3305000000000007</v>
      </c>
      <c r="I4186" t="str">
        <f>_xll.BDP("FNFA1285 Mtge","MTG_ORIG_WAL")</f>
        <v>#N/A N/A</v>
      </c>
    </row>
    <row r="4187" spans="1:9" x14ac:dyDescent="0.25">
      <c r="A4187" t="str">
        <f>_xll.BDP("FNFA1308 Mtge","ID_CUSIP")</f>
        <v>3140W1N25</v>
      </c>
      <c r="B4187" t="str">
        <f>_xll.BDP("FNFA1308 Mtge","SECURITY_NAME")</f>
        <v>FN FA1308</v>
      </c>
      <c r="C4187" t="str">
        <f>_xll.BDP("FNFA1308 Mtge","GENERIC_TICKER_VINTAGE")</f>
        <v>FNCL 6 2025</v>
      </c>
      <c r="D4187" t="str">
        <f>_xll.BDP("FNFA1308 Mtge","CRNCY")</f>
        <v>USD</v>
      </c>
      <c r="E4187">
        <v>28512908</v>
      </c>
      <c r="F4187">
        <f>_xll.BDP("FNFA1308 Mtge","CPN")</f>
        <v>6</v>
      </c>
      <c r="G4187">
        <f>_xll.BDP("FNFA1308 Mtge","MTG_FACTOR")</f>
        <v>0.93144194000000002</v>
      </c>
      <c r="H4187">
        <f>_xll.BDP("FNFA1308 Mtge","MTG_WAL")</f>
        <v>3.1716000000000002</v>
      </c>
      <c r="I4187" t="str">
        <f>_xll.BDP("FNFA1308 Mtge","MTG_ORIG_WAL")</f>
        <v>#N/A N/A</v>
      </c>
    </row>
    <row r="4188" spans="1:9" x14ac:dyDescent="0.25">
      <c r="A4188" t="str">
        <f>_xll.BDP("FNFA1309 Mtge","ID_CUSIP")</f>
        <v>3140W1N33</v>
      </c>
      <c r="B4188" t="str">
        <f>_xll.BDP("FNFA1309 Mtge","SECURITY_NAME")</f>
        <v>FN FA1309</v>
      </c>
      <c r="C4188" t="str">
        <f>_xll.BDP("FNFA1309 Mtge","GENERIC_TICKER_VINTAGE")</f>
        <v>FNCL 6 2025</v>
      </c>
      <c r="D4188" t="str">
        <f>_xll.BDP("FNFA1309 Mtge","CRNCY")</f>
        <v>USD</v>
      </c>
      <c r="E4188">
        <v>21465707</v>
      </c>
      <c r="F4188">
        <f>_xll.BDP("FNFA1309 Mtge","CPN")</f>
        <v>6</v>
      </c>
      <c r="G4188">
        <f>_xll.BDP("FNFA1309 Mtge","MTG_FACTOR")</f>
        <v>0.84940167</v>
      </c>
      <c r="H4188">
        <f>_xll.BDP("FNFA1309 Mtge","MTG_WAL")</f>
        <v>3.1520999999999999</v>
      </c>
      <c r="I4188" t="str">
        <f>_xll.BDP("FNFA1309 Mtge","MTG_ORIG_WAL")</f>
        <v>#N/A N/A</v>
      </c>
    </row>
    <row r="4189" spans="1:9" x14ac:dyDescent="0.25">
      <c r="A4189" t="str">
        <f>_xll.BDP("FNFA1313 Mtge","ID_CUSIP")</f>
        <v>3140W1N74</v>
      </c>
      <c r="B4189" t="str">
        <f>_xll.BDP("FNFA1313 Mtge","SECURITY_NAME")</f>
        <v>FN FA1313</v>
      </c>
      <c r="C4189" t="str">
        <f>_xll.BDP("FNFA1313 Mtge","GENERIC_TICKER_VINTAGE")</f>
        <v>FNCL 6 2025</v>
      </c>
      <c r="D4189" t="str">
        <f>_xll.BDP("FNFA1313 Mtge","CRNCY")</f>
        <v>USD</v>
      </c>
      <c r="E4189">
        <v>18568741</v>
      </c>
      <c r="F4189">
        <f>_xll.BDP("FNFA1313 Mtge","CPN")</f>
        <v>6</v>
      </c>
      <c r="G4189">
        <f>_xll.BDP("FNFA1313 Mtge","MTG_FACTOR")</f>
        <v>0.87491244999999995</v>
      </c>
      <c r="H4189">
        <f>_xll.BDP("FNFA1313 Mtge","MTG_WAL")</f>
        <v>3.1876000000000002</v>
      </c>
      <c r="I4189" t="str">
        <f>_xll.BDP("FNFA1313 Mtge","MTG_ORIG_WAL")</f>
        <v>#N/A N/A</v>
      </c>
    </row>
    <row r="4190" spans="1:9" x14ac:dyDescent="0.25">
      <c r="A4190" t="str">
        <f>_xll.BDP("FNFA1354 Mtge","ID_CUSIP")</f>
        <v>3140W1QG1</v>
      </c>
      <c r="B4190" t="str">
        <f>_xll.BDP("FNFA1354 Mtge","SECURITY_NAME")</f>
        <v>FN FA1354</v>
      </c>
      <c r="C4190" t="str">
        <f>_xll.BDP("FNFA1354 Mtge","GENERIC_TICKER_VINTAGE")</f>
        <v>FNCL 3 2021</v>
      </c>
      <c r="D4190" t="str">
        <f>_xll.BDP("FNFA1354 Mtge","CRNCY")</f>
        <v>USD</v>
      </c>
      <c r="E4190">
        <v>114739489</v>
      </c>
      <c r="F4190">
        <f>_xll.BDP("FNFA1354 Mtge","CPN")</f>
        <v>3</v>
      </c>
      <c r="G4190">
        <f>_xll.BDP("FNFA1354 Mtge","MTG_FACTOR")</f>
        <v>0.91981712000000004</v>
      </c>
      <c r="H4190">
        <f>_xll.BDP("FNFA1354 Mtge","MTG_WAL")</f>
        <v>8.3885000000000005</v>
      </c>
      <c r="I4190" t="str">
        <f>_xll.BDP("FNFA1354 Mtge","MTG_ORIG_WAL")</f>
        <v>#N/A N/A</v>
      </c>
    </row>
    <row r="4191" spans="1:9" x14ac:dyDescent="0.25">
      <c r="A4191" t="str">
        <f>_xll.BDP("FNFA1375 Mtge","ID_CUSIP")</f>
        <v>3140W1Q55</v>
      </c>
      <c r="B4191" t="str">
        <f>_xll.BDP("FNFA1375 Mtge","SECURITY_NAME")</f>
        <v>FN FA1375</v>
      </c>
      <c r="C4191" t="str">
        <f>_xll.BDP("FNFA1375 Mtge","GENERIC_TICKER_VINTAGE")</f>
        <v>FNCL 3 2021</v>
      </c>
      <c r="D4191" t="str">
        <f>_xll.BDP("FNFA1375 Mtge","CRNCY")</f>
        <v>USD</v>
      </c>
      <c r="E4191">
        <v>35760860</v>
      </c>
      <c r="F4191">
        <f>_xll.BDP("FNFA1375 Mtge","CPN")</f>
        <v>3</v>
      </c>
      <c r="G4191">
        <f>_xll.BDP("FNFA1375 Mtge","MTG_FACTOR")</f>
        <v>0.90983565</v>
      </c>
      <c r="H4191">
        <f>_xll.BDP("FNFA1375 Mtge","MTG_WAL")</f>
        <v>8.1569000000000003</v>
      </c>
      <c r="I4191" t="str">
        <f>_xll.BDP("FNFA1375 Mtge","MTG_ORIG_WAL")</f>
        <v>#N/A N/A</v>
      </c>
    </row>
    <row r="4192" spans="1:9" x14ac:dyDescent="0.25">
      <c r="A4192" t="str">
        <f>_xll.BDP("FNFA1389 Mtge","ID_CUSIP")</f>
        <v>3140W1RK1</v>
      </c>
      <c r="B4192" t="str">
        <f>_xll.BDP("FNFA1389 Mtge","SECURITY_NAME")</f>
        <v>FN FA1389</v>
      </c>
      <c r="C4192" t="str">
        <f>_xll.BDP("FNFA1389 Mtge","GENERIC_TICKER_VINTAGE")</f>
        <v>FNCL 3 2021</v>
      </c>
      <c r="D4192" t="str">
        <f>_xll.BDP("FNFA1389 Mtge","CRNCY")</f>
        <v>USD</v>
      </c>
      <c r="E4192">
        <v>14460843</v>
      </c>
      <c r="F4192">
        <f>_xll.BDP("FNFA1389 Mtge","CPN")</f>
        <v>3</v>
      </c>
      <c r="G4192">
        <f>_xll.BDP("FNFA1389 Mtge","MTG_FACTOR")</f>
        <v>0.94068224</v>
      </c>
      <c r="H4192">
        <f>_xll.BDP("FNFA1389 Mtge","MTG_WAL")</f>
        <v>8.2901000000000007</v>
      </c>
      <c r="I4192" t="str">
        <f>_xll.BDP("FNFA1389 Mtge","MTG_ORIG_WAL")</f>
        <v>#N/A N/A</v>
      </c>
    </row>
    <row r="4193" spans="1:9" x14ac:dyDescent="0.25">
      <c r="A4193" t="str">
        <f>_xll.BDP("FNFA1405 Mtge","ID_CUSIP")</f>
        <v>3140W1R39</v>
      </c>
      <c r="B4193" t="str">
        <f>_xll.BDP("FNFA1405 Mtge","SECURITY_NAME")</f>
        <v>FN FA1405</v>
      </c>
      <c r="C4193" t="str">
        <f>_xll.BDP("FNFA1405 Mtge","GENERIC_TICKER_VINTAGE")</f>
        <v>FNCL 3 2021</v>
      </c>
      <c r="D4193" t="str">
        <f>_xll.BDP("FNFA1405 Mtge","CRNCY")</f>
        <v>USD</v>
      </c>
      <c r="E4193">
        <v>25778145</v>
      </c>
      <c r="F4193">
        <f>_xll.BDP("FNFA1405 Mtge","CPN")</f>
        <v>3</v>
      </c>
      <c r="G4193">
        <f>_xll.BDP("FNFA1405 Mtge","MTG_FACTOR")</f>
        <v>0.93973143999999997</v>
      </c>
      <c r="H4193">
        <f>_xll.BDP("FNFA1405 Mtge","MTG_WAL")</f>
        <v>8.3537999999999997</v>
      </c>
      <c r="I4193" t="str">
        <f>_xll.BDP("FNFA1405 Mtge","MTG_ORIG_WAL")</f>
        <v>#N/A N/A</v>
      </c>
    </row>
    <row r="4194" spans="1:9" x14ac:dyDescent="0.25">
      <c r="A4194" t="str">
        <f>_xll.BDP("FNFA1410 Mtge","ID_CUSIP")</f>
        <v>3140W1R88</v>
      </c>
      <c r="B4194" t="str">
        <f>_xll.BDP("FNFA1410 Mtge","SECURITY_NAME")</f>
        <v>FN FA1410</v>
      </c>
      <c r="C4194" t="str">
        <f>_xll.BDP("FNFA1410 Mtge","GENERIC_TICKER_VINTAGE")</f>
        <v>FNCL 3 2021</v>
      </c>
      <c r="D4194" t="str">
        <f>_xll.BDP("FNFA1410 Mtge","CRNCY")</f>
        <v>USD</v>
      </c>
      <c r="E4194">
        <v>39784652</v>
      </c>
      <c r="F4194">
        <f>_xll.BDP("FNFA1410 Mtge","CPN")</f>
        <v>3</v>
      </c>
      <c r="G4194">
        <f>_xll.BDP("FNFA1410 Mtge","MTG_FACTOR")</f>
        <v>0.92881851999999998</v>
      </c>
      <c r="H4194">
        <f>_xll.BDP("FNFA1410 Mtge","MTG_WAL")</f>
        <v>8.2856000000000005</v>
      </c>
      <c r="I4194" t="str">
        <f>_xll.BDP("FNFA1410 Mtge","MTG_ORIG_WAL")</f>
        <v>#N/A N/A</v>
      </c>
    </row>
    <row r="4195" spans="1:9" x14ac:dyDescent="0.25">
      <c r="A4195" t="str">
        <f>_xll.BDP("FNFA1484 Mtge","ID_CUSIP")</f>
        <v>3140W1UJ0</v>
      </c>
      <c r="B4195" t="str">
        <f>_xll.BDP("FNFA1484 Mtge","SECURITY_NAME")</f>
        <v>FN FA1484</v>
      </c>
      <c r="C4195" t="str">
        <f>_xll.BDP("FNFA1484 Mtge","GENERIC_TICKER_VINTAGE")</f>
        <v>FNCL 6 2025</v>
      </c>
      <c r="D4195" t="str">
        <f>_xll.BDP("FNFA1484 Mtge","CRNCY")</f>
        <v>USD</v>
      </c>
      <c r="E4195">
        <v>70798293</v>
      </c>
      <c r="F4195">
        <f>_xll.BDP("FNFA1484 Mtge","CPN")</f>
        <v>6</v>
      </c>
      <c r="G4195">
        <f>_xll.BDP("FNFA1484 Mtge","MTG_FACTOR")</f>
        <v>0.92999639999999995</v>
      </c>
      <c r="H4195">
        <f>_xll.BDP("FNFA1484 Mtge","MTG_WAL")</f>
        <v>3.1880000000000002</v>
      </c>
      <c r="I4195" t="str">
        <f>_xll.BDP("FNFA1484 Mtge","MTG_ORIG_WAL")</f>
        <v>#N/A N/A</v>
      </c>
    </row>
    <row r="4196" spans="1:9" x14ac:dyDescent="0.25">
      <c r="A4196" t="str">
        <f>_xll.BDP("FNFA1501 Mtge","ID_CUSIP")</f>
        <v>3140W1U35</v>
      </c>
      <c r="B4196" t="str">
        <f>_xll.BDP("FNFA1501 Mtge","SECURITY_NAME")</f>
        <v>FN FA1501</v>
      </c>
      <c r="C4196" t="str">
        <f>_xll.BDP("FNFA1501 Mtge","GENERIC_TICKER_VINTAGE")</f>
        <v>FNCL 6 2025</v>
      </c>
      <c r="D4196" t="str">
        <f>_xll.BDP("FNFA1501 Mtge","CRNCY")</f>
        <v>USD</v>
      </c>
      <c r="E4196">
        <v>58028397</v>
      </c>
      <c r="F4196">
        <f>_xll.BDP("FNFA1501 Mtge","CPN")</f>
        <v>6</v>
      </c>
      <c r="G4196">
        <f>_xll.BDP("FNFA1501 Mtge","MTG_FACTOR")</f>
        <v>0.83603539999999998</v>
      </c>
      <c r="H4196">
        <f>_xll.BDP("FNFA1501 Mtge","MTG_WAL")</f>
        <v>3.1524000000000001</v>
      </c>
      <c r="I4196" t="str">
        <f>_xll.BDP("FNFA1501 Mtge","MTG_ORIG_WAL")</f>
        <v>#N/A N/A</v>
      </c>
    </row>
    <row r="4197" spans="1:9" x14ac:dyDescent="0.25">
      <c r="A4197" t="str">
        <f>_xll.BDP("FNFA1542 Mtge","ID_CUSIP")</f>
        <v>3140W1WC3</v>
      </c>
      <c r="B4197" t="str">
        <f>_xll.BDP("FNFA1542 Mtge","SECURITY_NAME")</f>
        <v>FN FA1542</v>
      </c>
      <c r="C4197" t="str">
        <f>_xll.BDP("FNFA1542 Mtge","GENERIC_TICKER_VINTAGE")</f>
        <v>FNCL 6 2025</v>
      </c>
      <c r="D4197" t="str">
        <f>_xll.BDP("FNFA1542 Mtge","CRNCY")</f>
        <v>USD</v>
      </c>
      <c r="E4197">
        <v>25257689</v>
      </c>
      <c r="F4197">
        <f>_xll.BDP("FNFA1542 Mtge","CPN")</f>
        <v>6</v>
      </c>
      <c r="G4197">
        <f>_xll.BDP("FNFA1542 Mtge","MTG_FACTOR")</f>
        <v>0.92784498999999998</v>
      </c>
      <c r="H4197">
        <f>_xll.BDP("FNFA1542 Mtge","MTG_WAL")</f>
        <v>3.2151999999999998</v>
      </c>
      <c r="I4197" t="str">
        <f>_xll.BDP("FNFA1542 Mtge","MTG_ORIG_WAL")</f>
        <v>#N/A N/A</v>
      </c>
    </row>
    <row r="4198" spans="1:9" x14ac:dyDescent="0.25">
      <c r="A4198" t="str">
        <f>_xll.BDP("FNFA1550 Mtge","ID_CUSIP")</f>
        <v>3140W1WL3</v>
      </c>
      <c r="B4198" t="str">
        <f>_xll.BDP("FNFA1550 Mtge","SECURITY_NAME")</f>
        <v>FN FA1550</v>
      </c>
      <c r="C4198" t="str">
        <f>_xll.BDP("FNFA1550 Mtge","GENERIC_TICKER_VINTAGE")</f>
        <v>FNCL 3 2021</v>
      </c>
      <c r="D4198" t="str">
        <f>_xll.BDP("FNFA1550 Mtge","CRNCY")</f>
        <v>USD</v>
      </c>
      <c r="E4198">
        <v>100521833</v>
      </c>
      <c r="F4198">
        <f>_xll.BDP("FNFA1550 Mtge","CPN")</f>
        <v>3</v>
      </c>
      <c r="G4198">
        <f>_xll.BDP("FNFA1550 Mtge","MTG_FACTOR")</f>
        <v>0.92323467999999997</v>
      </c>
      <c r="H4198">
        <f>_xll.BDP("FNFA1550 Mtge","MTG_WAL")</f>
        <v>8.2459000000000007</v>
      </c>
      <c r="I4198" t="str">
        <f>_xll.BDP("FNFA1550 Mtge","MTG_ORIG_WAL")</f>
        <v>#N/A N/A</v>
      </c>
    </row>
    <row r="4199" spans="1:9" x14ac:dyDescent="0.25">
      <c r="A4199" t="str">
        <f>_xll.BDP("FNFA1566 Mtge","ID_CUSIP")</f>
        <v>3140W1W41</v>
      </c>
      <c r="B4199" t="str">
        <f>_xll.BDP("FNFA1566 Mtge","SECURITY_NAME")</f>
        <v>FN FA1566</v>
      </c>
      <c r="C4199" t="str">
        <f>_xll.BDP("FNFA1566 Mtge","GENERIC_TICKER_VINTAGE")</f>
        <v>FNCL 3 2021</v>
      </c>
      <c r="D4199" t="str">
        <f>_xll.BDP("FNFA1566 Mtge","CRNCY")</f>
        <v>USD</v>
      </c>
      <c r="E4199">
        <v>12975028</v>
      </c>
      <c r="F4199">
        <f>_xll.BDP("FNFA1566 Mtge","CPN")</f>
        <v>3</v>
      </c>
      <c r="G4199">
        <f>_xll.BDP("FNFA1566 Mtge","MTG_FACTOR")</f>
        <v>0.92150551999999997</v>
      </c>
      <c r="H4199">
        <f>_xll.BDP("FNFA1566 Mtge","MTG_WAL")</f>
        <v>8.3351000000000006</v>
      </c>
      <c r="I4199" t="str">
        <f>_xll.BDP("FNFA1566 Mtge","MTG_ORIG_WAL")</f>
        <v>#N/A N/A</v>
      </c>
    </row>
    <row r="4200" spans="1:9" x14ac:dyDescent="0.25">
      <c r="A4200" t="str">
        <f>_xll.BDP("FNFA1587 Mtge","ID_CUSIP")</f>
        <v>3140W1XR9</v>
      </c>
      <c r="B4200" t="str">
        <f>_xll.BDP("FNFA1587 Mtge","SECURITY_NAME")</f>
        <v>FN FA1587</v>
      </c>
      <c r="C4200" t="str">
        <f>_xll.BDP("FNFA1587 Mtge","GENERIC_TICKER_VINTAGE")</f>
        <v>FNCL 3 2021</v>
      </c>
      <c r="D4200" t="str">
        <f>_xll.BDP("FNFA1587 Mtge","CRNCY")</f>
        <v>USD</v>
      </c>
      <c r="E4200">
        <v>50263315</v>
      </c>
      <c r="F4200">
        <f>_xll.BDP("FNFA1587 Mtge","CPN")</f>
        <v>3</v>
      </c>
      <c r="G4200">
        <f>_xll.BDP("FNFA1587 Mtge","MTG_FACTOR")</f>
        <v>0.92734448000000003</v>
      </c>
      <c r="H4200">
        <f>_xll.BDP("FNFA1587 Mtge","MTG_WAL")</f>
        <v>8.3199000000000005</v>
      </c>
      <c r="I4200" t="str">
        <f>_xll.BDP("FNFA1587 Mtge","MTG_ORIG_WAL")</f>
        <v>#N/A N/A</v>
      </c>
    </row>
    <row r="4201" spans="1:9" x14ac:dyDescent="0.25">
      <c r="A4201" t="str">
        <f>_xll.BDP("FNFA1635 Mtge","ID_CUSIP")</f>
        <v>3140W1Y98</v>
      </c>
      <c r="B4201" t="str">
        <f>_xll.BDP("FNFA1635 Mtge","SECURITY_NAME")</f>
        <v>FN FA1635</v>
      </c>
      <c r="C4201" t="str">
        <f>_xll.BDP("FNFA1635 Mtge","GENERIC_TICKER_VINTAGE")</f>
        <v>FNCL 6 2025</v>
      </c>
      <c r="D4201" t="str">
        <f>_xll.BDP("FNFA1635 Mtge","CRNCY")</f>
        <v>USD</v>
      </c>
      <c r="E4201">
        <v>10688059</v>
      </c>
      <c r="F4201">
        <f>_xll.BDP("FNFA1635 Mtge","CPN")</f>
        <v>6</v>
      </c>
      <c r="G4201">
        <f>_xll.BDP("FNFA1635 Mtge","MTG_FACTOR")</f>
        <v>0.92640060999999996</v>
      </c>
      <c r="H4201">
        <f>_xll.BDP("FNFA1635 Mtge","MTG_WAL")</f>
        <v>3.1591</v>
      </c>
      <c r="I4201" t="str">
        <f>_xll.BDP("FNFA1635 Mtge","MTG_ORIG_WAL")</f>
        <v>#N/A N/A</v>
      </c>
    </row>
    <row r="4202" spans="1:9" x14ac:dyDescent="0.25">
      <c r="A4202" t="str">
        <f>_xll.BDP("FNFA1636 Mtge","ID_CUSIP")</f>
        <v>3140W1ZA4</v>
      </c>
      <c r="B4202" t="str">
        <f>_xll.BDP("FNFA1636 Mtge","SECURITY_NAME")</f>
        <v>FN FA1636</v>
      </c>
      <c r="C4202" t="str">
        <f>_xll.BDP("FNFA1636 Mtge","GENERIC_TICKER_VINTAGE")</f>
        <v>FNCL 6 2025</v>
      </c>
      <c r="D4202" t="str">
        <f>_xll.BDP("FNFA1636 Mtge","CRNCY")</f>
        <v>USD</v>
      </c>
      <c r="E4202">
        <v>18319117</v>
      </c>
      <c r="F4202">
        <f>_xll.BDP("FNFA1636 Mtge","CPN")</f>
        <v>6</v>
      </c>
      <c r="G4202">
        <f>_xll.BDP("FNFA1636 Mtge","MTG_FACTOR")</f>
        <v>0.92023695000000005</v>
      </c>
      <c r="H4202">
        <f>_xll.BDP("FNFA1636 Mtge","MTG_WAL")</f>
        <v>3.2185999999999999</v>
      </c>
      <c r="I4202" t="str">
        <f>_xll.BDP("FNFA1636 Mtge","MTG_ORIG_WAL")</f>
        <v>#N/A N/A</v>
      </c>
    </row>
    <row r="4203" spans="1:9" x14ac:dyDescent="0.25">
      <c r="A4203" t="str">
        <f>_xll.BDP("FNFA1676 Mtge","ID_CUSIP")</f>
        <v>3140W12J1</v>
      </c>
      <c r="B4203" t="str">
        <f>_xll.BDP("FNFA1676 Mtge","SECURITY_NAME")</f>
        <v>FN FA1676</v>
      </c>
      <c r="C4203" t="str">
        <f>_xll.BDP("FNFA1676 Mtge","GENERIC_TICKER_VINTAGE")</f>
        <v>FNCL 6 2025</v>
      </c>
      <c r="D4203" t="str">
        <f>_xll.BDP("FNFA1676 Mtge","CRNCY")</f>
        <v>USD</v>
      </c>
      <c r="E4203">
        <v>174169089</v>
      </c>
      <c r="F4203">
        <f>_xll.BDP("FNFA1676 Mtge","CPN")</f>
        <v>6</v>
      </c>
      <c r="G4203">
        <f>_xll.BDP("FNFA1676 Mtge","MTG_FACTOR")</f>
        <v>0.80909867999999996</v>
      </c>
      <c r="H4203">
        <f>_xll.BDP("FNFA1676 Mtge","MTG_WAL")</f>
        <v>3.234</v>
      </c>
      <c r="I4203" t="str">
        <f>_xll.BDP("FNFA1676 Mtge","MTG_ORIG_WAL")</f>
        <v>#N/A N/A</v>
      </c>
    </row>
    <row r="4204" spans="1:9" x14ac:dyDescent="0.25">
      <c r="A4204" t="str">
        <f>_xll.BDP("FNFA1709 Mtge","ID_CUSIP")</f>
        <v>3140W13T8</v>
      </c>
      <c r="B4204" t="str">
        <f>_xll.BDP("FNFA1709 Mtge","SECURITY_NAME")</f>
        <v>FN FA1709</v>
      </c>
      <c r="C4204" t="str">
        <f>_xll.BDP("FNFA1709 Mtge","GENERIC_TICKER_VINTAGE")</f>
        <v>FNCL 3 2021</v>
      </c>
      <c r="D4204" t="str">
        <f>_xll.BDP("FNFA1709 Mtge","CRNCY")</f>
        <v>USD</v>
      </c>
      <c r="E4204">
        <v>38497005</v>
      </c>
      <c r="F4204">
        <f>_xll.BDP("FNFA1709 Mtge","CPN")</f>
        <v>3</v>
      </c>
      <c r="G4204">
        <f>_xll.BDP("FNFA1709 Mtge","MTG_FACTOR")</f>
        <v>0.92762988000000002</v>
      </c>
      <c r="H4204">
        <f>_xll.BDP("FNFA1709 Mtge","MTG_WAL")</f>
        <v>8.3808000000000007</v>
      </c>
      <c r="I4204" t="str">
        <f>_xll.BDP("FNFA1709 Mtge","MTG_ORIG_WAL")</f>
        <v>#N/A N/A</v>
      </c>
    </row>
    <row r="4205" spans="1:9" x14ac:dyDescent="0.25">
      <c r="A4205" t="str">
        <f>_xll.BDP("FNFA1769 Mtge","ID_CUSIP")</f>
        <v>3140W16F5</v>
      </c>
      <c r="B4205" t="str">
        <f>_xll.BDP("FNFA1769 Mtge","SECURITY_NAME")</f>
        <v>FN FA1769</v>
      </c>
      <c r="C4205" t="str">
        <f>_xll.BDP("FNFA1769 Mtge","GENERIC_TICKER_VINTAGE")</f>
        <v>FNCL 3 2021</v>
      </c>
      <c r="D4205" t="str">
        <f>_xll.BDP("FNFA1769 Mtge","CRNCY")</f>
        <v>USD</v>
      </c>
      <c r="E4205">
        <v>27484403</v>
      </c>
      <c r="F4205">
        <f>_xll.BDP("FNFA1769 Mtge","CPN")</f>
        <v>3</v>
      </c>
      <c r="G4205">
        <f>_xll.BDP("FNFA1769 Mtge","MTG_FACTOR")</f>
        <v>0.93182313000000005</v>
      </c>
      <c r="H4205">
        <f>_xll.BDP("FNFA1769 Mtge","MTG_WAL")</f>
        <v>8.1706000000000003</v>
      </c>
      <c r="I4205" t="str">
        <f>_xll.BDP("FNFA1769 Mtge","MTG_ORIG_WAL")</f>
        <v>#N/A N/A</v>
      </c>
    </row>
    <row r="4206" spans="1:9" x14ac:dyDescent="0.25">
      <c r="A4206" t="str">
        <f>_xll.BDP("FNFA1821 Mtge","ID_CUSIP")</f>
        <v>3140W2AX9</v>
      </c>
      <c r="B4206" t="str">
        <f>_xll.BDP("FNFA1821 Mtge","SECURITY_NAME")</f>
        <v>FN FA1821</v>
      </c>
      <c r="C4206" t="str">
        <f>_xll.BDP("FNFA1821 Mtge","GENERIC_TICKER_VINTAGE")</f>
        <v>FNCL 3 2021</v>
      </c>
      <c r="D4206" t="str">
        <f>_xll.BDP("FNFA1821 Mtge","CRNCY")</f>
        <v>USD</v>
      </c>
      <c r="E4206">
        <v>5885031</v>
      </c>
      <c r="F4206">
        <f>_xll.BDP("FNFA1821 Mtge","CPN")</f>
        <v>3</v>
      </c>
      <c r="G4206">
        <f>_xll.BDP("FNFA1821 Mtge","MTG_FACTOR")</f>
        <v>0.93067131999999997</v>
      </c>
      <c r="H4206">
        <f>_xll.BDP("FNFA1821 Mtge","MTG_WAL")</f>
        <v>8.2803000000000004</v>
      </c>
      <c r="I4206" t="str">
        <f>_xll.BDP("FNFA1821 Mtge","MTG_ORIG_WAL")</f>
        <v>#N/A N/A</v>
      </c>
    </row>
    <row r="4207" spans="1:9" x14ac:dyDescent="0.25">
      <c r="A4207" t="str">
        <f>_xll.BDP("FNFA1906 Mtge","ID_CUSIP")</f>
        <v>3140W2DL2</v>
      </c>
      <c r="B4207" t="str">
        <f>_xll.BDP("FNFA1906 Mtge","SECURITY_NAME")</f>
        <v>FN FA1906</v>
      </c>
      <c r="C4207" t="str">
        <f>_xll.BDP("FNFA1906 Mtge","GENERIC_TICKER_VINTAGE")</f>
        <v>FNCL 3 2021</v>
      </c>
      <c r="D4207" t="str">
        <f>_xll.BDP("FNFA1906 Mtge","CRNCY")</f>
        <v>USD</v>
      </c>
      <c r="E4207">
        <v>1546059</v>
      </c>
      <c r="F4207">
        <f>_xll.BDP("FNFA1906 Mtge","CPN")</f>
        <v>3</v>
      </c>
      <c r="G4207">
        <f>_xll.BDP("FNFA1906 Mtge","MTG_FACTOR")</f>
        <v>0.94632092000000001</v>
      </c>
      <c r="H4207">
        <f>_xll.BDP("FNFA1906 Mtge","MTG_WAL")</f>
        <v>8.3217999999999996</v>
      </c>
      <c r="I4207" t="str">
        <f>_xll.BDP("FNFA1906 Mtge","MTG_ORIG_WAL")</f>
        <v>#N/A N/A</v>
      </c>
    </row>
    <row r="4208" spans="1:9" x14ac:dyDescent="0.25">
      <c r="A4208" t="str">
        <f>_xll.BDP("FNFA1963 Mtge","ID_CUSIP")</f>
        <v>3140W2FD8</v>
      </c>
      <c r="B4208" t="str">
        <f>_xll.BDP("FNFA1963 Mtge","SECURITY_NAME")</f>
        <v>FN FA1963</v>
      </c>
      <c r="C4208" t="str">
        <f>_xll.BDP("FNFA1963 Mtge","GENERIC_TICKER_VINTAGE")</f>
        <v>FNCL 6 2025</v>
      </c>
      <c r="D4208" t="str">
        <f>_xll.BDP("FNFA1963 Mtge","CRNCY")</f>
        <v>USD</v>
      </c>
      <c r="E4208">
        <v>38518999</v>
      </c>
      <c r="F4208">
        <f>_xll.BDP("FNFA1963 Mtge","CPN")</f>
        <v>6</v>
      </c>
      <c r="G4208">
        <f>_xll.BDP("FNFA1963 Mtge","MTG_FACTOR")</f>
        <v>0.88765629000000001</v>
      </c>
      <c r="H4208">
        <f>_xll.BDP("FNFA1963 Mtge","MTG_WAL")</f>
        <v>3.2501000000000002</v>
      </c>
      <c r="I4208" t="str">
        <f>_xll.BDP("FNFA1963 Mtge","MTG_ORIG_WAL")</f>
        <v>#N/A N/A</v>
      </c>
    </row>
    <row r="4209" spans="1:9" x14ac:dyDescent="0.25">
      <c r="A4209" t="str">
        <f>_xll.BDP("FNFA2017 Mtge","ID_CUSIP")</f>
        <v>3140W2G39</v>
      </c>
      <c r="B4209" t="str">
        <f>_xll.BDP("FNFA2017 Mtge","SECURITY_NAME")</f>
        <v>FN FA2017</v>
      </c>
      <c r="C4209" t="str">
        <f>_xll.BDP("FNFA2017 Mtge","GENERIC_TICKER_VINTAGE")</f>
        <v>FNCL 6 2025</v>
      </c>
      <c r="D4209" t="str">
        <f>_xll.BDP("FNFA2017 Mtge","CRNCY")</f>
        <v>USD</v>
      </c>
      <c r="E4209">
        <v>38412034</v>
      </c>
      <c r="F4209">
        <f>_xll.BDP("FNFA2017 Mtge","CPN")</f>
        <v>6</v>
      </c>
      <c r="G4209">
        <f>_xll.BDP("FNFA2017 Mtge","MTG_FACTOR")</f>
        <v>0.90710796000000005</v>
      </c>
      <c r="H4209">
        <f>_xll.BDP("FNFA2017 Mtge","MTG_WAL")</f>
        <v>3.2225000000000001</v>
      </c>
      <c r="I4209" t="str">
        <f>_xll.BDP("FNFA2017 Mtge","MTG_ORIG_WAL")</f>
        <v>#N/A N/A</v>
      </c>
    </row>
    <row r="4210" spans="1:9" x14ac:dyDescent="0.25">
      <c r="A4210" t="str">
        <f>_xll.BDP("FNFA2054 Mtge","ID_CUSIP")</f>
        <v>3140W2H87</v>
      </c>
      <c r="B4210" t="str">
        <f>_xll.BDP("FNFA2054 Mtge","SECURITY_NAME")</f>
        <v>FN FA2054</v>
      </c>
      <c r="C4210" t="str">
        <f>_xll.BDP("FNFA2054 Mtge","GENERIC_TICKER_VINTAGE")</f>
        <v>FNCL 6 2025</v>
      </c>
      <c r="D4210" t="str">
        <f>_xll.BDP("FNFA2054 Mtge","CRNCY")</f>
        <v>USD</v>
      </c>
      <c r="E4210">
        <v>47836562</v>
      </c>
      <c r="F4210">
        <f>_xll.BDP("FNFA2054 Mtge","CPN")</f>
        <v>6</v>
      </c>
      <c r="G4210">
        <f>_xll.BDP("FNFA2054 Mtge","MTG_FACTOR")</f>
        <v>0.90524859000000002</v>
      </c>
      <c r="H4210">
        <f>_xll.BDP("FNFA2054 Mtge","MTG_WAL")</f>
        <v>3.2399</v>
      </c>
      <c r="I4210" t="str">
        <f>_xll.BDP("FNFA2054 Mtge","MTG_ORIG_WAL")</f>
        <v>#N/A N/A</v>
      </c>
    </row>
    <row r="4211" spans="1:9" x14ac:dyDescent="0.25">
      <c r="A4211" t="str">
        <f>_xll.BDP("FNFA2055 Mtge","ID_CUSIP")</f>
        <v>3140W2H95</v>
      </c>
      <c r="B4211" t="str">
        <f>_xll.BDP("FNFA2055 Mtge","SECURITY_NAME")</f>
        <v>FN FA2055</v>
      </c>
      <c r="C4211" t="str">
        <f>_xll.BDP("FNFA2055 Mtge","GENERIC_TICKER_VINTAGE")</f>
        <v>FNCL 6 2025</v>
      </c>
      <c r="D4211" t="str">
        <f>_xll.BDP("FNFA2055 Mtge","CRNCY")</f>
        <v>USD</v>
      </c>
      <c r="E4211">
        <v>51998822</v>
      </c>
      <c r="F4211">
        <f>_xll.BDP("FNFA2055 Mtge","CPN")</f>
        <v>6</v>
      </c>
      <c r="G4211">
        <f>_xll.BDP("FNFA2055 Mtge","MTG_FACTOR")</f>
        <v>0.86274278000000004</v>
      </c>
      <c r="H4211">
        <f>_xll.BDP("FNFA2055 Mtge","MTG_WAL")</f>
        <v>3.1800999999999999</v>
      </c>
      <c r="I4211" t="str">
        <f>_xll.BDP("FNFA2055 Mtge","MTG_ORIG_WAL")</f>
        <v>#N/A N/A</v>
      </c>
    </row>
    <row r="4212" spans="1:9" x14ac:dyDescent="0.25">
      <c r="A4212" t="str">
        <f>_xll.BDP("FNFA2057 Mtge","ID_CUSIP")</f>
        <v>3140W2JB8</v>
      </c>
      <c r="B4212" t="str">
        <f>_xll.BDP("FNFA2057 Mtge","SECURITY_NAME")</f>
        <v>FN FA2057</v>
      </c>
      <c r="C4212" t="str">
        <f>_xll.BDP("FNFA2057 Mtge","GENERIC_TICKER_VINTAGE")</f>
        <v>FNCL 6 2025</v>
      </c>
      <c r="D4212" t="str">
        <f>_xll.BDP("FNFA2057 Mtge","CRNCY")</f>
        <v>USD</v>
      </c>
      <c r="E4212">
        <v>75660671</v>
      </c>
      <c r="F4212">
        <f>_xll.BDP("FNFA2057 Mtge","CPN")</f>
        <v>6</v>
      </c>
      <c r="G4212">
        <f>_xll.BDP("FNFA2057 Mtge","MTG_FACTOR")</f>
        <v>0.90354829000000003</v>
      </c>
      <c r="H4212">
        <f>_xll.BDP("FNFA2057 Mtge","MTG_WAL")</f>
        <v>3.2412999999999998</v>
      </c>
      <c r="I4212" t="str">
        <f>_xll.BDP("FNFA2057 Mtge","MTG_ORIG_WAL")</f>
        <v>#N/A N/A</v>
      </c>
    </row>
    <row r="4213" spans="1:9" x14ac:dyDescent="0.25">
      <c r="A4213" t="str">
        <f>_xll.BDP("FNFA2261 Mtge","ID_CUSIP")</f>
        <v>3140W2QP9</v>
      </c>
      <c r="B4213" t="str">
        <f>_xll.BDP("FNFA2261 Mtge","SECURITY_NAME")</f>
        <v>FN FA2261</v>
      </c>
      <c r="C4213" t="str">
        <f>_xll.BDP("FNFA2261 Mtge","GENERIC_TICKER_VINTAGE")</f>
        <v>FNCL 3 2021</v>
      </c>
      <c r="D4213" t="str">
        <f>_xll.BDP("FNFA2261 Mtge","CRNCY")</f>
        <v>USD</v>
      </c>
      <c r="E4213">
        <v>15317262</v>
      </c>
      <c r="F4213">
        <f>_xll.BDP("FNFA2261 Mtge","CPN")</f>
        <v>3</v>
      </c>
      <c r="G4213">
        <f>_xll.BDP("FNFA2261 Mtge","MTG_FACTOR")</f>
        <v>0.93391365999999998</v>
      </c>
      <c r="H4213">
        <f>_xll.BDP("FNFA2261 Mtge","MTG_WAL")</f>
        <v>8.2982999999999993</v>
      </c>
      <c r="I4213" t="str">
        <f>_xll.BDP("FNFA2261 Mtge","MTG_ORIG_WAL")</f>
        <v>#N/A N/A</v>
      </c>
    </row>
    <row r="4214" spans="1:9" x14ac:dyDescent="0.25">
      <c r="A4214" t="str">
        <f>_xll.BDP("FNFM6572 Mtge","ID_CUSIP")</f>
        <v>3140XAJS2</v>
      </c>
      <c r="B4214" t="str">
        <f>_xll.BDP("FNFM6572 Mtge","SECURITY_NAME")</f>
        <v>FN FM6572</v>
      </c>
      <c r="C4214" t="str">
        <f>_xll.BDP("FNFM6572 Mtge","GENERIC_TICKER_VINTAGE")</f>
        <v>FNCL 3 2021</v>
      </c>
      <c r="D4214" t="str">
        <f>_xll.BDP("FNFM6572 Mtge","CRNCY")</f>
        <v>USD</v>
      </c>
      <c r="E4214">
        <v>46836545</v>
      </c>
      <c r="F4214">
        <f>_xll.BDP("FNFM6572 Mtge","CPN")</f>
        <v>3</v>
      </c>
      <c r="G4214">
        <f>_xll.BDP("FNFM6572 Mtge","MTG_FACTOR")</f>
        <v>0.55906504999999995</v>
      </c>
      <c r="H4214">
        <f>_xll.BDP("FNFM6572 Mtge","MTG_WAL")</f>
        <v>8.3650000000000002</v>
      </c>
      <c r="I4214" t="str">
        <f>_xll.BDP("FNFM6572 Mtge","MTG_ORIG_WAL")</f>
        <v>#N/A N/A</v>
      </c>
    </row>
    <row r="4215" spans="1:9" x14ac:dyDescent="0.25">
      <c r="A4215" t="str">
        <f>_xll.BDP("FNFM6710 Mtge","ID_CUSIP")</f>
        <v>3140XAN40</v>
      </c>
      <c r="B4215" t="str">
        <f>_xll.BDP("FNFM6710 Mtge","SECURITY_NAME")</f>
        <v>FN FM6710</v>
      </c>
      <c r="C4215" t="str">
        <f>_xll.BDP("FNFM6710 Mtge","GENERIC_TICKER_VINTAGE")</f>
        <v>FNCL 3 2021</v>
      </c>
      <c r="D4215" t="str">
        <f>_xll.BDP("FNFM6710 Mtge","CRNCY")</f>
        <v>USD</v>
      </c>
      <c r="E4215">
        <v>34905603</v>
      </c>
      <c r="F4215">
        <f>_xll.BDP("FNFM6710 Mtge","CPN")</f>
        <v>3</v>
      </c>
      <c r="G4215">
        <f>_xll.BDP("FNFM6710 Mtge","MTG_FACTOR")</f>
        <v>0.61224518000000006</v>
      </c>
      <c r="H4215">
        <f>_xll.BDP("FNFM6710 Mtge","MTG_WAL")</f>
        <v>8.3094000000000001</v>
      </c>
      <c r="I4215" t="str">
        <f>_xll.BDP("FNFM6710 Mtge","MTG_ORIG_WAL")</f>
        <v>#N/A N/A</v>
      </c>
    </row>
    <row r="4216" spans="1:9" x14ac:dyDescent="0.25">
      <c r="A4216" t="str">
        <f>_xll.BDP("FNFM6714 Mtge","ID_CUSIP")</f>
        <v>3140XAN81</v>
      </c>
      <c r="B4216" t="str">
        <f>_xll.BDP("FNFM6714 Mtge","SECURITY_NAME")</f>
        <v>FN FM6714</v>
      </c>
      <c r="C4216" t="str">
        <f>_xll.BDP("FNFM6714 Mtge","GENERIC_TICKER_VINTAGE")</f>
        <v>FNCL 3 2021</v>
      </c>
      <c r="D4216" t="str">
        <f>_xll.BDP("FNFM6714 Mtge","CRNCY")</f>
        <v>USD</v>
      </c>
      <c r="E4216">
        <v>25424745</v>
      </c>
      <c r="F4216">
        <f>_xll.BDP("FNFM6714 Mtge","CPN")</f>
        <v>3</v>
      </c>
      <c r="G4216">
        <f>_xll.BDP("FNFM6714 Mtge","MTG_FACTOR")</f>
        <v>0.57925494</v>
      </c>
      <c r="H4216">
        <f>_xll.BDP("FNFM6714 Mtge","MTG_WAL")</f>
        <v>8.1325000000000003</v>
      </c>
      <c r="I4216" t="str">
        <f>_xll.BDP("FNFM6714 Mtge","MTG_ORIG_WAL")</f>
        <v>#N/A N/A</v>
      </c>
    </row>
    <row r="4217" spans="1:9" x14ac:dyDescent="0.25">
      <c r="A4217" t="str">
        <f>_xll.BDP("FNFM6810 Mtge","ID_CUSIP")</f>
        <v>3140XAR87</v>
      </c>
      <c r="B4217" t="str">
        <f>_xll.BDP("FNFM6810 Mtge","SECURITY_NAME")</f>
        <v>FN FM6810</v>
      </c>
      <c r="C4217" t="str">
        <f>_xll.BDP("FNFM6810 Mtge","GENERIC_TICKER_VINTAGE")</f>
        <v>FNCL 3 2021</v>
      </c>
      <c r="D4217" t="str">
        <f>_xll.BDP("FNFM6810 Mtge","CRNCY")</f>
        <v>USD</v>
      </c>
      <c r="E4217">
        <v>41487587</v>
      </c>
      <c r="F4217">
        <f>_xll.BDP("FNFM6810 Mtge","CPN")</f>
        <v>3</v>
      </c>
      <c r="G4217">
        <f>_xll.BDP("FNFM6810 Mtge","MTG_FACTOR")</f>
        <v>0.73378007000000001</v>
      </c>
      <c r="H4217">
        <f>_xll.BDP("FNFM6810 Mtge","MTG_WAL")</f>
        <v>8.3139000000000003</v>
      </c>
      <c r="I4217" t="str">
        <f>_xll.BDP("FNFM6810 Mtge","MTG_ORIG_WAL")</f>
        <v>#N/A N/A</v>
      </c>
    </row>
    <row r="4218" spans="1:9" x14ac:dyDescent="0.25">
      <c r="A4218" t="str">
        <f>_xll.BDP("FNFM7264 Mtge","ID_CUSIP")</f>
        <v>3140XBCA6</v>
      </c>
      <c r="B4218" t="str">
        <f>_xll.BDP("FNFM7264 Mtge","SECURITY_NAME")</f>
        <v>FN FM7264</v>
      </c>
      <c r="C4218" t="str">
        <f>_xll.BDP("FNFM7264 Mtge","GENERIC_TICKER_VINTAGE")</f>
        <v>FNCL 3 2021</v>
      </c>
      <c r="D4218" t="str">
        <f>_xll.BDP("FNFM7264 Mtge","CRNCY")</f>
        <v>USD</v>
      </c>
      <c r="E4218">
        <v>11563229</v>
      </c>
      <c r="F4218">
        <f>_xll.BDP("FNFM7264 Mtge","CPN")</f>
        <v>3</v>
      </c>
      <c r="G4218">
        <f>_xll.BDP("FNFM7264 Mtge","MTG_FACTOR")</f>
        <v>0.42630227999999998</v>
      </c>
      <c r="H4218">
        <f>_xll.BDP("FNFM7264 Mtge","MTG_WAL")</f>
        <v>8.1896000000000004</v>
      </c>
      <c r="I4218" t="str">
        <f>_xll.BDP("FNFM7264 Mtge","MTG_ORIG_WAL")</f>
        <v>#N/A N/A</v>
      </c>
    </row>
    <row r="4219" spans="1:9" x14ac:dyDescent="0.25">
      <c r="A4219" t="str">
        <f>_xll.BDP("FNFM7289 Mtge","ID_CUSIP")</f>
        <v>3140XBC32</v>
      </c>
      <c r="B4219" t="str">
        <f>_xll.BDP("FNFM7289 Mtge","SECURITY_NAME")</f>
        <v>FN FM7289</v>
      </c>
      <c r="C4219" t="str">
        <f>_xll.BDP("FNFM7289 Mtge","GENERIC_TICKER_VINTAGE")</f>
        <v>FNCL 3 2021</v>
      </c>
      <c r="D4219" t="str">
        <f>_xll.BDP("FNFM7289 Mtge","CRNCY")</f>
        <v>USD</v>
      </c>
      <c r="E4219">
        <v>18248175</v>
      </c>
      <c r="F4219">
        <f>_xll.BDP("FNFM7289 Mtge","CPN")</f>
        <v>3</v>
      </c>
      <c r="G4219">
        <f>_xll.BDP("FNFM7289 Mtge","MTG_FACTOR")</f>
        <v>0.48627988999999999</v>
      </c>
      <c r="H4219">
        <f>_xll.BDP("FNFM7289 Mtge","MTG_WAL")</f>
        <v>8.1858000000000004</v>
      </c>
      <c r="I4219" t="str">
        <f>_xll.BDP("FNFM7289 Mtge","MTG_ORIG_WAL")</f>
        <v>#N/A N/A</v>
      </c>
    </row>
    <row r="4220" spans="1:9" x14ac:dyDescent="0.25">
      <c r="A4220" t="str">
        <f>_xll.BDP("FNFM7290 Mtge","ID_CUSIP")</f>
        <v>3140XBC40</v>
      </c>
      <c r="B4220" t="str">
        <f>_xll.BDP("FNFM7290 Mtge","SECURITY_NAME")</f>
        <v>FN FM7290</v>
      </c>
      <c r="C4220" t="str">
        <f>_xll.BDP("FNFM7290 Mtge","GENERIC_TICKER_VINTAGE")</f>
        <v>FNCL 3 2021</v>
      </c>
      <c r="D4220" t="str">
        <f>_xll.BDP("FNFM7290 Mtge","CRNCY")</f>
        <v>USD</v>
      </c>
      <c r="E4220">
        <v>14043979</v>
      </c>
      <c r="F4220">
        <f>_xll.BDP("FNFM7290 Mtge","CPN")</f>
        <v>3</v>
      </c>
      <c r="G4220">
        <f>_xll.BDP("FNFM7290 Mtge","MTG_FACTOR")</f>
        <v>0.39295098000000001</v>
      </c>
      <c r="H4220">
        <f>_xll.BDP("FNFM7290 Mtge","MTG_WAL")</f>
        <v>8.2249999999999996</v>
      </c>
      <c r="I4220" t="str">
        <f>_xll.BDP("FNFM7290 Mtge","MTG_ORIG_WAL")</f>
        <v>#N/A N/A</v>
      </c>
    </row>
    <row r="4221" spans="1:9" x14ac:dyDescent="0.25">
      <c r="A4221" t="str">
        <f>_xll.BDP("FNFM7298 Mtge","ID_CUSIP")</f>
        <v>3140XBDC1</v>
      </c>
      <c r="B4221" t="str">
        <f>_xll.BDP("FNFM7298 Mtge","SECURITY_NAME")</f>
        <v>FN FM7298</v>
      </c>
      <c r="C4221" t="str">
        <f>_xll.BDP("FNFM7298 Mtge","GENERIC_TICKER_VINTAGE")</f>
        <v>FNCL 3 2021</v>
      </c>
      <c r="D4221" t="str">
        <f>_xll.BDP("FNFM7298 Mtge","CRNCY")</f>
        <v>USD</v>
      </c>
      <c r="E4221">
        <v>79263415</v>
      </c>
      <c r="F4221">
        <f>_xll.BDP("FNFM7298 Mtge","CPN")</f>
        <v>3</v>
      </c>
      <c r="G4221">
        <f>_xll.BDP("FNFM7298 Mtge","MTG_FACTOR")</f>
        <v>0.53711229999999999</v>
      </c>
      <c r="H4221">
        <f>_xll.BDP("FNFM7298 Mtge","MTG_WAL")</f>
        <v>8.2385999999999999</v>
      </c>
      <c r="I4221" t="str">
        <f>_xll.BDP("FNFM7298 Mtge","MTG_ORIG_WAL")</f>
        <v>#N/A N/A</v>
      </c>
    </row>
    <row r="4222" spans="1:9" x14ac:dyDescent="0.25">
      <c r="A4222" t="str">
        <f>_xll.BDP("FNFM7346 Mtge","ID_CUSIP")</f>
        <v>3140XBEU0</v>
      </c>
      <c r="B4222" t="str">
        <f>_xll.BDP("FNFM7346 Mtge","SECURITY_NAME")</f>
        <v>FN FM7346</v>
      </c>
      <c r="C4222" t="str">
        <f>_xll.BDP("FNFM7346 Mtge","GENERIC_TICKER_VINTAGE")</f>
        <v>FNCL 3 2021</v>
      </c>
      <c r="D4222" t="str">
        <f>_xll.BDP("FNFM7346 Mtge","CRNCY")</f>
        <v>USD</v>
      </c>
      <c r="E4222">
        <v>91215046</v>
      </c>
      <c r="F4222">
        <f>_xll.BDP("FNFM7346 Mtge","CPN")</f>
        <v>3</v>
      </c>
      <c r="G4222">
        <f>_xll.BDP("FNFM7346 Mtge","MTG_FACTOR")</f>
        <v>0.52295407999999999</v>
      </c>
      <c r="H4222">
        <f>_xll.BDP("FNFM7346 Mtge","MTG_WAL")</f>
        <v>8.3787000000000003</v>
      </c>
      <c r="I4222" t="str">
        <f>_xll.BDP("FNFM7346 Mtge","MTG_ORIG_WAL")</f>
        <v>#N/A N/A</v>
      </c>
    </row>
    <row r="4223" spans="1:9" x14ac:dyDescent="0.25">
      <c r="A4223" t="str">
        <f>_xll.BDP("FNFM7377 Mtge","ID_CUSIP")</f>
        <v>3140XBFT2</v>
      </c>
      <c r="B4223" t="str">
        <f>_xll.BDP("FNFM7377 Mtge","SECURITY_NAME")</f>
        <v>FN FM7377</v>
      </c>
      <c r="C4223" t="str">
        <f>_xll.BDP("FNFM7377 Mtge","GENERIC_TICKER_VINTAGE")</f>
        <v>FNCL 3 2021</v>
      </c>
      <c r="D4223" t="str">
        <f>_xll.BDP("FNFM7377 Mtge","CRNCY")</f>
        <v>USD</v>
      </c>
      <c r="E4223">
        <v>57453696</v>
      </c>
      <c r="F4223">
        <f>_xll.BDP("FNFM7377 Mtge","CPN")</f>
        <v>3</v>
      </c>
      <c r="G4223">
        <f>_xll.BDP("FNFM7377 Mtge","MTG_FACTOR")</f>
        <v>0.64201646999999995</v>
      </c>
      <c r="H4223">
        <f>_xll.BDP("FNFM7377 Mtge","MTG_WAL")</f>
        <v>8.2266999999999992</v>
      </c>
      <c r="I4223" t="str">
        <f>_xll.BDP("FNFM7377 Mtge","MTG_ORIG_WAL")</f>
        <v>#N/A N/A</v>
      </c>
    </row>
    <row r="4224" spans="1:9" x14ac:dyDescent="0.25">
      <c r="A4224" t="str">
        <f>_xll.BDP("FNFM7410 Mtge","ID_CUSIP")</f>
        <v>3140XBGU8</v>
      </c>
      <c r="B4224" t="str">
        <f>_xll.BDP("FNFM7410 Mtge","SECURITY_NAME")</f>
        <v>FN FM7410</v>
      </c>
      <c r="C4224" t="str">
        <f>_xll.BDP("FNFM7410 Mtge","GENERIC_TICKER_VINTAGE")</f>
        <v>FNCL 3 2021</v>
      </c>
      <c r="D4224" t="str">
        <f>_xll.BDP("FNFM7410 Mtge","CRNCY")</f>
        <v>USD</v>
      </c>
      <c r="E4224">
        <v>45690873</v>
      </c>
      <c r="F4224">
        <f>_xll.BDP("FNFM7410 Mtge","CPN")</f>
        <v>3</v>
      </c>
      <c r="G4224">
        <f>_xll.BDP("FNFM7410 Mtge","MTG_FACTOR")</f>
        <v>0.63853333999999995</v>
      </c>
      <c r="H4224">
        <f>_xll.BDP("FNFM7410 Mtge","MTG_WAL")</f>
        <v>8.2845999999999993</v>
      </c>
      <c r="I4224" t="str">
        <f>_xll.BDP("FNFM7410 Mtge","MTG_ORIG_WAL")</f>
        <v>#N/A N/A</v>
      </c>
    </row>
    <row r="4225" spans="1:9" x14ac:dyDescent="0.25">
      <c r="A4225" t="str">
        <f>_xll.BDP("FNFM7441 Mtge","ID_CUSIP")</f>
        <v>3140XBHT0</v>
      </c>
      <c r="B4225" t="str">
        <f>_xll.BDP("FNFM7441 Mtge","SECURITY_NAME")</f>
        <v>FN FM7441</v>
      </c>
      <c r="C4225" t="str">
        <f>_xll.BDP("FNFM7441 Mtge","GENERIC_TICKER_VINTAGE")</f>
        <v>FNCL 3 2021</v>
      </c>
      <c r="D4225" t="str">
        <f>_xll.BDP("FNFM7441 Mtge","CRNCY")</f>
        <v>USD</v>
      </c>
      <c r="E4225">
        <v>170394590</v>
      </c>
      <c r="F4225">
        <f>_xll.BDP("FNFM7441 Mtge","CPN")</f>
        <v>3</v>
      </c>
      <c r="G4225">
        <f>_xll.BDP("FNFM7441 Mtge","MTG_FACTOR")</f>
        <v>0.65737615999999999</v>
      </c>
      <c r="H4225">
        <f>_xll.BDP("FNFM7441 Mtge","MTG_WAL")</f>
        <v>8.3201999999999998</v>
      </c>
      <c r="I4225" t="str">
        <f>_xll.BDP("FNFM7441 Mtge","MTG_ORIG_WAL")</f>
        <v>#N/A N/A</v>
      </c>
    </row>
    <row r="4226" spans="1:9" x14ac:dyDescent="0.25">
      <c r="A4226" t="str">
        <f>_xll.BDP("FNFM7494 Mtge","ID_CUSIP")</f>
        <v>3140XBKG4</v>
      </c>
      <c r="B4226" t="str">
        <f>_xll.BDP("FNFM7494 Mtge","SECURITY_NAME")</f>
        <v>FN FM7494</v>
      </c>
      <c r="C4226" t="str">
        <f>_xll.BDP("FNFM7494 Mtge","GENERIC_TICKER_VINTAGE")</f>
        <v>FNCL 3 2021</v>
      </c>
      <c r="D4226" t="str">
        <f>_xll.BDP("FNFM7494 Mtge","CRNCY")</f>
        <v>USD</v>
      </c>
      <c r="E4226">
        <v>40280147</v>
      </c>
      <c r="F4226">
        <f>_xll.BDP("FNFM7494 Mtge","CPN")</f>
        <v>3</v>
      </c>
      <c r="G4226">
        <f>_xll.BDP("FNFM7494 Mtge","MTG_FACTOR")</f>
        <v>0.65537155000000002</v>
      </c>
      <c r="H4226">
        <f>_xll.BDP("FNFM7494 Mtge","MTG_WAL")</f>
        <v>8.2774999999999999</v>
      </c>
      <c r="I4226" t="str">
        <f>_xll.BDP("FNFM7494 Mtge","MTG_ORIG_WAL")</f>
        <v>#N/A N/A</v>
      </c>
    </row>
    <row r="4227" spans="1:9" x14ac:dyDescent="0.25">
      <c r="A4227" t="str">
        <f>_xll.BDP("FNFM7529 Mtge","ID_CUSIP")</f>
        <v>3140XBLK4</v>
      </c>
      <c r="B4227" t="str">
        <f>_xll.BDP("FNFM7529 Mtge","SECURITY_NAME")</f>
        <v>FN FM7529</v>
      </c>
      <c r="C4227" t="str">
        <f>_xll.BDP("FNFM7529 Mtge","GENERIC_TICKER_VINTAGE")</f>
        <v>FNCL 3 2021</v>
      </c>
      <c r="D4227" t="str">
        <f>_xll.BDP("FNFM7529 Mtge","CRNCY")</f>
        <v>USD</v>
      </c>
      <c r="E4227">
        <v>23934750</v>
      </c>
      <c r="F4227">
        <f>_xll.BDP("FNFM7529 Mtge","CPN")</f>
        <v>3</v>
      </c>
      <c r="G4227">
        <f>_xll.BDP("FNFM7529 Mtge","MTG_FACTOR")</f>
        <v>0.64433870000000004</v>
      </c>
      <c r="H4227">
        <f>_xll.BDP("FNFM7529 Mtge","MTG_WAL")</f>
        <v>8.1491000000000007</v>
      </c>
      <c r="I4227" t="str">
        <f>_xll.BDP("FNFM7529 Mtge","MTG_ORIG_WAL")</f>
        <v>#N/A N/A</v>
      </c>
    </row>
    <row r="4228" spans="1:9" x14ac:dyDescent="0.25">
      <c r="A4228" t="str">
        <f>_xll.BDP("FNFM7539 Mtge","ID_CUSIP")</f>
        <v>3140XBLV0</v>
      </c>
      <c r="B4228" t="str">
        <f>_xll.BDP("FNFM7539 Mtge","SECURITY_NAME")</f>
        <v>FN FM7539</v>
      </c>
      <c r="C4228" t="str">
        <f>_xll.BDP("FNFM7539 Mtge","GENERIC_TICKER_VINTAGE")</f>
        <v>FNCL 3 2021</v>
      </c>
      <c r="D4228" t="str">
        <f>_xll.BDP("FNFM7539 Mtge","CRNCY")</f>
        <v>USD</v>
      </c>
      <c r="E4228">
        <v>12420524</v>
      </c>
      <c r="F4228">
        <f>_xll.BDP("FNFM7539 Mtge","CPN")</f>
        <v>3</v>
      </c>
      <c r="G4228">
        <f>_xll.BDP("FNFM7539 Mtge","MTG_FACTOR")</f>
        <v>0.51291297000000002</v>
      </c>
      <c r="H4228">
        <f>_xll.BDP("FNFM7539 Mtge","MTG_WAL")</f>
        <v>8.2675999999999998</v>
      </c>
      <c r="I4228" t="str">
        <f>_xll.BDP("FNFM7539 Mtge","MTG_ORIG_WAL")</f>
        <v>#N/A N/A</v>
      </c>
    </row>
    <row r="4229" spans="1:9" x14ac:dyDescent="0.25">
      <c r="A4229" t="str">
        <f>_xll.BDP("FNFM7611 Mtge","ID_CUSIP")</f>
        <v>3140XBN55</v>
      </c>
      <c r="B4229" t="str">
        <f>_xll.BDP("FNFM7611 Mtge","SECURITY_NAME")</f>
        <v>FN FM7611</v>
      </c>
      <c r="C4229" t="str">
        <f>_xll.BDP("FNFM7611 Mtge","GENERIC_TICKER_VINTAGE")</f>
        <v>FNCL 3 2021</v>
      </c>
      <c r="D4229" t="str">
        <f>_xll.BDP("FNFM7611 Mtge","CRNCY")</f>
        <v>USD</v>
      </c>
      <c r="E4229">
        <v>15034496</v>
      </c>
      <c r="F4229">
        <f>_xll.BDP("FNFM7611 Mtge","CPN")</f>
        <v>3</v>
      </c>
      <c r="G4229">
        <f>_xll.BDP("FNFM7611 Mtge","MTG_FACTOR")</f>
        <v>0.57706902000000004</v>
      </c>
      <c r="H4229">
        <f>_xll.BDP("FNFM7611 Mtge","MTG_WAL")</f>
        <v>8.3066999999999993</v>
      </c>
      <c r="I4229" t="str">
        <f>_xll.BDP("FNFM7611 Mtge","MTG_ORIG_WAL")</f>
        <v>#N/A N/A</v>
      </c>
    </row>
    <row r="4230" spans="1:9" x14ac:dyDescent="0.25">
      <c r="A4230" t="str">
        <f>_xll.BDP("FNFM7636 Mtge","ID_CUSIP")</f>
        <v>3140XBPW4</v>
      </c>
      <c r="B4230" t="str">
        <f>_xll.BDP("FNFM7636 Mtge","SECURITY_NAME")</f>
        <v>FN FM7636</v>
      </c>
      <c r="C4230" t="str">
        <f>_xll.BDP("FNFM7636 Mtge","GENERIC_TICKER_VINTAGE")</f>
        <v>FNCL 3 2021</v>
      </c>
      <c r="D4230" t="str">
        <f>_xll.BDP("FNFM7636 Mtge","CRNCY")</f>
        <v>USD</v>
      </c>
      <c r="E4230">
        <v>33814700</v>
      </c>
      <c r="F4230">
        <f>_xll.BDP("FNFM7636 Mtge","CPN")</f>
        <v>3</v>
      </c>
      <c r="G4230">
        <f>_xll.BDP("FNFM7636 Mtge","MTG_FACTOR")</f>
        <v>0.59271288</v>
      </c>
      <c r="H4230">
        <f>_xll.BDP("FNFM7636 Mtge","MTG_WAL")</f>
        <v>8.3203999999999994</v>
      </c>
      <c r="I4230" t="str">
        <f>_xll.BDP("FNFM7636 Mtge","MTG_ORIG_WAL")</f>
        <v>#N/A N/A</v>
      </c>
    </row>
    <row r="4231" spans="1:9" x14ac:dyDescent="0.25">
      <c r="A4231" t="str">
        <f>_xll.BDP("FNFM7685 Mtge","ID_CUSIP")</f>
        <v>3140XBRF9</v>
      </c>
      <c r="B4231" t="str">
        <f>_xll.BDP("FNFM7685 Mtge","SECURITY_NAME")</f>
        <v>FN FM7685</v>
      </c>
      <c r="C4231" t="str">
        <f>_xll.BDP("FNFM7685 Mtge","GENERIC_TICKER_VINTAGE")</f>
        <v>FNCL 3 2021</v>
      </c>
      <c r="D4231" t="str">
        <f>_xll.BDP("FNFM7685 Mtge","CRNCY")</f>
        <v>USD</v>
      </c>
      <c r="E4231">
        <v>80619478</v>
      </c>
      <c r="F4231">
        <f>_xll.BDP("FNFM7685 Mtge","CPN")</f>
        <v>3</v>
      </c>
      <c r="G4231">
        <f>_xll.BDP("FNFM7685 Mtge","MTG_FACTOR")</f>
        <v>0.64214702999999995</v>
      </c>
      <c r="H4231">
        <f>_xll.BDP("FNFM7685 Mtge","MTG_WAL")</f>
        <v>8.3126999999999995</v>
      </c>
      <c r="I4231" t="str">
        <f>_xll.BDP("FNFM7685 Mtge","MTG_ORIG_WAL")</f>
        <v>#N/A N/A</v>
      </c>
    </row>
    <row r="4232" spans="1:9" x14ac:dyDescent="0.25">
      <c r="A4232" t="str">
        <f>_xll.BDP("FNFM7692 Mtge","ID_CUSIP")</f>
        <v>3140XBRN2</v>
      </c>
      <c r="B4232" t="str">
        <f>_xll.BDP("FNFM7692 Mtge","SECURITY_NAME")</f>
        <v>FN FM7692</v>
      </c>
      <c r="C4232" t="str">
        <f>_xll.BDP("FNFM7692 Mtge","GENERIC_TICKER_VINTAGE")</f>
        <v>FNCL 3 2021</v>
      </c>
      <c r="D4232" t="str">
        <f>_xll.BDP("FNFM7692 Mtge","CRNCY")</f>
        <v>USD</v>
      </c>
      <c r="E4232">
        <v>45734302</v>
      </c>
      <c r="F4232">
        <f>_xll.BDP("FNFM7692 Mtge","CPN")</f>
        <v>3</v>
      </c>
      <c r="G4232">
        <f>_xll.BDP("FNFM7692 Mtge","MTG_FACTOR")</f>
        <v>0.58507301</v>
      </c>
      <c r="H4232">
        <f>_xll.BDP("FNFM7692 Mtge","MTG_WAL")</f>
        <v>8.3486999999999991</v>
      </c>
      <c r="I4232" t="str">
        <f>_xll.BDP("FNFM7692 Mtge","MTG_ORIG_WAL")</f>
        <v>#N/A N/A</v>
      </c>
    </row>
    <row r="4233" spans="1:9" x14ac:dyDescent="0.25">
      <c r="A4233" t="str">
        <f>_xll.BDP("FNFM7694 Mtge","ID_CUSIP")</f>
        <v>3140XBRQ5</v>
      </c>
      <c r="B4233" t="str">
        <f>_xll.BDP("FNFM7694 Mtge","SECURITY_NAME")</f>
        <v>FN FM7694</v>
      </c>
      <c r="C4233" t="str">
        <f>_xll.BDP("FNFM7694 Mtge","GENERIC_TICKER_VINTAGE")</f>
        <v>FNCL 3 2021</v>
      </c>
      <c r="D4233" t="str">
        <f>_xll.BDP("FNFM7694 Mtge","CRNCY")</f>
        <v>USD</v>
      </c>
      <c r="E4233">
        <v>82947048</v>
      </c>
      <c r="F4233">
        <f>_xll.BDP("FNFM7694 Mtge","CPN")</f>
        <v>3</v>
      </c>
      <c r="G4233">
        <f>_xll.BDP("FNFM7694 Mtge","MTG_FACTOR")</f>
        <v>0.60715903999999998</v>
      </c>
      <c r="H4233">
        <f>_xll.BDP("FNFM7694 Mtge","MTG_WAL")</f>
        <v>8.1856000000000009</v>
      </c>
      <c r="I4233" t="str">
        <f>_xll.BDP("FNFM7694 Mtge","MTG_ORIG_WAL")</f>
        <v>#N/A N/A</v>
      </c>
    </row>
    <row r="4234" spans="1:9" x14ac:dyDescent="0.25">
      <c r="A4234" t="str">
        <f>_xll.BDP("FNFM8019 Mtge","ID_CUSIP")</f>
        <v>3140XB4D9</v>
      </c>
      <c r="B4234" t="str">
        <f>_xll.BDP("FNFM8019 Mtge","SECURITY_NAME")</f>
        <v>FN FM8019</v>
      </c>
      <c r="C4234" t="str">
        <f>_xll.BDP("FNFM8019 Mtge","GENERIC_TICKER_VINTAGE")</f>
        <v>FNCL 3 2021</v>
      </c>
      <c r="D4234" t="str">
        <f>_xll.BDP("FNFM8019 Mtge","CRNCY")</f>
        <v>USD</v>
      </c>
      <c r="E4234">
        <v>34402135</v>
      </c>
      <c r="F4234">
        <f>_xll.BDP("FNFM8019 Mtge","CPN")</f>
        <v>3</v>
      </c>
      <c r="G4234">
        <f>_xll.BDP("FNFM8019 Mtge","MTG_FACTOR")</f>
        <v>0.61734845999999999</v>
      </c>
      <c r="H4234">
        <f>_xll.BDP("FNFM8019 Mtge","MTG_WAL")</f>
        <v>8.1716999999999995</v>
      </c>
      <c r="I4234" t="str">
        <f>_xll.BDP("FNFM8019 Mtge","MTG_ORIG_WAL")</f>
        <v>#N/A N/A</v>
      </c>
    </row>
    <row r="4235" spans="1:9" x14ac:dyDescent="0.25">
      <c r="A4235" t="str">
        <f>_xll.BDP("FNFM8038 Mtge","ID_CUSIP")</f>
        <v>3140XB4Y3</v>
      </c>
      <c r="B4235" t="str">
        <f>_xll.BDP("FNFM8038 Mtge","SECURITY_NAME")</f>
        <v>FN FM8038</v>
      </c>
      <c r="C4235" t="str">
        <f>_xll.BDP("FNFM8038 Mtge","GENERIC_TICKER_VINTAGE")</f>
        <v>FNCL 3 2021</v>
      </c>
      <c r="D4235" t="str">
        <f>_xll.BDP("FNFM8038 Mtge","CRNCY")</f>
        <v>USD</v>
      </c>
      <c r="E4235">
        <v>564770439</v>
      </c>
      <c r="F4235">
        <f>_xll.BDP("FNFM8038 Mtge","CPN")</f>
        <v>3</v>
      </c>
      <c r="G4235">
        <f>_xll.BDP("FNFM8038 Mtge","MTG_FACTOR")</f>
        <v>0.57858297000000003</v>
      </c>
      <c r="H4235">
        <f>_xll.BDP("FNFM8038 Mtge","MTG_WAL")</f>
        <v>8.3346999999999998</v>
      </c>
      <c r="I4235" t="str">
        <f>_xll.BDP("FNFM8038 Mtge","MTG_ORIG_WAL")</f>
        <v>#N/A N/A</v>
      </c>
    </row>
    <row r="4236" spans="1:9" x14ac:dyDescent="0.25">
      <c r="A4236" t="str">
        <f>_xll.BDP("FNFM8056 Mtge","ID_CUSIP")</f>
        <v>3140XB5S5</v>
      </c>
      <c r="B4236" t="str">
        <f>_xll.BDP("FNFM8056 Mtge","SECURITY_NAME")</f>
        <v>FN FM8056</v>
      </c>
      <c r="C4236" t="str">
        <f>_xll.BDP("FNFM8056 Mtge","GENERIC_TICKER_VINTAGE")</f>
        <v>FNCL 3 2021</v>
      </c>
      <c r="D4236" t="str">
        <f>_xll.BDP("FNFM8056 Mtge","CRNCY")</f>
        <v>USD</v>
      </c>
      <c r="E4236">
        <v>45508382</v>
      </c>
      <c r="F4236">
        <f>_xll.BDP("FNFM8056 Mtge","CPN")</f>
        <v>3</v>
      </c>
      <c r="G4236">
        <f>_xll.BDP("FNFM8056 Mtge","MTG_FACTOR")</f>
        <v>0.55392478999999994</v>
      </c>
      <c r="H4236">
        <f>_xll.BDP("FNFM8056 Mtge","MTG_WAL")</f>
        <v>8.2178000000000004</v>
      </c>
      <c r="I4236" t="str">
        <f>_xll.BDP("FNFM8056 Mtge","MTG_ORIG_WAL")</f>
        <v>#N/A N/A</v>
      </c>
    </row>
    <row r="4237" spans="1:9" x14ac:dyDescent="0.25">
      <c r="A4237" t="str">
        <f>_xll.BDP("FNFM8075 Mtge","ID_CUSIP")</f>
        <v>3140XB6M7</v>
      </c>
      <c r="B4237" t="str">
        <f>_xll.BDP("FNFM8075 Mtge","SECURITY_NAME")</f>
        <v>FN FM8075</v>
      </c>
      <c r="C4237" t="str">
        <f>_xll.BDP("FNFM8075 Mtge","GENERIC_TICKER_VINTAGE")</f>
        <v>FNCL 3 2021</v>
      </c>
      <c r="D4237" t="str">
        <f>_xll.BDP("FNFM8075 Mtge","CRNCY")</f>
        <v>USD</v>
      </c>
      <c r="E4237">
        <v>23782251</v>
      </c>
      <c r="F4237">
        <f>_xll.BDP("FNFM8075 Mtge","CPN")</f>
        <v>3</v>
      </c>
      <c r="G4237">
        <f>_xll.BDP("FNFM8075 Mtge","MTG_FACTOR")</f>
        <v>0.64074273999999998</v>
      </c>
      <c r="H4237">
        <f>_xll.BDP("FNFM8075 Mtge","MTG_WAL")</f>
        <v>8.2867999999999995</v>
      </c>
      <c r="I4237" t="str">
        <f>_xll.BDP("FNFM8075 Mtge","MTG_ORIG_WAL")</f>
        <v>#N/A N/A</v>
      </c>
    </row>
    <row r="4238" spans="1:9" x14ac:dyDescent="0.25">
      <c r="A4238" t="str">
        <f>_xll.BDP("FNFM8101 Mtge","ID_CUSIP")</f>
        <v>3140XCAB4</v>
      </c>
      <c r="B4238" t="str">
        <f>_xll.BDP("FNFM8101 Mtge","SECURITY_NAME")</f>
        <v>FN FM8101</v>
      </c>
      <c r="C4238" t="str">
        <f>_xll.BDP("FNFM8101 Mtge","GENERIC_TICKER_VINTAGE")</f>
        <v>FNCL 3 2021</v>
      </c>
      <c r="D4238" t="str">
        <f>_xll.BDP("FNFM8101 Mtge","CRNCY")</f>
        <v>USD</v>
      </c>
      <c r="E4238">
        <v>14693488</v>
      </c>
      <c r="F4238">
        <f>_xll.BDP("FNFM8101 Mtge","CPN")</f>
        <v>3</v>
      </c>
      <c r="G4238">
        <f>_xll.BDP("FNFM8101 Mtge","MTG_FACTOR")</f>
        <v>0.64392455000000004</v>
      </c>
      <c r="H4238">
        <f>_xll.BDP("FNFM8101 Mtge","MTG_WAL")</f>
        <v>8.1949000000000005</v>
      </c>
      <c r="I4238" t="str">
        <f>_xll.BDP("FNFM8101 Mtge","MTG_ORIG_WAL")</f>
        <v>#N/A N/A</v>
      </c>
    </row>
    <row r="4239" spans="1:9" x14ac:dyDescent="0.25">
      <c r="A4239" t="str">
        <f>_xll.BDP("FNFM8166 Mtge","ID_CUSIP")</f>
        <v>3140XCCC0</v>
      </c>
      <c r="B4239" t="str">
        <f>_xll.BDP("FNFM8166 Mtge","SECURITY_NAME")</f>
        <v>FN FM8166</v>
      </c>
      <c r="C4239" t="str">
        <f>_xll.BDP("FNFM8166 Mtge","GENERIC_TICKER_VINTAGE")</f>
        <v>FNCL 3 2021</v>
      </c>
      <c r="D4239" t="str">
        <f>_xll.BDP("FNFM8166 Mtge","CRNCY")</f>
        <v>USD</v>
      </c>
      <c r="E4239">
        <v>27446707</v>
      </c>
      <c r="F4239">
        <f>_xll.BDP("FNFM8166 Mtge","CPN")</f>
        <v>3</v>
      </c>
      <c r="G4239">
        <f>_xll.BDP("FNFM8166 Mtge","MTG_FACTOR")</f>
        <v>0.57604018000000001</v>
      </c>
      <c r="H4239">
        <f>_xll.BDP("FNFM8166 Mtge","MTG_WAL")</f>
        <v>8.1046999999999993</v>
      </c>
      <c r="I4239" t="str">
        <f>_xll.BDP("FNFM8166 Mtge","MTG_ORIG_WAL")</f>
        <v>#N/A N/A</v>
      </c>
    </row>
    <row r="4240" spans="1:9" x14ac:dyDescent="0.25">
      <c r="A4240" t="str">
        <f>_xll.BDP("FNFM8475 Mtge","ID_CUSIP")</f>
        <v>3140XCMZ8</v>
      </c>
      <c r="B4240" t="str">
        <f>_xll.BDP("FNFM8475 Mtge","SECURITY_NAME")</f>
        <v>FN FM8475</v>
      </c>
      <c r="C4240" t="str">
        <f>_xll.BDP("FNFM8475 Mtge","GENERIC_TICKER_VINTAGE")</f>
        <v>FNCL 3 2021</v>
      </c>
      <c r="D4240" t="str">
        <f>_xll.BDP("FNFM8475 Mtge","CRNCY")</f>
        <v>USD</v>
      </c>
      <c r="E4240">
        <v>36137927</v>
      </c>
      <c r="F4240">
        <f>_xll.BDP("FNFM8475 Mtge","CPN")</f>
        <v>3</v>
      </c>
      <c r="G4240">
        <f>_xll.BDP("FNFM8475 Mtge","MTG_FACTOR")</f>
        <v>0.66475110999999998</v>
      </c>
      <c r="H4240">
        <f>_xll.BDP("FNFM8475 Mtge","MTG_WAL")</f>
        <v>8.2291000000000007</v>
      </c>
      <c r="I4240" t="str">
        <f>_xll.BDP("FNFM8475 Mtge","MTG_ORIG_WAL")</f>
        <v>#N/A N/A</v>
      </c>
    </row>
    <row r="4241" spans="1:9" x14ac:dyDescent="0.25">
      <c r="A4241" t="str">
        <f>_xll.BDP("FNFM8477 Mtge","ID_CUSIP")</f>
        <v>3140XCM39</v>
      </c>
      <c r="B4241" t="str">
        <f>_xll.BDP("FNFM8477 Mtge","SECURITY_NAME")</f>
        <v>FN FM8477</v>
      </c>
      <c r="C4241" t="str">
        <f>_xll.BDP("FNFM8477 Mtge","GENERIC_TICKER_VINTAGE")</f>
        <v>FNCL 3 2021</v>
      </c>
      <c r="D4241" t="str">
        <f>_xll.BDP("FNFM8477 Mtge","CRNCY")</f>
        <v>USD</v>
      </c>
      <c r="E4241">
        <v>147007527</v>
      </c>
      <c r="F4241">
        <f>_xll.BDP("FNFM8477 Mtge","CPN")</f>
        <v>3</v>
      </c>
      <c r="G4241">
        <f>_xll.BDP("FNFM8477 Mtge","MTG_FACTOR")</f>
        <v>0.62388379999999999</v>
      </c>
      <c r="H4241">
        <f>_xll.BDP("FNFM8477 Mtge","MTG_WAL")</f>
        <v>8.1885999999999992</v>
      </c>
      <c r="I4241" t="str">
        <f>_xll.BDP("FNFM8477 Mtge","MTG_ORIG_WAL")</f>
        <v>#N/A N/A</v>
      </c>
    </row>
    <row r="4242" spans="1:9" x14ac:dyDescent="0.25">
      <c r="A4242" t="str">
        <f>_xll.BDP("FNFM8479 Mtge","ID_CUSIP")</f>
        <v>3140XCM54</v>
      </c>
      <c r="B4242" t="str">
        <f>_xll.BDP("FNFM8479 Mtge","SECURITY_NAME")</f>
        <v>FN FM8479</v>
      </c>
      <c r="C4242" t="str">
        <f>_xll.BDP("FNFM8479 Mtge","GENERIC_TICKER_VINTAGE")</f>
        <v>FNCL 3 2021</v>
      </c>
      <c r="D4242" t="str">
        <f>_xll.BDP("FNFM8479 Mtge","CRNCY")</f>
        <v>USD</v>
      </c>
      <c r="E4242">
        <v>104090195</v>
      </c>
      <c r="F4242">
        <f>_xll.BDP("FNFM8479 Mtge","CPN")</f>
        <v>3</v>
      </c>
      <c r="G4242">
        <f>_xll.BDP("FNFM8479 Mtge","MTG_FACTOR")</f>
        <v>0.65931419000000002</v>
      </c>
      <c r="H4242">
        <f>_xll.BDP("FNFM8479 Mtge","MTG_WAL")</f>
        <v>8.3407999999999998</v>
      </c>
      <c r="I4242" t="str">
        <f>_xll.BDP("FNFM8479 Mtge","MTG_ORIG_WAL")</f>
        <v>#N/A N/A</v>
      </c>
    </row>
    <row r="4243" spans="1:9" x14ac:dyDescent="0.25">
      <c r="A4243" t="str">
        <f>_xll.BDP("FNFM8548 Mtge","ID_CUSIP")</f>
        <v>3140XCQA9</v>
      </c>
      <c r="B4243" t="str">
        <f>_xll.BDP("FNFM8548 Mtge","SECURITY_NAME")</f>
        <v>FN FM8548</v>
      </c>
      <c r="C4243" t="str">
        <f>_xll.BDP("FNFM8548 Mtge","GENERIC_TICKER_VINTAGE")</f>
        <v>FNCL 3 2021</v>
      </c>
      <c r="D4243" t="str">
        <f>_xll.BDP("FNFM8548 Mtge","CRNCY")</f>
        <v>USD</v>
      </c>
      <c r="E4243">
        <v>52693437</v>
      </c>
      <c r="F4243">
        <f>_xll.BDP("FNFM8548 Mtge","CPN")</f>
        <v>3</v>
      </c>
      <c r="G4243">
        <f>_xll.BDP("FNFM8548 Mtge","MTG_FACTOR")</f>
        <v>0.70607288000000001</v>
      </c>
      <c r="H4243">
        <f>_xll.BDP("FNFM8548 Mtge","MTG_WAL")</f>
        <v>8.3588000000000005</v>
      </c>
      <c r="I4243" t="str">
        <f>_xll.BDP("FNFM8548 Mtge","MTG_ORIG_WAL")</f>
        <v>#N/A N/A</v>
      </c>
    </row>
    <row r="4244" spans="1:9" x14ac:dyDescent="0.25">
      <c r="A4244" t="str">
        <f>_xll.BDP("FNFM8577 Mtge","ID_CUSIP")</f>
        <v>3140XCQ76</v>
      </c>
      <c r="B4244" t="str">
        <f>_xll.BDP("FNFM8577 Mtge","SECURITY_NAME")</f>
        <v>FN FM8577</v>
      </c>
      <c r="C4244" t="str">
        <f>_xll.BDP("FNFM8577 Mtge","GENERIC_TICKER_VINTAGE")</f>
        <v>FNCL 3 2021</v>
      </c>
      <c r="D4244" t="str">
        <f>_xll.BDP("FNFM8577 Mtge","CRNCY")</f>
        <v>USD</v>
      </c>
      <c r="E4244">
        <v>94090669</v>
      </c>
      <c r="F4244">
        <f>_xll.BDP("FNFM8577 Mtge","CPN")</f>
        <v>3</v>
      </c>
      <c r="G4244">
        <f>_xll.BDP("FNFM8577 Mtge","MTG_FACTOR")</f>
        <v>0.59029127000000003</v>
      </c>
      <c r="H4244">
        <f>_xll.BDP("FNFM8577 Mtge","MTG_WAL")</f>
        <v>7.8941999999999997</v>
      </c>
      <c r="I4244" t="str">
        <f>_xll.BDP("FNFM8577 Mtge","MTG_ORIG_WAL")</f>
        <v>#N/A N/A</v>
      </c>
    </row>
    <row r="4245" spans="1:9" x14ac:dyDescent="0.25">
      <c r="A4245" t="str">
        <f>_xll.BDP("FNFM8620 Mtge","ID_CUSIP")</f>
        <v>3140XCSJ8</v>
      </c>
      <c r="B4245" t="str">
        <f>_xll.BDP("FNFM8620 Mtge","SECURITY_NAME")</f>
        <v>FN FM8620</v>
      </c>
      <c r="C4245" t="str">
        <f>_xll.BDP("FNFM8620 Mtge","GENERIC_TICKER_VINTAGE")</f>
        <v>FNCL 3 2021</v>
      </c>
      <c r="D4245" t="str">
        <f>_xll.BDP("FNFM8620 Mtge","CRNCY")</f>
        <v>USD</v>
      </c>
      <c r="E4245">
        <v>26956477</v>
      </c>
      <c r="F4245">
        <f>_xll.BDP("FNFM8620 Mtge","CPN")</f>
        <v>3</v>
      </c>
      <c r="G4245">
        <f>_xll.BDP("FNFM8620 Mtge","MTG_FACTOR")</f>
        <v>0.61302566999999997</v>
      </c>
      <c r="H4245">
        <f>_xll.BDP("FNFM8620 Mtge","MTG_WAL")</f>
        <v>8.1294000000000004</v>
      </c>
      <c r="I4245" t="str">
        <f>_xll.BDP("FNFM8620 Mtge","MTG_ORIG_WAL")</f>
        <v>#N/A N/A</v>
      </c>
    </row>
    <row r="4246" spans="1:9" x14ac:dyDescent="0.25">
      <c r="A4246" t="str">
        <f>_xll.BDP("FNFM8636 Mtge","ID_CUSIP")</f>
        <v>3140XCS25</v>
      </c>
      <c r="B4246" t="str">
        <f>_xll.BDP("FNFM8636 Mtge","SECURITY_NAME")</f>
        <v>FN FM8636</v>
      </c>
      <c r="C4246" t="str">
        <f>_xll.BDP("FNFM8636 Mtge","GENERIC_TICKER_VINTAGE")</f>
        <v>FNCL 3 2021</v>
      </c>
      <c r="D4246" t="str">
        <f>_xll.BDP("FNFM8636 Mtge","CRNCY")</f>
        <v>USD</v>
      </c>
      <c r="E4246">
        <v>27531235</v>
      </c>
      <c r="F4246">
        <f>_xll.BDP("FNFM8636 Mtge","CPN")</f>
        <v>3</v>
      </c>
      <c r="G4246">
        <f>_xll.BDP("FNFM8636 Mtge","MTG_FACTOR")</f>
        <v>0.65958377000000001</v>
      </c>
      <c r="H4246">
        <f>_xll.BDP("FNFM8636 Mtge","MTG_WAL")</f>
        <v>8.3475999999999999</v>
      </c>
      <c r="I4246" t="str">
        <f>_xll.BDP("FNFM8636 Mtge","MTG_ORIG_WAL")</f>
        <v>#N/A N/A</v>
      </c>
    </row>
    <row r="4247" spans="1:9" x14ac:dyDescent="0.25">
      <c r="A4247" t="str">
        <f>_xll.BDP("FNFM8648 Mtge","ID_CUSIP")</f>
        <v>3140XCTE8</v>
      </c>
      <c r="B4247" t="str">
        <f>_xll.BDP("FNFM8648 Mtge","SECURITY_NAME")</f>
        <v>FN FM8648</v>
      </c>
      <c r="C4247" t="str">
        <f>_xll.BDP("FNFM8648 Mtge","GENERIC_TICKER_VINTAGE")</f>
        <v>FNCL 3 2021</v>
      </c>
      <c r="D4247" t="str">
        <f>_xll.BDP("FNFM8648 Mtge","CRNCY")</f>
        <v>USD</v>
      </c>
      <c r="E4247">
        <v>102140771</v>
      </c>
      <c r="F4247">
        <f>_xll.BDP("FNFM8648 Mtge","CPN")</f>
        <v>3</v>
      </c>
      <c r="G4247">
        <f>_xll.BDP("FNFM8648 Mtge","MTG_FACTOR")</f>
        <v>0.62891132000000005</v>
      </c>
      <c r="H4247">
        <f>_xll.BDP("FNFM8648 Mtge","MTG_WAL")</f>
        <v>8.2738999999999994</v>
      </c>
      <c r="I4247" t="str">
        <f>_xll.BDP("FNFM8648 Mtge","MTG_ORIG_WAL")</f>
        <v>#N/A N/A</v>
      </c>
    </row>
    <row r="4248" spans="1:9" x14ac:dyDescent="0.25">
      <c r="A4248" t="str">
        <f>_xll.BDP("FNFM8662 Mtge","ID_CUSIP")</f>
        <v>3140XCTU2</v>
      </c>
      <c r="B4248" t="str">
        <f>_xll.BDP("FNFM8662 Mtge","SECURITY_NAME")</f>
        <v>FN FM8662</v>
      </c>
      <c r="C4248" t="str">
        <f>_xll.BDP("FNFM8662 Mtge","GENERIC_TICKER_VINTAGE")</f>
        <v>FNCL 3 2021</v>
      </c>
      <c r="D4248" t="str">
        <f>_xll.BDP("FNFM8662 Mtge","CRNCY")</f>
        <v>USD</v>
      </c>
      <c r="E4248">
        <v>55303030</v>
      </c>
      <c r="F4248">
        <f>_xll.BDP("FNFM8662 Mtge","CPN")</f>
        <v>3</v>
      </c>
      <c r="G4248">
        <f>_xll.BDP("FNFM8662 Mtge","MTG_FACTOR")</f>
        <v>0.70936602999999998</v>
      </c>
      <c r="H4248">
        <f>_xll.BDP("FNFM8662 Mtge","MTG_WAL")</f>
        <v>8.2814999999999994</v>
      </c>
      <c r="I4248" t="str">
        <f>_xll.BDP("FNFM8662 Mtge","MTG_ORIG_WAL")</f>
        <v>#N/A N/A</v>
      </c>
    </row>
    <row r="4249" spans="1:9" x14ac:dyDescent="0.25">
      <c r="A4249" t="str">
        <f>_xll.BDP("FNFM8682 Mtge","ID_CUSIP")</f>
        <v>3140XCUG1</v>
      </c>
      <c r="B4249" t="str">
        <f>_xll.BDP("FNFM8682 Mtge","SECURITY_NAME")</f>
        <v>FN FM8682</v>
      </c>
      <c r="C4249" t="str">
        <f>_xll.BDP("FNFM8682 Mtge","GENERIC_TICKER_VINTAGE")</f>
        <v>FNCL 3 2021</v>
      </c>
      <c r="D4249" t="str">
        <f>_xll.BDP("FNFM8682 Mtge","CRNCY")</f>
        <v>USD</v>
      </c>
      <c r="E4249">
        <v>335553591</v>
      </c>
      <c r="F4249">
        <f>_xll.BDP("FNFM8682 Mtge","CPN")</f>
        <v>3</v>
      </c>
      <c r="G4249">
        <f>_xll.BDP("FNFM8682 Mtge","MTG_FACTOR")</f>
        <v>0.68186131999999999</v>
      </c>
      <c r="H4249">
        <f>_xll.BDP("FNFM8682 Mtge","MTG_WAL")</f>
        <v>8.2178000000000004</v>
      </c>
      <c r="I4249" t="str">
        <f>_xll.BDP("FNFM8682 Mtge","MTG_ORIG_WAL")</f>
        <v>#N/A N/A</v>
      </c>
    </row>
    <row r="4250" spans="1:9" x14ac:dyDescent="0.25">
      <c r="A4250" t="str">
        <f>_xll.BDP("FNFM8754 Mtge","ID_CUSIP")</f>
        <v>3140XCWQ7</v>
      </c>
      <c r="B4250" t="str">
        <f>_xll.BDP("FNFM8754 Mtge","SECURITY_NAME")</f>
        <v>FN FM8754</v>
      </c>
      <c r="C4250" t="str">
        <f>_xll.BDP("FNFM8754 Mtge","GENERIC_TICKER_VINTAGE")</f>
        <v>FNCL 3 2021</v>
      </c>
      <c r="D4250" t="str">
        <f>_xll.BDP("FNFM8754 Mtge","CRNCY")</f>
        <v>USD</v>
      </c>
      <c r="E4250">
        <v>32228928</v>
      </c>
      <c r="F4250">
        <f>_xll.BDP("FNFM8754 Mtge","CPN")</f>
        <v>3</v>
      </c>
      <c r="G4250">
        <f>_xll.BDP("FNFM8754 Mtge","MTG_FACTOR")</f>
        <v>0.78072078</v>
      </c>
      <c r="H4250">
        <f>_xll.BDP("FNFM8754 Mtge","MTG_WAL")</f>
        <v>8.3597000000000001</v>
      </c>
      <c r="I4250" t="str">
        <f>_xll.BDP("FNFM8754 Mtge","MTG_ORIG_WAL")</f>
        <v>#N/A N/A</v>
      </c>
    </row>
    <row r="4251" spans="1:9" x14ac:dyDescent="0.25">
      <c r="A4251" t="str">
        <f>_xll.BDP("FNFM8821 Mtge","ID_CUSIP")</f>
        <v>3140XCYT9</v>
      </c>
      <c r="B4251" t="str">
        <f>_xll.BDP("FNFM8821 Mtge","SECURITY_NAME")</f>
        <v>FN FM8821</v>
      </c>
      <c r="C4251" t="str">
        <f>_xll.BDP("FNFM8821 Mtge","GENERIC_TICKER_VINTAGE")</f>
        <v>FNCL 3 2021</v>
      </c>
      <c r="D4251" t="str">
        <f>_xll.BDP("FNFM8821 Mtge","CRNCY")</f>
        <v>USD</v>
      </c>
      <c r="E4251">
        <v>52484161</v>
      </c>
      <c r="F4251">
        <f>_xll.BDP("FNFM8821 Mtge","CPN")</f>
        <v>3</v>
      </c>
      <c r="G4251">
        <f>_xll.BDP("FNFM8821 Mtge","MTG_FACTOR")</f>
        <v>0.66989093</v>
      </c>
      <c r="H4251">
        <f>_xll.BDP("FNFM8821 Mtge","MTG_WAL")</f>
        <v>8.3377999999999997</v>
      </c>
      <c r="I4251" t="str">
        <f>_xll.BDP("FNFM8821 Mtge","MTG_ORIG_WAL")</f>
        <v>#N/A N/A</v>
      </c>
    </row>
    <row r="4252" spans="1:9" x14ac:dyDescent="0.25">
      <c r="A4252" t="str">
        <f>_xll.BDP("FNFM9044 Mtge","ID_CUSIP")</f>
        <v>3140XDBN5</v>
      </c>
      <c r="B4252" t="str">
        <f>_xll.BDP("FNFM9044 Mtge","SECURITY_NAME")</f>
        <v>FN FM9044</v>
      </c>
      <c r="C4252" t="str">
        <f>_xll.BDP("FNFM9044 Mtge","GENERIC_TICKER_VINTAGE")</f>
        <v>FNCL 3 2021</v>
      </c>
      <c r="D4252" t="str">
        <f>_xll.BDP("FNFM9044 Mtge","CRNCY")</f>
        <v>USD</v>
      </c>
      <c r="E4252">
        <v>39498575</v>
      </c>
      <c r="F4252">
        <f>_xll.BDP("FNFM9044 Mtge","CPN")</f>
        <v>3</v>
      </c>
      <c r="G4252">
        <f>_xll.BDP("FNFM9044 Mtge","MTG_FACTOR")</f>
        <v>0.61898750999999996</v>
      </c>
      <c r="H4252">
        <f>_xll.BDP("FNFM9044 Mtge","MTG_WAL")</f>
        <v>8.2093000000000007</v>
      </c>
      <c r="I4252" t="str">
        <f>_xll.BDP("FNFM9044 Mtge","MTG_ORIG_WAL")</f>
        <v>#N/A N/A</v>
      </c>
    </row>
    <row r="4253" spans="1:9" x14ac:dyDescent="0.25">
      <c r="A4253" t="str">
        <f>_xll.BDP("FNFM9046 Mtge","ID_CUSIP")</f>
        <v>3140XDBQ8</v>
      </c>
      <c r="B4253" t="str">
        <f>_xll.BDP("FNFM9046 Mtge","SECURITY_NAME")</f>
        <v>FN FM9046</v>
      </c>
      <c r="C4253" t="str">
        <f>_xll.BDP("FNFM9046 Mtge","GENERIC_TICKER_VINTAGE")</f>
        <v>FNCL 3 2021</v>
      </c>
      <c r="D4253" t="str">
        <f>_xll.BDP("FNFM9046 Mtge","CRNCY")</f>
        <v>USD</v>
      </c>
      <c r="E4253">
        <v>58366703</v>
      </c>
      <c r="F4253">
        <f>_xll.BDP("FNFM9046 Mtge","CPN")</f>
        <v>3</v>
      </c>
      <c r="G4253">
        <f>_xll.BDP("FNFM9046 Mtge","MTG_FACTOR")</f>
        <v>0.57958562999999996</v>
      </c>
      <c r="H4253">
        <f>_xll.BDP("FNFM9046 Mtge","MTG_WAL")</f>
        <v>8.2251999999999992</v>
      </c>
      <c r="I4253" t="str">
        <f>_xll.BDP("FNFM9046 Mtge","MTG_ORIG_WAL")</f>
        <v>#N/A N/A</v>
      </c>
    </row>
    <row r="4254" spans="1:9" x14ac:dyDescent="0.25">
      <c r="A4254" t="str">
        <f>_xll.BDP("FNFM9048 Mtge","ID_CUSIP")</f>
        <v>3140XDBS4</v>
      </c>
      <c r="B4254" t="str">
        <f>_xll.BDP("FNFM9048 Mtge","SECURITY_NAME")</f>
        <v>FN FM9048</v>
      </c>
      <c r="C4254" t="str">
        <f>_xll.BDP("FNFM9048 Mtge","GENERIC_TICKER_VINTAGE")</f>
        <v>FNCL 3 2021</v>
      </c>
      <c r="D4254" t="str">
        <f>_xll.BDP("FNFM9048 Mtge","CRNCY")</f>
        <v>USD</v>
      </c>
      <c r="E4254">
        <v>89907227</v>
      </c>
      <c r="F4254">
        <f>_xll.BDP("FNFM9048 Mtge","CPN")</f>
        <v>3</v>
      </c>
      <c r="G4254">
        <f>_xll.BDP("FNFM9048 Mtge","MTG_FACTOR")</f>
        <v>0.68008595999999999</v>
      </c>
      <c r="H4254">
        <f>_xll.BDP("FNFM9048 Mtge","MTG_WAL")</f>
        <v>8.2448999999999995</v>
      </c>
      <c r="I4254" t="str">
        <f>_xll.BDP("FNFM9048 Mtge","MTG_ORIG_WAL")</f>
        <v>#N/A N/A</v>
      </c>
    </row>
    <row r="4255" spans="1:9" x14ac:dyDescent="0.25">
      <c r="A4255" t="str">
        <f>_xll.BDP("FNFM9049 Mtge","ID_CUSIP")</f>
        <v>3140XDBT2</v>
      </c>
      <c r="B4255" t="str">
        <f>_xll.BDP("FNFM9049 Mtge","SECURITY_NAME")</f>
        <v>FN FM9049</v>
      </c>
      <c r="C4255" t="str">
        <f>_xll.BDP("FNFM9049 Mtge","GENERIC_TICKER_VINTAGE")</f>
        <v>FNCL 3 2021</v>
      </c>
      <c r="D4255" t="str">
        <f>_xll.BDP("FNFM9049 Mtge","CRNCY")</f>
        <v>USD</v>
      </c>
      <c r="E4255">
        <v>95568489</v>
      </c>
      <c r="F4255">
        <f>_xll.BDP("FNFM9049 Mtge","CPN")</f>
        <v>3</v>
      </c>
      <c r="G4255">
        <f>_xll.BDP("FNFM9049 Mtge","MTG_FACTOR")</f>
        <v>0.65059842999999995</v>
      </c>
      <c r="H4255">
        <f>_xll.BDP("FNFM9049 Mtge","MTG_WAL")</f>
        <v>8.1798999999999999</v>
      </c>
      <c r="I4255" t="str">
        <f>_xll.BDP("FNFM9049 Mtge","MTG_ORIG_WAL")</f>
        <v>#N/A N/A</v>
      </c>
    </row>
    <row r="4256" spans="1:9" x14ac:dyDescent="0.25">
      <c r="A4256" t="str">
        <f>_xll.BDP("FNFM9057 Mtge","ID_CUSIP")</f>
        <v>3140XDB39</v>
      </c>
      <c r="B4256" t="str">
        <f>_xll.BDP("FNFM9057 Mtge","SECURITY_NAME")</f>
        <v>FN FM9057</v>
      </c>
      <c r="C4256" t="str">
        <f>_xll.BDP("FNFM9057 Mtge","GENERIC_TICKER_VINTAGE")</f>
        <v>FNCL 3 2021</v>
      </c>
      <c r="D4256" t="str">
        <f>_xll.BDP("FNFM9057 Mtge","CRNCY")</f>
        <v>USD</v>
      </c>
      <c r="E4256">
        <v>61374141</v>
      </c>
      <c r="F4256">
        <f>_xll.BDP("FNFM9057 Mtge","CPN")</f>
        <v>3</v>
      </c>
      <c r="G4256">
        <f>_xll.BDP("FNFM9057 Mtge","MTG_FACTOR")</f>
        <v>0.59352627000000002</v>
      </c>
      <c r="H4256">
        <f>_xll.BDP("FNFM9057 Mtge","MTG_WAL")</f>
        <v>8.3397000000000006</v>
      </c>
      <c r="I4256" t="str">
        <f>_xll.BDP("FNFM9057 Mtge","MTG_ORIG_WAL")</f>
        <v>#N/A N/A</v>
      </c>
    </row>
    <row r="4257" spans="1:9" x14ac:dyDescent="0.25">
      <c r="A4257" t="str">
        <f>_xll.BDP("FNFM9087 Mtge","ID_CUSIP")</f>
        <v>3140XDCZ7</v>
      </c>
      <c r="B4257" t="str">
        <f>_xll.BDP("FNFM9087 Mtge","SECURITY_NAME")</f>
        <v>FN FM9087</v>
      </c>
      <c r="C4257" t="str">
        <f>_xll.BDP("FNFM9087 Mtge","GENERIC_TICKER_VINTAGE")</f>
        <v>FNCL 3 2021</v>
      </c>
      <c r="D4257" t="str">
        <f>_xll.BDP("FNFM9087 Mtge","CRNCY")</f>
        <v>USD</v>
      </c>
      <c r="E4257">
        <v>43769403</v>
      </c>
      <c r="F4257">
        <f>_xll.BDP("FNFM9087 Mtge","CPN")</f>
        <v>3</v>
      </c>
      <c r="G4257">
        <f>_xll.BDP("FNFM9087 Mtge","MTG_FACTOR")</f>
        <v>0.79734632999999999</v>
      </c>
      <c r="H4257">
        <f>_xll.BDP("FNFM9087 Mtge","MTG_WAL")</f>
        <v>8.3734000000000002</v>
      </c>
      <c r="I4257" t="str">
        <f>_xll.BDP("FNFM9087 Mtge","MTG_ORIG_WAL")</f>
        <v>#N/A N/A</v>
      </c>
    </row>
    <row r="4258" spans="1:9" x14ac:dyDescent="0.25">
      <c r="A4258" t="str">
        <f>_xll.BDP("FNFM9133 Mtge","ID_CUSIP")</f>
        <v>3140XDEF9</v>
      </c>
      <c r="B4258" t="str">
        <f>_xll.BDP("FNFM9133 Mtge","SECURITY_NAME")</f>
        <v>FN FM9133</v>
      </c>
      <c r="C4258" t="str">
        <f>_xll.BDP("FNFM9133 Mtge","GENERIC_TICKER_VINTAGE")</f>
        <v>FNCL 3 2021</v>
      </c>
      <c r="D4258" t="str">
        <f>_xll.BDP("FNFM9133 Mtge","CRNCY")</f>
        <v>USD</v>
      </c>
      <c r="E4258">
        <v>42784318</v>
      </c>
      <c r="F4258">
        <f>_xll.BDP("FNFM9133 Mtge","CPN")</f>
        <v>3</v>
      </c>
      <c r="G4258">
        <f>_xll.BDP("FNFM9133 Mtge","MTG_FACTOR")</f>
        <v>0.64605707999999995</v>
      </c>
      <c r="H4258">
        <f>_xll.BDP("FNFM9133 Mtge","MTG_WAL")</f>
        <v>8.2871000000000006</v>
      </c>
      <c r="I4258" t="str">
        <f>_xll.BDP("FNFM9133 Mtge","MTG_ORIG_WAL")</f>
        <v>#N/A N/A</v>
      </c>
    </row>
    <row r="4259" spans="1:9" x14ac:dyDescent="0.25">
      <c r="A4259" t="str">
        <f>_xll.BDP("FNFM9156 Mtge","ID_CUSIP")</f>
        <v>3140XDE69</v>
      </c>
      <c r="B4259" t="str">
        <f>_xll.BDP("FNFM9156 Mtge","SECURITY_NAME")</f>
        <v>FN FM9156</v>
      </c>
      <c r="C4259" t="str">
        <f>_xll.BDP("FNFM9156 Mtge","GENERIC_TICKER_VINTAGE")</f>
        <v>FNCL 3 2021</v>
      </c>
      <c r="D4259" t="str">
        <f>_xll.BDP("FNFM9156 Mtge","CRNCY")</f>
        <v>USD</v>
      </c>
      <c r="E4259">
        <v>21113434</v>
      </c>
      <c r="F4259">
        <f>_xll.BDP("FNFM9156 Mtge","CPN")</f>
        <v>3</v>
      </c>
      <c r="G4259">
        <f>_xll.BDP("FNFM9156 Mtge","MTG_FACTOR")</f>
        <v>0.71489360000000002</v>
      </c>
      <c r="H4259">
        <f>_xll.BDP("FNFM9156 Mtge","MTG_WAL")</f>
        <v>8.0982000000000003</v>
      </c>
      <c r="I4259" t="str">
        <f>_xll.BDP("FNFM9156 Mtge","MTG_ORIG_WAL")</f>
        <v>#N/A N/A</v>
      </c>
    </row>
    <row r="4260" spans="1:9" x14ac:dyDescent="0.25">
      <c r="A4260" t="str">
        <f>_xll.BDP("FNFM9209 Mtge","ID_CUSIP")</f>
        <v>3140XDGT7</v>
      </c>
      <c r="B4260" t="str">
        <f>_xll.BDP("FNFM9209 Mtge","SECURITY_NAME")</f>
        <v>FN FM9209</v>
      </c>
      <c r="C4260" t="str">
        <f>_xll.BDP("FNFM9209 Mtge","GENERIC_TICKER_VINTAGE")</f>
        <v>FNCL 3 2021</v>
      </c>
      <c r="D4260" t="str">
        <f>_xll.BDP("FNFM9209 Mtge","CRNCY")</f>
        <v>USD</v>
      </c>
      <c r="E4260">
        <v>53605738</v>
      </c>
      <c r="F4260">
        <f>_xll.BDP("FNFM9209 Mtge","CPN")</f>
        <v>3</v>
      </c>
      <c r="G4260">
        <f>_xll.BDP("FNFM9209 Mtge","MTG_FACTOR")</f>
        <v>0.70225331000000002</v>
      </c>
      <c r="H4260">
        <f>_xll.BDP("FNFM9209 Mtge","MTG_WAL")</f>
        <v>8.1917000000000009</v>
      </c>
      <c r="I4260" t="str">
        <f>_xll.BDP("FNFM9209 Mtge","MTG_ORIG_WAL")</f>
        <v>#N/A N/A</v>
      </c>
    </row>
    <row r="4261" spans="1:9" x14ac:dyDescent="0.25">
      <c r="A4261" t="str">
        <f>_xll.BDP("FNFM9226 Mtge","ID_CUSIP")</f>
        <v>3140XDHC3</v>
      </c>
      <c r="B4261" t="str">
        <f>_xll.BDP("FNFM9226 Mtge","SECURITY_NAME")</f>
        <v>FN FM9226</v>
      </c>
      <c r="C4261" t="str">
        <f>_xll.BDP("FNFM9226 Mtge","GENERIC_TICKER_VINTAGE")</f>
        <v>FNCL 3 2021</v>
      </c>
      <c r="D4261" t="str">
        <f>_xll.BDP("FNFM9226 Mtge","CRNCY")</f>
        <v>USD</v>
      </c>
      <c r="E4261">
        <v>21512108</v>
      </c>
      <c r="F4261">
        <f>_xll.BDP("FNFM9226 Mtge","CPN")</f>
        <v>3</v>
      </c>
      <c r="G4261">
        <f>_xll.BDP("FNFM9226 Mtge","MTG_FACTOR")</f>
        <v>0.66900727000000004</v>
      </c>
      <c r="H4261">
        <f>_xll.BDP("FNFM9226 Mtge","MTG_WAL")</f>
        <v>8.0554000000000006</v>
      </c>
      <c r="I4261" t="str">
        <f>_xll.BDP("FNFM9226 Mtge","MTG_ORIG_WAL")</f>
        <v>#N/A N/A</v>
      </c>
    </row>
    <row r="4262" spans="1:9" x14ac:dyDescent="0.25">
      <c r="A4262" t="str">
        <f>_xll.BDP("FNFM9234 Mtge","ID_CUSIP")</f>
        <v>3140XDHL3</v>
      </c>
      <c r="B4262" t="str">
        <f>_xll.BDP("FNFM9234 Mtge","SECURITY_NAME")</f>
        <v>FN FM9234</v>
      </c>
      <c r="C4262" t="str">
        <f>_xll.BDP("FNFM9234 Mtge","GENERIC_TICKER_VINTAGE")</f>
        <v>FNCL 3 2021</v>
      </c>
      <c r="D4262" t="str">
        <f>_xll.BDP("FNFM9234 Mtge","CRNCY")</f>
        <v>USD</v>
      </c>
      <c r="E4262">
        <v>10636375</v>
      </c>
      <c r="F4262">
        <f>_xll.BDP("FNFM9234 Mtge","CPN")</f>
        <v>3</v>
      </c>
      <c r="G4262">
        <f>_xll.BDP("FNFM9234 Mtge","MTG_FACTOR")</f>
        <v>0.58686616000000003</v>
      </c>
      <c r="H4262">
        <f>_xll.BDP("FNFM9234 Mtge","MTG_WAL")</f>
        <v>8.1029</v>
      </c>
      <c r="I4262" t="str">
        <f>_xll.BDP("FNFM9234 Mtge","MTG_ORIG_WAL")</f>
        <v>#N/A N/A</v>
      </c>
    </row>
    <row r="4263" spans="1:9" x14ac:dyDescent="0.25">
      <c r="A4263" t="str">
        <f>_xll.BDP("FNFM9292 Mtge","ID_CUSIP")</f>
        <v>3140XDKE5</v>
      </c>
      <c r="B4263" t="str">
        <f>_xll.BDP("FNFM9292 Mtge","SECURITY_NAME")</f>
        <v>FN FM9292</v>
      </c>
      <c r="C4263" t="str">
        <f>_xll.BDP("FNFM9292 Mtge","GENERIC_TICKER_VINTAGE")</f>
        <v>FNCL 3 2021</v>
      </c>
      <c r="D4263" t="str">
        <f>_xll.BDP("FNFM9292 Mtge","CRNCY")</f>
        <v>USD</v>
      </c>
      <c r="E4263">
        <v>143034759</v>
      </c>
      <c r="F4263">
        <f>_xll.BDP("FNFM9292 Mtge","CPN")</f>
        <v>3</v>
      </c>
      <c r="G4263">
        <f>_xll.BDP("FNFM9292 Mtge","MTG_FACTOR")</f>
        <v>0.66670169999999995</v>
      </c>
      <c r="H4263">
        <f>_xll.BDP("FNFM9292 Mtge","MTG_WAL")</f>
        <v>8.1443999999999992</v>
      </c>
      <c r="I4263" t="str">
        <f>_xll.BDP("FNFM9292 Mtge","MTG_ORIG_WAL")</f>
        <v>#N/A N/A</v>
      </c>
    </row>
    <row r="4264" spans="1:9" x14ac:dyDescent="0.25">
      <c r="A4264" t="str">
        <f>_xll.BDP("FNFM9349 Mtge","ID_CUSIP")</f>
        <v>3140XDL79</v>
      </c>
      <c r="B4264" t="str">
        <f>_xll.BDP("FNFM9349 Mtge","SECURITY_NAME")</f>
        <v>FN FM9349</v>
      </c>
      <c r="C4264" t="str">
        <f>_xll.BDP("FNFM9349 Mtge","GENERIC_TICKER_VINTAGE")</f>
        <v>FNCL 3 2021</v>
      </c>
      <c r="D4264" t="str">
        <f>_xll.BDP("FNFM9349 Mtge","CRNCY")</f>
        <v>USD</v>
      </c>
      <c r="E4264">
        <v>130414770</v>
      </c>
      <c r="F4264">
        <f>_xll.BDP("FNFM9349 Mtge","CPN")</f>
        <v>3</v>
      </c>
      <c r="G4264">
        <f>_xll.BDP("FNFM9349 Mtge","MTG_FACTOR")</f>
        <v>0.63012639999999998</v>
      </c>
      <c r="H4264">
        <f>_xll.BDP("FNFM9349 Mtge","MTG_WAL")</f>
        <v>8.2083999999999993</v>
      </c>
      <c r="I4264" t="str">
        <f>_xll.BDP("FNFM9349 Mtge","MTG_ORIG_WAL")</f>
        <v>#N/A N/A</v>
      </c>
    </row>
    <row r="4265" spans="1:9" x14ac:dyDescent="0.25">
      <c r="A4265" t="str">
        <f>_xll.BDP("FNFM9350 Mtge","ID_CUSIP")</f>
        <v>3140XDL87</v>
      </c>
      <c r="B4265" t="str">
        <f>_xll.BDP("FNFM9350 Mtge","SECURITY_NAME")</f>
        <v>FN FM9350</v>
      </c>
      <c r="C4265" t="str">
        <f>_xll.BDP("FNFM9350 Mtge","GENERIC_TICKER_VINTAGE")</f>
        <v>FNCL 3 2021</v>
      </c>
      <c r="D4265" t="str">
        <f>_xll.BDP("FNFM9350 Mtge","CRNCY")</f>
        <v>USD</v>
      </c>
      <c r="E4265">
        <v>58755580</v>
      </c>
      <c r="F4265">
        <f>_xll.BDP("FNFM9350 Mtge","CPN")</f>
        <v>3</v>
      </c>
      <c r="G4265">
        <f>_xll.BDP("FNFM9350 Mtge","MTG_FACTOR")</f>
        <v>0.78492088000000004</v>
      </c>
      <c r="H4265">
        <f>_xll.BDP("FNFM9350 Mtge","MTG_WAL")</f>
        <v>8.3721999999999994</v>
      </c>
      <c r="I4265" t="str">
        <f>_xll.BDP("FNFM9350 Mtge","MTG_ORIG_WAL")</f>
        <v>#N/A N/A</v>
      </c>
    </row>
    <row r="4266" spans="1:9" x14ac:dyDescent="0.25">
      <c r="A4266" t="str">
        <f>_xll.BDP("FNFM9351 Mtge","ID_CUSIP")</f>
        <v>3140XDL95</v>
      </c>
      <c r="B4266" t="str">
        <f>_xll.BDP("FNFM9351 Mtge","SECURITY_NAME")</f>
        <v>FN FM9351</v>
      </c>
      <c r="C4266" t="str">
        <f>_xll.BDP("FNFM9351 Mtge","GENERIC_TICKER_VINTAGE")</f>
        <v>FNCL 3 2021</v>
      </c>
      <c r="D4266" t="str">
        <f>_xll.BDP("FNFM9351 Mtge","CRNCY")</f>
        <v>USD</v>
      </c>
      <c r="E4266">
        <v>38592549</v>
      </c>
      <c r="F4266">
        <f>_xll.BDP("FNFM9351 Mtge","CPN")</f>
        <v>3</v>
      </c>
      <c r="G4266">
        <f>_xll.BDP("FNFM9351 Mtge","MTG_FACTOR")</f>
        <v>0.77336004000000003</v>
      </c>
      <c r="H4266">
        <f>_xll.BDP("FNFM9351 Mtge","MTG_WAL")</f>
        <v>8.3732000000000006</v>
      </c>
      <c r="I4266" t="str">
        <f>_xll.BDP("FNFM9351 Mtge","MTG_ORIG_WAL")</f>
        <v>#N/A N/A</v>
      </c>
    </row>
    <row r="4267" spans="1:9" x14ac:dyDescent="0.25">
      <c r="A4267" t="str">
        <f>_xll.BDP("FNFM9419 Mtge","ID_CUSIP")</f>
        <v>3140XDPD2</v>
      </c>
      <c r="B4267" t="str">
        <f>_xll.BDP("FNFM9419 Mtge","SECURITY_NAME")</f>
        <v>FN FM9419</v>
      </c>
      <c r="C4267" t="str">
        <f>_xll.BDP("FNFM9419 Mtge","GENERIC_TICKER_VINTAGE")</f>
        <v>FNCL 3 2021</v>
      </c>
      <c r="D4267" t="str">
        <f>_xll.BDP("FNFM9419 Mtge","CRNCY")</f>
        <v>USD</v>
      </c>
      <c r="E4267">
        <v>65331161</v>
      </c>
      <c r="F4267">
        <f>_xll.BDP("FNFM9419 Mtge","CPN")</f>
        <v>3</v>
      </c>
      <c r="G4267">
        <f>_xll.BDP("FNFM9419 Mtge","MTG_FACTOR")</f>
        <v>0.68789471999999996</v>
      </c>
      <c r="H4267">
        <f>_xll.BDP("FNFM9419 Mtge","MTG_WAL")</f>
        <v>8.3338999999999999</v>
      </c>
      <c r="I4267" t="str">
        <f>_xll.BDP("FNFM9419 Mtge","MTG_ORIG_WAL")</f>
        <v>#N/A N/A</v>
      </c>
    </row>
    <row r="4268" spans="1:9" x14ac:dyDescent="0.25">
      <c r="A4268" t="str">
        <f>_xll.BDP("FNFM9464 Mtge","ID_CUSIP")</f>
        <v>3140XDQS8</v>
      </c>
      <c r="B4268" t="str">
        <f>_xll.BDP("FNFM9464 Mtge","SECURITY_NAME")</f>
        <v>FN FM9464</v>
      </c>
      <c r="C4268" t="str">
        <f>_xll.BDP("FNFM9464 Mtge","GENERIC_TICKER_VINTAGE")</f>
        <v>FNCL 3 2021</v>
      </c>
      <c r="D4268" t="str">
        <f>_xll.BDP("FNFM9464 Mtge","CRNCY")</f>
        <v>USD</v>
      </c>
      <c r="E4268">
        <v>86313276</v>
      </c>
      <c r="F4268">
        <f>_xll.BDP("FNFM9464 Mtge","CPN")</f>
        <v>3</v>
      </c>
      <c r="G4268">
        <f>_xll.BDP("FNFM9464 Mtge","MTG_FACTOR")</f>
        <v>0.63219391999999996</v>
      </c>
      <c r="H4268">
        <f>_xll.BDP("FNFM9464 Mtge","MTG_WAL")</f>
        <v>8.2594999999999992</v>
      </c>
      <c r="I4268" t="str">
        <f>_xll.BDP("FNFM9464 Mtge","MTG_ORIG_WAL")</f>
        <v>#N/A N/A</v>
      </c>
    </row>
    <row r="4269" spans="1:9" x14ac:dyDescent="0.25">
      <c r="A4269" t="str">
        <f>_xll.BDP("FNFM9467 Mtge","ID_CUSIP")</f>
        <v>3140XDQV1</v>
      </c>
      <c r="B4269" t="str">
        <f>_xll.BDP("FNFM9467 Mtge","SECURITY_NAME")</f>
        <v>FN FM9467</v>
      </c>
      <c r="C4269" t="str">
        <f>_xll.BDP("FNFM9467 Mtge","GENERIC_TICKER_VINTAGE")</f>
        <v>FNCL 3 2021</v>
      </c>
      <c r="D4269" t="str">
        <f>_xll.BDP("FNFM9467 Mtge","CRNCY")</f>
        <v>USD</v>
      </c>
      <c r="E4269">
        <v>30018270</v>
      </c>
      <c r="F4269">
        <f>_xll.BDP("FNFM9467 Mtge","CPN")</f>
        <v>3</v>
      </c>
      <c r="G4269">
        <f>_xll.BDP("FNFM9467 Mtge","MTG_FACTOR")</f>
        <v>0.74453860999999999</v>
      </c>
      <c r="H4269">
        <f>_xll.BDP("FNFM9467 Mtge","MTG_WAL")</f>
        <v>8.3253000000000004</v>
      </c>
      <c r="I4269" t="str">
        <f>_xll.BDP("FNFM9467 Mtge","MTG_ORIG_WAL")</f>
        <v>#N/A N/A</v>
      </c>
    </row>
    <row r="4270" spans="1:9" x14ac:dyDescent="0.25">
      <c r="A4270" t="str">
        <f>_xll.BDP("FNFM9474 Mtge","ID_CUSIP")</f>
        <v>3140XDQ41</v>
      </c>
      <c r="B4270" t="str">
        <f>_xll.BDP("FNFM9474 Mtge","SECURITY_NAME")</f>
        <v>FN FM9474</v>
      </c>
      <c r="C4270" t="str">
        <f>_xll.BDP("FNFM9474 Mtge","GENERIC_TICKER_VINTAGE")</f>
        <v>FNCL 3 2021</v>
      </c>
      <c r="D4270" t="str">
        <f>_xll.BDP("FNFM9474 Mtge","CRNCY")</f>
        <v>USD</v>
      </c>
      <c r="E4270">
        <v>27158554</v>
      </c>
      <c r="F4270">
        <f>_xll.BDP("FNFM9474 Mtge","CPN")</f>
        <v>3</v>
      </c>
      <c r="G4270">
        <f>_xll.BDP("FNFM9474 Mtge","MTG_FACTOR")</f>
        <v>0.76901580000000003</v>
      </c>
      <c r="H4270">
        <f>_xll.BDP("FNFM9474 Mtge","MTG_WAL")</f>
        <v>8.3946000000000005</v>
      </c>
      <c r="I4270" t="str">
        <f>_xll.BDP("FNFM9474 Mtge","MTG_ORIG_WAL")</f>
        <v>#N/A N/A</v>
      </c>
    </row>
    <row r="4271" spans="1:9" x14ac:dyDescent="0.25">
      <c r="A4271" t="str">
        <f>_xll.BDP("FNFM9482 Mtge","ID_CUSIP")</f>
        <v>3140XDRC2</v>
      </c>
      <c r="B4271" t="str">
        <f>_xll.BDP("FNFM9482 Mtge","SECURITY_NAME")</f>
        <v>FN FM9482</v>
      </c>
      <c r="C4271" t="str">
        <f>_xll.BDP("FNFM9482 Mtge","GENERIC_TICKER_VINTAGE")</f>
        <v>FNCL 3 2021</v>
      </c>
      <c r="D4271" t="str">
        <f>_xll.BDP("FNFM9482 Mtge","CRNCY")</f>
        <v>USD</v>
      </c>
      <c r="E4271">
        <v>456540829</v>
      </c>
      <c r="F4271">
        <f>_xll.BDP("FNFM9482 Mtge","CPN")</f>
        <v>3</v>
      </c>
      <c r="G4271">
        <f>_xll.BDP("FNFM9482 Mtge","MTG_FACTOR")</f>
        <v>0.71775814999999998</v>
      </c>
      <c r="H4271">
        <f>_xll.BDP("FNFM9482 Mtge","MTG_WAL")</f>
        <v>8.2685999999999993</v>
      </c>
      <c r="I4271" t="str">
        <f>_xll.BDP("FNFM9482 Mtge","MTG_ORIG_WAL")</f>
        <v>#N/A N/A</v>
      </c>
    </row>
    <row r="4272" spans="1:9" x14ac:dyDescent="0.25">
      <c r="A4272" t="str">
        <f>_xll.BDP("FNFM9573 Mtge","ID_CUSIP")</f>
        <v>3140XDT71</v>
      </c>
      <c r="B4272" t="str">
        <f>_xll.BDP("FNFM9573 Mtge","SECURITY_NAME")</f>
        <v>FN FM9573</v>
      </c>
      <c r="C4272" t="str">
        <f>_xll.BDP("FNFM9573 Mtge","GENERIC_TICKER_VINTAGE")</f>
        <v>FNCL 3 2021</v>
      </c>
      <c r="D4272" t="str">
        <f>_xll.BDP("FNFM9573 Mtge","CRNCY")</f>
        <v>USD</v>
      </c>
      <c r="E4272">
        <v>53492656</v>
      </c>
      <c r="F4272">
        <f>_xll.BDP("FNFM9573 Mtge","CPN")</f>
        <v>3</v>
      </c>
      <c r="G4272">
        <f>_xll.BDP("FNFM9573 Mtge","MTG_FACTOR")</f>
        <v>0.6967622</v>
      </c>
      <c r="H4272">
        <f>_xll.BDP("FNFM9573 Mtge","MTG_WAL")</f>
        <v>8.3210999999999995</v>
      </c>
      <c r="I4272" t="str">
        <f>_xll.BDP("FNFM9573 Mtge","MTG_ORIG_WAL")</f>
        <v>#N/A N/A</v>
      </c>
    </row>
    <row r="4273" spans="1:9" x14ac:dyDescent="0.25">
      <c r="A4273" t="str">
        <f>_xll.BDP("FNFM9581 Mtge","ID_CUSIP")</f>
        <v>3140XDUF1</v>
      </c>
      <c r="B4273" t="str">
        <f>_xll.BDP("FNFM9581 Mtge","SECURITY_NAME")</f>
        <v>FN FM9581</v>
      </c>
      <c r="C4273" t="str">
        <f>_xll.BDP("FNFM9581 Mtge","GENERIC_TICKER_VINTAGE")</f>
        <v>FNCL 3 2021</v>
      </c>
      <c r="D4273" t="str">
        <f>_xll.BDP("FNFM9581 Mtge","CRNCY")</f>
        <v>USD</v>
      </c>
      <c r="E4273">
        <v>148693032</v>
      </c>
      <c r="F4273">
        <f>_xll.BDP("FNFM9581 Mtge","CPN")</f>
        <v>3</v>
      </c>
      <c r="G4273">
        <f>_xll.BDP("FNFM9581 Mtge","MTG_FACTOR")</f>
        <v>0.69057257999999999</v>
      </c>
      <c r="H4273">
        <f>_xll.BDP("FNFM9581 Mtge","MTG_WAL")</f>
        <v>8.2811000000000003</v>
      </c>
      <c r="I4273" t="str">
        <f>_xll.BDP("FNFM9581 Mtge","MTG_ORIG_WAL")</f>
        <v>#N/A N/A</v>
      </c>
    </row>
    <row r="4274" spans="1:9" x14ac:dyDescent="0.25">
      <c r="A4274" t="str">
        <f>_xll.BDP("FNFM9598 Mtge","ID_CUSIP")</f>
        <v>3140XDUY0</v>
      </c>
      <c r="B4274" t="str">
        <f>_xll.BDP("FNFM9598 Mtge","SECURITY_NAME")</f>
        <v>FN FM9598</v>
      </c>
      <c r="C4274" t="str">
        <f>_xll.BDP("FNFM9598 Mtge","GENERIC_TICKER_VINTAGE")</f>
        <v>FNCL 3 2021</v>
      </c>
      <c r="D4274" t="str">
        <f>_xll.BDP("FNFM9598 Mtge","CRNCY")</f>
        <v>USD</v>
      </c>
      <c r="E4274">
        <v>15461504</v>
      </c>
      <c r="F4274">
        <f>_xll.BDP("FNFM9598 Mtge","CPN")</f>
        <v>3</v>
      </c>
      <c r="G4274">
        <f>_xll.BDP("FNFM9598 Mtge","MTG_FACTOR")</f>
        <v>0.66585563999999997</v>
      </c>
      <c r="H4274">
        <f>_xll.BDP("FNFM9598 Mtge","MTG_WAL")</f>
        <v>8.2141000000000002</v>
      </c>
      <c r="I4274" t="str">
        <f>_xll.BDP("FNFM9598 Mtge","MTG_ORIG_WAL")</f>
        <v>#N/A N/A</v>
      </c>
    </row>
    <row r="4275" spans="1:9" x14ac:dyDescent="0.25">
      <c r="A4275" t="str">
        <f>_xll.BDP("FNFM9631 Mtge","ID_CUSIP")</f>
        <v>3140XDVZ6</v>
      </c>
      <c r="B4275" t="str">
        <f>_xll.BDP("FNFM9631 Mtge","SECURITY_NAME")</f>
        <v>FN FM9631</v>
      </c>
      <c r="C4275" t="str">
        <f>_xll.BDP("FNFM9631 Mtge","GENERIC_TICKER_VINTAGE")</f>
        <v>FNCL 3 2021</v>
      </c>
      <c r="D4275" t="str">
        <f>_xll.BDP("FNFM9631 Mtge","CRNCY")</f>
        <v>USD</v>
      </c>
      <c r="E4275">
        <v>96942633</v>
      </c>
      <c r="F4275">
        <f>_xll.BDP("FNFM9631 Mtge","CPN")</f>
        <v>3</v>
      </c>
      <c r="G4275">
        <f>_xll.BDP("FNFM9631 Mtge","MTG_FACTOR")</f>
        <v>0.71318079000000001</v>
      </c>
      <c r="H4275">
        <f>_xll.BDP("FNFM9631 Mtge","MTG_WAL")</f>
        <v>8.2318999999999996</v>
      </c>
      <c r="I4275" t="str">
        <f>_xll.BDP("FNFM9631 Mtge","MTG_ORIG_WAL")</f>
        <v>#N/A N/A</v>
      </c>
    </row>
    <row r="4276" spans="1:9" x14ac:dyDescent="0.25">
      <c r="A4276" t="str">
        <f>_xll.BDP("FNFM9642 Mtge","ID_CUSIP")</f>
        <v>3140XDWC6</v>
      </c>
      <c r="B4276" t="str">
        <f>_xll.BDP("FNFM9642 Mtge","SECURITY_NAME")</f>
        <v>FN FM9642</v>
      </c>
      <c r="C4276" t="str">
        <f>_xll.BDP("FNFM9642 Mtge","GENERIC_TICKER_VINTAGE")</f>
        <v>FNCL 3 2021</v>
      </c>
      <c r="D4276" t="str">
        <f>_xll.BDP("FNFM9642 Mtge","CRNCY")</f>
        <v>USD</v>
      </c>
      <c r="E4276">
        <v>43661358</v>
      </c>
      <c r="F4276">
        <f>_xll.BDP("FNFM9642 Mtge","CPN")</f>
        <v>3</v>
      </c>
      <c r="G4276">
        <f>_xll.BDP("FNFM9642 Mtge","MTG_FACTOR")</f>
        <v>0.69300890999999998</v>
      </c>
      <c r="H4276">
        <f>_xll.BDP("FNFM9642 Mtge","MTG_WAL")</f>
        <v>8.3337000000000003</v>
      </c>
      <c r="I4276" t="str">
        <f>_xll.BDP("FNFM9642 Mtge","MTG_ORIG_WAL")</f>
        <v>#N/A N/A</v>
      </c>
    </row>
    <row r="4277" spans="1:9" x14ac:dyDescent="0.25">
      <c r="A4277" t="str">
        <f>_xll.BDP("FNFM9703 Mtge","ID_CUSIP")</f>
        <v>3140XDX92</v>
      </c>
      <c r="B4277" t="str">
        <f>_xll.BDP("FNFM9703 Mtge","SECURITY_NAME")</f>
        <v>FN FM9703</v>
      </c>
      <c r="C4277" t="str">
        <f>_xll.BDP("FNFM9703 Mtge","GENERIC_TICKER_VINTAGE")</f>
        <v>FNCL 3 2021</v>
      </c>
      <c r="D4277" t="str">
        <f>_xll.BDP("FNFM9703 Mtge","CRNCY")</f>
        <v>USD</v>
      </c>
      <c r="E4277">
        <v>50418635</v>
      </c>
      <c r="F4277">
        <f>_xll.BDP("FNFM9703 Mtge","CPN")</f>
        <v>3</v>
      </c>
      <c r="G4277">
        <f>_xll.BDP("FNFM9703 Mtge","MTG_FACTOR")</f>
        <v>0.63604764000000003</v>
      </c>
      <c r="H4277">
        <f>_xll.BDP("FNFM9703 Mtge","MTG_WAL")</f>
        <v>8.4182000000000006</v>
      </c>
      <c r="I4277" t="str">
        <f>_xll.BDP("FNFM9703 Mtge","MTG_ORIG_WAL")</f>
        <v>#N/A N/A</v>
      </c>
    </row>
    <row r="4278" spans="1:9" x14ac:dyDescent="0.25">
      <c r="A4278" t="str">
        <f>_xll.BDP("FNFM9706 Mtge","ID_CUSIP")</f>
        <v>3140XDYC4</v>
      </c>
      <c r="B4278" t="str">
        <f>_xll.BDP("FNFM9706 Mtge","SECURITY_NAME")</f>
        <v>FN FM9706</v>
      </c>
      <c r="C4278" t="str">
        <f>_xll.BDP("FNFM9706 Mtge","GENERIC_TICKER_VINTAGE")</f>
        <v>FNCL 3 2021</v>
      </c>
      <c r="D4278" t="str">
        <f>_xll.BDP("FNFM9706 Mtge","CRNCY")</f>
        <v>USD</v>
      </c>
      <c r="E4278">
        <v>27938846</v>
      </c>
      <c r="F4278">
        <f>_xll.BDP("FNFM9706 Mtge","CPN")</f>
        <v>3</v>
      </c>
      <c r="G4278">
        <f>_xll.BDP("FNFM9706 Mtge","MTG_FACTOR")</f>
        <v>0.72561149999999996</v>
      </c>
      <c r="H4278">
        <f>_xll.BDP("FNFM9706 Mtge","MTG_WAL")</f>
        <v>8.3308999999999997</v>
      </c>
      <c r="I4278" t="str">
        <f>_xll.BDP("FNFM9706 Mtge","MTG_ORIG_WAL")</f>
        <v>#N/A N/A</v>
      </c>
    </row>
    <row r="4279" spans="1:9" x14ac:dyDescent="0.25">
      <c r="A4279" t="str">
        <f>_xll.BDP("FNFM9759 Mtge","ID_CUSIP")</f>
        <v>3140XDZZ2</v>
      </c>
      <c r="B4279" t="str">
        <f>_xll.BDP("FNFM9759 Mtge","SECURITY_NAME")</f>
        <v>FN FM9759</v>
      </c>
      <c r="C4279" t="str">
        <f>_xll.BDP("FNFM9759 Mtge","GENERIC_TICKER_VINTAGE")</f>
        <v>FNCL 3 2021</v>
      </c>
      <c r="D4279" t="str">
        <f>_xll.BDP("FNFM9759 Mtge","CRNCY")</f>
        <v>USD</v>
      </c>
      <c r="E4279">
        <v>15613313</v>
      </c>
      <c r="F4279">
        <f>_xll.BDP("FNFM9759 Mtge","CPN")</f>
        <v>3</v>
      </c>
      <c r="G4279">
        <f>_xll.BDP("FNFM9759 Mtge","MTG_FACTOR")</f>
        <v>0.68317839999999996</v>
      </c>
      <c r="H4279">
        <f>_xll.BDP("FNFM9759 Mtge","MTG_WAL")</f>
        <v>8.2545000000000002</v>
      </c>
      <c r="I4279" t="str">
        <f>_xll.BDP("FNFM9759 Mtge","MTG_ORIG_WAL")</f>
        <v>#N/A N/A</v>
      </c>
    </row>
    <row r="4280" spans="1:9" x14ac:dyDescent="0.25">
      <c r="A4280" t="str">
        <f>_xll.BDP("FNFM9776 Mtge","ID_CUSIP")</f>
        <v>3140XD2J4</v>
      </c>
      <c r="B4280" t="str">
        <f>_xll.BDP("FNFM9776 Mtge","SECURITY_NAME")</f>
        <v>FN FM9776</v>
      </c>
      <c r="C4280" t="str">
        <f>_xll.BDP("FNFM9776 Mtge","GENERIC_TICKER_VINTAGE")</f>
        <v>FNCL 3 2021</v>
      </c>
      <c r="D4280" t="str">
        <f>_xll.BDP("FNFM9776 Mtge","CRNCY")</f>
        <v>USD</v>
      </c>
      <c r="E4280">
        <v>144218008</v>
      </c>
      <c r="F4280">
        <f>_xll.BDP("FNFM9776 Mtge","CPN")</f>
        <v>3</v>
      </c>
      <c r="G4280">
        <f>_xll.BDP("FNFM9776 Mtge","MTG_FACTOR")</f>
        <v>0.65666902999999999</v>
      </c>
      <c r="H4280">
        <f>_xll.BDP("FNFM9776 Mtge","MTG_WAL")</f>
        <v>8.3346</v>
      </c>
      <c r="I4280" t="str">
        <f>_xll.BDP("FNFM9776 Mtge","MTG_ORIG_WAL")</f>
        <v>#N/A N/A</v>
      </c>
    </row>
    <row r="4281" spans="1:9" x14ac:dyDescent="0.25">
      <c r="A4281" t="str">
        <f>_xll.BDP("FNFM9777 Mtge","ID_CUSIP")</f>
        <v>3140XD2K1</v>
      </c>
      <c r="B4281" t="str">
        <f>_xll.BDP("FNFM9777 Mtge","SECURITY_NAME")</f>
        <v>FN FM9777</v>
      </c>
      <c r="C4281" t="str">
        <f>_xll.BDP("FNFM9777 Mtge","GENERIC_TICKER_VINTAGE")</f>
        <v>FNCL 3 2021</v>
      </c>
      <c r="D4281" t="str">
        <f>_xll.BDP("FNFM9777 Mtge","CRNCY")</f>
        <v>USD</v>
      </c>
      <c r="E4281">
        <v>40480082</v>
      </c>
      <c r="F4281">
        <f>_xll.BDP("FNFM9777 Mtge","CPN")</f>
        <v>3</v>
      </c>
      <c r="G4281">
        <f>_xll.BDP("FNFM9777 Mtge","MTG_FACTOR")</f>
        <v>0.71648087999999999</v>
      </c>
      <c r="H4281">
        <f>_xll.BDP("FNFM9777 Mtge","MTG_WAL")</f>
        <v>8.3537999999999997</v>
      </c>
      <c r="I4281" t="str">
        <f>_xll.BDP("FNFM9777 Mtge","MTG_ORIG_WAL")</f>
        <v>#N/A N/A</v>
      </c>
    </row>
    <row r="4282" spans="1:9" x14ac:dyDescent="0.25">
      <c r="A4282" t="str">
        <f>_xll.BDP("FNFM9788 Mtge","ID_CUSIP")</f>
        <v>3140XD2W5</v>
      </c>
      <c r="B4282" t="str">
        <f>_xll.BDP("FNFM9788 Mtge","SECURITY_NAME")</f>
        <v>FN FM9788</v>
      </c>
      <c r="C4282" t="str">
        <f>_xll.BDP("FNFM9788 Mtge","GENERIC_TICKER_VINTAGE")</f>
        <v>FNCL 3 2021</v>
      </c>
      <c r="D4282" t="str">
        <f>_xll.BDP("FNFM9788 Mtge","CRNCY")</f>
        <v>USD</v>
      </c>
      <c r="E4282">
        <v>100322079</v>
      </c>
      <c r="F4282">
        <f>_xll.BDP("FNFM9788 Mtge","CPN")</f>
        <v>3</v>
      </c>
      <c r="G4282">
        <f>_xll.BDP("FNFM9788 Mtge","MTG_FACTOR")</f>
        <v>0.72444518999999996</v>
      </c>
      <c r="H4282">
        <f>_xll.BDP("FNFM9788 Mtge","MTG_WAL")</f>
        <v>8.3215000000000003</v>
      </c>
      <c r="I4282" t="str">
        <f>_xll.BDP("FNFM9788 Mtge","MTG_ORIG_WAL")</f>
        <v>#N/A N/A</v>
      </c>
    </row>
    <row r="4283" spans="1:9" x14ac:dyDescent="0.25">
      <c r="A4283" t="str">
        <f>_xll.BDP("FNFM9810 Mtge","ID_CUSIP")</f>
        <v>3140XD3U8</v>
      </c>
      <c r="B4283" t="str">
        <f>_xll.BDP("FNFM9810 Mtge","SECURITY_NAME")</f>
        <v>FN FM9810</v>
      </c>
      <c r="C4283" t="str">
        <f>_xll.BDP("FNFM9810 Mtge","GENERIC_TICKER_VINTAGE")</f>
        <v>FNCL 3 2021</v>
      </c>
      <c r="D4283" t="str">
        <f>_xll.BDP("FNFM9810 Mtge","CRNCY")</f>
        <v>USD</v>
      </c>
      <c r="E4283">
        <v>68288325</v>
      </c>
      <c r="F4283">
        <f>_xll.BDP("FNFM9810 Mtge","CPN")</f>
        <v>3</v>
      </c>
      <c r="G4283">
        <f>_xll.BDP("FNFM9810 Mtge","MTG_FACTOR")</f>
        <v>0.62767229999999996</v>
      </c>
      <c r="H4283">
        <f>_xll.BDP("FNFM9810 Mtge","MTG_WAL")</f>
        <v>8.3894000000000002</v>
      </c>
      <c r="I4283" t="str">
        <f>_xll.BDP("FNFM9810 Mtge","MTG_ORIG_WAL")</f>
        <v>#N/A N/A</v>
      </c>
    </row>
    <row r="4284" spans="1:9" x14ac:dyDescent="0.25">
      <c r="A4284" t="str">
        <f>_xll.BDP("FNFM9850 Mtge","ID_CUSIP")</f>
        <v>3140XD5L6</v>
      </c>
      <c r="B4284" t="str">
        <f>_xll.BDP("FNFM9850 Mtge","SECURITY_NAME")</f>
        <v>FN FM9850</v>
      </c>
      <c r="C4284" t="str">
        <f>_xll.BDP("FNFM9850 Mtge","GENERIC_TICKER_VINTAGE")</f>
        <v>FNCL 3 2021</v>
      </c>
      <c r="D4284" t="str">
        <f>_xll.BDP("FNFM9850 Mtge","CRNCY")</f>
        <v>USD</v>
      </c>
      <c r="E4284">
        <v>30693284</v>
      </c>
      <c r="F4284">
        <f>_xll.BDP("FNFM9850 Mtge","CPN")</f>
        <v>3</v>
      </c>
      <c r="G4284">
        <f>_xll.BDP("FNFM9850 Mtge","MTG_FACTOR")</f>
        <v>0.83160716999999995</v>
      </c>
      <c r="H4284">
        <f>_xll.BDP("FNFM9850 Mtge","MTG_WAL")</f>
        <v>8.4555000000000007</v>
      </c>
      <c r="I4284" t="str">
        <f>_xll.BDP("FNFM9850 Mtge","MTG_ORIG_WAL")</f>
        <v>#N/A N/A</v>
      </c>
    </row>
    <row r="4285" spans="1:9" x14ac:dyDescent="0.25">
      <c r="A4285" t="str">
        <f>_xll.BDP("FNFM9906 Mtge","ID_CUSIP")</f>
        <v>3140XEAG9</v>
      </c>
      <c r="B4285" t="str">
        <f>_xll.BDP("FNFM9906 Mtge","SECURITY_NAME")</f>
        <v>FN FM9906</v>
      </c>
      <c r="C4285" t="str">
        <f>_xll.BDP("FNFM9906 Mtge","GENERIC_TICKER_VINTAGE")</f>
        <v>FNCL 3 2021</v>
      </c>
      <c r="D4285" t="str">
        <f>_xll.BDP("FNFM9906 Mtge","CRNCY")</f>
        <v>USD</v>
      </c>
      <c r="E4285">
        <v>22225706</v>
      </c>
      <c r="F4285">
        <f>_xll.BDP("FNFM9906 Mtge","CPN")</f>
        <v>3</v>
      </c>
      <c r="G4285">
        <f>_xll.BDP("FNFM9906 Mtge","MTG_FACTOR")</f>
        <v>0.79244035999999995</v>
      </c>
      <c r="H4285">
        <f>_xll.BDP("FNFM9906 Mtge","MTG_WAL")</f>
        <v>8.4099000000000004</v>
      </c>
      <c r="I4285" t="str">
        <f>_xll.BDP("FNFM9906 Mtge","MTG_ORIG_WAL")</f>
        <v>#N/A N/A</v>
      </c>
    </row>
    <row r="4286" spans="1:9" x14ac:dyDescent="0.25">
      <c r="A4286" t="str">
        <f>_xll.BDP("FNFM9917 Mtge","ID_CUSIP")</f>
        <v>3140XEAT1</v>
      </c>
      <c r="B4286" t="str">
        <f>_xll.BDP("FNFM9917 Mtge","SECURITY_NAME")</f>
        <v>FN FM9917</v>
      </c>
      <c r="C4286" t="str">
        <f>_xll.BDP("FNFM9917 Mtge","GENERIC_TICKER_VINTAGE")</f>
        <v>FNCL 3 2021</v>
      </c>
      <c r="D4286" t="str">
        <f>_xll.BDP("FNFM9917 Mtge","CRNCY")</f>
        <v>USD</v>
      </c>
      <c r="E4286">
        <v>74815591</v>
      </c>
      <c r="F4286">
        <f>_xll.BDP("FNFM9917 Mtge","CPN")</f>
        <v>3</v>
      </c>
      <c r="G4286">
        <f>_xll.BDP("FNFM9917 Mtge","MTG_FACTOR")</f>
        <v>0.69736153999999995</v>
      </c>
      <c r="H4286">
        <f>_xll.BDP("FNFM9917 Mtge","MTG_WAL")</f>
        <v>8.3369</v>
      </c>
      <c r="I4286" t="str">
        <f>_xll.BDP("FNFM9917 Mtge","MTG_ORIG_WAL")</f>
        <v>#N/A N/A</v>
      </c>
    </row>
    <row r="4287" spans="1:9" x14ac:dyDescent="0.25">
      <c r="A4287" t="str">
        <f>_xll.BDP("FNFM9933 Mtge","ID_CUSIP")</f>
        <v>3140XEBB9</v>
      </c>
      <c r="B4287" t="str">
        <f>_xll.BDP("FNFM9933 Mtge","SECURITY_NAME")</f>
        <v>FN FM9933</v>
      </c>
      <c r="C4287" t="str">
        <f>_xll.BDP("FNFM9933 Mtge","GENERIC_TICKER_VINTAGE")</f>
        <v>FNCL 3 2021</v>
      </c>
      <c r="D4287" t="str">
        <f>_xll.BDP("FNFM9933 Mtge","CRNCY")</f>
        <v>USD</v>
      </c>
      <c r="E4287">
        <v>174077624</v>
      </c>
      <c r="F4287">
        <f>_xll.BDP("FNFM9933 Mtge","CPN")</f>
        <v>3</v>
      </c>
      <c r="G4287">
        <f>_xll.BDP("FNFM9933 Mtge","MTG_FACTOR")</f>
        <v>0.72883282999999999</v>
      </c>
      <c r="H4287">
        <f>_xll.BDP("FNFM9933 Mtge","MTG_WAL")</f>
        <v>8.3338999999999999</v>
      </c>
      <c r="I4287" t="str">
        <f>_xll.BDP("FNFM9933 Mtge","MTG_ORIG_WAL")</f>
        <v>#N/A N/A</v>
      </c>
    </row>
    <row r="4288" spans="1:9" x14ac:dyDescent="0.25">
      <c r="A4288" t="str">
        <f>_xll.BDP("FNFM9973 Mtge","ID_CUSIP")</f>
        <v>3140XECK8</v>
      </c>
      <c r="B4288" t="str">
        <f>_xll.BDP("FNFM9973 Mtge","SECURITY_NAME")</f>
        <v>FN FM9973</v>
      </c>
      <c r="C4288" t="str">
        <f>_xll.BDP("FNFM9973 Mtge","GENERIC_TICKER_VINTAGE")</f>
        <v>FNCL 3 2021</v>
      </c>
      <c r="D4288" t="str">
        <f>_xll.BDP("FNFM9973 Mtge","CRNCY")</f>
        <v>USD</v>
      </c>
      <c r="E4288">
        <v>256142998</v>
      </c>
      <c r="F4288">
        <f>_xll.BDP("FNFM9973 Mtge","CPN")</f>
        <v>3</v>
      </c>
      <c r="G4288">
        <f>_xll.BDP("FNFM9973 Mtge","MTG_FACTOR")</f>
        <v>0.66994693000000005</v>
      </c>
      <c r="H4288">
        <f>_xll.BDP("FNFM9973 Mtge","MTG_WAL")</f>
        <v>8.2155000000000005</v>
      </c>
      <c r="I4288" t="str">
        <f>_xll.BDP("FNFM9973 Mtge","MTG_ORIG_WAL")</f>
        <v>#N/A N/A</v>
      </c>
    </row>
    <row r="4289" spans="1:9" x14ac:dyDescent="0.25">
      <c r="A4289" t="str">
        <f>_xll.BDP("FNFP0030 Mtge","ID_CUSIP")</f>
        <v>3140XTA84</v>
      </c>
      <c r="B4289" t="str">
        <f>_xll.BDP("FNFP0030 Mtge","SECURITY_NAME")</f>
        <v>FN FP0030</v>
      </c>
      <c r="C4289" t="str">
        <f>_xll.BDP("FNFP0030 Mtge","GENERIC_TICKER_VINTAGE")</f>
        <v>FNCL 3 2021</v>
      </c>
      <c r="D4289" t="str">
        <f>_xll.BDP("FNFP0030 Mtge","CRNCY")</f>
        <v>USD</v>
      </c>
      <c r="E4289">
        <v>33598267</v>
      </c>
      <c r="F4289">
        <f>_xll.BDP("FNFP0030 Mtge","CPN")</f>
        <v>3</v>
      </c>
      <c r="G4289">
        <f>_xll.BDP("FNFP0030 Mtge","MTG_FACTOR")</f>
        <v>0.83130212999999997</v>
      </c>
      <c r="H4289">
        <f>_xll.BDP("FNFP0030 Mtge","MTG_WAL")</f>
        <v>8.2640999999999991</v>
      </c>
      <c r="I4289" t="str">
        <f>_xll.BDP("FNFP0030 Mtge","MTG_ORIG_WAL")</f>
        <v>#N/A N/A</v>
      </c>
    </row>
    <row r="4290" spans="1:9" x14ac:dyDescent="0.25">
      <c r="A4290" t="str">
        <f>_xll.BDP("FNFS0002 Mtge","ID_CUSIP")</f>
        <v>3140XFAC5</v>
      </c>
      <c r="B4290" t="str">
        <f>_xll.BDP("FNFS0002 Mtge","SECURITY_NAME")</f>
        <v>FN FS0002</v>
      </c>
      <c r="C4290" t="str">
        <f>_xll.BDP("FNFS0002 Mtge","GENERIC_TICKER_VINTAGE")</f>
        <v>FNCL 3 2021</v>
      </c>
      <c r="D4290" t="str">
        <f>_xll.BDP("FNFS0002 Mtge","CRNCY")</f>
        <v>USD</v>
      </c>
      <c r="E4290">
        <v>169787104</v>
      </c>
      <c r="F4290">
        <f>_xll.BDP("FNFS0002 Mtge","CPN")</f>
        <v>3</v>
      </c>
      <c r="G4290">
        <f>_xll.BDP("FNFS0002 Mtge","MTG_FACTOR")</f>
        <v>0.63285018000000004</v>
      </c>
      <c r="H4290">
        <f>_xll.BDP("FNFS0002 Mtge","MTG_WAL")</f>
        <v>8.3835999999999995</v>
      </c>
      <c r="I4290" t="str">
        <f>_xll.BDP("FNFS0002 Mtge","MTG_ORIG_WAL")</f>
        <v>#N/A N/A</v>
      </c>
    </row>
    <row r="4291" spans="1:9" x14ac:dyDescent="0.25">
      <c r="A4291" t="str">
        <f>_xll.BDP("FNFS0034 Mtge","ID_CUSIP")</f>
        <v>3140XFBC4</v>
      </c>
      <c r="B4291" t="str">
        <f>_xll.BDP("FNFS0034 Mtge","SECURITY_NAME")</f>
        <v>FN FS0034</v>
      </c>
      <c r="C4291" t="str">
        <f>_xll.BDP("FNFS0034 Mtge","GENERIC_TICKER_VINTAGE")</f>
        <v>FNCL 3 2021</v>
      </c>
      <c r="D4291" t="str">
        <f>_xll.BDP("FNFS0034 Mtge","CRNCY")</f>
        <v>USD</v>
      </c>
      <c r="E4291">
        <v>34908962</v>
      </c>
      <c r="F4291">
        <f>_xll.BDP("FNFS0034 Mtge","CPN")</f>
        <v>3</v>
      </c>
      <c r="G4291">
        <f>_xll.BDP("FNFS0034 Mtge","MTG_FACTOR")</f>
        <v>0.66159285999999995</v>
      </c>
      <c r="H4291">
        <f>_xll.BDP("FNFS0034 Mtge","MTG_WAL")</f>
        <v>8.2459000000000007</v>
      </c>
      <c r="I4291" t="str">
        <f>_xll.BDP("FNFS0034 Mtge","MTG_ORIG_WAL")</f>
        <v>#N/A N/A</v>
      </c>
    </row>
    <row r="4292" spans="1:9" x14ac:dyDescent="0.25">
      <c r="A4292" t="str">
        <f>_xll.BDP("FNFS0147 Mtge","ID_CUSIP")</f>
        <v>3140XFEV9</v>
      </c>
      <c r="B4292" t="str">
        <f>_xll.BDP("FNFS0147 Mtge","SECURITY_NAME")</f>
        <v>FN FS0147</v>
      </c>
      <c r="C4292" t="str">
        <f>_xll.BDP("FNFS0147 Mtge","GENERIC_TICKER_VINTAGE")</f>
        <v>FNCL 3 2021</v>
      </c>
      <c r="D4292" t="str">
        <f>_xll.BDP("FNFS0147 Mtge","CRNCY")</f>
        <v>USD</v>
      </c>
      <c r="E4292">
        <v>64101957</v>
      </c>
      <c r="F4292">
        <f>_xll.BDP("FNFS0147 Mtge","CPN")</f>
        <v>3</v>
      </c>
      <c r="G4292">
        <f>_xll.BDP("FNFS0147 Mtge","MTG_FACTOR")</f>
        <v>0.65085742000000002</v>
      </c>
      <c r="H4292">
        <f>_xll.BDP("FNFS0147 Mtge","MTG_WAL")</f>
        <v>8.3453999999999997</v>
      </c>
      <c r="I4292" t="str">
        <f>_xll.BDP("FNFS0147 Mtge","MTG_ORIG_WAL")</f>
        <v>#N/A N/A</v>
      </c>
    </row>
    <row r="4293" spans="1:9" x14ac:dyDescent="0.25">
      <c r="A4293" t="str">
        <f>_xll.BDP("FNFS0213 Mtge","ID_CUSIP")</f>
        <v>3140XFGX3</v>
      </c>
      <c r="B4293" t="str">
        <f>_xll.BDP("FNFS0213 Mtge","SECURITY_NAME")</f>
        <v>FN FS0213</v>
      </c>
      <c r="C4293" t="str">
        <f>_xll.BDP("FNFS0213 Mtge","GENERIC_TICKER_VINTAGE")</f>
        <v>FNCL 3 2021</v>
      </c>
      <c r="D4293" t="str">
        <f>_xll.BDP("FNFS0213 Mtge","CRNCY")</f>
        <v>USD</v>
      </c>
      <c r="E4293">
        <v>51156657</v>
      </c>
      <c r="F4293">
        <f>_xll.BDP("FNFS0213 Mtge","CPN")</f>
        <v>3</v>
      </c>
      <c r="G4293">
        <f>_xll.BDP("FNFS0213 Mtge","MTG_FACTOR")</f>
        <v>0.69195700000000004</v>
      </c>
      <c r="H4293">
        <f>_xll.BDP("FNFS0213 Mtge","MTG_WAL")</f>
        <v>8.3978999999999999</v>
      </c>
      <c r="I4293" t="str">
        <f>_xll.BDP("FNFS0213 Mtge","MTG_ORIG_WAL")</f>
        <v>#N/A N/A</v>
      </c>
    </row>
    <row r="4294" spans="1:9" x14ac:dyDescent="0.25">
      <c r="A4294" t="str">
        <f>_xll.BDP("FNFS0240 Mtge","ID_CUSIP")</f>
        <v>3140XFHS3</v>
      </c>
      <c r="B4294" t="str">
        <f>_xll.BDP("FNFS0240 Mtge","SECURITY_NAME")</f>
        <v>FN FS0240</v>
      </c>
      <c r="C4294" t="str">
        <f>_xll.BDP("FNFS0240 Mtge","GENERIC_TICKER_VINTAGE")</f>
        <v>FNCL 3 2021</v>
      </c>
      <c r="D4294" t="str">
        <f>_xll.BDP("FNFS0240 Mtge","CRNCY")</f>
        <v>USD</v>
      </c>
      <c r="E4294">
        <v>75234236</v>
      </c>
      <c r="F4294">
        <f>_xll.BDP("FNFS0240 Mtge","CPN")</f>
        <v>3</v>
      </c>
      <c r="G4294">
        <f>_xll.BDP("FNFS0240 Mtge","MTG_FACTOR")</f>
        <v>0.65617934</v>
      </c>
      <c r="H4294">
        <f>_xll.BDP("FNFS0240 Mtge","MTG_WAL")</f>
        <v>8.1428999999999991</v>
      </c>
      <c r="I4294" t="str">
        <f>_xll.BDP("FNFS0240 Mtge","MTG_ORIG_WAL")</f>
        <v>#N/A N/A</v>
      </c>
    </row>
    <row r="4295" spans="1:9" x14ac:dyDescent="0.25">
      <c r="A4295" t="str">
        <f>_xll.BDP("FNFS0244 Mtge","ID_CUSIP")</f>
        <v>3140XFHW4</v>
      </c>
      <c r="B4295" t="str">
        <f>_xll.BDP("FNFS0244 Mtge","SECURITY_NAME")</f>
        <v>FN FS0244</v>
      </c>
      <c r="C4295" t="str">
        <f>_xll.BDP("FNFS0244 Mtge","GENERIC_TICKER_VINTAGE")</f>
        <v>FNCL 3 2021</v>
      </c>
      <c r="D4295" t="str">
        <f>_xll.BDP("FNFS0244 Mtge","CRNCY")</f>
        <v>USD</v>
      </c>
      <c r="E4295">
        <v>53776979</v>
      </c>
      <c r="F4295">
        <f>_xll.BDP("FNFS0244 Mtge","CPN")</f>
        <v>3</v>
      </c>
      <c r="G4295">
        <f>_xll.BDP("FNFS0244 Mtge","MTG_FACTOR")</f>
        <v>0.67009357999999997</v>
      </c>
      <c r="H4295">
        <f>_xll.BDP("FNFS0244 Mtge","MTG_WAL")</f>
        <v>8.3488000000000007</v>
      </c>
      <c r="I4295" t="str">
        <f>_xll.BDP("FNFS0244 Mtge","MTG_ORIG_WAL")</f>
        <v>#N/A N/A</v>
      </c>
    </row>
    <row r="4296" spans="1:9" x14ac:dyDescent="0.25">
      <c r="A4296" t="str">
        <f>_xll.BDP("FNFS0293 Mtge","ID_CUSIP")</f>
        <v>3140XFKF7</v>
      </c>
      <c r="B4296" t="str">
        <f>_xll.BDP("FNFS0293 Mtge","SECURITY_NAME")</f>
        <v>FN FS0293</v>
      </c>
      <c r="C4296" t="str">
        <f>_xll.BDP("FNFS0293 Mtge","GENERIC_TICKER_VINTAGE")</f>
        <v>FNCL 3 2021</v>
      </c>
      <c r="D4296" t="str">
        <f>_xll.BDP("FNFS0293 Mtge","CRNCY")</f>
        <v>USD</v>
      </c>
      <c r="E4296">
        <v>54191170</v>
      </c>
      <c r="F4296">
        <f>_xll.BDP("FNFS0293 Mtge","CPN")</f>
        <v>3</v>
      </c>
      <c r="G4296">
        <f>_xll.BDP("FNFS0293 Mtge","MTG_FACTOR")</f>
        <v>0.83033416000000004</v>
      </c>
      <c r="H4296">
        <f>_xll.BDP("FNFS0293 Mtge","MTG_WAL")</f>
        <v>8.4010999999999996</v>
      </c>
      <c r="I4296" t="str">
        <f>_xll.BDP("FNFS0293 Mtge","MTG_ORIG_WAL")</f>
        <v>#N/A N/A</v>
      </c>
    </row>
    <row r="4297" spans="1:9" x14ac:dyDescent="0.25">
      <c r="A4297" t="str">
        <f>_xll.BDP("FNFS0300 Mtge","ID_CUSIP")</f>
        <v>3140XFKN0</v>
      </c>
      <c r="B4297" t="str">
        <f>_xll.BDP("FNFS0300 Mtge","SECURITY_NAME")</f>
        <v>FN FS0300</v>
      </c>
      <c r="C4297" t="str">
        <f>_xll.BDP("FNFS0300 Mtge","GENERIC_TICKER_VINTAGE")</f>
        <v>FNCL 3 2021</v>
      </c>
      <c r="D4297" t="str">
        <f>_xll.BDP("FNFS0300 Mtge","CRNCY")</f>
        <v>USD</v>
      </c>
      <c r="E4297">
        <v>15670600</v>
      </c>
      <c r="F4297">
        <f>_xll.BDP("FNFS0300 Mtge","CPN")</f>
        <v>3</v>
      </c>
      <c r="G4297">
        <f>_xll.BDP("FNFS0300 Mtge","MTG_FACTOR")</f>
        <v>0.67874977999999997</v>
      </c>
      <c r="H4297">
        <f>_xll.BDP("FNFS0300 Mtge","MTG_WAL")</f>
        <v>8.1689000000000007</v>
      </c>
      <c r="I4297" t="str">
        <f>_xll.BDP("FNFS0300 Mtge","MTG_ORIG_WAL")</f>
        <v>#N/A N/A</v>
      </c>
    </row>
    <row r="4298" spans="1:9" x14ac:dyDescent="0.25">
      <c r="A4298" t="str">
        <f>_xll.BDP("FNFS0329 Mtge","ID_CUSIP")</f>
        <v>3140XFLK5</v>
      </c>
      <c r="B4298" t="str">
        <f>_xll.BDP("FNFS0329 Mtge","SECURITY_NAME")</f>
        <v>FN FS0329</v>
      </c>
      <c r="C4298" t="str">
        <f>_xll.BDP("FNFS0329 Mtge","GENERIC_TICKER_VINTAGE")</f>
        <v>FNCL 3 2021</v>
      </c>
      <c r="D4298" t="str">
        <f>_xll.BDP("FNFS0329 Mtge","CRNCY")</f>
        <v>USD</v>
      </c>
      <c r="E4298">
        <v>138857630</v>
      </c>
      <c r="F4298">
        <f>_xll.BDP("FNFS0329 Mtge","CPN")</f>
        <v>3</v>
      </c>
      <c r="G4298">
        <f>_xll.BDP("FNFS0329 Mtge","MTG_FACTOR")</f>
        <v>0.68600397999999996</v>
      </c>
      <c r="H4298">
        <f>_xll.BDP("FNFS0329 Mtge","MTG_WAL")</f>
        <v>8.3275000000000006</v>
      </c>
      <c r="I4298" t="str">
        <f>_xll.BDP("FNFS0329 Mtge","MTG_ORIG_WAL")</f>
        <v>#N/A N/A</v>
      </c>
    </row>
    <row r="4299" spans="1:9" x14ac:dyDescent="0.25">
      <c r="A4299" t="str">
        <f>_xll.BDP("FNFS0331 Mtge","ID_CUSIP")</f>
        <v>3140XFLM1</v>
      </c>
      <c r="B4299" t="str">
        <f>_xll.BDP("FNFS0331 Mtge","SECURITY_NAME")</f>
        <v>FN FS0331</v>
      </c>
      <c r="C4299" t="str">
        <f>_xll.BDP("FNFS0331 Mtge","GENERIC_TICKER_VINTAGE")</f>
        <v>FNCL 3 2021</v>
      </c>
      <c r="D4299" t="str">
        <f>_xll.BDP("FNFS0331 Mtge","CRNCY")</f>
        <v>USD</v>
      </c>
      <c r="E4299">
        <v>228896193</v>
      </c>
      <c r="F4299">
        <f>_xll.BDP("FNFS0331 Mtge","CPN")</f>
        <v>3</v>
      </c>
      <c r="G4299">
        <f>_xll.BDP("FNFS0331 Mtge","MTG_FACTOR")</f>
        <v>0.70125941999999997</v>
      </c>
      <c r="H4299">
        <f>_xll.BDP("FNFS0331 Mtge","MTG_WAL")</f>
        <v>8.4200999999999997</v>
      </c>
      <c r="I4299" t="str">
        <f>_xll.BDP("FNFS0331 Mtge","MTG_ORIG_WAL")</f>
        <v>#N/A N/A</v>
      </c>
    </row>
    <row r="4300" spans="1:9" x14ac:dyDescent="0.25">
      <c r="A4300" t="str">
        <f>_xll.BDP("FNFS0333 Mtge","ID_CUSIP")</f>
        <v>3140XFLP4</v>
      </c>
      <c r="B4300" t="str">
        <f>_xll.BDP("FNFS0333 Mtge","SECURITY_NAME")</f>
        <v>FN FS0333</v>
      </c>
      <c r="C4300" t="str">
        <f>_xll.BDP("FNFS0333 Mtge","GENERIC_TICKER_VINTAGE")</f>
        <v>FNCL 3 2021</v>
      </c>
      <c r="D4300" t="str">
        <f>_xll.BDP("FNFS0333 Mtge","CRNCY")</f>
        <v>USD</v>
      </c>
      <c r="E4300">
        <v>64852567</v>
      </c>
      <c r="F4300">
        <f>_xll.BDP("FNFS0333 Mtge","CPN")</f>
        <v>3</v>
      </c>
      <c r="G4300">
        <f>_xll.BDP("FNFS0333 Mtge","MTG_FACTOR")</f>
        <v>0.73957373000000004</v>
      </c>
      <c r="H4300">
        <f>_xll.BDP("FNFS0333 Mtge","MTG_WAL")</f>
        <v>8.4379000000000008</v>
      </c>
      <c r="I4300" t="str">
        <f>_xll.BDP("FNFS0333 Mtge","MTG_ORIG_WAL")</f>
        <v>#N/A N/A</v>
      </c>
    </row>
    <row r="4301" spans="1:9" x14ac:dyDescent="0.25">
      <c r="A4301" t="str">
        <f>_xll.BDP("FNFS0335 Mtge","ID_CUSIP")</f>
        <v>3140XFLR0</v>
      </c>
      <c r="B4301" t="str">
        <f>_xll.BDP("FNFS0335 Mtge","SECURITY_NAME")</f>
        <v>FN FS0335</v>
      </c>
      <c r="C4301" t="str">
        <f>_xll.BDP("FNFS0335 Mtge","GENERIC_TICKER_VINTAGE")</f>
        <v>FNCL 3 2021</v>
      </c>
      <c r="D4301" t="str">
        <f>_xll.BDP("FNFS0335 Mtge","CRNCY")</f>
        <v>USD</v>
      </c>
      <c r="E4301">
        <v>56417771</v>
      </c>
      <c r="F4301">
        <f>_xll.BDP("FNFS0335 Mtge","CPN")</f>
        <v>3</v>
      </c>
      <c r="G4301">
        <f>_xll.BDP("FNFS0335 Mtge","MTG_FACTOR")</f>
        <v>0.73421069000000005</v>
      </c>
      <c r="H4301">
        <f>_xll.BDP("FNFS0335 Mtge","MTG_WAL")</f>
        <v>8.3231000000000002</v>
      </c>
      <c r="I4301" t="str">
        <f>_xll.BDP("FNFS0335 Mtge","MTG_ORIG_WAL")</f>
        <v>#N/A N/A</v>
      </c>
    </row>
    <row r="4302" spans="1:9" x14ac:dyDescent="0.25">
      <c r="A4302" t="str">
        <f>_xll.BDP("FNFS0344 Mtge","ID_CUSIP")</f>
        <v>3140XFL25</v>
      </c>
      <c r="B4302" t="str">
        <f>_xll.BDP("FNFS0344 Mtge","SECURITY_NAME")</f>
        <v>FN FS0344</v>
      </c>
      <c r="C4302" t="str">
        <f>_xll.BDP("FNFS0344 Mtge","GENERIC_TICKER_VINTAGE")</f>
        <v>FNCL 3 2021</v>
      </c>
      <c r="D4302" t="str">
        <f>_xll.BDP("FNFS0344 Mtge","CRNCY")</f>
        <v>USD</v>
      </c>
      <c r="E4302">
        <v>56531887</v>
      </c>
      <c r="F4302">
        <f>_xll.BDP("FNFS0344 Mtge","CPN")</f>
        <v>3</v>
      </c>
      <c r="G4302">
        <f>_xll.BDP("FNFS0344 Mtge","MTG_FACTOR")</f>
        <v>0.65881741999999999</v>
      </c>
      <c r="H4302">
        <f>_xll.BDP("FNFS0344 Mtge","MTG_WAL")</f>
        <v>8.4062000000000001</v>
      </c>
      <c r="I4302" t="str">
        <f>_xll.BDP("FNFS0344 Mtge","MTG_ORIG_WAL")</f>
        <v>#N/A N/A</v>
      </c>
    </row>
    <row r="4303" spans="1:9" x14ac:dyDescent="0.25">
      <c r="A4303" t="str">
        <f>_xll.BDP("FNFS0357 Mtge","ID_CUSIP")</f>
        <v>3140XFMF5</v>
      </c>
      <c r="B4303" t="str">
        <f>_xll.BDP("FNFS0357 Mtge","SECURITY_NAME")</f>
        <v>FN FS0357</v>
      </c>
      <c r="C4303" t="str">
        <f>_xll.BDP("FNFS0357 Mtge","GENERIC_TICKER_VINTAGE")</f>
        <v>FNCL 3 2021</v>
      </c>
      <c r="D4303" t="str">
        <f>_xll.BDP("FNFS0357 Mtge","CRNCY")</f>
        <v>USD</v>
      </c>
      <c r="E4303">
        <v>18813309</v>
      </c>
      <c r="F4303">
        <f>_xll.BDP("FNFS0357 Mtge","CPN")</f>
        <v>3</v>
      </c>
      <c r="G4303">
        <f>_xll.BDP("FNFS0357 Mtge","MTG_FACTOR")</f>
        <v>0.60183039999999999</v>
      </c>
      <c r="H4303">
        <f>_xll.BDP("FNFS0357 Mtge","MTG_WAL")</f>
        <v>8.1747999999999994</v>
      </c>
      <c r="I4303" t="str">
        <f>_xll.BDP("FNFS0357 Mtge","MTG_ORIG_WAL")</f>
        <v>#N/A N/A</v>
      </c>
    </row>
    <row r="4304" spans="1:9" x14ac:dyDescent="0.25">
      <c r="A4304" t="str">
        <f>_xll.BDP("FNFS0372 Mtge","ID_CUSIP")</f>
        <v>3140XFMW8</v>
      </c>
      <c r="B4304" t="str">
        <f>_xll.BDP("FNFS0372 Mtge","SECURITY_NAME")</f>
        <v>FN FS0372</v>
      </c>
      <c r="C4304" t="str">
        <f>_xll.BDP("FNFS0372 Mtge","GENERIC_TICKER_VINTAGE")</f>
        <v>FNCL 3 2021</v>
      </c>
      <c r="D4304" t="str">
        <f>_xll.BDP("FNFS0372 Mtge","CRNCY")</f>
        <v>USD</v>
      </c>
      <c r="E4304">
        <v>119109475</v>
      </c>
      <c r="F4304">
        <f>_xll.BDP("FNFS0372 Mtge","CPN")</f>
        <v>3</v>
      </c>
      <c r="G4304">
        <f>_xll.BDP("FNFS0372 Mtge","MTG_FACTOR")</f>
        <v>0.65771126000000002</v>
      </c>
      <c r="H4304">
        <f>_xll.BDP("FNFS0372 Mtge","MTG_WAL")</f>
        <v>8.3413000000000004</v>
      </c>
      <c r="I4304" t="str">
        <f>_xll.BDP("FNFS0372 Mtge","MTG_ORIG_WAL")</f>
        <v>#N/A N/A</v>
      </c>
    </row>
    <row r="4305" spans="1:9" x14ac:dyDescent="0.25">
      <c r="A4305" t="str">
        <f>_xll.BDP("FNFS0400 Mtge","ID_CUSIP")</f>
        <v>3140XFNS6</v>
      </c>
      <c r="B4305" t="str">
        <f>_xll.BDP("FNFS0400 Mtge","SECURITY_NAME")</f>
        <v>FN FS0400</v>
      </c>
      <c r="C4305" t="str">
        <f>_xll.BDP("FNFS0400 Mtge","GENERIC_TICKER_VINTAGE")</f>
        <v>FNCL 3 2021</v>
      </c>
      <c r="D4305" t="str">
        <f>_xll.BDP("FNFS0400 Mtge","CRNCY")</f>
        <v>USD</v>
      </c>
      <c r="E4305">
        <v>55950129</v>
      </c>
      <c r="F4305">
        <f>_xll.BDP("FNFS0400 Mtge","CPN")</f>
        <v>3</v>
      </c>
      <c r="G4305">
        <f>_xll.BDP("FNFS0400 Mtge","MTG_FACTOR")</f>
        <v>0.68656698000000005</v>
      </c>
      <c r="H4305">
        <f>_xll.BDP("FNFS0400 Mtge","MTG_WAL")</f>
        <v>8.3163</v>
      </c>
      <c r="I4305" t="str">
        <f>_xll.BDP("FNFS0400 Mtge","MTG_ORIG_WAL")</f>
        <v>#N/A N/A</v>
      </c>
    </row>
    <row r="4306" spans="1:9" x14ac:dyDescent="0.25">
      <c r="A4306" t="str">
        <f>_xll.BDP("FNFS0403 Mtge","ID_CUSIP")</f>
        <v>3140XFNV9</v>
      </c>
      <c r="B4306" t="str">
        <f>_xll.BDP("FNFS0403 Mtge","SECURITY_NAME")</f>
        <v>FN FS0403</v>
      </c>
      <c r="C4306" t="str">
        <f>_xll.BDP("FNFS0403 Mtge","GENERIC_TICKER_VINTAGE")</f>
        <v>FNCL 3 2021</v>
      </c>
      <c r="D4306" t="str">
        <f>_xll.BDP("FNFS0403 Mtge","CRNCY")</f>
        <v>USD</v>
      </c>
      <c r="E4306">
        <v>38110315</v>
      </c>
      <c r="F4306">
        <f>_xll.BDP("FNFS0403 Mtge","CPN")</f>
        <v>3</v>
      </c>
      <c r="G4306">
        <f>_xll.BDP("FNFS0403 Mtge","MTG_FACTOR")</f>
        <v>0.68802289000000005</v>
      </c>
      <c r="H4306">
        <f>_xll.BDP("FNFS0403 Mtge","MTG_WAL")</f>
        <v>8.3914000000000009</v>
      </c>
      <c r="I4306" t="str">
        <f>_xll.BDP("FNFS0403 Mtge","MTG_ORIG_WAL")</f>
        <v>#N/A N/A</v>
      </c>
    </row>
    <row r="4307" spans="1:9" x14ac:dyDescent="0.25">
      <c r="A4307" t="str">
        <f>_xll.BDP("FNFS0408 Mtge","ID_CUSIP")</f>
        <v>3140XFN23</v>
      </c>
      <c r="B4307" t="str">
        <f>_xll.BDP("FNFS0408 Mtge","SECURITY_NAME")</f>
        <v>FN FS0408</v>
      </c>
      <c r="C4307" t="str">
        <f>_xll.BDP("FNFS0408 Mtge","GENERIC_TICKER_VINTAGE")</f>
        <v>FNCL 3 2021</v>
      </c>
      <c r="D4307" t="str">
        <f>_xll.BDP("FNFS0408 Mtge","CRNCY")</f>
        <v>USD</v>
      </c>
      <c r="E4307">
        <v>36776570</v>
      </c>
      <c r="F4307">
        <f>_xll.BDP("FNFS0408 Mtge","CPN")</f>
        <v>3</v>
      </c>
      <c r="G4307">
        <f>_xll.BDP("FNFS0408 Mtge","MTG_FACTOR")</f>
        <v>0.66385923999999996</v>
      </c>
      <c r="H4307">
        <f>_xll.BDP("FNFS0408 Mtge","MTG_WAL")</f>
        <v>8.1265999999999998</v>
      </c>
      <c r="I4307" t="str">
        <f>_xll.BDP("FNFS0408 Mtge","MTG_ORIG_WAL")</f>
        <v>#N/A N/A</v>
      </c>
    </row>
    <row r="4308" spans="1:9" x14ac:dyDescent="0.25">
      <c r="A4308" t="str">
        <f>_xll.BDP("FNFS0416 Mtge","ID_CUSIP")</f>
        <v>3140XFPA3</v>
      </c>
      <c r="B4308" t="str">
        <f>_xll.BDP("FNFS0416 Mtge","SECURITY_NAME")</f>
        <v>FN FS0416</v>
      </c>
      <c r="C4308" t="str">
        <f>_xll.BDP("FNFS0416 Mtge","GENERIC_TICKER_VINTAGE")</f>
        <v>FNCL 3 2021</v>
      </c>
      <c r="D4308" t="str">
        <f>_xll.BDP("FNFS0416 Mtge","CRNCY")</f>
        <v>USD</v>
      </c>
      <c r="E4308">
        <v>97923804</v>
      </c>
      <c r="F4308">
        <f>_xll.BDP("FNFS0416 Mtge","CPN")</f>
        <v>3</v>
      </c>
      <c r="G4308">
        <f>_xll.BDP("FNFS0416 Mtge","MTG_FACTOR")</f>
        <v>0.70125212000000003</v>
      </c>
      <c r="H4308">
        <f>_xll.BDP("FNFS0416 Mtge","MTG_WAL")</f>
        <v>8.2583000000000002</v>
      </c>
      <c r="I4308" t="str">
        <f>_xll.BDP("FNFS0416 Mtge","MTG_ORIG_WAL")</f>
        <v>#N/A N/A</v>
      </c>
    </row>
    <row r="4309" spans="1:9" x14ac:dyDescent="0.25">
      <c r="A4309" t="str">
        <f>_xll.BDP("FNFS0417 Mtge","ID_CUSIP")</f>
        <v>3140XFPB1</v>
      </c>
      <c r="B4309" t="str">
        <f>_xll.BDP("FNFS0417 Mtge","SECURITY_NAME")</f>
        <v>FN FS0417</v>
      </c>
      <c r="C4309" t="str">
        <f>_xll.BDP("FNFS0417 Mtge","GENERIC_TICKER_VINTAGE")</f>
        <v>FNCL 3 2021</v>
      </c>
      <c r="D4309" t="str">
        <f>_xll.BDP("FNFS0417 Mtge","CRNCY")</f>
        <v>USD</v>
      </c>
      <c r="E4309">
        <v>20992631</v>
      </c>
      <c r="F4309">
        <f>_xll.BDP("FNFS0417 Mtge","CPN")</f>
        <v>3</v>
      </c>
      <c r="G4309">
        <f>_xll.BDP("FNFS0417 Mtge","MTG_FACTOR")</f>
        <v>0.65755353999999999</v>
      </c>
      <c r="H4309">
        <f>_xll.BDP("FNFS0417 Mtge","MTG_WAL")</f>
        <v>8.3756000000000004</v>
      </c>
      <c r="I4309" t="str">
        <f>_xll.BDP("FNFS0417 Mtge","MTG_ORIG_WAL")</f>
        <v>#N/A N/A</v>
      </c>
    </row>
    <row r="4310" spans="1:9" x14ac:dyDescent="0.25">
      <c r="A4310" t="str">
        <f>_xll.BDP("FNFS0425 Mtge","ID_CUSIP")</f>
        <v>3140XFPK1</v>
      </c>
      <c r="B4310" t="str">
        <f>_xll.BDP("FNFS0425 Mtge","SECURITY_NAME")</f>
        <v>FN FS0425</v>
      </c>
      <c r="C4310" t="str">
        <f>_xll.BDP("FNFS0425 Mtge","GENERIC_TICKER_VINTAGE")</f>
        <v>FNCL 3 2021</v>
      </c>
      <c r="D4310" t="str">
        <f>_xll.BDP("FNFS0425 Mtge","CRNCY")</f>
        <v>USD</v>
      </c>
      <c r="E4310">
        <v>19012523</v>
      </c>
      <c r="F4310">
        <f>_xll.BDP("FNFS0425 Mtge","CPN")</f>
        <v>3</v>
      </c>
      <c r="G4310">
        <f>_xll.BDP("FNFS0425 Mtge","MTG_FACTOR")</f>
        <v>0.71722465000000002</v>
      </c>
      <c r="H4310">
        <f>_xll.BDP("FNFS0425 Mtge","MTG_WAL")</f>
        <v>8.2750000000000004</v>
      </c>
      <c r="I4310" t="str">
        <f>_xll.BDP("FNFS0425 Mtge","MTG_ORIG_WAL")</f>
        <v>#N/A N/A</v>
      </c>
    </row>
    <row r="4311" spans="1:9" x14ac:dyDescent="0.25">
      <c r="A4311" t="str">
        <f>_xll.BDP("FNFS0450 Mtge","ID_CUSIP")</f>
        <v>3140XFQC8</v>
      </c>
      <c r="B4311" t="str">
        <f>_xll.BDP("FNFS0450 Mtge","SECURITY_NAME")</f>
        <v>FN FS0450</v>
      </c>
      <c r="C4311" t="str">
        <f>_xll.BDP("FNFS0450 Mtge","GENERIC_TICKER_VINTAGE")</f>
        <v>FNCL 3 2021</v>
      </c>
      <c r="D4311" t="str">
        <f>_xll.BDP("FNFS0450 Mtge","CRNCY")</f>
        <v>USD</v>
      </c>
      <c r="E4311">
        <v>40264541</v>
      </c>
      <c r="F4311">
        <f>_xll.BDP("FNFS0450 Mtge","CPN")</f>
        <v>3</v>
      </c>
      <c r="G4311">
        <f>_xll.BDP("FNFS0450 Mtge","MTG_FACTOR")</f>
        <v>0.66085948000000005</v>
      </c>
      <c r="H4311">
        <f>_xll.BDP("FNFS0450 Mtge","MTG_WAL")</f>
        <v>8.3292999999999999</v>
      </c>
      <c r="I4311" t="str">
        <f>_xll.BDP("FNFS0450 Mtge","MTG_ORIG_WAL")</f>
        <v>#N/A N/A</v>
      </c>
    </row>
    <row r="4312" spans="1:9" x14ac:dyDescent="0.25">
      <c r="A4312" t="str">
        <f>_xll.BDP("FNFS0479 Mtge","ID_CUSIP")</f>
        <v>3140XFQ95</v>
      </c>
      <c r="B4312" t="str">
        <f>_xll.BDP("FNFS0479 Mtge","SECURITY_NAME")</f>
        <v>FN FS0479</v>
      </c>
      <c r="C4312" t="str">
        <f>_xll.BDP("FNFS0479 Mtge","GENERIC_TICKER_VINTAGE")</f>
        <v>FNCL 3 2021</v>
      </c>
      <c r="D4312" t="str">
        <f>_xll.BDP("FNFS0479 Mtge","CRNCY")</f>
        <v>USD</v>
      </c>
      <c r="E4312">
        <v>46913828</v>
      </c>
      <c r="F4312">
        <f>_xll.BDP("FNFS0479 Mtge","CPN")</f>
        <v>3</v>
      </c>
      <c r="G4312">
        <f>_xll.BDP("FNFS0479 Mtge","MTG_FACTOR")</f>
        <v>0.74995036999999998</v>
      </c>
      <c r="H4312">
        <f>_xll.BDP("FNFS0479 Mtge","MTG_WAL")</f>
        <v>8.3603000000000005</v>
      </c>
      <c r="I4312" t="str">
        <f>_xll.BDP("FNFS0479 Mtge","MTG_ORIG_WAL")</f>
        <v>#N/A N/A</v>
      </c>
    </row>
    <row r="4313" spans="1:9" x14ac:dyDescent="0.25">
      <c r="A4313" t="str">
        <f>_xll.BDP("FNFS0493 Mtge","ID_CUSIP")</f>
        <v>3140XFRP8</v>
      </c>
      <c r="B4313" t="str">
        <f>_xll.BDP("FNFS0493 Mtge","SECURITY_NAME")</f>
        <v>FN FS0493</v>
      </c>
      <c r="C4313" t="str">
        <f>_xll.BDP("FNFS0493 Mtge","GENERIC_TICKER_VINTAGE")</f>
        <v>FNCL 3 2021</v>
      </c>
      <c r="D4313" t="str">
        <f>_xll.BDP("FNFS0493 Mtge","CRNCY")</f>
        <v>USD</v>
      </c>
      <c r="E4313">
        <v>43363201</v>
      </c>
      <c r="F4313">
        <f>_xll.BDP("FNFS0493 Mtge","CPN")</f>
        <v>3</v>
      </c>
      <c r="G4313">
        <f>_xll.BDP("FNFS0493 Mtge","MTG_FACTOR")</f>
        <v>0.72910808999999999</v>
      </c>
      <c r="H4313">
        <f>_xll.BDP("FNFS0493 Mtge","MTG_WAL")</f>
        <v>8.3618000000000006</v>
      </c>
      <c r="I4313" t="str">
        <f>_xll.BDP("FNFS0493 Mtge","MTG_ORIG_WAL")</f>
        <v>#N/A N/A</v>
      </c>
    </row>
    <row r="4314" spans="1:9" x14ac:dyDescent="0.25">
      <c r="A4314" t="str">
        <f>_xll.BDP("FNFS0508 Mtge","ID_CUSIP")</f>
        <v>3140XFR60</v>
      </c>
      <c r="B4314" t="str">
        <f>_xll.BDP("FNFS0508 Mtge","SECURITY_NAME")</f>
        <v>FN FS0508</v>
      </c>
      <c r="C4314" t="str">
        <f>_xll.BDP("FNFS0508 Mtge","GENERIC_TICKER_VINTAGE")</f>
        <v>FNCL 3 2021</v>
      </c>
      <c r="D4314" t="str">
        <f>_xll.BDP("FNFS0508 Mtge","CRNCY")</f>
        <v>USD</v>
      </c>
      <c r="E4314">
        <v>22167971</v>
      </c>
      <c r="F4314">
        <f>_xll.BDP("FNFS0508 Mtge","CPN")</f>
        <v>3</v>
      </c>
      <c r="G4314">
        <f>_xll.BDP("FNFS0508 Mtge","MTG_FACTOR")</f>
        <v>0.74829327000000001</v>
      </c>
      <c r="H4314">
        <f>_xll.BDP("FNFS0508 Mtge","MTG_WAL")</f>
        <v>8.4405000000000001</v>
      </c>
      <c r="I4314" t="str">
        <f>_xll.BDP("FNFS0508 Mtge","MTG_ORIG_WAL")</f>
        <v>#N/A N/A</v>
      </c>
    </row>
    <row r="4315" spans="1:9" x14ac:dyDescent="0.25">
      <c r="A4315" t="str">
        <f>_xll.BDP("FNFS0520 Mtge","ID_CUSIP")</f>
        <v>3140XFSJ1</v>
      </c>
      <c r="B4315" t="str">
        <f>_xll.BDP("FNFS0520 Mtge","SECURITY_NAME")</f>
        <v>FN FS0520</v>
      </c>
      <c r="C4315" t="str">
        <f>_xll.BDP("FNFS0520 Mtge","GENERIC_TICKER_VINTAGE")</f>
        <v>FNCL 3 2021</v>
      </c>
      <c r="D4315" t="str">
        <f>_xll.BDP("FNFS0520 Mtge","CRNCY")</f>
        <v>USD</v>
      </c>
      <c r="E4315">
        <v>48471691</v>
      </c>
      <c r="F4315">
        <f>_xll.BDP("FNFS0520 Mtge","CPN")</f>
        <v>3</v>
      </c>
      <c r="G4315">
        <f>_xll.BDP("FNFS0520 Mtge","MTG_FACTOR")</f>
        <v>0.69432156</v>
      </c>
      <c r="H4315">
        <f>_xll.BDP("FNFS0520 Mtge","MTG_WAL")</f>
        <v>8.3162000000000003</v>
      </c>
      <c r="I4315" t="str">
        <f>_xll.BDP("FNFS0520 Mtge","MTG_ORIG_WAL")</f>
        <v>#N/A N/A</v>
      </c>
    </row>
    <row r="4316" spans="1:9" x14ac:dyDescent="0.25">
      <c r="A4316" t="str">
        <f>_xll.BDP("FNFS0542 Mtge","ID_CUSIP")</f>
        <v>3140XFS85</v>
      </c>
      <c r="B4316" t="str">
        <f>_xll.BDP("FNFS0542 Mtge","SECURITY_NAME")</f>
        <v>FN FS0542</v>
      </c>
      <c r="C4316" t="str">
        <f>_xll.BDP("FNFS0542 Mtge","GENERIC_TICKER_VINTAGE")</f>
        <v>FNCL 3 2021</v>
      </c>
      <c r="D4316" t="str">
        <f>_xll.BDP("FNFS0542 Mtge","CRNCY")</f>
        <v>USD</v>
      </c>
      <c r="E4316">
        <v>39592713</v>
      </c>
      <c r="F4316">
        <f>_xll.BDP("FNFS0542 Mtge","CPN")</f>
        <v>3</v>
      </c>
      <c r="G4316">
        <f>_xll.BDP("FNFS0542 Mtge","MTG_FACTOR")</f>
        <v>0.74436703999999998</v>
      </c>
      <c r="H4316">
        <f>_xll.BDP("FNFS0542 Mtge","MTG_WAL")</f>
        <v>8.3306000000000004</v>
      </c>
      <c r="I4316" t="str">
        <f>_xll.BDP("FNFS0542 Mtge","MTG_ORIG_WAL")</f>
        <v>#N/A N/A</v>
      </c>
    </row>
    <row r="4317" spans="1:9" x14ac:dyDescent="0.25">
      <c r="A4317" t="str">
        <f>_xll.BDP("FNFS0544 Mtge","ID_CUSIP")</f>
        <v>3140XFTA9</v>
      </c>
      <c r="B4317" t="str">
        <f>_xll.BDP("FNFS0544 Mtge","SECURITY_NAME")</f>
        <v>FN FS0544</v>
      </c>
      <c r="C4317" t="str">
        <f>_xll.BDP("FNFS0544 Mtge","GENERIC_TICKER_VINTAGE")</f>
        <v>FNCL 3 2021</v>
      </c>
      <c r="D4317" t="str">
        <f>_xll.BDP("FNFS0544 Mtge","CRNCY")</f>
        <v>USD</v>
      </c>
      <c r="E4317">
        <v>37191723</v>
      </c>
      <c r="F4317">
        <f>_xll.BDP("FNFS0544 Mtge","CPN")</f>
        <v>3</v>
      </c>
      <c r="G4317">
        <f>_xll.BDP("FNFS0544 Mtge","MTG_FACTOR")</f>
        <v>0.64410772000000005</v>
      </c>
      <c r="H4317">
        <f>_xll.BDP("FNFS0544 Mtge","MTG_WAL")</f>
        <v>8.3600999999999992</v>
      </c>
      <c r="I4317" t="str">
        <f>_xll.BDP("FNFS0544 Mtge","MTG_ORIG_WAL")</f>
        <v>#N/A N/A</v>
      </c>
    </row>
    <row r="4318" spans="1:9" x14ac:dyDescent="0.25">
      <c r="A4318" t="str">
        <f>_xll.BDP("FNFS0631 Mtge","ID_CUSIP")</f>
        <v>3140XFVZ1</v>
      </c>
      <c r="B4318" t="str">
        <f>_xll.BDP("FNFS0631 Mtge","SECURITY_NAME")</f>
        <v>FN FS0631</v>
      </c>
      <c r="C4318" t="str">
        <f>_xll.BDP("FNFS0631 Mtge","GENERIC_TICKER_VINTAGE")</f>
        <v>FNCL 3 2021</v>
      </c>
      <c r="D4318" t="str">
        <f>_xll.BDP("FNFS0631 Mtge","CRNCY")</f>
        <v>USD</v>
      </c>
      <c r="E4318">
        <v>210274037</v>
      </c>
      <c r="F4318">
        <f>_xll.BDP("FNFS0631 Mtge","CPN")</f>
        <v>3</v>
      </c>
      <c r="G4318">
        <f>_xll.BDP("FNFS0631 Mtge","MTG_FACTOR")</f>
        <v>0.71679780999999998</v>
      </c>
      <c r="H4318">
        <f>_xll.BDP("FNFS0631 Mtge","MTG_WAL")</f>
        <v>8.4099000000000004</v>
      </c>
      <c r="I4318" t="str">
        <f>_xll.BDP("FNFS0631 Mtge","MTG_ORIG_WAL")</f>
        <v>#N/A N/A</v>
      </c>
    </row>
    <row r="4319" spans="1:9" x14ac:dyDescent="0.25">
      <c r="A4319" t="str">
        <f>_xll.BDP("FNFS0641 Mtge","ID_CUSIP")</f>
        <v>3140XFWB3</v>
      </c>
      <c r="B4319" t="str">
        <f>_xll.BDP("FNFS0641 Mtge","SECURITY_NAME")</f>
        <v>FN FS0641</v>
      </c>
      <c r="C4319" t="str">
        <f>_xll.BDP("FNFS0641 Mtge","GENERIC_TICKER_VINTAGE")</f>
        <v>FNCL 3 2021</v>
      </c>
      <c r="D4319" t="str">
        <f>_xll.BDP("FNFS0641 Mtge","CRNCY")</f>
        <v>USD</v>
      </c>
      <c r="E4319">
        <v>73630243</v>
      </c>
      <c r="F4319">
        <f>_xll.BDP("FNFS0641 Mtge","CPN")</f>
        <v>3</v>
      </c>
      <c r="G4319">
        <f>_xll.BDP("FNFS0641 Mtge","MTG_FACTOR")</f>
        <v>0.70595061999999997</v>
      </c>
      <c r="H4319">
        <f>_xll.BDP("FNFS0641 Mtge","MTG_WAL")</f>
        <v>8.2796000000000003</v>
      </c>
      <c r="I4319" t="str">
        <f>_xll.BDP("FNFS0641 Mtge","MTG_ORIG_WAL")</f>
        <v>#N/A N/A</v>
      </c>
    </row>
    <row r="4320" spans="1:9" x14ac:dyDescent="0.25">
      <c r="A4320" t="str">
        <f>_xll.BDP("FNFS0644 Mtge","ID_CUSIP")</f>
        <v>3140XFWE7</v>
      </c>
      <c r="B4320" t="str">
        <f>_xll.BDP("FNFS0644 Mtge","SECURITY_NAME")</f>
        <v>FN FS0644</v>
      </c>
      <c r="C4320" t="str">
        <f>_xll.BDP("FNFS0644 Mtge","GENERIC_TICKER_VINTAGE")</f>
        <v>FNCL 3 2021</v>
      </c>
      <c r="D4320" t="str">
        <f>_xll.BDP("FNFS0644 Mtge","CRNCY")</f>
        <v>USD</v>
      </c>
      <c r="E4320">
        <v>145655496</v>
      </c>
      <c r="F4320">
        <f>_xll.BDP("FNFS0644 Mtge","CPN")</f>
        <v>3</v>
      </c>
      <c r="G4320">
        <f>_xll.BDP("FNFS0644 Mtge","MTG_FACTOR")</f>
        <v>0.74171414000000002</v>
      </c>
      <c r="H4320">
        <f>_xll.BDP("FNFS0644 Mtge","MTG_WAL")</f>
        <v>8.3665000000000003</v>
      </c>
      <c r="I4320" t="str">
        <f>_xll.BDP("FNFS0644 Mtge","MTG_ORIG_WAL")</f>
        <v>#N/A N/A</v>
      </c>
    </row>
    <row r="4321" spans="1:9" x14ac:dyDescent="0.25">
      <c r="A4321" t="str">
        <f>_xll.BDP("FNFS0664 Mtge","ID_CUSIP")</f>
        <v>3140XFW23</v>
      </c>
      <c r="B4321" t="str">
        <f>_xll.BDP("FNFS0664 Mtge","SECURITY_NAME")</f>
        <v>FN FS0664</v>
      </c>
      <c r="C4321" t="str">
        <f>_xll.BDP("FNFS0664 Mtge","GENERIC_TICKER_VINTAGE")</f>
        <v>FNCL 3 2021</v>
      </c>
      <c r="D4321" t="str">
        <f>_xll.BDP("FNFS0664 Mtge","CRNCY")</f>
        <v>USD</v>
      </c>
      <c r="E4321">
        <v>82599813</v>
      </c>
      <c r="F4321">
        <f>_xll.BDP("FNFS0664 Mtge","CPN")</f>
        <v>3</v>
      </c>
      <c r="G4321">
        <f>_xll.BDP("FNFS0664 Mtge","MTG_FACTOR")</f>
        <v>0.69501451999999997</v>
      </c>
      <c r="H4321">
        <f>_xll.BDP("FNFS0664 Mtge","MTG_WAL")</f>
        <v>8.4207999999999998</v>
      </c>
      <c r="I4321" t="str">
        <f>_xll.BDP("FNFS0664 Mtge","MTG_ORIG_WAL")</f>
        <v>#N/A N/A</v>
      </c>
    </row>
    <row r="4322" spans="1:9" x14ac:dyDescent="0.25">
      <c r="A4322" t="str">
        <f>_xll.BDP("FNFS0675 Mtge","ID_CUSIP")</f>
        <v>3140XFXD8</v>
      </c>
      <c r="B4322" t="str">
        <f>_xll.BDP("FNFS0675 Mtge","SECURITY_NAME")</f>
        <v>FN FS0675</v>
      </c>
      <c r="C4322" t="str">
        <f>_xll.BDP("FNFS0675 Mtge","GENERIC_TICKER_VINTAGE")</f>
        <v>FNCL 3 2021</v>
      </c>
      <c r="D4322" t="str">
        <f>_xll.BDP("FNFS0675 Mtge","CRNCY")</f>
        <v>USD</v>
      </c>
      <c r="E4322">
        <v>44528122</v>
      </c>
      <c r="F4322">
        <f>_xll.BDP("FNFS0675 Mtge","CPN")</f>
        <v>3</v>
      </c>
      <c r="G4322">
        <f>_xll.BDP("FNFS0675 Mtge","MTG_FACTOR")</f>
        <v>0.70185803000000002</v>
      </c>
      <c r="H4322">
        <f>_xll.BDP("FNFS0675 Mtge","MTG_WAL")</f>
        <v>8.4300999999999995</v>
      </c>
      <c r="I4322" t="str">
        <f>_xll.BDP("FNFS0675 Mtge","MTG_ORIG_WAL")</f>
        <v>#N/A N/A</v>
      </c>
    </row>
    <row r="4323" spans="1:9" x14ac:dyDescent="0.25">
      <c r="A4323" t="str">
        <f>_xll.BDP("FNFS0701 Mtge","ID_CUSIP")</f>
        <v>3140XFX71</v>
      </c>
      <c r="B4323" t="str">
        <f>_xll.BDP("FNFS0701 Mtge","SECURITY_NAME")</f>
        <v>FN FS0701</v>
      </c>
      <c r="C4323" t="str">
        <f>_xll.BDP("FNFS0701 Mtge","GENERIC_TICKER_VINTAGE")</f>
        <v>FNCL 3 2021</v>
      </c>
      <c r="D4323" t="str">
        <f>_xll.BDP("FNFS0701 Mtge","CRNCY")</f>
        <v>USD</v>
      </c>
      <c r="E4323">
        <v>43333308</v>
      </c>
      <c r="F4323">
        <f>_xll.BDP("FNFS0701 Mtge","CPN")</f>
        <v>3</v>
      </c>
      <c r="G4323">
        <f>_xll.BDP("FNFS0701 Mtge","MTG_FACTOR")</f>
        <v>0.67649727000000004</v>
      </c>
      <c r="H4323">
        <f>_xll.BDP("FNFS0701 Mtge","MTG_WAL")</f>
        <v>8.3292000000000002</v>
      </c>
      <c r="I4323" t="str">
        <f>_xll.BDP("FNFS0701 Mtge","MTG_ORIG_WAL")</f>
        <v>#N/A N/A</v>
      </c>
    </row>
    <row r="4324" spans="1:9" x14ac:dyDescent="0.25">
      <c r="A4324" t="str">
        <f>_xll.BDP("FNFS0715 Mtge","ID_CUSIP")</f>
        <v>3140XFYM7</v>
      </c>
      <c r="B4324" t="str">
        <f>_xll.BDP("FNFS0715 Mtge","SECURITY_NAME")</f>
        <v>FN FS0715</v>
      </c>
      <c r="C4324" t="str">
        <f>_xll.BDP("FNFS0715 Mtge","GENERIC_TICKER_VINTAGE")</f>
        <v>FNCL 3 2021</v>
      </c>
      <c r="D4324" t="str">
        <f>_xll.BDP("FNFS0715 Mtge","CRNCY")</f>
        <v>USD</v>
      </c>
      <c r="E4324">
        <v>139042429</v>
      </c>
      <c r="F4324">
        <f>_xll.BDP("FNFS0715 Mtge","CPN")</f>
        <v>3</v>
      </c>
      <c r="G4324">
        <f>_xll.BDP("FNFS0715 Mtge","MTG_FACTOR")</f>
        <v>0.69598446000000003</v>
      </c>
      <c r="H4324">
        <f>_xll.BDP("FNFS0715 Mtge","MTG_WAL")</f>
        <v>8.3369</v>
      </c>
      <c r="I4324" t="str">
        <f>_xll.BDP("FNFS0715 Mtge","MTG_ORIG_WAL")</f>
        <v>#N/A N/A</v>
      </c>
    </row>
    <row r="4325" spans="1:9" x14ac:dyDescent="0.25">
      <c r="A4325" t="str">
        <f>_xll.BDP("FNFS0735 Mtge","ID_CUSIP")</f>
        <v>3140XFY96</v>
      </c>
      <c r="B4325" t="str">
        <f>_xll.BDP("FNFS0735 Mtge","SECURITY_NAME")</f>
        <v>FN FS0735</v>
      </c>
      <c r="C4325" t="str">
        <f>_xll.BDP("FNFS0735 Mtge","GENERIC_TICKER_VINTAGE")</f>
        <v>FNCL 3 2021</v>
      </c>
      <c r="D4325" t="str">
        <f>_xll.BDP("FNFS0735 Mtge","CRNCY")</f>
        <v>USD</v>
      </c>
      <c r="E4325">
        <v>26421424</v>
      </c>
      <c r="F4325">
        <f>_xll.BDP("FNFS0735 Mtge","CPN")</f>
        <v>3</v>
      </c>
      <c r="G4325">
        <f>_xll.BDP("FNFS0735 Mtge","MTG_FACTOR")</f>
        <v>0.59515337000000001</v>
      </c>
      <c r="H4325">
        <f>_xll.BDP("FNFS0735 Mtge","MTG_WAL")</f>
        <v>8.3445</v>
      </c>
      <c r="I4325" t="str">
        <f>_xll.BDP("FNFS0735 Mtge","MTG_ORIG_WAL")</f>
        <v>#N/A N/A</v>
      </c>
    </row>
    <row r="4326" spans="1:9" x14ac:dyDescent="0.25">
      <c r="A4326" t="str">
        <f>_xll.BDP("FNFS0751 Mtge","ID_CUSIP")</f>
        <v>3140XFZR5</v>
      </c>
      <c r="B4326" t="str">
        <f>_xll.BDP("FNFS0751 Mtge","SECURITY_NAME")</f>
        <v>FN FS0751</v>
      </c>
      <c r="C4326" t="str">
        <f>_xll.BDP("FNFS0751 Mtge","GENERIC_TICKER_VINTAGE")</f>
        <v>FNCL 3 2021</v>
      </c>
      <c r="D4326" t="str">
        <f>_xll.BDP("FNFS0751 Mtge","CRNCY")</f>
        <v>USD</v>
      </c>
      <c r="E4326">
        <v>95575017</v>
      </c>
      <c r="F4326">
        <f>_xll.BDP("FNFS0751 Mtge","CPN")</f>
        <v>3</v>
      </c>
      <c r="G4326">
        <f>_xll.BDP("FNFS0751 Mtge","MTG_FACTOR")</f>
        <v>0.70687211999999999</v>
      </c>
      <c r="H4326">
        <f>_xll.BDP("FNFS0751 Mtge","MTG_WAL")</f>
        <v>8.3878000000000004</v>
      </c>
      <c r="I4326" t="str">
        <f>_xll.BDP("FNFS0751 Mtge","MTG_ORIG_WAL")</f>
        <v>#N/A N/A</v>
      </c>
    </row>
    <row r="4327" spans="1:9" x14ac:dyDescent="0.25">
      <c r="A4327" t="str">
        <f>_xll.BDP("FNFS0845 Mtge","ID_CUSIP")</f>
        <v>3140XF5F4</v>
      </c>
      <c r="B4327" t="str">
        <f>_xll.BDP("FNFS0845 Mtge","SECURITY_NAME")</f>
        <v>FN FS0845</v>
      </c>
      <c r="C4327" t="str">
        <f>_xll.BDP("FNFS0845 Mtge","GENERIC_TICKER_VINTAGE")</f>
        <v>FNCL 3 2021</v>
      </c>
      <c r="D4327" t="str">
        <f>_xll.BDP("FNFS0845 Mtge","CRNCY")</f>
        <v>USD</v>
      </c>
      <c r="E4327">
        <v>62464320</v>
      </c>
      <c r="F4327">
        <f>_xll.BDP("FNFS0845 Mtge","CPN")</f>
        <v>3</v>
      </c>
      <c r="G4327">
        <f>_xll.BDP("FNFS0845 Mtge","MTG_FACTOR")</f>
        <v>0.70829874999999998</v>
      </c>
      <c r="H4327">
        <f>_xll.BDP("FNFS0845 Mtge","MTG_WAL")</f>
        <v>8.3551000000000002</v>
      </c>
      <c r="I4327" t="str">
        <f>_xll.BDP("FNFS0845 Mtge","MTG_ORIG_WAL")</f>
        <v>#N/A N/A</v>
      </c>
    </row>
    <row r="4328" spans="1:9" x14ac:dyDescent="0.25">
      <c r="A4328" t="str">
        <f>_xll.BDP("FNFS0847 Mtge","ID_CUSIP")</f>
        <v>3140XF5H0</v>
      </c>
      <c r="B4328" t="str">
        <f>_xll.BDP("FNFS0847 Mtge","SECURITY_NAME")</f>
        <v>FN FS0847</v>
      </c>
      <c r="C4328" t="str">
        <f>_xll.BDP("FNFS0847 Mtge","GENERIC_TICKER_VINTAGE")</f>
        <v>FNCL 3 2021</v>
      </c>
      <c r="D4328" t="str">
        <f>_xll.BDP("FNFS0847 Mtge","CRNCY")</f>
        <v>USD</v>
      </c>
      <c r="E4328">
        <v>123056889</v>
      </c>
      <c r="F4328">
        <f>_xll.BDP("FNFS0847 Mtge","CPN")</f>
        <v>3</v>
      </c>
      <c r="G4328">
        <f>_xll.BDP("FNFS0847 Mtge","MTG_FACTOR")</f>
        <v>0.67910119999999996</v>
      </c>
      <c r="H4328">
        <f>_xll.BDP("FNFS0847 Mtge","MTG_WAL")</f>
        <v>8.3970000000000002</v>
      </c>
      <c r="I4328" t="str">
        <f>_xll.BDP("FNFS0847 Mtge","MTG_ORIG_WAL")</f>
        <v>#N/A N/A</v>
      </c>
    </row>
    <row r="4329" spans="1:9" x14ac:dyDescent="0.25">
      <c r="A4329" t="str">
        <f>_xll.BDP("FNFS0848 Mtge","ID_CUSIP")</f>
        <v>3140XF5J6</v>
      </c>
      <c r="B4329" t="str">
        <f>_xll.BDP("FNFS0848 Mtge","SECURITY_NAME")</f>
        <v>FN FS0848</v>
      </c>
      <c r="C4329" t="str">
        <f>_xll.BDP("FNFS0848 Mtge","GENERIC_TICKER_VINTAGE")</f>
        <v>FNCL 3 2021</v>
      </c>
      <c r="D4329" t="str">
        <f>_xll.BDP("FNFS0848 Mtge","CRNCY")</f>
        <v>USD</v>
      </c>
      <c r="E4329">
        <v>57130214</v>
      </c>
      <c r="F4329">
        <f>_xll.BDP("FNFS0848 Mtge","CPN")</f>
        <v>3</v>
      </c>
      <c r="G4329">
        <f>_xll.BDP("FNFS0848 Mtge","MTG_FACTOR")</f>
        <v>0.69923683000000003</v>
      </c>
      <c r="H4329">
        <f>_xll.BDP("FNFS0848 Mtge","MTG_WAL")</f>
        <v>8.4245999999999999</v>
      </c>
      <c r="I4329" t="str">
        <f>_xll.BDP("FNFS0848 Mtge","MTG_ORIG_WAL")</f>
        <v>#N/A N/A</v>
      </c>
    </row>
    <row r="4330" spans="1:9" x14ac:dyDescent="0.25">
      <c r="A4330" t="str">
        <f>_xll.BDP("FNFS0885 Mtge","ID_CUSIP")</f>
        <v>3140XF6X4</v>
      </c>
      <c r="B4330" t="str">
        <f>_xll.BDP("FNFS0885 Mtge","SECURITY_NAME")</f>
        <v>FN FS0885</v>
      </c>
      <c r="C4330" t="str">
        <f>_xll.BDP("FNFS0885 Mtge","GENERIC_TICKER_VINTAGE")</f>
        <v>FNCL 3 2021</v>
      </c>
      <c r="D4330" t="str">
        <f>_xll.BDP("FNFS0885 Mtge","CRNCY")</f>
        <v>USD</v>
      </c>
      <c r="E4330">
        <v>99449581</v>
      </c>
      <c r="F4330">
        <f>_xll.BDP("FNFS0885 Mtge","CPN")</f>
        <v>3</v>
      </c>
      <c r="G4330">
        <f>_xll.BDP("FNFS0885 Mtge","MTG_FACTOR")</f>
        <v>0.71413813999999998</v>
      </c>
      <c r="H4330">
        <f>_xll.BDP("FNFS0885 Mtge","MTG_WAL")</f>
        <v>8.3363999999999994</v>
      </c>
      <c r="I4330" t="str">
        <f>_xll.BDP("FNFS0885 Mtge","MTG_ORIG_WAL")</f>
        <v>#N/A N/A</v>
      </c>
    </row>
    <row r="4331" spans="1:9" x14ac:dyDescent="0.25">
      <c r="A4331" t="str">
        <f>_xll.BDP("FNFS0893 Mtge","ID_CUSIP")</f>
        <v>3140XF7F2</v>
      </c>
      <c r="B4331" t="str">
        <f>_xll.BDP("FNFS0893 Mtge","SECURITY_NAME")</f>
        <v>FN FS0893</v>
      </c>
      <c r="C4331" t="str">
        <f>_xll.BDP("FNFS0893 Mtge","GENERIC_TICKER_VINTAGE")</f>
        <v>FNCL 3 2021</v>
      </c>
      <c r="D4331" t="str">
        <f>_xll.BDP("FNFS0893 Mtge","CRNCY")</f>
        <v>USD</v>
      </c>
      <c r="E4331">
        <v>215058224</v>
      </c>
      <c r="F4331">
        <f>_xll.BDP("FNFS0893 Mtge","CPN")</f>
        <v>3</v>
      </c>
      <c r="G4331">
        <f>_xll.BDP("FNFS0893 Mtge","MTG_FACTOR")</f>
        <v>0.72965981000000002</v>
      </c>
      <c r="H4331">
        <f>_xll.BDP("FNFS0893 Mtge","MTG_WAL")</f>
        <v>8.4176000000000002</v>
      </c>
      <c r="I4331" t="str">
        <f>_xll.BDP("FNFS0893 Mtge","MTG_ORIG_WAL")</f>
        <v>#N/A N/A</v>
      </c>
    </row>
    <row r="4332" spans="1:9" x14ac:dyDescent="0.25">
      <c r="A4332" t="str">
        <f>_xll.BDP("FNFS0898 Mtge","ID_CUSIP")</f>
        <v>3140XF7L9</v>
      </c>
      <c r="B4332" t="str">
        <f>_xll.BDP("FNFS0898 Mtge","SECURITY_NAME")</f>
        <v>FN FS0898</v>
      </c>
      <c r="C4332" t="str">
        <f>_xll.BDP("FNFS0898 Mtge","GENERIC_TICKER_VINTAGE")</f>
        <v>FNCL 3 2021</v>
      </c>
      <c r="D4332" t="str">
        <f>_xll.BDP("FNFS0898 Mtge","CRNCY")</f>
        <v>USD</v>
      </c>
      <c r="E4332">
        <v>805172236</v>
      </c>
      <c r="F4332">
        <f>_xll.BDP("FNFS0898 Mtge","CPN")</f>
        <v>3</v>
      </c>
      <c r="G4332">
        <f>_xll.BDP("FNFS0898 Mtge","MTG_FACTOR")</f>
        <v>0.70630764999999995</v>
      </c>
      <c r="H4332">
        <f>_xll.BDP("FNFS0898 Mtge","MTG_WAL")</f>
        <v>8.4260000000000002</v>
      </c>
      <c r="I4332" t="str">
        <f>_xll.BDP("FNFS0898 Mtge","MTG_ORIG_WAL")</f>
        <v>#N/A N/A</v>
      </c>
    </row>
    <row r="4333" spans="1:9" x14ac:dyDescent="0.25">
      <c r="A4333" t="str">
        <f>_xll.BDP("FNFS0927 Mtge","ID_CUSIP")</f>
        <v>3140XGA58</v>
      </c>
      <c r="B4333" t="str">
        <f>_xll.BDP("FNFS0927 Mtge","SECURITY_NAME")</f>
        <v>FN FS0927</v>
      </c>
      <c r="C4333" t="str">
        <f>_xll.BDP("FNFS0927 Mtge","GENERIC_TICKER_VINTAGE")</f>
        <v>FNCL 3 2021</v>
      </c>
      <c r="D4333" t="str">
        <f>_xll.BDP("FNFS0927 Mtge","CRNCY")</f>
        <v>USD</v>
      </c>
      <c r="E4333">
        <v>137695360</v>
      </c>
      <c r="F4333">
        <f>_xll.BDP("FNFS0927 Mtge","CPN")</f>
        <v>3</v>
      </c>
      <c r="G4333">
        <f>_xll.BDP("FNFS0927 Mtge","MTG_FACTOR")</f>
        <v>0.73078191000000003</v>
      </c>
      <c r="H4333">
        <f>_xll.BDP("FNFS0927 Mtge","MTG_WAL")</f>
        <v>8.3109999999999999</v>
      </c>
      <c r="I4333" t="str">
        <f>_xll.BDP("FNFS0927 Mtge","MTG_ORIG_WAL")</f>
        <v>#N/A N/A</v>
      </c>
    </row>
    <row r="4334" spans="1:9" x14ac:dyDescent="0.25">
      <c r="A4334" t="str">
        <f>_xll.BDP("FNFS1027 Mtge","ID_CUSIP")</f>
        <v>3140XGD97</v>
      </c>
      <c r="B4334" t="str">
        <f>_xll.BDP("FNFS1027 Mtge","SECURITY_NAME")</f>
        <v>FN FS1027</v>
      </c>
      <c r="C4334" t="str">
        <f>_xll.BDP("FNFS1027 Mtge","GENERIC_TICKER_VINTAGE")</f>
        <v>FNCL 3 2021</v>
      </c>
      <c r="D4334" t="str">
        <f>_xll.BDP("FNFS1027 Mtge","CRNCY")</f>
        <v>USD</v>
      </c>
      <c r="E4334">
        <v>45522980</v>
      </c>
      <c r="F4334">
        <f>_xll.BDP("FNFS1027 Mtge","CPN")</f>
        <v>3</v>
      </c>
      <c r="G4334">
        <f>_xll.BDP("FNFS1027 Mtge","MTG_FACTOR")</f>
        <v>0.69247015000000001</v>
      </c>
      <c r="H4334">
        <f>_xll.BDP("FNFS1027 Mtge","MTG_WAL")</f>
        <v>8.3439999999999994</v>
      </c>
      <c r="I4334" t="str">
        <f>_xll.BDP("FNFS1027 Mtge","MTG_ORIG_WAL")</f>
        <v>#N/A N/A</v>
      </c>
    </row>
    <row r="4335" spans="1:9" x14ac:dyDescent="0.25">
      <c r="A4335" t="str">
        <f>_xll.BDP("FNFS1074 Mtge","ID_CUSIP")</f>
        <v>3140XGFQ7</v>
      </c>
      <c r="B4335" t="str">
        <f>_xll.BDP("FNFS1074 Mtge","SECURITY_NAME")</f>
        <v>FN FS1074</v>
      </c>
      <c r="C4335" t="str">
        <f>_xll.BDP("FNFS1074 Mtge","GENERIC_TICKER_VINTAGE")</f>
        <v>FNCL 3 2021</v>
      </c>
      <c r="D4335" t="str">
        <f>_xll.BDP("FNFS1074 Mtge","CRNCY")</f>
        <v>USD</v>
      </c>
      <c r="E4335">
        <v>270049983</v>
      </c>
      <c r="F4335">
        <f>_xll.BDP("FNFS1074 Mtge","CPN")</f>
        <v>3</v>
      </c>
      <c r="G4335">
        <f>_xll.BDP("FNFS1074 Mtge","MTG_FACTOR")</f>
        <v>0.69207472000000003</v>
      </c>
      <c r="H4335">
        <f>_xll.BDP("FNFS1074 Mtge","MTG_WAL")</f>
        <v>8.2870000000000008</v>
      </c>
      <c r="I4335" t="str">
        <f>_xll.BDP("FNFS1074 Mtge","MTG_ORIG_WAL")</f>
        <v>#N/A N/A</v>
      </c>
    </row>
    <row r="4336" spans="1:9" x14ac:dyDescent="0.25">
      <c r="A4336" t="str">
        <f>_xll.BDP("FNFS1172 Mtge","ID_CUSIP")</f>
        <v>3140XGJS9</v>
      </c>
      <c r="B4336" t="str">
        <f>_xll.BDP("FNFS1172 Mtge","SECURITY_NAME")</f>
        <v>FN FS1172</v>
      </c>
      <c r="C4336" t="str">
        <f>_xll.BDP("FNFS1172 Mtge","GENERIC_TICKER_VINTAGE")</f>
        <v>FNCL 3 2021</v>
      </c>
      <c r="D4336" t="str">
        <f>_xll.BDP("FNFS1172 Mtge","CRNCY")</f>
        <v>USD</v>
      </c>
      <c r="E4336">
        <v>393401721</v>
      </c>
      <c r="F4336">
        <f>_xll.BDP("FNFS1172 Mtge","CPN")</f>
        <v>3</v>
      </c>
      <c r="G4336">
        <f>_xll.BDP("FNFS1172 Mtge","MTG_FACTOR")</f>
        <v>0.70788119000000005</v>
      </c>
      <c r="H4336">
        <f>_xll.BDP("FNFS1172 Mtge","MTG_WAL")</f>
        <v>8.2925000000000004</v>
      </c>
      <c r="I4336" t="str">
        <f>_xll.BDP("FNFS1172 Mtge","MTG_ORIG_WAL")</f>
        <v>#N/A N/A</v>
      </c>
    </row>
    <row r="4337" spans="1:9" x14ac:dyDescent="0.25">
      <c r="A4337" t="str">
        <f>_xll.BDP("FNFS1228 Mtge","ID_CUSIP")</f>
        <v>3140XGLJ6</v>
      </c>
      <c r="B4337" t="str">
        <f>_xll.BDP("FNFS1228 Mtge","SECURITY_NAME")</f>
        <v>FN FS1228</v>
      </c>
      <c r="C4337" t="str">
        <f>_xll.BDP("FNFS1228 Mtge","GENERIC_TICKER_VINTAGE")</f>
        <v>FNCL 3 2021</v>
      </c>
      <c r="D4337" t="str">
        <f>_xll.BDP("FNFS1228 Mtge","CRNCY")</f>
        <v>USD</v>
      </c>
      <c r="E4337">
        <v>59961948</v>
      </c>
      <c r="F4337">
        <f>_xll.BDP("FNFS1228 Mtge","CPN")</f>
        <v>3</v>
      </c>
      <c r="G4337">
        <f>_xll.BDP("FNFS1228 Mtge","MTG_FACTOR")</f>
        <v>0.72463288999999997</v>
      </c>
      <c r="H4337">
        <f>_xll.BDP("FNFS1228 Mtge","MTG_WAL")</f>
        <v>8.3820999999999994</v>
      </c>
      <c r="I4337" t="str">
        <f>_xll.BDP("FNFS1228 Mtge","MTG_ORIG_WAL")</f>
        <v>#N/A N/A</v>
      </c>
    </row>
    <row r="4338" spans="1:9" x14ac:dyDescent="0.25">
      <c r="A4338" t="str">
        <f>_xll.BDP("FNFS1289 Mtge","ID_CUSIP")</f>
        <v>3140XGNF2</v>
      </c>
      <c r="B4338" t="str">
        <f>_xll.BDP("FNFS1289 Mtge","SECURITY_NAME")</f>
        <v>FN FS1289</v>
      </c>
      <c r="C4338" t="str">
        <f>_xll.BDP("FNFS1289 Mtge","GENERIC_TICKER_VINTAGE")</f>
        <v>FNCL 3 2021</v>
      </c>
      <c r="D4338" t="str">
        <f>_xll.BDP("FNFS1289 Mtge","CRNCY")</f>
        <v>USD</v>
      </c>
      <c r="E4338">
        <v>79852977</v>
      </c>
      <c r="F4338">
        <f>_xll.BDP("FNFS1289 Mtge","CPN")</f>
        <v>3</v>
      </c>
      <c r="G4338">
        <f>_xll.BDP("FNFS1289 Mtge","MTG_FACTOR")</f>
        <v>0.69490487000000001</v>
      </c>
      <c r="H4338">
        <f>_xll.BDP("FNFS1289 Mtge","MTG_WAL")</f>
        <v>8.2310999999999996</v>
      </c>
      <c r="I4338" t="str">
        <f>_xll.BDP("FNFS1289 Mtge","MTG_ORIG_WAL")</f>
        <v>#N/A N/A</v>
      </c>
    </row>
    <row r="4339" spans="1:9" x14ac:dyDescent="0.25">
      <c r="A4339" t="str">
        <f>_xll.BDP("FNFS1508 Mtge","ID_CUSIP")</f>
        <v>3140XGVA4</v>
      </c>
      <c r="B4339" t="str">
        <f>_xll.BDP("FNFS1508 Mtge","SECURITY_NAME")</f>
        <v>FN FS1508</v>
      </c>
      <c r="C4339" t="str">
        <f>_xll.BDP("FNFS1508 Mtge","GENERIC_TICKER_VINTAGE")</f>
        <v>FNCL 3 2021</v>
      </c>
      <c r="D4339" t="str">
        <f>_xll.BDP("FNFS1508 Mtge","CRNCY")</f>
        <v>USD</v>
      </c>
      <c r="E4339">
        <v>99759923</v>
      </c>
      <c r="F4339">
        <f>_xll.BDP("FNFS1508 Mtge","CPN")</f>
        <v>3</v>
      </c>
      <c r="G4339">
        <f>_xll.BDP("FNFS1508 Mtge","MTG_FACTOR")</f>
        <v>0.80561059999999995</v>
      </c>
      <c r="H4339">
        <f>_xll.BDP("FNFS1508 Mtge","MTG_WAL")</f>
        <v>8.1652000000000005</v>
      </c>
      <c r="I4339" t="str">
        <f>_xll.BDP("FNFS1508 Mtge","MTG_ORIG_WAL")</f>
        <v>#N/A N/A</v>
      </c>
    </row>
    <row r="4340" spans="1:9" x14ac:dyDescent="0.25">
      <c r="A4340" t="str">
        <f>_xll.BDP("FNFS1914 Mtge","ID_CUSIP")</f>
        <v>3140XHDU8</v>
      </c>
      <c r="B4340" t="str">
        <f>_xll.BDP("FNFS1914 Mtge","SECURITY_NAME")</f>
        <v>FN FS1914</v>
      </c>
      <c r="C4340" t="str">
        <f>_xll.BDP("FNFS1914 Mtge","GENERIC_TICKER_VINTAGE")</f>
        <v>FNCL 3 2021</v>
      </c>
      <c r="D4340" t="str">
        <f>_xll.BDP("FNFS1914 Mtge","CRNCY")</f>
        <v>USD</v>
      </c>
      <c r="E4340">
        <v>20574209</v>
      </c>
      <c r="F4340">
        <f>_xll.BDP("FNFS1914 Mtge","CPN")</f>
        <v>3</v>
      </c>
      <c r="G4340">
        <f>_xll.BDP("FNFS1914 Mtge","MTG_FACTOR")</f>
        <v>0.71294451000000003</v>
      </c>
      <c r="H4340">
        <f>_xll.BDP("FNFS1914 Mtge","MTG_WAL")</f>
        <v>8.2683</v>
      </c>
      <c r="I4340" t="str">
        <f>_xll.BDP("FNFS1914 Mtge","MTG_ORIG_WAL")</f>
        <v>#N/A N/A</v>
      </c>
    </row>
    <row r="4341" spans="1:9" x14ac:dyDescent="0.25">
      <c r="A4341" t="str">
        <f>_xll.BDP("FNFS2221 Mtge","ID_CUSIP")</f>
        <v>3140XHPF8</v>
      </c>
      <c r="B4341" t="str">
        <f>_xll.BDP("FNFS2221 Mtge","SECURITY_NAME")</f>
        <v>FN FS2221</v>
      </c>
      <c r="C4341" t="str">
        <f>_xll.BDP("FNFS2221 Mtge","GENERIC_TICKER_VINTAGE")</f>
        <v>FNCL 3 2021</v>
      </c>
      <c r="D4341" t="str">
        <f>_xll.BDP("FNFS2221 Mtge","CRNCY")</f>
        <v>USD</v>
      </c>
      <c r="E4341">
        <v>19709739</v>
      </c>
      <c r="F4341">
        <f>_xll.BDP("FNFS2221 Mtge","CPN")</f>
        <v>3</v>
      </c>
      <c r="G4341">
        <f>_xll.BDP("FNFS2221 Mtge","MTG_FACTOR")</f>
        <v>0.74038042999999998</v>
      </c>
      <c r="H4341">
        <f>_xll.BDP("FNFS2221 Mtge","MTG_WAL")</f>
        <v>8.1354000000000006</v>
      </c>
      <c r="I4341" t="str">
        <f>_xll.BDP("FNFS2221 Mtge","MTG_ORIG_WAL")</f>
        <v>#N/A N/A</v>
      </c>
    </row>
    <row r="4342" spans="1:9" x14ac:dyDescent="0.25">
      <c r="A4342" t="str">
        <f>_xll.BDP("FNFS2333 Mtge","ID_CUSIP")</f>
        <v>3140XHSX6</v>
      </c>
      <c r="B4342" t="str">
        <f>_xll.BDP("FNFS2333 Mtge","SECURITY_NAME")</f>
        <v>FN FS2333</v>
      </c>
      <c r="C4342" t="str">
        <f>_xll.BDP("FNFS2333 Mtge","GENERIC_TICKER_VINTAGE")</f>
        <v>FNCL 3 2021</v>
      </c>
      <c r="D4342" t="str">
        <f>_xll.BDP("FNFS2333 Mtge","CRNCY")</f>
        <v>USD</v>
      </c>
      <c r="E4342">
        <v>84208025</v>
      </c>
      <c r="F4342">
        <f>_xll.BDP("FNFS2333 Mtge","CPN")</f>
        <v>3</v>
      </c>
      <c r="G4342">
        <f>_xll.BDP("FNFS2333 Mtge","MTG_FACTOR")</f>
        <v>0.79393274999999996</v>
      </c>
      <c r="H4342">
        <f>_xll.BDP("FNFS2333 Mtge","MTG_WAL")</f>
        <v>8.2211999999999996</v>
      </c>
      <c r="I4342" t="str">
        <f>_xll.BDP("FNFS2333 Mtge","MTG_ORIG_WAL")</f>
        <v>#N/A N/A</v>
      </c>
    </row>
    <row r="4343" spans="1:9" x14ac:dyDescent="0.25">
      <c r="A4343" t="str">
        <f>_xll.BDP("FNFS2459 Mtge","ID_CUSIP")</f>
        <v>3140XHWV5</v>
      </c>
      <c r="B4343" t="str">
        <f>_xll.BDP("FNFS2459 Mtge","SECURITY_NAME")</f>
        <v>FN FS2459</v>
      </c>
      <c r="C4343" t="str">
        <f>_xll.BDP("FNFS2459 Mtge","GENERIC_TICKER_VINTAGE")</f>
        <v>FNCL 3 2021</v>
      </c>
      <c r="D4343" t="str">
        <f>_xll.BDP("FNFS2459 Mtge","CRNCY")</f>
        <v>USD</v>
      </c>
      <c r="E4343">
        <v>52934524</v>
      </c>
      <c r="F4343">
        <f>_xll.BDP("FNFS2459 Mtge","CPN")</f>
        <v>3</v>
      </c>
      <c r="G4343">
        <f>_xll.BDP("FNFS2459 Mtge","MTG_FACTOR")</f>
        <v>0.69920148000000004</v>
      </c>
      <c r="H4343">
        <f>_xll.BDP("FNFS2459 Mtge","MTG_WAL")</f>
        <v>8.0086999999999993</v>
      </c>
      <c r="I4343" t="str">
        <f>_xll.BDP("FNFS2459 Mtge","MTG_ORIG_WAL")</f>
        <v>#N/A N/A</v>
      </c>
    </row>
    <row r="4344" spans="1:9" x14ac:dyDescent="0.25">
      <c r="A4344" t="str">
        <f>_xll.BDP("FNFS2462 Mtge","ID_CUSIP")</f>
        <v>3140XHWY9</v>
      </c>
      <c r="B4344" t="str">
        <f>_xll.BDP("FNFS2462 Mtge","SECURITY_NAME")</f>
        <v>FN FS2462</v>
      </c>
      <c r="C4344" t="str">
        <f>_xll.BDP("FNFS2462 Mtge","GENERIC_TICKER_VINTAGE")</f>
        <v>FNCL 3 2021</v>
      </c>
      <c r="D4344" t="str">
        <f>_xll.BDP("FNFS2462 Mtge","CRNCY")</f>
        <v>USD</v>
      </c>
      <c r="E4344">
        <v>379038582</v>
      </c>
      <c r="F4344">
        <f>_xll.BDP("FNFS2462 Mtge","CPN")</f>
        <v>3</v>
      </c>
      <c r="G4344">
        <f>_xll.BDP("FNFS2462 Mtge","MTG_FACTOR")</f>
        <v>0.73901439000000002</v>
      </c>
      <c r="H4344">
        <f>_xll.BDP("FNFS2462 Mtge","MTG_WAL")</f>
        <v>8.3729999999999993</v>
      </c>
      <c r="I4344" t="str">
        <f>_xll.BDP("FNFS2462 Mtge","MTG_ORIG_WAL")</f>
        <v>#N/A N/A</v>
      </c>
    </row>
    <row r="4345" spans="1:9" x14ac:dyDescent="0.25">
      <c r="A4345" t="str">
        <f>_xll.BDP("FNFS2463 Mtge","ID_CUSIP")</f>
        <v>3140XHWZ6</v>
      </c>
      <c r="B4345" t="str">
        <f>_xll.BDP("FNFS2463 Mtge","SECURITY_NAME")</f>
        <v>FN FS2463</v>
      </c>
      <c r="C4345" t="str">
        <f>_xll.BDP("FNFS2463 Mtge","GENERIC_TICKER_VINTAGE")</f>
        <v>FNCL 3 2021</v>
      </c>
      <c r="D4345" t="str">
        <f>_xll.BDP("FNFS2463 Mtge","CRNCY")</f>
        <v>USD</v>
      </c>
      <c r="E4345">
        <v>153385052</v>
      </c>
      <c r="F4345">
        <f>_xll.BDP("FNFS2463 Mtge","CPN")</f>
        <v>3</v>
      </c>
      <c r="G4345">
        <f>_xll.BDP("FNFS2463 Mtge","MTG_FACTOR")</f>
        <v>0.75303237000000001</v>
      </c>
      <c r="H4345">
        <f>_xll.BDP("FNFS2463 Mtge","MTG_WAL")</f>
        <v>8.3488000000000007</v>
      </c>
      <c r="I4345" t="str">
        <f>_xll.BDP("FNFS2463 Mtge","MTG_ORIG_WAL")</f>
        <v>#N/A N/A</v>
      </c>
    </row>
    <row r="4346" spans="1:9" x14ac:dyDescent="0.25">
      <c r="A4346" t="str">
        <f>_xll.BDP("FNFS2480 Mtge","ID_CUSIP")</f>
        <v>3140XHXJ1</v>
      </c>
      <c r="B4346" t="str">
        <f>_xll.BDP("FNFS2480 Mtge","SECURITY_NAME")</f>
        <v>FN FS2480</v>
      </c>
      <c r="C4346" t="str">
        <f>_xll.BDP("FNFS2480 Mtge","GENERIC_TICKER_VINTAGE")</f>
        <v>FNCL 3 2021</v>
      </c>
      <c r="D4346" t="str">
        <f>_xll.BDP("FNFS2480 Mtge","CRNCY")</f>
        <v>USD</v>
      </c>
      <c r="E4346">
        <v>48112149</v>
      </c>
      <c r="F4346">
        <f>_xll.BDP("FNFS2480 Mtge","CPN")</f>
        <v>3</v>
      </c>
      <c r="G4346">
        <f>_xll.BDP("FNFS2480 Mtge","MTG_FACTOR")</f>
        <v>0.73224244999999999</v>
      </c>
      <c r="H4346">
        <f>_xll.BDP("FNFS2480 Mtge","MTG_WAL")</f>
        <v>8.34</v>
      </c>
      <c r="I4346" t="str">
        <f>_xll.BDP("FNFS2480 Mtge","MTG_ORIG_WAL")</f>
        <v>#N/A N/A</v>
      </c>
    </row>
    <row r="4347" spans="1:9" x14ac:dyDescent="0.25">
      <c r="A4347" t="str">
        <f>_xll.BDP("FNFS2559 Mtge","ID_CUSIP")</f>
        <v>3140XHZZ3</v>
      </c>
      <c r="B4347" t="str">
        <f>_xll.BDP("FNFS2559 Mtge","SECURITY_NAME")</f>
        <v>FN FS2559</v>
      </c>
      <c r="C4347" t="str">
        <f>_xll.BDP("FNFS2559 Mtge","GENERIC_TICKER_VINTAGE")</f>
        <v>FNCL 3 2021</v>
      </c>
      <c r="D4347" t="str">
        <f>_xll.BDP("FNFS2559 Mtge","CRNCY")</f>
        <v>USD</v>
      </c>
      <c r="E4347">
        <v>210659884</v>
      </c>
      <c r="F4347">
        <f>_xll.BDP("FNFS2559 Mtge","CPN")</f>
        <v>3</v>
      </c>
      <c r="G4347">
        <f>_xll.BDP("FNFS2559 Mtge","MTG_FACTOR")</f>
        <v>0.67650690000000002</v>
      </c>
      <c r="H4347">
        <f>_xll.BDP("FNFS2559 Mtge","MTG_WAL")</f>
        <v>8.3245000000000005</v>
      </c>
      <c r="I4347" t="str">
        <f>_xll.BDP("FNFS2559 Mtge","MTG_ORIG_WAL")</f>
        <v>#N/A N/A</v>
      </c>
    </row>
    <row r="4348" spans="1:9" x14ac:dyDescent="0.25">
      <c r="A4348" t="str">
        <f>_xll.BDP("FNFS2924 Mtge","ID_CUSIP")</f>
        <v>3140XJHA4</v>
      </c>
      <c r="B4348" t="str">
        <f>_xll.BDP("FNFS2924 Mtge","SECURITY_NAME")</f>
        <v>FN FS2924</v>
      </c>
      <c r="C4348" t="str">
        <f>_xll.BDP("FNFS2924 Mtge","GENERIC_TICKER_VINTAGE")</f>
        <v>FNCL 3 2021</v>
      </c>
      <c r="D4348" t="str">
        <f>_xll.BDP("FNFS2924 Mtge","CRNCY")</f>
        <v>USD</v>
      </c>
      <c r="E4348">
        <v>98570424</v>
      </c>
      <c r="F4348">
        <f>_xll.BDP("FNFS2924 Mtge","CPN")</f>
        <v>3</v>
      </c>
      <c r="G4348">
        <f>_xll.BDP("FNFS2924 Mtge","MTG_FACTOR")</f>
        <v>0.72401037000000001</v>
      </c>
      <c r="H4348">
        <f>_xll.BDP("FNFS2924 Mtge","MTG_WAL")</f>
        <v>8.2446000000000002</v>
      </c>
      <c r="I4348" t="str">
        <f>_xll.BDP("FNFS2924 Mtge","MTG_ORIG_WAL")</f>
        <v>#N/A N/A</v>
      </c>
    </row>
    <row r="4349" spans="1:9" x14ac:dyDescent="0.25">
      <c r="A4349" t="str">
        <f>_xll.BDP("FNFS2991 Mtge","ID_CUSIP")</f>
        <v>3140XJKD4</v>
      </c>
      <c r="B4349" t="str">
        <f>_xll.BDP("FNFS2991 Mtge","SECURITY_NAME")</f>
        <v>FN FS2991</v>
      </c>
      <c r="C4349" t="str">
        <f>_xll.BDP("FNFS2991 Mtge","GENERIC_TICKER_VINTAGE")</f>
        <v>FNCL 3 2021</v>
      </c>
      <c r="D4349" t="str">
        <f>_xll.BDP("FNFS2991 Mtge","CRNCY")</f>
        <v>USD</v>
      </c>
      <c r="E4349">
        <v>33913529</v>
      </c>
      <c r="F4349">
        <f>_xll.BDP("FNFS2991 Mtge","CPN")</f>
        <v>3</v>
      </c>
      <c r="G4349">
        <f>_xll.BDP("FNFS2991 Mtge","MTG_FACTOR")</f>
        <v>0.80947875000000002</v>
      </c>
      <c r="H4349">
        <f>_xll.BDP("FNFS2991 Mtge","MTG_WAL")</f>
        <v>8.1734000000000009</v>
      </c>
      <c r="I4349" t="str">
        <f>_xll.BDP("FNFS2991 Mtge","MTG_ORIG_WAL")</f>
        <v>#N/A N/A</v>
      </c>
    </row>
    <row r="4350" spans="1:9" x14ac:dyDescent="0.25">
      <c r="A4350" t="str">
        <f>_xll.BDP("FNFS3064 Mtge","ID_CUSIP")</f>
        <v>3140XJMN0</v>
      </c>
      <c r="B4350" t="str">
        <f>_xll.BDP("FNFS3064 Mtge","SECURITY_NAME")</f>
        <v>FN FS3064</v>
      </c>
      <c r="C4350" t="str">
        <f>_xll.BDP("FNFS3064 Mtge","GENERIC_TICKER_VINTAGE")</f>
        <v>FNCL 3 2021</v>
      </c>
      <c r="D4350" t="str">
        <f>_xll.BDP("FNFS3064 Mtge","CRNCY")</f>
        <v>USD</v>
      </c>
      <c r="E4350">
        <v>49867893</v>
      </c>
      <c r="F4350">
        <f>_xll.BDP("FNFS3064 Mtge","CPN")</f>
        <v>3</v>
      </c>
      <c r="G4350">
        <f>_xll.BDP("FNFS3064 Mtge","MTG_FACTOR")</f>
        <v>0.72595737999999999</v>
      </c>
      <c r="H4350">
        <f>_xll.BDP("FNFS3064 Mtge","MTG_WAL")</f>
        <v>8.3020999999999994</v>
      </c>
      <c r="I4350" t="str">
        <f>_xll.BDP("FNFS3064 Mtge","MTG_ORIG_WAL")</f>
        <v>#N/A N/A</v>
      </c>
    </row>
    <row r="4351" spans="1:9" x14ac:dyDescent="0.25">
      <c r="A4351" t="str">
        <f>_xll.BDP("FNFS3065 Mtge","ID_CUSIP")</f>
        <v>3140XJMP5</v>
      </c>
      <c r="B4351" t="str">
        <f>_xll.BDP("FNFS3065 Mtge","SECURITY_NAME")</f>
        <v>FN FS3065</v>
      </c>
      <c r="C4351" t="str">
        <f>_xll.BDP("FNFS3065 Mtge","GENERIC_TICKER_VINTAGE")</f>
        <v>FNCL 3 2021</v>
      </c>
      <c r="D4351" t="str">
        <f>_xll.BDP("FNFS3065 Mtge","CRNCY")</f>
        <v>USD</v>
      </c>
      <c r="E4351">
        <v>23843640</v>
      </c>
      <c r="F4351">
        <f>_xll.BDP("FNFS3065 Mtge","CPN")</f>
        <v>3</v>
      </c>
      <c r="G4351">
        <f>_xll.BDP("FNFS3065 Mtge","MTG_FACTOR")</f>
        <v>0.75707069000000005</v>
      </c>
      <c r="H4351">
        <f>_xll.BDP("FNFS3065 Mtge","MTG_WAL")</f>
        <v>8.2925000000000004</v>
      </c>
      <c r="I4351" t="str">
        <f>_xll.BDP("FNFS3065 Mtge","MTG_ORIG_WAL")</f>
        <v>#N/A N/A</v>
      </c>
    </row>
    <row r="4352" spans="1:9" x14ac:dyDescent="0.25">
      <c r="A4352" t="str">
        <f>_xll.BDP("FNFS3071 Mtge","ID_CUSIP")</f>
        <v>3140XJMV2</v>
      </c>
      <c r="B4352" t="str">
        <f>_xll.BDP("FNFS3071 Mtge","SECURITY_NAME")</f>
        <v>FN FS3071</v>
      </c>
      <c r="C4352" t="str">
        <f>_xll.BDP("FNFS3071 Mtge","GENERIC_TICKER_VINTAGE")</f>
        <v>FNCL 3 2021</v>
      </c>
      <c r="D4352" t="str">
        <f>_xll.BDP("FNFS3071 Mtge","CRNCY")</f>
        <v>USD</v>
      </c>
      <c r="E4352">
        <v>50843485</v>
      </c>
      <c r="F4352">
        <f>_xll.BDP("FNFS3071 Mtge","CPN")</f>
        <v>3</v>
      </c>
      <c r="G4352">
        <f>_xll.BDP("FNFS3071 Mtge","MTG_FACTOR")</f>
        <v>0.74265077000000002</v>
      </c>
      <c r="H4352">
        <f>_xll.BDP("FNFS3071 Mtge","MTG_WAL")</f>
        <v>8.2820999999999998</v>
      </c>
      <c r="I4352" t="str">
        <f>_xll.BDP("FNFS3071 Mtge","MTG_ORIG_WAL")</f>
        <v>#N/A N/A</v>
      </c>
    </row>
    <row r="4353" spans="1:9" x14ac:dyDescent="0.25">
      <c r="A4353" t="str">
        <f>_xll.BDP("FNFS3166 Mtge","ID_CUSIP")</f>
        <v>3140XJQU0</v>
      </c>
      <c r="B4353" t="str">
        <f>_xll.BDP("FNFS3166 Mtge","SECURITY_NAME")</f>
        <v>FN FS3166</v>
      </c>
      <c r="C4353" t="str">
        <f>_xll.BDP("FNFS3166 Mtge","GENERIC_TICKER_VINTAGE")</f>
        <v>FNCL 3 2021</v>
      </c>
      <c r="D4353" t="str">
        <f>_xll.BDP("FNFS3166 Mtge","CRNCY")</f>
        <v>USD</v>
      </c>
      <c r="E4353">
        <v>65591299</v>
      </c>
      <c r="F4353">
        <f>_xll.BDP("FNFS3166 Mtge","CPN")</f>
        <v>3</v>
      </c>
      <c r="G4353">
        <f>_xll.BDP("FNFS3166 Mtge","MTG_FACTOR")</f>
        <v>0.73102102000000002</v>
      </c>
      <c r="H4353">
        <f>_xll.BDP("FNFS3166 Mtge","MTG_WAL")</f>
        <v>8.2195</v>
      </c>
      <c r="I4353" t="str">
        <f>_xll.BDP("FNFS3166 Mtge","MTG_ORIG_WAL")</f>
        <v>#N/A N/A</v>
      </c>
    </row>
    <row r="4354" spans="1:9" x14ac:dyDescent="0.25">
      <c r="A4354" t="str">
        <f>_xll.BDP("FNFS3167 Mtge","ID_CUSIP")</f>
        <v>3140XJQV8</v>
      </c>
      <c r="B4354" t="str">
        <f>_xll.BDP("FNFS3167 Mtge","SECURITY_NAME")</f>
        <v>FN FS3167</v>
      </c>
      <c r="C4354" t="str">
        <f>_xll.BDP("FNFS3167 Mtge","GENERIC_TICKER_VINTAGE")</f>
        <v>FNCL 3 2021</v>
      </c>
      <c r="D4354" t="str">
        <f>_xll.BDP("FNFS3167 Mtge","CRNCY")</f>
        <v>USD</v>
      </c>
      <c r="E4354">
        <v>25449493</v>
      </c>
      <c r="F4354">
        <f>_xll.BDP("FNFS3167 Mtge","CPN")</f>
        <v>3</v>
      </c>
      <c r="G4354">
        <f>_xll.BDP("FNFS3167 Mtge","MTG_FACTOR")</f>
        <v>0.73459655999999995</v>
      </c>
      <c r="H4354">
        <f>_xll.BDP("FNFS3167 Mtge","MTG_WAL")</f>
        <v>8.2423000000000002</v>
      </c>
      <c r="I4354" t="str">
        <f>_xll.BDP("FNFS3167 Mtge","MTG_ORIG_WAL")</f>
        <v>#N/A N/A</v>
      </c>
    </row>
    <row r="4355" spans="1:9" x14ac:dyDescent="0.25">
      <c r="A4355" t="str">
        <f>_xll.BDP("FNFS3334 Mtge","ID_CUSIP")</f>
        <v>3140XJV42</v>
      </c>
      <c r="B4355" t="str">
        <f>_xll.BDP("FNFS3334 Mtge","SECURITY_NAME")</f>
        <v>FN FS3334</v>
      </c>
      <c r="C4355" t="str">
        <f>_xll.BDP("FNFS3334 Mtge","GENERIC_TICKER_VINTAGE")</f>
        <v>FNCL 3 2021</v>
      </c>
      <c r="D4355" t="str">
        <f>_xll.BDP("FNFS3334 Mtge","CRNCY")</f>
        <v>USD</v>
      </c>
      <c r="E4355">
        <v>68052225</v>
      </c>
      <c r="F4355">
        <f>_xll.BDP("FNFS3334 Mtge","CPN")</f>
        <v>3</v>
      </c>
      <c r="G4355">
        <f>_xll.BDP("FNFS3334 Mtge","MTG_FACTOR")</f>
        <v>0.81662334999999997</v>
      </c>
      <c r="H4355">
        <f>_xll.BDP("FNFS3334 Mtge","MTG_WAL")</f>
        <v>8.3915000000000006</v>
      </c>
      <c r="I4355" t="str">
        <f>_xll.BDP("FNFS3334 Mtge","MTG_ORIG_WAL")</f>
        <v>#N/A N/A</v>
      </c>
    </row>
    <row r="4356" spans="1:9" x14ac:dyDescent="0.25">
      <c r="A4356" t="str">
        <f>_xll.BDP("FNFS3569 Mtge","ID_CUSIP")</f>
        <v>3140XJ6F5</v>
      </c>
      <c r="B4356" t="str">
        <f>_xll.BDP("FNFS3569 Mtge","SECURITY_NAME")</f>
        <v>FN FS3569</v>
      </c>
      <c r="C4356" t="str">
        <f>_xll.BDP("FNFS3569 Mtge","GENERIC_TICKER_VINTAGE")</f>
        <v>FNCL 3 2021</v>
      </c>
      <c r="D4356" t="str">
        <f>_xll.BDP("FNFS3569 Mtge","CRNCY")</f>
        <v>USD</v>
      </c>
      <c r="E4356">
        <v>57775902</v>
      </c>
      <c r="F4356">
        <f>_xll.BDP("FNFS3569 Mtge","CPN")</f>
        <v>3</v>
      </c>
      <c r="G4356">
        <f>_xll.BDP("FNFS3569 Mtge","MTG_FACTOR")</f>
        <v>0.81447079</v>
      </c>
      <c r="H4356">
        <f>_xll.BDP("FNFS3569 Mtge","MTG_WAL")</f>
        <v>8.4070999999999998</v>
      </c>
      <c r="I4356" t="str">
        <f>_xll.BDP("FNFS3569 Mtge","MTG_ORIG_WAL")</f>
        <v>#N/A N/A</v>
      </c>
    </row>
    <row r="4357" spans="1:9" x14ac:dyDescent="0.25">
      <c r="A4357" t="str">
        <f>_xll.BDP("FNFS3593 Mtge","ID_CUSIP")</f>
        <v>3140XJ7F4</v>
      </c>
      <c r="B4357" t="str">
        <f>_xll.BDP("FNFS3593 Mtge","SECURITY_NAME")</f>
        <v>FN FS3593</v>
      </c>
      <c r="C4357" t="str">
        <f>_xll.BDP("FNFS3593 Mtge","GENERIC_TICKER_VINTAGE")</f>
        <v>FNCL 3 2021</v>
      </c>
      <c r="D4357" t="str">
        <f>_xll.BDP("FNFS3593 Mtge","CRNCY")</f>
        <v>USD</v>
      </c>
      <c r="E4357">
        <v>18383779</v>
      </c>
      <c r="F4357">
        <f>_xll.BDP("FNFS3593 Mtge","CPN")</f>
        <v>3</v>
      </c>
      <c r="G4357">
        <f>_xll.BDP("FNFS3593 Mtge","MTG_FACTOR")</f>
        <v>0.77651329000000002</v>
      </c>
      <c r="H4357">
        <f>_xll.BDP("FNFS3593 Mtge","MTG_WAL")</f>
        <v>8.2931000000000008</v>
      </c>
      <c r="I4357" t="str">
        <f>_xll.BDP("FNFS3593 Mtge","MTG_ORIG_WAL")</f>
        <v>#N/A N/A</v>
      </c>
    </row>
    <row r="4358" spans="1:9" x14ac:dyDescent="0.25">
      <c r="A4358" t="str">
        <f>_xll.BDP("FNFS3678 Mtge","ID_CUSIP")</f>
        <v>3140XKCQ1</v>
      </c>
      <c r="B4358" t="str">
        <f>_xll.BDP("FNFS3678 Mtge","SECURITY_NAME")</f>
        <v>FN FS3678</v>
      </c>
      <c r="C4358" t="str">
        <f>_xll.BDP("FNFS3678 Mtge","GENERIC_TICKER_VINTAGE")</f>
        <v>FNCL 3 2021</v>
      </c>
      <c r="D4358" t="str">
        <f>_xll.BDP("FNFS3678 Mtge","CRNCY")</f>
        <v>USD</v>
      </c>
      <c r="E4358">
        <v>25371521</v>
      </c>
      <c r="F4358">
        <f>_xll.BDP("FNFS3678 Mtge","CPN")</f>
        <v>3</v>
      </c>
      <c r="G4358">
        <f>_xll.BDP("FNFS3678 Mtge","MTG_FACTOR")</f>
        <v>0.74307025999999998</v>
      </c>
      <c r="H4358">
        <f>_xll.BDP("FNFS3678 Mtge","MTG_WAL")</f>
        <v>8.1392000000000007</v>
      </c>
      <c r="I4358" t="str">
        <f>_xll.BDP("FNFS3678 Mtge","MTG_ORIG_WAL")</f>
        <v>#N/A N/A</v>
      </c>
    </row>
    <row r="4359" spans="1:9" x14ac:dyDescent="0.25">
      <c r="A4359" t="str">
        <f>_xll.BDP("FNFS3736 Mtge","ID_CUSIP")</f>
        <v>3140XKEJ5</v>
      </c>
      <c r="B4359" t="str">
        <f>_xll.BDP("FNFS3736 Mtge","SECURITY_NAME")</f>
        <v>FN FS3736</v>
      </c>
      <c r="C4359" t="str">
        <f>_xll.BDP("FNFS3736 Mtge","GENERIC_TICKER_VINTAGE")</f>
        <v>FNCL 3 2021</v>
      </c>
      <c r="D4359" t="str">
        <f>_xll.BDP("FNFS3736 Mtge","CRNCY")</f>
        <v>USD</v>
      </c>
      <c r="E4359">
        <v>105830229</v>
      </c>
      <c r="F4359">
        <f>_xll.BDP("FNFS3736 Mtge","CPN")</f>
        <v>3</v>
      </c>
      <c r="G4359">
        <f>_xll.BDP("FNFS3736 Mtge","MTG_FACTOR")</f>
        <v>0.75807827999999999</v>
      </c>
      <c r="H4359">
        <f>_xll.BDP("FNFS3736 Mtge","MTG_WAL")</f>
        <v>8.3722999999999992</v>
      </c>
      <c r="I4359" t="str">
        <f>_xll.BDP("FNFS3736 Mtge","MTG_ORIG_WAL")</f>
        <v>#N/A N/A</v>
      </c>
    </row>
    <row r="4360" spans="1:9" x14ac:dyDescent="0.25">
      <c r="A4360" t="str">
        <f>_xll.BDP("FNFS3852 Mtge","ID_CUSIP")</f>
        <v>3140XKH60</v>
      </c>
      <c r="B4360" t="str">
        <f>_xll.BDP("FNFS3852 Mtge","SECURITY_NAME")</f>
        <v>FN FS3852</v>
      </c>
      <c r="C4360" t="str">
        <f>_xll.BDP("FNFS3852 Mtge","GENERIC_TICKER_VINTAGE")</f>
        <v>FNCL 3 2021</v>
      </c>
      <c r="D4360" t="str">
        <f>_xll.BDP("FNFS3852 Mtge","CRNCY")</f>
        <v>USD</v>
      </c>
      <c r="E4360">
        <v>20227813</v>
      </c>
      <c r="F4360">
        <f>_xll.BDP("FNFS3852 Mtge","CPN")</f>
        <v>3</v>
      </c>
      <c r="G4360">
        <f>_xll.BDP("FNFS3852 Mtge","MTG_FACTOR")</f>
        <v>0.79664683000000003</v>
      </c>
      <c r="H4360">
        <f>_xll.BDP("FNFS3852 Mtge","MTG_WAL")</f>
        <v>8.4186999999999994</v>
      </c>
      <c r="I4360" t="str">
        <f>_xll.BDP("FNFS3852 Mtge","MTG_ORIG_WAL")</f>
        <v>#N/A N/A</v>
      </c>
    </row>
    <row r="4361" spans="1:9" x14ac:dyDescent="0.25">
      <c r="A4361" t="str">
        <f>_xll.BDP("FNFS3884 Mtge","ID_CUSIP")</f>
        <v>3140XKJ68</v>
      </c>
      <c r="B4361" t="str">
        <f>_xll.BDP("FNFS3884 Mtge","SECURITY_NAME")</f>
        <v>FN FS3884</v>
      </c>
      <c r="C4361" t="str">
        <f>_xll.BDP("FNFS3884 Mtge","GENERIC_TICKER_VINTAGE")</f>
        <v>FNCL 3 2021</v>
      </c>
      <c r="D4361" t="str">
        <f>_xll.BDP("FNFS3884 Mtge","CRNCY")</f>
        <v>USD</v>
      </c>
      <c r="E4361">
        <v>115289741</v>
      </c>
      <c r="F4361">
        <f>_xll.BDP("FNFS3884 Mtge","CPN")</f>
        <v>3</v>
      </c>
      <c r="G4361">
        <f>_xll.BDP("FNFS3884 Mtge","MTG_FACTOR")</f>
        <v>0.77139477000000001</v>
      </c>
      <c r="H4361">
        <f>_xll.BDP("FNFS3884 Mtge","MTG_WAL")</f>
        <v>8.3303999999999991</v>
      </c>
      <c r="I4361" t="str">
        <f>_xll.BDP("FNFS3884 Mtge","MTG_ORIG_WAL")</f>
        <v>#N/A N/A</v>
      </c>
    </row>
    <row r="4362" spans="1:9" x14ac:dyDescent="0.25">
      <c r="A4362" t="str">
        <f>_xll.BDP("FNFS3885 Mtge","ID_CUSIP")</f>
        <v>3140XKJ76</v>
      </c>
      <c r="B4362" t="str">
        <f>_xll.BDP("FNFS3885 Mtge","SECURITY_NAME")</f>
        <v>FN FS3885</v>
      </c>
      <c r="C4362" t="str">
        <f>_xll.BDP("FNFS3885 Mtge","GENERIC_TICKER_VINTAGE")</f>
        <v>FNCL 3 2021</v>
      </c>
      <c r="D4362" t="str">
        <f>_xll.BDP("FNFS3885 Mtge","CRNCY")</f>
        <v>USD</v>
      </c>
      <c r="E4362">
        <v>98593056</v>
      </c>
      <c r="F4362">
        <f>_xll.BDP("FNFS3885 Mtge","CPN")</f>
        <v>3</v>
      </c>
      <c r="G4362">
        <f>_xll.BDP("FNFS3885 Mtge","MTG_FACTOR")</f>
        <v>0.80929507999999994</v>
      </c>
      <c r="H4362">
        <f>_xll.BDP("FNFS3885 Mtge","MTG_WAL")</f>
        <v>8.1912000000000003</v>
      </c>
      <c r="I4362" t="str">
        <f>_xll.BDP("FNFS3885 Mtge","MTG_ORIG_WAL")</f>
        <v>#N/A N/A</v>
      </c>
    </row>
    <row r="4363" spans="1:9" x14ac:dyDescent="0.25">
      <c r="A4363" t="str">
        <f>_xll.BDP("FNFS4140 Mtge","ID_CUSIP")</f>
        <v>3140XKS68</v>
      </c>
      <c r="B4363" t="str">
        <f>_xll.BDP("FNFS4140 Mtge","SECURITY_NAME")</f>
        <v>FN FS4140</v>
      </c>
      <c r="C4363" t="str">
        <f>_xll.BDP("FNFS4140 Mtge","GENERIC_TICKER_VINTAGE")</f>
        <v>FNCL 3 2021</v>
      </c>
      <c r="D4363" t="str">
        <f>_xll.BDP("FNFS4140 Mtge","CRNCY")</f>
        <v>USD</v>
      </c>
      <c r="E4363">
        <v>49328317</v>
      </c>
      <c r="F4363">
        <f>_xll.BDP("FNFS4140 Mtge","CPN")</f>
        <v>3</v>
      </c>
      <c r="G4363">
        <f>_xll.BDP("FNFS4140 Mtge","MTG_FACTOR")</f>
        <v>0.74661312999999996</v>
      </c>
      <c r="H4363">
        <f>_xll.BDP("FNFS4140 Mtge","MTG_WAL")</f>
        <v>8.3206000000000007</v>
      </c>
      <c r="I4363" t="str">
        <f>_xll.BDP("FNFS4140 Mtge","MTG_ORIG_WAL")</f>
        <v>#N/A N/A</v>
      </c>
    </row>
    <row r="4364" spans="1:9" x14ac:dyDescent="0.25">
      <c r="A4364" t="str">
        <f>_xll.BDP("FNFS4198 Mtge","ID_CUSIP")</f>
        <v>3140XKUY4</v>
      </c>
      <c r="B4364" t="str">
        <f>_xll.BDP("FNFS4198 Mtge","SECURITY_NAME")</f>
        <v>FN FS4198</v>
      </c>
      <c r="C4364" t="str">
        <f>_xll.BDP("FNFS4198 Mtge","GENERIC_TICKER_VINTAGE")</f>
        <v>FNCL 3 2021</v>
      </c>
      <c r="D4364" t="str">
        <f>_xll.BDP("FNFS4198 Mtge","CRNCY")</f>
        <v>USD</v>
      </c>
      <c r="E4364">
        <v>20986774</v>
      </c>
      <c r="F4364">
        <f>_xll.BDP("FNFS4198 Mtge","CPN")</f>
        <v>3</v>
      </c>
      <c r="G4364">
        <f>_xll.BDP("FNFS4198 Mtge","MTG_FACTOR")</f>
        <v>0.82168140000000001</v>
      </c>
      <c r="H4364">
        <f>_xll.BDP("FNFS4198 Mtge","MTG_WAL")</f>
        <v>8.4102999999999994</v>
      </c>
      <c r="I4364" t="str">
        <f>_xll.BDP("FNFS4198 Mtge","MTG_ORIG_WAL")</f>
        <v>#N/A N/A</v>
      </c>
    </row>
    <row r="4365" spans="1:9" x14ac:dyDescent="0.25">
      <c r="A4365" t="str">
        <f>_xll.BDP("FNFS4338 Mtge","ID_CUSIP")</f>
        <v>3140XKZC7</v>
      </c>
      <c r="B4365" t="str">
        <f>_xll.BDP("FNFS4338 Mtge","SECURITY_NAME")</f>
        <v>FN FS4338</v>
      </c>
      <c r="C4365" t="str">
        <f>_xll.BDP("FNFS4338 Mtge","GENERIC_TICKER_VINTAGE")</f>
        <v>FNCL 3 2021</v>
      </c>
      <c r="D4365" t="str">
        <f>_xll.BDP("FNFS4338 Mtge","CRNCY")</f>
        <v>USD</v>
      </c>
      <c r="E4365">
        <v>39556889</v>
      </c>
      <c r="F4365">
        <f>_xll.BDP("FNFS4338 Mtge","CPN")</f>
        <v>3</v>
      </c>
      <c r="G4365">
        <f>_xll.BDP("FNFS4338 Mtge","MTG_FACTOR")</f>
        <v>0.81124057000000005</v>
      </c>
      <c r="H4365">
        <f>_xll.BDP("FNFS4338 Mtge","MTG_WAL")</f>
        <v>8.3998000000000008</v>
      </c>
      <c r="I4365" t="str">
        <f>_xll.BDP("FNFS4338 Mtge","MTG_ORIG_WAL")</f>
        <v>#N/A N/A</v>
      </c>
    </row>
    <row r="4366" spans="1:9" x14ac:dyDescent="0.25">
      <c r="A4366" t="str">
        <f>_xll.BDP("FNFS4476 Mtge","ID_CUSIP")</f>
        <v>3140XK6N5</v>
      </c>
      <c r="B4366" t="str">
        <f>_xll.BDP("FNFS4476 Mtge","SECURITY_NAME")</f>
        <v>FN FS4476</v>
      </c>
      <c r="C4366" t="str">
        <f>_xll.BDP("FNFS4476 Mtge","GENERIC_TICKER_VINTAGE")</f>
        <v>FNCL 3 2021</v>
      </c>
      <c r="D4366" t="str">
        <f>_xll.BDP("FNFS4476 Mtge","CRNCY")</f>
        <v>USD</v>
      </c>
      <c r="E4366">
        <v>12679202</v>
      </c>
      <c r="F4366">
        <f>_xll.BDP("FNFS4476 Mtge","CPN")</f>
        <v>3</v>
      </c>
      <c r="G4366">
        <f>_xll.BDP("FNFS4476 Mtge","MTG_FACTOR")</f>
        <v>0.78655403999999995</v>
      </c>
      <c r="H4366">
        <f>_xll.BDP("FNFS4476 Mtge","MTG_WAL")</f>
        <v>8.3725000000000005</v>
      </c>
      <c r="I4366" t="str">
        <f>_xll.BDP("FNFS4476 Mtge","MTG_ORIG_WAL")</f>
        <v>#N/A N/A</v>
      </c>
    </row>
    <row r="4367" spans="1:9" x14ac:dyDescent="0.25">
      <c r="A4367" t="str">
        <f>_xll.BDP("FNFS4505 Mtge","ID_CUSIP")</f>
        <v>3140XLAF5</v>
      </c>
      <c r="B4367" t="str">
        <f>_xll.BDP("FNFS4505 Mtge","SECURITY_NAME")</f>
        <v>FN FS4505</v>
      </c>
      <c r="C4367" t="str">
        <f>_xll.BDP("FNFS4505 Mtge","GENERIC_TICKER_VINTAGE")</f>
        <v>FNCL 3 2021</v>
      </c>
      <c r="D4367" t="str">
        <f>_xll.BDP("FNFS4505 Mtge","CRNCY")</f>
        <v>USD</v>
      </c>
      <c r="E4367">
        <v>46147266</v>
      </c>
      <c r="F4367">
        <f>_xll.BDP("FNFS4505 Mtge","CPN")</f>
        <v>3</v>
      </c>
      <c r="G4367">
        <f>_xll.BDP("FNFS4505 Mtge","MTG_FACTOR")</f>
        <v>0.77272025</v>
      </c>
      <c r="H4367">
        <f>_xll.BDP("FNFS4505 Mtge","MTG_WAL")</f>
        <v>8.2911999999999999</v>
      </c>
      <c r="I4367" t="str">
        <f>_xll.BDP("FNFS4505 Mtge","MTG_ORIG_WAL")</f>
        <v>#N/A N/A</v>
      </c>
    </row>
    <row r="4368" spans="1:9" x14ac:dyDescent="0.25">
      <c r="A4368" t="str">
        <f>_xll.BDP("FNFS4520 Mtge","ID_CUSIP")</f>
        <v>3140XLAW8</v>
      </c>
      <c r="B4368" t="str">
        <f>_xll.BDP("FNFS4520 Mtge","SECURITY_NAME")</f>
        <v>FN FS4520</v>
      </c>
      <c r="C4368" t="str">
        <f>_xll.BDP("FNFS4520 Mtge","GENERIC_TICKER_VINTAGE")</f>
        <v>FNCL 3 2021</v>
      </c>
      <c r="D4368" t="str">
        <f>_xll.BDP("FNFS4520 Mtge","CRNCY")</f>
        <v>USD</v>
      </c>
      <c r="E4368">
        <v>100772564</v>
      </c>
      <c r="F4368">
        <f>_xll.BDP("FNFS4520 Mtge","CPN")</f>
        <v>3</v>
      </c>
      <c r="G4368">
        <f>_xll.BDP("FNFS4520 Mtge","MTG_FACTOR")</f>
        <v>0.75689631999999996</v>
      </c>
      <c r="H4368">
        <f>_xll.BDP("FNFS4520 Mtge","MTG_WAL")</f>
        <v>8.2487999999999992</v>
      </c>
      <c r="I4368" t="str">
        <f>_xll.BDP("FNFS4520 Mtge","MTG_ORIG_WAL")</f>
        <v>#N/A N/A</v>
      </c>
    </row>
    <row r="4369" spans="1:9" x14ac:dyDescent="0.25">
      <c r="A4369" t="str">
        <f>_xll.BDP("FNFS4606 Mtge","ID_CUSIP")</f>
        <v>3140XLDL9</v>
      </c>
      <c r="B4369" t="str">
        <f>_xll.BDP("FNFS4606 Mtge","SECURITY_NAME")</f>
        <v>FN FS4606</v>
      </c>
      <c r="C4369" t="str">
        <f>_xll.BDP("FNFS4606 Mtge","GENERIC_TICKER_VINTAGE")</f>
        <v>FNCL 3 2021</v>
      </c>
      <c r="D4369" t="str">
        <f>_xll.BDP("FNFS4606 Mtge","CRNCY")</f>
        <v>USD</v>
      </c>
      <c r="E4369">
        <v>115279250</v>
      </c>
      <c r="F4369">
        <f>_xll.BDP("FNFS4606 Mtge","CPN")</f>
        <v>3</v>
      </c>
      <c r="G4369">
        <f>_xll.BDP("FNFS4606 Mtge","MTG_FACTOR")</f>
        <v>0.76178595000000005</v>
      </c>
      <c r="H4369">
        <f>_xll.BDP("FNFS4606 Mtge","MTG_WAL")</f>
        <v>8.3312000000000008</v>
      </c>
      <c r="I4369" t="str">
        <f>_xll.BDP("FNFS4606 Mtge","MTG_ORIG_WAL")</f>
        <v>#N/A N/A</v>
      </c>
    </row>
    <row r="4370" spans="1:9" x14ac:dyDescent="0.25">
      <c r="A4370" t="str">
        <f>_xll.BDP("FNFS4628 Mtge","ID_CUSIP")</f>
        <v>3140XLEA2</v>
      </c>
      <c r="B4370" t="str">
        <f>_xll.BDP("FNFS4628 Mtge","SECURITY_NAME")</f>
        <v>FN FS4628</v>
      </c>
      <c r="C4370" t="str">
        <f>_xll.BDP("FNFS4628 Mtge","GENERIC_TICKER_VINTAGE")</f>
        <v>FNCL 3 2021</v>
      </c>
      <c r="D4370" t="str">
        <f>_xll.BDP("FNFS4628 Mtge","CRNCY")</f>
        <v>USD</v>
      </c>
      <c r="E4370">
        <v>110641776</v>
      </c>
      <c r="F4370">
        <f>_xll.BDP("FNFS4628 Mtge","CPN")</f>
        <v>3</v>
      </c>
      <c r="G4370">
        <f>_xll.BDP("FNFS4628 Mtge","MTG_FACTOR")</f>
        <v>0.72002595000000003</v>
      </c>
      <c r="H4370">
        <f>_xll.BDP("FNFS4628 Mtge","MTG_WAL")</f>
        <v>8.3341999999999992</v>
      </c>
      <c r="I4370" t="str">
        <f>_xll.BDP("FNFS4628 Mtge","MTG_ORIG_WAL")</f>
        <v>#N/A N/A</v>
      </c>
    </row>
    <row r="4371" spans="1:9" x14ac:dyDescent="0.25">
      <c r="A4371" t="str">
        <f>_xll.BDP("FNFS4728 Mtge","ID_CUSIP")</f>
        <v>3140XLHE1</v>
      </c>
      <c r="B4371" t="str">
        <f>_xll.BDP("FNFS4728 Mtge","SECURITY_NAME")</f>
        <v>FN FS4728</v>
      </c>
      <c r="C4371" t="str">
        <f>_xll.BDP("FNFS4728 Mtge","GENERIC_TICKER_VINTAGE")</f>
        <v>FNCL 3 2021</v>
      </c>
      <c r="D4371" t="str">
        <f>_xll.BDP("FNFS4728 Mtge","CRNCY")</f>
        <v>USD</v>
      </c>
      <c r="E4371">
        <v>21978756</v>
      </c>
      <c r="F4371">
        <f>_xll.BDP("FNFS4728 Mtge","CPN")</f>
        <v>3</v>
      </c>
      <c r="G4371">
        <f>_xll.BDP("FNFS4728 Mtge","MTG_FACTOR")</f>
        <v>0.83052086000000003</v>
      </c>
      <c r="H4371">
        <f>_xll.BDP("FNFS4728 Mtge","MTG_WAL")</f>
        <v>8.2459000000000007</v>
      </c>
      <c r="I4371" t="str">
        <f>_xll.BDP("FNFS4728 Mtge","MTG_ORIG_WAL")</f>
        <v>#N/A N/A</v>
      </c>
    </row>
    <row r="4372" spans="1:9" x14ac:dyDescent="0.25">
      <c r="A4372" t="str">
        <f>_xll.BDP("FNFS4907 Mtge","ID_CUSIP")</f>
        <v>3140XLNZ7</v>
      </c>
      <c r="B4372" t="str">
        <f>_xll.BDP("FNFS4907 Mtge","SECURITY_NAME")</f>
        <v>FN FS4907</v>
      </c>
      <c r="C4372" t="str">
        <f>_xll.BDP("FNFS4907 Mtge","GENERIC_TICKER_VINTAGE")</f>
        <v>FNCL 3 2021</v>
      </c>
      <c r="D4372" t="str">
        <f>_xll.BDP("FNFS4907 Mtge","CRNCY")</f>
        <v>USD</v>
      </c>
      <c r="E4372">
        <v>16050829</v>
      </c>
      <c r="F4372">
        <f>_xll.BDP("FNFS4907 Mtge","CPN")</f>
        <v>3</v>
      </c>
      <c r="G4372">
        <f>_xll.BDP("FNFS4907 Mtge","MTG_FACTOR")</f>
        <v>0.77261791000000002</v>
      </c>
      <c r="H4372">
        <f>_xll.BDP("FNFS4907 Mtge","MTG_WAL")</f>
        <v>8.2791999999999994</v>
      </c>
      <c r="I4372" t="str">
        <f>_xll.BDP("FNFS4907 Mtge","MTG_ORIG_WAL")</f>
        <v>#N/A N/A</v>
      </c>
    </row>
    <row r="4373" spans="1:9" x14ac:dyDescent="0.25">
      <c r="A4373" t="str">
        <f>_xll.BDP("FNFS4924 Mtge","ID_CUSIP")</f>
        <v>3140XLPJ1</v>
      </c>
      <c r="B4373" t="str">
        <f>_xll.BDP("FNFS4924 Mtge","SECURITY_NAME")</f>
        <v>FN FS4924</v>
      </c>
      <c r="C4373" t="str">
        <f>_xll.BDP("FNFS4924 Mtge","GENERIC_TICKER_VINTAGE")</f>
        <v>FNCL 3 2021</v>
      </c>
      <c r="D4373" t="str">
        <f>_xll.BDP("FNFS4924 Mtge","CRNCY")</f>
        <v>USD</v>
      </c>
      <c r="E4373">
        <v>345318718</v>
      </c>
      <c r="F4373">
        <f>_xll.BDP("FNFS4924 Mtge","CPN")</f>
        <v>3</v>
      </c>
      <c r="G4373">
        <f>_xll.BDP("FNFS4924 Mtge","MTG_FACTOR")</f>
        <v>0.78467671999999999</v>
      </c>
      <c r="H4373">
        <f>_xll.BDP("FNFS4924 Mtge","MTG_WAL")</f>
        <v>8.3118999999999996</v>
      </c>
      <c r="I4373" t="str">
        <f>_xll.BDP("FNFS4924 Mtge","MTG_ORIG_WAL")</f>
        <v>#N/A N/A</v>
      </c>
    </row>
    <row r="4374" spans="1:9" x14ac:dyDescent="0.25">
      <c r="A4374" t="str">
        <f>_xll.BDP("FNFS4984 Mtge","ID_CUSIP")</f>
        <v>3140XLRE0</v>
      </c>
      <c r="B4374" t="str">
        <f>_xll.BDP("FNFS4984 Mtge","SECURITY_NAME")</f>
        <v>FN FS4984</v>
      </c>
      <c r="C4374" t="str">
        <f>_xll.BDP("FNFS4984 Mtge","GENERIC_TICKER_VINTAGE")</f>
        <v>FNCL 3 2021</v>
      </c>
      <c r="D4374" t="str">
        <f>_xll.BDP("FNFS4984 Mtge","CRNCY")</f>
        <v>USD</v>
      </c>
      <c r="E4374">
        <v>44933000</v>
      </c>
      <c r="F4374">
        <f>_xll.BDP("FNFS4984 Mtge","CPN")</f>
        <v>3</v>
      </c>
      <c r="G4374">
        <f>_xll.BDP("FNFS4984 Mtge","MTG_FACTOR")</f>
        <v>0.76464421000000005</v>
      </c>
      <c r="H4374">
        <f>_xll.BDP("FNFS4984 Mtge","MTG_WAL")</f>
        <v>8.3057999999999996</v>
      </c>
      <c r="I4374" t="str">
        <f>_xll.BDP("FNFS4984 Mtge","MTG_ORIG_WAL")</f>
        <v>#N/A N/A</v>
      </c>
    </row>
    <row r="4375" spans="1:9" x14ac:dyDescent="0.25">
      <c r="A4375" t="str">
        <f>_xll.BDP("FNFS4991 Mtge","ID_CUSIP")</f>
        <v>3140XLRM2</v>
      </c>
      <c r="B4375" t="str">
        <f>_xll.BDP("FNFS4991 Mtge","SECURITY_NAME")</f>
        <v>FN FS4991</v>
      </c>
      <c r="C4375" t="str">
        <f>_xll.BDP("FNFS4991 Mtge","GENERIC_TICKER_VINTAGE")</f>
        <v>FNCL 3 2021</v>
      </c>
      <c r="D4375" t="str">
        <f>_xll.BDP("FNFS4991 Mtge","CRNCY")</f>
        <v>USD</v>
      </c>
      <c r="E4375">
        <v>6948850</v>
      </c>
      <c r="F4375">
        <f>_xll.BDP("FNFS4991 Mtge","CPN")</f>
        <v>3</v>
      </c>
      <c r="G4375">
        <f>_xll.BDP("FNFS4991 Mtge","MTG_FACTOR")</f>
        <v>0.82594981999999995</v>
      </c>
      <c r="H4375">
        <f>_xll.BDP("FNFS4991 Mtge","MTG_WAL")</f>
        <v>8.2188999999999997</v>
      </c>
      <c r="I4375" t="str">
        <f>_xll.BDP("FNFS4991 Mtge","MTG_ORIG_WAL")</f>
        <v>#N/A N/A</v>
      </c>
    </row>
    <row r="4376" spans="1:9" x14ac:dyDescent="0.25">
      <c r="A4376" t="str">
        <f>_xll.BDP("FNFS5127 Mtge","ID_CUSIP")</f>
        <v>3140XLVV7</v>
      </c>
      <c r="B4376" t="str">
        <f>_xll.BDP("FNFS5127 Mtge","SECURITY_NAME")</f>
        <v>FN FS5127</v>
      </c>
      <c r="C4376" t="str">
        <f>_xll.BDP("FNFS5127 Mtge","GENERIC_TICKER_VINTAGE")</f>
        <v>FNCL 3 2021</v>
      </c>
      <c r="D4376" t="str">
        <f>_xll.BDP("FNFS5127 Mtge","CRNCY")</f>
        <v>USD</v>
      </c>
      <c r="E4376">
        <v>82818798</v>
      </c>
      <c r="F4376">
        <f>_xll.BDP("FNFS5127 Mtge","CPN")</f>
        <v>3</v>
      </c>
      <c r="G4376">
        <f>_xll.BDP("FNFS5127 Mtge","MTG_FACTOR")</f>
        <v>0.83857755</v>
      </c>
      <c r="H4376">
        <f>_xll.BDP("FNFS5127 Mtge","MTG_WAL")</f>
        <v>8.2292000000000005</v>
      </c>
      <c r="I4376" t="str">
        <f>_xll.BDP("FNFS5127 Mtge","MTG_ORIG_WAL")</f>
        <v>#N/A N/A</v>
      </c>
    </row>
    <row r="4377" spans="1:9" x14ac:dyDescent="0.25">
      <c r="A4377" t="str">
        <f>_xll.BDP("FNFS5133 Mtge","ID_CUSIP")</f>
        <v>3140XLV39</v>
      </c>
      <c r="B4377" t="str">
        <f>_xll.BDP("FNFS5133 Mtge","SECURITY_NAME")</f>
        <v>FN FS5133</v>
      </c>
      <c r="C4377" t="str">
        <f>_xll.BDP("FNFS5133 Mtge","GENERIC_TICKER_VINTAGE")</f>
        <v>FNCL 3 2021</v>
      </c>
      <c r="D4377" t="str">
        <f>_xll.BDP("FNFS5133 Mtge","CRNCY")</f>
        <v>USD</v>
      </c>
      <c r="E4377">
        <v>93571627</v>
      </c>
      <c r="F4377">
        <f>_xll.BDP("FNFS5133 Mtge","CPN")</f>
        <v>3</v>
      </c>
      <c r="G4377">
        <f>_xll.BDP("FNFS5133 Mtge","MTG_FACTOR")</f>
        <v>0.84760793999999995</v>
      </c>
      <c r="H4377">
        <f>_xll.BDP("FNFS5133 Mtge","MTG_WAL")</f>
        <v>8.1667000000000005</v>
      </c>
      <c r="I4377" t="str">
        <f>_xll.BDP("FNFS5133 Mtge","MTG_ORIG_WAL")</f>
        <v>#N/A N/A</v>
      </c>
    </row>
    <row r="4378" spans="1:9" x14ac:dyDescent="0.25">
      <c r="A4378" t="str">
        <f>_xll.BDP("FNFS5326 Mtge","ID_CUSIP")</f>
        <v>3140XL4L9</v>
      </c>
      <c r="B4378" t="str">
        <f>_xll.BDP("FNFS5326 Mtge","SECURITY_NAME")</f>
        <v>FN FS5326</v>
      </c>
      <c r="C4378" t="str">
        <f>_xll.BDP("FNFS5326 Mtge","GENERIC_TICKER_VINTAGE")</f>
        <v>FNCL 3 2021</v>
      </c>
      <c r="D4378" t="str">
        <f>_xll.BDP("FNFS5326 Mtge","CRNCY")</f>
        <v>USD</v>
      </c>
      <c r="E4378">
        <v>10072031</v>
      </c>
      <c r="F4378">
        <f>_xll.BDP("FNFS5326 Mtge","CPN")</f>
        <v>3</v>
      </c>
      <c r="G4378">
        <f>_xll.BDP("FNFS5326 Mtge","MTG_FACTOR")</f>
        <v>0.83076313000000002</v>
      </c>
      <c r="H4378">
        <f>_xll.BDP("FNFS5326 Mtge","MTG_WAL")</f>
        <v>8.3681000000000001</v>
      </c>
      <c r="I4378" t="str">
        <f>_xll.BDP("FNFS5326 Mtge","MTG_ORIG_WAL")</f>
        <v>#N/A N/A</v>
      </c>
    </row>
    <row r="4379" spans="1:9" x14ac:dyDescent="0.25">
      <c r="A4379" t="str">
        <f>_xll.BDP("FNFS5448 Mtge","ID_CUSIP")</f>
        <v>3140XMBS4</v>
      </c>
      <c r="B4379" t="str">
        <f>_xll.BDP("FNFS5448 Mtge","SECURITY_NAME")</f>
        <v>FN FS5448</v>
      </c>
      <c r="C4379" t="str">
        <f>_xll.BDP("FNFS5448 Mtge","GENERIC_TICKER_VINTAGE")</f>
        <v>FNCL 3 2021</v>
      </c>
      <c r="D4379" t="str">
        <f>_xll.BDP("FNFS5448 Mtge","CRNCY")</f>
        <v>USD</v>
      </c>
      <c r="E4379">
        <v>26733555</v>
      </c>
      <c r="F4379">
        <f>_xll.BDP("FNFS5448 Mtge","CPN")</f>
        <v>3</v>
      </c>
      <c r="G4379">
        <f>_xll.BDP("FNFS5448 Mtge","MTG_FACTOR")</f>
        <v>0.81078556000000002</v>
      </c>
      <c r="H4379">
        <f>_xll.BDP("FNFS5448 Mtge","MTG_WAL")</f>
        <v>8.2565000000000008</v>
      </c>
      <c r="I4379" t="str">
        <f>_xll.BDP("FNFS5448 Mtge","MTG_ORIG_WAL")</f>
        <v>#N/A N/A</v>
      </c>
    </row>
    <row r="4380" spans="1:9" x14ac:dyDescent="0.25">
      <c r="A4380" t="str">
        <f>_xll.BDP("FNFS5945 Mtge","ID_CUSIP")</f>
        <v>3140XMTB2</v>
      </c>
      <c r="B4380" t="str">
        <f>_xll.BDP("FNFS5945 Mtge","SECURITY_NAME")</f>
        <v>FN FS5945</v>
      </c>
      <c r="C4380" t="str">
        <f>_xll.BDP("FNFS5945 Mtge","GENERIC_TICKER_VINTAGE")</f>
        <v>FNCL 3 2021</v>
      </c>
      <c r="D4380" t="str">
        <f>_xll.BDP("FNFS5945 Mtge","CRNCY")</f>
        <v>USD</v>
      </c>
      <c r="E4380">
        <v>6927709</v>
      </c>
      <c r="F4380">
        <f>_xll.BDP("FNFS5945 Mtge","CPN")</f>
        <v>3</v>
      </c>
      <c r="G4380">
        <f>_xll.BDP("FNFS5945 Mtge","MTG_FACTOR")</f>
        <v>0.83974258999999996</v>
      </c>
      <c r="H4380">
        <f>_xll.BDP("FNFS5945 Mtge","MTG_WAL")</f>
        <v>8.3925000000000001</v>
      </c>
      <c r="I4380" t="str">
        <f>_xll.BDP("FNFS5945 Mtge","MTG_ORIG_WAL")</f>
        <v>#N/A N/A</v>
      </c>
    </row>
    <row r="4381" spans="1:9" x14ac:dyDescent="0.25">
      <c r="A4381" t="str">
        <f>_xll.BDP("FNFS6009 Mtge","ID_CUSIP")</f>
        <v>3140XMVB9</v>
      </c>
      <c r="B4381" t="str">
        <f>_xll.BDP("FNFS6009 Mtge","SECURITY_NAME")</f>
        <v>FN FS6009</v>
      </c>
      <c r="C4381" t="str">
        <f>_xll.BDP("FNFS6009 Mtge","GENERIC_TICKER_VINTAGE")</f>
        <v>FNCL 3 2021</v>
      </c>
      <c r="D4381" t="str">
        <f>_xll.BDP("FNFS6009 Mtge","CRNCY")</f>
        <v>USD</v>
      </c>
      <c r="E4381">
        <v>99785987</v>
      </c>
      <c r="F4381">
        <f>_xll.BDP("FNFS6009 Mtge","CPN")</f>
        <v>3</v>
      </c>
      <c r="G4381">
        <f>_xll.BDP("FNFS6009 Mtge","MTG_FACTOR")</f>
        <v>0.79601553999999997</v>
      </c>
      <c r="H4381">
        <f>_xll.BDP("FNFS6009 Mtge","MTG_WAL")</f>
        <v>8.2446000000000002</v>
      </c>
      <c r="I4381" t="str">
        <f>_xll.BDP("FNFS6009 Mtge","MTG_ORIG_WAL")</f>
        <v>#N/A N/A</v>
      </c>
    </row>
    <row r="4382" spans="1:9" x14ac:dyDescent="0.25">
      <c r="A4382" t="str">
        <f>_xll.BDP("FNFS6123 Mtge","ID_CUSIP")</f>
        <v>3140XMYV2</v>
      </c>
      <c r="B4382" t="str">
        <f>_xll.BDP("FNFS6123 Mtge","SECURITY_NAME")</f>
        <v>FN FS6123</v>
      </c>
      <c r="C4382" t="str">
        <f>_xll.BDP("FNFS6123 Mtge","GENERIC_TICKER_VINTAGE")</f>
        <v>FNCL 3 2021</v>
      </c>
      <c r="D4382" t="str">
        <f>_xll.BDP("FNFS6123 Mtge","CRNCY")</f>
        <v>USD</v>
      </c>
      <c r="E4382">
        <v>14967632</v>
      </c>
      <c r="F4382">
        <f>_xll.BDP("FNFS6123 Mtge","CPN")</f>
        <v>3</v>
      </c>
      <c r="G4382">
        <f>_xll.BDP("FNFS6123 Mtge","MTG_FACTOR")</f>
        <v>0.88653795000000002</v>
      </c>
      <c r="H4382">
        <f>_xll.BDP("FNFS6123 Mtge","MTG_WAL")</f>
        <v>8.4084000000000003</v>
      </c>
      <c r="I4382" t="str">
        <f>_xll.BDP("FNFS6123 Mtge","MTG_ORIG_WAL")</f>
        <v>#N/A N/A</v>
      </c>
    </row>
    <row r="4383" spans="1:9" x14ac:dyDescent="0.25">
      <c r="A4383" t="str">
        <f>_xll.BDP("FNFS6240 Mtge","ID_CUSIP")</f>
        <v>3140XM5A0</v>
      </c>
      <c r="B4383" t="str">
        <f>_xll.BDP("FNFS6240 Mtge","SECURITY_NAME")</f>
        <v>FN FS6240</v>
      </c>
      <c r="C4383" t="str">
        <f>_xll.BDP("FNFS6240 Mtge","GENERIC_TICKER_VINTAGE")</f>
        <v>FNCL 3 2021</v>
      </c>
      <c r="D4383" t="str">
        <f>_xll.BDP("FNFS6240 Mtge","CRNCY")</f>
        <v>USD</v>
      </c>
      <c r="E4383">
        <v>35690184</v>
      </c>
      <c r="F4383">
        <f>_xll.BDP("FNFS6240 Mtge","CPN")</f>
        <v>3</v>
      </c>
      <c r="G4383">
        <f>_xll.BDP("FNFS6240 Mtge","MTG_FACTOR")</f>
        <v>0.81857994999999995</v>
      </c>
      <c r="H4383">
        <f>_xll.BDP("FNFS6240 Mtge","MTG_WAL")</f>
        <v>8.3301999999999996</v>
      </c>
      <c r="I4383" t="str">
        <f>_xll.BDP("FNFS6240 Mtge","MTG_ORIG_WAL")</f>
        <v>#N/A N/A</v>
      </c>
    </row>
    <row r="4384" spans="1:9" x14ac:dyDescent="0.25">
      <c r="A4384" t="str">
        <f>_xll.BDP("FNFS6340 Mtge","ID_CUSIP")</f>
        <v>3140XNBJ2</v>
      </c>
      <c r="B4384" t="str">
        <f>_xll.BDP("FNFS6340 Mtge","SECURITY_NAME")</f>
        <v>FN FS6340</v>
      </c>
      <c r="C4384" t="str">
        <f>_xll.BDP("FNFS6340 Mtge","GENERIC_TICKER_VINTAGE")</f>
        <v>FNCL 3 2021</v>
      </c>
      <c r="D4384" t="str">
        <f>_xll.BDP("FNFS6340 Mtge","CRNCY")</f>
        <v>USD</v>
      </c>
      <c r="E4384">
        <v>71153911</v>
      </c>
      <c r="F4384">
        <f>_xll.BDP("FNFS6340 Mtge","CPN")</f>
        <v>3</v>
      </c>
      <c r="G4384">
        <f>_xll.BDP("FNFS6340 Mtge","MTG_FACTOR")</f>
        <v>0.76781328000000004</v>
      </c>
      <c r="H4384">
        <f>_xll.BDP("FNFS6340 Mtge","MTG_WAL")</f>
        <v>8.1524999999999999</v>
      </c>
      <c r="I4384" t="str">
        <f>_xll.BDP("FNFS6340 Mtge","MTG_ORIG_WAL")</f>
        <v>#N/A N/A</v>
      </c>
    </row>
    <row r="4385" spans="1:9" x14ac:dyDescent="0.25">
      <c r="A4385" t="str">
        <f>_xll.BDP("FNFS6482 Mtge","ID_CUSIP")</f>
        <v>3140XNFY5</v>
      </c>
      <c r="B4385" t="str">
        <f>_xll.BDP("FNFS6482 Mtge","SECURITY_NAME")</f>
        <v>FN FS6482</v>
      </c>
      <c r="C4385" t="str">
        <f>_xll.BDP("FNFS6482 Mtge","GENERIC_TICKER_VINTAGE")</f>
        <v>FNCL 3 2021</v>
      </c>
      <c r="D4385" t="str">
        <f>_xll.BDP("FNFS6482 Mtge","CRNCY")</f>
        <v>USD</v>
      </c>
      <c r="E4385">
        <v>49329976</v>
      </c>
      <c r="F4385">
        <f>_xll.BDP("FNFS6482 Mtge","CPN")</f>
        <v>3</v>
      </c>
      <c r="G4385">
        <f>_xll.BDP("FNFS6482 Mtge","MTG_FACTOR")</f>
        <v>0.84177590999999996</v>
      </c>
      <c r="H4385">
        <f>_xll.BDP("FNFS6482 Mtge","MTG_WAL")</f>
        <v>8.3056999999999999</v>
      </c>
      <c r="I4385" t="str">
        <f>_xll.BDP("FNFS6482 Mtge","MTG_ORIG_WAL")</f>
        <v>#N/A N/A</v>
      </c>
    </row>
    <row r="4386" spans="1:9" x14ac:dyDescent="0.25">
      <c r="A4386" t="str">
        <f>_xll.BDP("FNFS6633 Mtge","ID_CUSIP")</f>
        <v>3140XNLP7</v>
      </c>
      <c r="B4386" t="str">
        <f>_xll.BDP("FNFS6633 Mtge","SECURITY_NAME")</f>
        <v>FN FS6633</v>
      </c>
      <c r="C4386" t="str">
        <f>_xll.BDP("FNFS6633 Mtge","GENERIC_TICKER_VINTAGE")</f>
        <v>FNCL 3 2021</v>
      </c>
      <c r="D4386" t="str">
        <f>_xll.BDP("FNFS6633 Mtge","CRNCY")</f>
        <v>USD</v>
      </c>
      <c r="E4386">
        <v>54334287</v>
      </c>
      <c r="F4386">
        <f>_xll.BDP("FNFS6633 Mtge","CPN")</f>
        <v>3</v>
      </c>
      <c r="G4386">
        <f>_xll.BDP("FNFS6633 Mtge","MTG_FACTOR")</f>
        <v>0.86822407000000001</v>
      </c>
      <c r="H4386">
        <f>_xll.BDP("FNFS6633 Mtge","MTG_WAL")</f>
        <v>8.3937000000000008</v>
      </c>
      <c r="I4386" t="str">
        <f>_xll.BDP("FNFS6633 Mtge","MTG_ORIG_WAL")</f>
        <v>#N/A N/A</v>
      </c>
    </row>
    <row r="4387" spans="1:9" x14ac:dyDescent="0.25">
      <c r="A4387" t="str">
        <f>_xll.BDP("FNFS6634 Mtge","ID_CUSIP")</f>
        <v>3140XNLQ5</v>
      </c>
      <c r="B4387" t="str">
        <f>_xll.BDP("FNFS6634 Mtge","SECURITY_NAME")</f>
        <v>FN FS6634</v>
      </c>
      <c r="C4387" t="str">
        <f>_xll.BDP("FNFS6634 Mtge","GENERIC_TICKER_VINTAGE")</f>
        <v>FNCL 3 2021</v>
      </c>
      <c r="D4387" t="str">
        <f>_xll.BDP("FNFS6634 Mtge","CRNCY")</f>
        <v>USD</v>
      </c>
      <c r="E4387">
        <v>86661542</v>
      </c>
      <c r="F4387">
        <f>_xll.BDP("FNFS6634 Mtge","CPN")</f>
        <v>3</v>
      </c>
      <c r="G4387">
        <f>_xll.BDP("FNFS6634 Mtge","MTG_FACTOR")</f>
        <v>0.85724122999999997</v>
      </c>
      <c r="H4387">
        <f>_xll.BDP("FNFS6634 Mtge","MTG_WAL")</f>
        <v>8.3039000000000005</v>
      </c>
      <c r="I4387" t="str">
        <f>_xll.BDP("FNFS6634 Mtge","MTG_ORIG_WAL")</f>
        <v>#N/A N/A</v>
      </c>
    </row>
    <row r="4388" spans="1:9" x14ac:dyDescent="0.25">
      <c r="A4388" t="str">
        <f>_xll.BDP("FNFS6680 Mtge","ID_CUSIP")</f>
        <v>3140XNM68</v>
      </c>
      <c r="B4388" t="str">
        <f>_xll.BDP("FNFS6680 Mtge","SECURITY_NAME")</f>
        <v>FN FS6680</v>
      </c>
      <c r="C4388" t="str">
        <f>_xll.BDP("FNFS6680 Mtge","GENERIC_TICKER_VINTAGE")</f>
        <v>FNCL 3 2021</v>
      </c>
      <c r="D4388" t="str">
        <f>_xll.BDP("FNFS6680 Mtge","CRNCY")</f>
        <v>USD</v>
      </c>
      <c r="E4388">
        <v>28892546</v>
      </c>
      <c r="F4388">
        <f>_xll.BDP("FNFS6680 Mtge","CPN")</f>
        <v>3</v>
      </c>
      <c r="G4388">
        <f>_xll.BDP("FNFS6680 Mtge","MTG_FACTOR")</f>
        <v>0.81183035999999997</v>
      </c>
      <c r="H4388">
        <f>_xll.BDP("FNFS6680 Mtge","MTG_WAL")</f>
        <v>8.2095000000000002</v>
      </c>
      <c r="I4388" t="str">
        <f>_xll.BDP("FNFS6680 Mtge","MTG_ORIG_WAL")</f>
        <v>#N/A N/A</v>
      </c>
    </row>
    <row r="4389" spans="1:9" x14ac:dyDescent="0.25">
      <c r="A4389" t="str">
        <f>_xll.BDP("FNFS6731 Mtge","ID_CUSIP")</f>
        <v>3140XNPR9</v>
      </c>
      <c r="B4389" t="str">
        <f>_xll.BDP("FNFS6731 Mtge","SECURITY_NAME")</f>
        <v>FN FS6731</v>
      </c>
      <c r="C4389" t="str">
        <f>_xll.BDP("FNFS6731 Mtge","GENERIC_TICKER_VINTAGE")</f>
        <v>FNCL 3 2021</v>
      </c>
      <c r="D4389" t="str">
        <f>_xll.BDP("FNFS6731 Mtge","CRNCY")</f>
        <v>USD</v>
      </c>
      <c r="E4389">
        <v>29370321</v>
      </c>
      <c r="F4389">
        <f>_xll.BDP("FNFS6731 Mtge","CPN")</f>
        <v>3</v>
      </c>
      <c r="G4389">
        <f>_xll.BDP("FNFS6731 Mtge","MTG_FACTOR")</f>
        <v>0.78512464000000004</v>
      </c>
      <c r="H4389">
        <f>_xll.BDP("FNFS6731 Mtge","MTG_WAL")</f>
        <v>8.2867999999999995</v>
      </c>
      <c r="I4389" t="str">
        <f>_xll.BDP("FNFS6731 Mtge","MTG_ORIG_WAL")</f>
        <v>#N/A N/A</v>
      </c>
    </row>
    <row r="4390" spans="1:9" x14ac:dyDescent="0.25">
      <c r="A4390" t="str">
        <f>_xll.BDP("FNFS6788 Mtge","ID_CUSIP")</f>
        <v>3140XNRJ5</v>
      </c>
      <c r="B4390" t="str">
        <f>_xll.BDP("FNFS6788 Mtge","SECURITY_NAME")</f>
        <v>FN FS6788</v>
      </c>
      <c r="C4390" t="str">
        <f>_xll.BDP("FNFS6788 Mtge","GENERIC_TICKER_VINTAGE")</f>
        <v>FNCL 3 2021</v>
      </c>
      <c r="D4390" t="str">
        <f>_xll.BDP("FNFS6788 Mtge","CRNCY")</f>
        <v>USD</v>
      </c>
      <c r="E4390">
        <v>165179808</v>
      </c>
      <c r="F4390">
        <f>_xll.BDP("FNFS6788 Mtge","CPN")</f>
        <v>3</v>
      </c>
      <c r="G4390">
        <f>_xll.BDP("FNFS6788 Mtge","MTG_FACTOR")</f>
        <v>0.87245700000000004</v>
      </c>
      <c r="H4390">
        <f>_xll.BDP("FNFS6788 Mtge","MTG_WAL")</f>
        <v>8.2467000000000006</v>
      </c>
      <c r="I4390" t="str">
        <f>_xll.BDP("FNFS6788 Mtge","MTG_ORIG_WAL")</f>
        <v>#N/A N/A</v>
      </c>
    </row>
    <row r="4391" spans="1:9" x14ac:dyDescent="0.25">
      <c r="A4391" t="str">
        <f>_xll.BDP("FNFS6861 Mtge","ID_CUSIP")</f>
        <v>3140XNTT1</v>
      </c>
      <c r="B4391" t="str">
        <f>_xll.BDP("FNFS6861 Mtge","SECURITY_NAME")</f>
        <v>FN FS6861</v>
      </c>
      <c r="C4391" t="str">
        <f>_xll.BDP("FNFS6861 Mtge","GENERIC_TICKER_VINTAGE")</f>
        <v>FNCL 3 2021</v>
      </c>
      <c r="D4391" t="str">
        <f>_xll.BDP("FNFS6861 Mtge","CRNCY")</f>
        <v>USD</v>
      </c>
      <c r="E4391">
        <v>9701377</v>
      </c>
      <c r="F4391">
        <f>_xll.BDP("FNFS6861 Mtge","CPN")</f>
        <v>3</v>
      </c>
      <c r="G4391">
        <f>_xll.BDP("FNFS6861 Mtge","MTG_FACTOR")</f>
        <v>0.88715082999999995</v>
      </c>
      <c r="H4391">
        <f>_xll.BDP("FNFS6861 Mtge","MTG_WAL")</f>
        <v>8.3376999999999999</v>
      </c>
      <c r="I4391" t="str">
        <f>_xll.BDP("FNFS6861 Mtge","MTG_ORIG_WAL")</f>
        <v>#N/A N/A</v>
      </c>
    </row>
    <row r="4392" spans="1:9" x14ac:dyDescent="0.25">
      <c r="A4392" t="str">
        <f>_xll.BDP("FNFS6992 Mtge","ID_CUSIP")</f>
        <v>3140XNXW9</v>
      </c>
      <c r="B4392" t="str">
        <f>_xll.BDP("FNFS6992 Mtge","SECURITY_NAME")</f>
        <v>FN FS6992</v>
      </c>
      <c r="C4392" t="str">
        <f>_xll.BDP("FNFS6992 Mtge","GENERIC_TICKER_VINTAGE")</f>
        <v>FNCL 3 2021</v>
      </c>
      <c r="D4392" t="str">
        <f>_xll.BDP("FNFS6992 Mtge","CRNCY")</f>
        <v>USD</v>
      </c>
      <c r="E4392">
        <v>13059324</v>
      </c>
      <c r="F4392">
        <f>_xll.BDP("FNFS6992 Mtge","CPN")</f>
        <v>3</v>
      </c>
      <c r="G4392">
        <f>_xll.BDP("FNFS6992 Mtge","MTG_FACTOR")</f>
        <v>0.82725397000000001</v>
      </c>
      <c r="H4392">
        <f>_xll.BDP("FNFS6992 Mtge","MTG_WAL")</f>
        <v>8.2629999999999999</v>
      </c>
      <c r="I4392" t="str">
        <f>_xll.BDP("FNFS6992 Mtge","MTG_ORIG_WAL")</f>
        <v>#N/A N/A</v>
      </c>
    </row>
    <row r="4393" spans="1:9" x14ac:dyDescent="0.25">
      <c r="A4393" t="str">
        <f>_xll.BDP("FNFS6997 Mtge","ID_CUSIP")</f>
        <v>3140XNX33</v>
      </c>
      <c r="B4393" t="str">
        <f>_xll.BDP("FNFS6997 Mtge","SECURITY_NAME")</f>
        <v>FN FS6997</v>
      </c>
      <c r="C4393" t="str">
        <f>_xll.BDP("FNFS6997 Mtge","GENERIC_TICKER_VINTAGE")</f>
        <v>FNCL 3 2021</v>
      </c>
      <c r="D4393" t="str">
        <f>_xll.BDP("FNFS6997 Mtge","CRNCY")</f>
        <v>USD</v>
      </c>
      <c r="E4393">
        <v>4927722</v>
      </c>
      <c r="F4393">
        <f>_xll.BDP("FNFS6997 Mtge","CPN")</f>
        <v>3</v>
      </c>
      <c r="G4393">
        <f>_xll.BDP("FNFS6997 Mtge","MTG_FACTOR")</f>
        <v>0.84415857999999999</v>
      </c>
      <c r="H4393">
        <f>_xll.BDP("FNFS6997 Mtge","MTG_WAL")</f>
        <v>8.3482000000000003</v>
      </c>
      <c r="I4393" t="str">
        <f>_xll.BDP("FNFS6997 Mtge","MTG_ORIG_WAL")</f>
        <v>#N/A N/A</v>
      </c>
    </row>
    <row r="4394" spans="1:9" x14ac:dyDescent="0.25">
      <c r="A4394" t="str">
        <f>_xll.BDP("FNFS7060 Mtge","ID_CUSIP")</f>
        <v>3140XNZ23</v>
      </c>
      <c r="B4394" t="str">
        <f>_xll.BDP("FNFS7060 Mtge","SECURITY_NAME")</f>
        <v>FN FS7060</v>
      </c>
      <c r="C4394" t="str">
        <f>_xll.BDP("FNFS7060 Mtge","GENERIC_TICKER_VINTAGE")</f>
        <v>FNCL 3 2021</v>
      </c>
      <c r="D4394" t="str">
        <f>_xll.BDP("FNFS7060 Mtge","CRNCY")</f>
        <v>USD</v>
      </c>
      <c r="E4394">
        <v>59963937</v>
      </c>
      <c r="F4394">
        <f>_xll.BDP("FNFS7060 Mtge","CPN")</f>
        <v>3</v>
      </c>
      <c r="G4394">
        <f>_xll.BDP("FNFS7060 Mtge","MTG_FACTOR")</f>
        <v>0.86386525000000003</v>
      </c>
      <c r="H4394">
        <f>_xll.BDP("FNFS7060 Mtge","MTG_WAL")</f>
        <v>8.4117999999999995</v>
      </c>
      <c r="I4394" t="str">
        <f>_xll.BDP("FNFS7060 Mtge","MTG_ORIG_WAL")</f>
        <v>#N/A N/A</v>
      </c>
    </row>
    <row r="4395" spans="1:9" x14ac:dyDescent="0.25">
      <c r="A4395" t="str">
        <f>_xll.BDP("FNFS7076 Mtge","ID_CUSIP")</f>
        <v>3140XN2J2</v>
      </c>
      <c r="B4395" t="str">
        <f>_xll.BDP("FNFS7076 Mtge","SECURITY_NAME")</f>
        <v>FN FS7076</v>
      </c>
      <c r="C4395" t="str">
        <f>_xll.BDP("FNFS7076 Mtge","GENERIC_TICKER_VINTAGE")</f>
        <v>FNCL 3 2021</v>
      </c>
      <c r="D4395" t="str">
        <f>_xll.BDP("FNFS7076 Mtge","CRNCY")</f>
        <v>USD</v>
      </c>
      <c r="E4395">
        <v>37685580</v>
      </c>
      <c r="F4395">
        <f>_xll.BDP("FNFS7076 Mtge","CPN")</f>
        <v>3</v>
      </c>
      <c r="G4395">
        <f>_xll.BDP("FNFS7076 Mtge","MTG_FACTOR")</f>
        <v>0.84566543000000005</v>
      </c>
      <c r="H4395">
        <f>_xll.BDP("FNFS7076 Mtge","MTG_WAL")</f>
        <v>8.2644000000000002</v>
      </c>
      <c r="I4395" t="str">
        <f>_xll.BDP("FNFS7076 Mtge","MTG_ORIG_WAL")</f>
        <v>#N/A N/A</v>
      </c>
    </row>
    <row r="4396" spans="1:9" x14ac:dyDescent="0.25">
      <c r="A4396" t="str">
        <f>_xll.BDP("FNFS7175 Mtge","ID_CUSIP")</f>
        <v>3140XN6M1</v>
      </c>
      <c r="B4396" t="str">
        <f>_xll.BDP("FNFS7175 Mtge","SECURITY_NAME")</f>
        <v>FN FS7175</v>
      </c>
      <c r="C4396" t="str">
        <f>_xll.BDP("FNFS7175 Mtge","GENERIC_TICKER_VINTAGE")</f>
        <v>FNCL 3 2021</v>
      </c>
      <c r="D4396" t="str">
        <f>_xll.BDP("FNFS7175 Mtge","CRNCY")</f>
        <v>USD</v>
      </c>
      <c r="E4396">
        <v>63591474</v>
      </c>
      <c r="F4396">
        <f>_xll.BDP("FNFS7175 Mtge","CPN")</f>
        <v>3</v>
      </c>
      <c r="G4396">
        <f>_xll.BDP("FNFS7175 Mtge","MTG_FACTOR")</f>
        <v>0.82090249999999998</v>
      </c>
      <c r="H4396">
        <f>_xll.BDP("FNFS7175 Mtge","MTG_WAL")</f>
        <v>8.3231000000000002</v>
      </c>
      <c r="I4396" t="str">
        <f>_xll.BDP("FNFS7175 Mtge","MTG_ORIG_WAL")</f>
        <v>#N/A N/A</v>
      </c>
    </row>
    <row r="4397" spans="1:9" x14ac:dyDescent="0.25">
      <c r="A4397" t="str">
        <f>_xll.BDP("FNFS7176 Mtge","ID_CUSIP")</f>
        <v>3140XN6N9</v>
      </c>
      <c r="B4397" t="str">
        <f>_xll.BDP("FNFS7176 Mtge","SECURITY_NAME")</f>
        <v>FN FS7176</v>
      </c>
      <c r="C4397" t="str">
        <f>_xll.BDP("FNFS7176 Mtge","GENERIC_TICKER_VINTAGE")</f>
        <v>FNCL 3 2021</v>
      </c>
      <c r="D4397" t="str">
        <f>_xll.BDP("FNFS7176 Mtge","CRNCY")</f>
        <v>USD</v>
      </c>
      <c r="E4397">
        <v>118898009</v>
      </c>
      <c r="F4397">
        <f>_xll.BDP("FNFS7176 Mtge","CPN")</f>
        <v>3</v>
      </c>
      <c r="G4397">
        <f>_xll.BDP("FNFS7176 Mtge","MTG_FACTOR")</f>
        <v>0.84314546999999995</v>
      </c>
      <c r="H4397">
        <f>_xll.BDP("FNFS7176 Mtge","MTG_WAL")</f>
        <v>8.3696999999999999</v>
      </c>
      <c r="I4397" t="str">
        <f>_xll.BDP("FNFS7176 Mtge","MTG_ORIG_WAL")</f>
        <v>#N/A N/A</v>
      </c>
    </row>
    <row r="4398" spans="1:9" x14ac:dyDescent="0.25">
      <c r="A4398" t="str">
        <f>_xll.BDP("FNFS7178 Mtge","ID_CUSIP")</f>
        <v>3140XN6Q2</v>
      </c>
      <c r="B4398" t="str">
        <f>_xll.BDP("FNFS7178 Mtge","SECURITY_NAME")</f>
        <v>FN FS7178</v>
      </c>
      <c r="C4398" t="str">
        <f>_xll.BDP("FNFS7178 Mtge","GENERIC_TICKER_VINTAGE")</f>
        <v>FNCL 3 2021</v>
      </c>
      <c r="D4398" t="str">
        <f>_xll.BDP("FNFS7178 Mtge","CRNCY")</f>
        <v>USD</v>
      </c>
      <c r="E4398">
        <v>95570199</v>
      </c>
      <c r="F4398">
        <f>_xll.BDP("FNFS7178 Mtge","CPN")</f>
        <v>3</v>
      </c>
      <c r="G4398">
        <f>_xll.BDP("FNFS7178 Mtge","MTG_FACTOR")</f>
        <v>0.83234273000000003</v>
      </c>
      <c r="H4398">
        <f>_xll.BDP("FNFS7178 Mtge","MTG_WAL")</f>
        <v>8.3272999999999993</v>
      </c>
      <c r="I4398" t="str">
        <f>_xll.BDP("FNFS7178 Mtge","MTG_ORIG_WAL")</f>
        <v>#N/A N/A</v>
      </c>
    </row>
    <row r="4399" spans="1:9" x14ac:dyDescent="0.25">
      <c r="A4399" t="str">
        <f>_xll.BDP("FNFS7204 Mtge","ID_CUSIP")</f>
        <v>3140XPAE9</v>
      </c>
      <c r="B4399" t="str">
        <f>_xll.BDP("FNFS7204 Mtge","SECURITY_NAME")</f>
        <v>FN FS7204</v>
      </c>
      <c r="C4399" t="str">
        <f>_xll.BDP("FNFS7204 Mtge","GENERIC_TICKER_VINTAGE")</f>
        <v>FNCL 3 2021</v>
      </c>
      <c r="D4399" t="str">
        <f>_xll.BDP("FNFS7204 Mtge","CRNCY")</f>
        <v>USD</v>
      </c>
      <c r="E4399">
        <v>27900019</v>
      </c>
      <c r="F4399">
        <f>_xll.BDP("FNFS7204 Mtge","CPN")</f>
        <v>3</v>
      </c>
      <c r="G4399">
        <f>_xll.BDP("FNFS7204 Mtge","MTG_FACTOR")</f>
        <v>0.82081875999999998</v>
      </c>
      <c r="H4399">
        <f>_xll.BDP("FNFS7204 Mtge","MTG_WAL")</f>
        <v>8.3361000000000001</v>
      </c>
      <c r="I4399" t="str">
        <f>_xll.BDP("FNFS7204 Mtge","MTG_ORIG_WAL")</f>
        <v>#N/A N/A</v>
      </c>
    </row>
    <row r="4400" spans="1:9" x14ac:dyDescent="0.25">
      <c r="A4400" t="str">
        <f>_xll.BDP("FNFS7296 Mtge","ID_CUSIP")</f>
        <v>3140XPDA4</v>
      </c>
      <c r="B4400" t="str">
        <f>_xll.BDP("FNFS7296 Mtge","SECURITY_NAME")</f>
        <v>FN FS7296</v>
      </c>
      <c r="C4400" t="str">
        <f>_xll.BDP("FNFS7296 Mtge","GENERIC_TICKER_VINTAGE")</f>
        <v>FNCL 3 2021</v>
      </c>
      <c r="D4400" t="str">
        <f>_xll.BDP("FNFS7296 Mtge","CRNCY")</f>
        <v>USD</v>
      </c>
      <c r="E4400">
        <v>14302250</v>
      </c>
      <c r="F4400">
        <f>_xll.BDP("FNFS7296 Mtge","CPN")</f>
        <v>3</v>
      </c>
      <c r="G4400">
        <f>_xll.BDP("FNFS7296 Mtge","MTG_FACTOR")</f>
        <v>0.88443059000000002</v>
      </c>
      <c r="H4400">
        <f>_xll.BDP("FNFS7296 Mtge","MTG_WAL")</f>
        <v>8.2632999999999992</v>
      </c>
      <c r="I4400" t="str">
        <f>_xll.BDP("FNFS7296 Mtge","MTG_ORIG_WAL")</f>
        <v>#N/A N/A</v>
      </c>
    </row>
    <row r="4401" spans="1:9" x14ac:dyDescent="0.25">
      <c r="A4401" t="str">
        <f>_xll.BDP("FNFS7595 Mtge","ID_CUSIP")</f>
        <v>3140XPNM7</v>
      </c>
      <c r="B4401" t="str">
        <f>_xll.BDP("FNFS7595 Mtge","SECURITY_NAME")</f>
        <v>FN FS7595</v>
      </c>
      <c r="C4401" t="str">
        <f>_xll.BDP("FNFS7595 Mtge","GENERIC_TICKER_VINTAGE")</f>
        <v>FNCL 3 2021</v>
      </c>
      <c r="D4401" t="str">
        <f>_xll.BDP("FNFS7595 Mtge","CRNCY")</f>
        <v>USD</v>
      </c>
      <c r="E4401">
        <v>252148760</v>
      </c>
      <c r="F4401">
        <f>_xll.BDP("FNFS7595 Mtge","CPN")</f>
        <v>3</v>
      </c>
      <c r="G4401">
        <f>_xll.BDP("FNFS7595 Mtge","MTG_FACTOR")</f>
        <v>0.82752113999999999</v>
      </c>
      <c r="H4401">
        <f>_xll.BDP("FNFS7595 Mtge","MTG_WAL")</f>
        <v>8.1097999999999999</v>
      </c>
      <c r="I4401" t="str">
        <f>_xll.BDP("FNFS7595 Mtge","MTG_ORIG_WAL")</f>
        <v>#N/A N/A</v>
      </c>
    </row>
    <row r="4402" spans="1:9" x14ac:dyDescent="0.25">
      <c r="A4402" t="str">
        <f>_xll.BDP("FNFS7749 Mtge","ID_CUSIP")</f>
        <v>3140XPTF6</v>
      </c>
      <c r="B4402" t="str">
        <f>_xll.BDP("FNFS7749 Mtge","SECURITY_NAME")</f>
        <v>FN FS7749</v>
      </c>
      <c r="C4402" t="str">
        <f>_xll.BDP("FNFS7749 Mtge","GENERIC_TICKER_VINTAGE")</f>
        <v>FNCL 3 2021</v>
      </c>
      <c r="D4402" t="str">
        <f>_xll.BDP("FNFS7749 Mtge","CRNCY")</f>
        <v>USD</v>
      </c>
      <c r="E4402">
        <v>29485395</v>
      </c>
      <c r="F4402">
        <f>_xll.BDP("FNFS7749 Mtge","CPN")</f>
        <v>3</v>
      </c>
      <c r="G4402">
        <f>_xll.BDP("FNFS7749 Mtge","MTG_FACTOR")</f>
        <v>0.84755033999999996</v>
      </c>
      <c r="H4402">
        <f>_xll.BDP("FNFS7749 Mtge","MTG_WAL")</f>
        <v>8.2716999999999992</v>
      </c>
      <c r="I4402" t="str">
        <f>_xll.BDP("FNFS7749 Mtge","MTG_ORIG_WAL")</f>
        <v>#N/A N/A</v>
      </c>
    </row>
    <row r="4403" spans="1:9" x14ac:dyDescent="0.25">
      <c r="A4403" t="str">
        <f>_xll.BDP("FNFS7903 Mtge","ID_CUSIP")</f>
        <v>3140XPX95</v>
      </c>
      <c r="B4403" t="str">
        <f>_xll.BDP("FNFS7903 Mtge","SECURITY_NAME")</f>
        <v>FN FS7903</v>
      </c>
      <c r="C4403" t="str">
        <f>_xll.BDP("FNFS7903 Mtge","GENERIC_TICKER_VINTAGE")</f>
        <v>FNCL 3 2021</v>
      </c>
      <c r="D4403" t="str">
        <f>_xll.BDP("FNFS7903 Mtge","CRNCY")</f>
        <v>USD</v>
      </c>
      <c r="E4403">
        <v>46919767</v>
      </c>
      <c r="F4403">
        <f>_xll.BDP("FNFS7903 Mtge","CPN")</f>
        <v>3</v>
      </c>
      <c r="G4403">
        <f>_xll.BDP("FNFS7903 Mtge","MTG_FACTOR")</f>
        <v>0.83316372999999999</v>
      </c>
      <c r="H4403">
        <f>_xll.BDP("FNFS7903 Mtge","MTG_WAL")</f>
        <v>8.3320000000000007</v>
      </c>
      <c r="I4403" t="str">
        <f>_xll.BDP("FNFS7903 Mtge","MTG_ORIG_WAL")</f>
        <v>#N/A N/A</v>
      </c>
    </row>
    <row r="4404" spans="1:9" x14ac:dyDescent="0.25">
      <c r="A4404" t="str">
        <f>_xll.BDP("FNFS7949 Mtge","ID_CUSIP")</f>
        <v>3140XPZP7</v>
      </c>
      <c r="B4404" t="str">
        <f>_xll.BDP("FNFS7949 Mtge","SECURITY_NAME")</f>
        <v>FN FS7949</v>
      </c>
      <c r="C4404" t="str">
        <f>_xll.BDP("FNFS7949 Mtge","GENERIC_TICKER_VINTAGE")</f>
        <v>FNCL 3 2021</v>
      </c>
      <c r="D4404" t="str">
        <f>_xll.BDP("FNFS7949 Mtge","CRNCY")</f>
        <v>USD</v>
      </c>
      <c r="E4404">
        <v>55766295</v>
      </c>
      <c r="F4404">
        <f>_xll.BDP("FNFS7949 Mtge","CPN")</f>
        <v>3</v>
      </c>
      <c r="G4404">
        <f>_xll.BDP("FNFS7949 Mtge","MTG_FACTOR")</f>
        <v>0.83220110999999997</v>
      </c>
      <c r="H4404">
        <f>_xll.BDP("FNFS7949 Mtge","MTG_WAL")</f>
        <v>8.1956000000000007</v>
      </c>
      <c r="I4404" t="str">
        <f>_xll.BDP("FNFS7949 Mtge","MTG_ORIG_WAL")</f>
        <v>#N/A N/A</v>
      </c>
    </row>
    <row r="4405" spans="1:9" x14ac:dyDescent="0.25">
      <c r="A4405" t="str">
        <f>_xll.BDP("FNFS7972 Mtge","ID_CUSIP")</f>
        <v>3140XP2E8</v>
      </c>
      <c r="B4405" t="str">
        <f>_xll.BDP("FNFS7972 Mtge","SECURITY_NAME")</f>
        <v>FN FS7972</v>
      </c>
      <c r="C4405" t="str">
        <f>_xll.BDP("FNFS7972 Mtge","GENERIC_TICKER_VINTAGE")</f>
        <v>FNCL 3 2021</v>
      </c>
      <c r="D4405" t="str">
        <f>_xll.BDP("FNFS7972 Mtge","CRNCY")</f>
        <v>USD</v>
      </c>
      <c r="E4405">
        <v>36374067</v>
      </c>
      <c r="F4405">
        <f>_xll.BDP("FNFS7972 Mtge","CPN")</f>
        <v>3</v>
      </c>
      <c r="G4405">
        <f>_xll.BDP("FNFS7972 Mtge","MTG_FACTOR")</f>
        <v>0.84277771000000001</v>
      </c>
      <c r="H4405">
        <f>_xll.BDP("FNFS7972 Mtge","MTG_WAL")</f>
        <v>8.2310999999999996</v>
      </c>
      <c r="I4405" t="str">
        <f>_xll.BDP("FNFS7972 Mtge","MTG_ORIG_WAL")</f>
        <v>#N/A N/A</v>
      </c>
    </row>
    <row r="4406" spans="1:9" x14ac:dyDescent="0.25">
      <c r="A4406" t="str">
        <f>_xll.BDP("FNFS8070 Mtge","ID_CUSIP")</f>
        <v>3140XP6G9</v>
      </c>
      <c r="B4406" t="str">
        <f>_xll.BDP("FNFS8070 Mtge","SECURITY_NAME")</f>
        <v>FN FS8070</v>
      </c>
      <c r="C4406" t="str">
        <f>_xll.BDP("FNFS8070 Mtge","GENERIC_TICKER_VINTAGE")</f>
        <v>FNCL 3 2021</v>
      </c>
      <c r="D4406" t="str">
        <f>_xll.BDP("FNFS8070 Mtge","CRNCY")</f>
        <v>USD</v>
      </c>
      <c r="E4406">
        <v>11346259</v>
      </c>
      <c r="F4406">
        <f>_xll.BDP("FNFS8070 Mtge","CPN")</f>
        <v>3</v>
      </c>
      <c r="G4406">
        <f>_xll.BDP("FNFS8070 Mtge","MTG_FACTOR")</f>
        <v>0.85777557999999998</v>
      </c>
      <c r="H4406">
        <f>_xll.BDP("FNFS8070 Mtge","MTG_WAL")</f>
        <v>8.2736999999999998</v>
      </c>
      <c r="I4406" t="str">
        <f>_xll.BDP("FNFS8070 Mtge","MTG_ORIG_WAL")</f>
        <v>#N/A N/A</v>
      </c>
    </row>
    <row r="4407" spans="1:9" x14ac:dyDescent="0.25">
      <c r="A4407" t="str">
        <f>_xll.BDP("FNFS8124 Mtge","ID_CUSIP")</f>
        <v>3140XQA23</v>
      </c>
      <c r="B4407" t="str">
        <f>_xll.BDP("FNFS8124 Mtge","SECURITY_NAME")</f>
        <v>FN FS8124</v>
      </c>
      <c r="C4407" t="str">
        <f>_xll.BDP("FNFS8124 Mtge","GENERIC_TICKER_VINTAGE")</f>
        <v>FNCL 3 2021</v>
      </c>
      <c r="D4407" t="str">
        <f>_xll.BDP("FNFS8124 Mtge","CRNCY")</f>
        <v>USD</v>
      </c>
      <c r="E4407">
        <v>140883234</v>
      </c>
      <c r="F4407">
        <f>_xll.BDP("FNFS8124 Mtge","CPN")</f>
        <v>3</v>
      </c>
      <c r="G4407">
        <f>_xll.BDP("FNFS8124 Mtge","MTG_FACTOR")</f>
        <v>0.85142695000000002</v>
      </c>
      <c r="H4407">
        <f>_xll.BDP("FNFS8124 Mtge","MTG_WAL")</f>
        <v>8.3346</v>
      </c>
      <c r="I4407" t="str">
        <f>_xll.BDP("FNFS8124 Mtge","MTG_ORIG_WAL")</f>
        <v>#N/A N/A</v>
      </c>
    </row>
    <row r="4408" spans="1:9" x14ac:dyDescent="0.25">
      <c r="A4408" t="str">
        <f>_xll.BDP("FNFS8304 Mtge","ID_CUSIP")</f>
        <v>3140XQGN1</v>
      </c>
      <c r="B4408" t="str">
        <f>_xll.BDP("FNFS8304 Mtge","SECURITY_NAME")</f>
        <v>FN FS8304</v>
      </c>
      <c r="C4408" t="str">
        <f>_xll.BDP("FNFS8304 Mtge","GENERIC_TICKER_VINTAGE")</f>
        <v>FNCL 3 2021</v>
      </c>
      <c r="D4408" t="str">
        <f>_xll.BDP("FNFS8304 Mtge","CRNCY")</f>
        <v>USD</v>
      </c>
      <c r="E4408">
        <v>39670427</v>
      </c>
      <c r="F4408">
        <f>_xll.BDP("FNFS8304 Mtge","CPN")</f>
        <v>3</v>
      </c>
      <c r="G4408">
        <f>_xll.BDP("FNFS8304 Mtge","MTG_FACTOR")</f>
        <v>0.86829305999999995</v>
      </c>
      <c r="H4408">
        <f>_xll.BDP("FNFS8304 Mtge","MTG_WAL")</f>
        <v>8.2552000000000003</v>
      </c>
      <c r="I4408" t="str">
        <f>_xll.BDP("FNFS8304 Mtge","MTG_ORIG_WAL")</f>
        <v>#N/A N/A</v>
      </c>
    </row>
    <row r="4409" spans="1:9" x14ac:dyDescent="0.25">
      <c r="A4409" t="str">
        <f>_xll.BDP("FNFS8520 Mtge","ID_CUSIP")</f>
        <v>3140XQPE1</v>
      </c>
      <c r="B4409" t="str">
        <f>_xll.BDP("FNFS8520 Mtge","SECURITY_NAME")</f>
        <v>FN FS8520</v>
      </c>
      <c r="C4409" t="str">
        <f>_xll.BDP("FNFS8520 Mtge","GENERIC_TICKER_VINTAGE")</f>
        <v>FNCL 3 2021</v>
      </c>
      <c r="D4409" t="str">
        <f>_xll.BDP("FNFS8520 Mtge","CRNCY")</f>
        <v>USD</v>
      </c>
      <c r="E4409">
        <v>26153085</v>
      </c>
      <c r="F4409">
        <f>_xll.BDP("FNFS8520 Mtge","CPN")</f>
        <v>3</v>
      </c>
      <c r="G4409">
        <f>_xll.BDP("FNFS8520 Mtge","MTG_FACTOR")</f>
        <v>0.83930570999999998</v>
      </c>
      <c r="H4409">
        <f>_xll.BDP("FNFS8520 Mtge","MTG_WAL")</f>
        <v>8.1914999999999996</v>
      </c>
      <c r="I4409" t="str">
        <f>_xll.BDP("FNFS8520 Mtge","MTG_ORIG_WAL")</f>
        <v>#N/A N/A</v>
      </c>
    </row>
    <row r="4410" spans="1:9" x14ac:dyDescent="0.25">
      <c r="A4410" t="str">
        <f>_xll.BDP("FNFS8668 Mtge","ID_CUSIP")</f>
        <v>3140XQT23</v>
      </c>
      <c r="B4410" t="str">
        <f>_xll.BDP("FNFS8668 Mtge","SECURITY_NAME")</f>
        <v>FN FS8668</v>
      </c>
      <c r="C4410" t="str">
        <f>_xll.BDP("FNFS8668 Mtge","GENERIC_TICKER_VINTAGE")</f>
        <v>FNCL 3 2021</v>
      </c>
      <c r="D4410" t="str">
        <f>_xll.BDP("FNFS8668 Mtge","CRNCY")</f>
        <v>USD</v>
      </c>
      <c r="E4410">
        <v>34041118</v>
      </c>
      <c r="F4410">
        <f>_xll.BDP("FNFS8668 Mtge","CPN")</f>
        <v>3</v>
      </c>
      <c r="G4410">
        <f>_xll.BDP("FNFS8668 Mtge","MTG_FACTOR")</f>
        <v>0.89076907000000005</v>
      </c>
      <c r="H4410">
        <f>_xll.BDP("FNFS8668 Mtge","MTG_WAL")</f>
        <v>8.3309999999999995</v>
      </c>
      <c r="I4410" t="str">
        <f>_xll.BDP("FNFS8668 Mtge","MTG_ORIG_WAL")</f>
        <v>#N/A N/A</v>
      </c>
    </row>
    <row r="4411" spans="1:9" x14ac:dyDescent="0.25">
      <c r="A4411" t="str">
        <f>_xll.BDP("FNFS8807 Mtge","ID_CUSIP")</f>
        <v>3140XQYD3</v>
      </c>
      <c r="B4411" t="str">
        <f>_xll.BDP("FNFS8807 Mtge","SECURITY_NAME")</f>
        <v>FN FS8807</v>
      </c>
      <c r="C4411" t="str">
        <f>_xll.BDP("FNFS8807 Mtge","GENERIC_TICKER_VINTAGE")</f>
        <v>FNCL 3 2021</v>
      </c>
      <c r="D4411" t="str">
        <f>_xll.BDP("FNFS8807 Mtge","CRNCY")</f>
        <v>USD</v>
      </c>
      <c r="E4411">
        <v>40790879</v>
      </c>
      <c r="F4411">
        <f>_xll.BDP("FNFS8807 Mtge","CPN")</f>
        <v>3</v>
      </c>
      <c r="G4411">
        <f>_xll.BDP("FNFS8807 Mtge","MTG_FACTOR")</f>
        <v>0.82448220999999999</v>
      </c>
      <c r="H4411">
        <f>_xll.BDP("FNFS8807 Mtge","MTG_WAL")</f>
        <v>8.4215999999999998</v>
      </c>
      <c r="I4411" t="str">
        <f>_xll.BDP("FNFS8807 Mtge","MTG_ORIG_WAL")</f>
        <v>#N/A N/A</v>
      </c>
    </row>
    <row r="4412" spans="1:9" x14ac:dyDescent="0.25">
      <c r="A4412" t="str">
        <f>_xll.BDP("FNFS8817 Mtge","ID_CUSIP")</f>
        <v>3140XQYP6</v>
      </c>
      <c r="B4412" t="str">
        <f>_xll.BDP("FNFS8817 Mtge","SECURITY_NAME")</f>
        <v>FN FS8817</v>
      </c>
      <c r="C4412" t="str">
        <f>_xll.BDP("FNFS8817 Mtge","GENERIC_TICKER_VINTAGE")</f>
        <v>FNCL 3 2021</v>
      </c>
      <c r="D4412" t="str">
        <f>_xll.BDP("FNFS8817 Mtge","CRNCY")</f>
        <v>USD</v>
      </c>
      <c r="E4412">
        <v>55777693</v>
      </c>
      <c r="F4412">
        <f>_xll.BDP("FNFS8817 Mtge","CPN")</f>
        <v>3</v>
      </c>
      <c r="G4412">
        <f>_xll.BDP("FNFS8817 Mtge","MTG_FACTOR")</f>
        <v>0.86405606999999995</v>
      </c>
      <c r="H4412">
        <f>_xll.BDP("FNFS8817 Mtge","MTG_WAL")</f>
        <v>8.3278999999999996</v>
      </c>
      <c r="I4412" t="str">
        <f>_xll.BDP("FNFS8817 Mtge","MTG_ORIG_WAL")</f>
        <v>#N/A N/A</v>
      </c>
    </row>
    <row r="4413" spans="1:9" x14ac:dyDescent="0.25">
      <c r="A4413" t="str">
        <f>_xll.BDP("FNFS8820 Mtge","ID_CUSIP")</f>
        <v>3140XQYS0</v>
      </c>
      <c r="B4413" t="str">
        <f>_xll.BDP("FNFS8820 Mtge","SECURITY_NAME")</f>
        <v>FN FS8820</v>
      </c>
      <c r="C4413" t="str">
        <f>_xll.BDP("FNFS8820 Mtge","GENERIC_TICKER_VINTAGE")</f>
        <v>FNCL 3 2021</v>
      </c>
      <c r="D4413" t="str">
        <f>_xll.BDP("FNFS8820 Mtge","CRNCY")</f>
        <v>USD</v>
      </c>
      <c r="E4413">
        <v>75037558</v>
      </c>
      <c r="F4413">
        <f>_xll.BDP("FNFS8820 Mtge","CPN")</f>
        <v>3</v>
      </c>
      <c r="G4413">
        <f>_xll.BDP("FNFS8820 Mtge","MTG_FACTOR")</f>
        <v>0.85141599000000001</v>
      </c>
      <c r="H4413">
        <f>_xll.BDP("FNFS8820 Mtge","MTG_WAL")</f>
        <v>8.4194999999999993</v>
      </c>
      <c r="I4413" t="str">
        <f>_xll.BDP("FNFS8820 Mtge","MTG_ORIG_WAL")</f>
        <v>#N/A N/A</v>
      </c>
    </row>
    <row r="4414" spans="1:9" x14ac:dyDescent="0.25">
      <c r="A4414" t="str">
        <f>_xll.BDP("FNFS8823 Mtge","ID_CUSIP")</f>
        <v>3140XQYV3</v>
      </c>
      <c r="B4414" t="str">
        <f>_xll.BDP("FNFS8823 Mtge","SECURITY_NAME")</f>
        <v>FN FS8823</v>
      </c>
      <c r="C4414" t="str">
        <f>_xll.BDP("FNFS8823 Mtge","GENERIC_TICKER_VINTAGE")</f>
        <v>FNCL 3 2021</v>
      </c>
      <c r="D4414" t="str">
        <f>_xll.BDP("FNFS8823 Mtge","CRNCY")</f>
        <v>USD</v>
      </c>
      <c r="E4414">
        <v>53248890</v>
      </c>
      <c r="F4414">
        <f>_xll.BDP("FNFS8823 Mtge","CPN")</f>
        <v>3</v>
      </c>
      <c r="G4414">
        <f>_xll.BDP("FNFS8823 Mtge","MTG_FACTOR")</f>
        <v>0.89301140000000001</v>
      </c>
      <c r="H4414">
        <f>_xll.BDP("FNFS8823 Mtge","MTG_WAL")</f>
        <v>8.3234999999999992</v>
      </c>
      <c r="I4414" t="str">
        <f>_xll.BDP("FNFS8823 Mtge","MTG_ORIG_WAL")</f>
        <v>#N/A N/A</v>
      </c>
    </row>
    <row r="4415" spans="1:9" x14ac:dyDescent="0.25">
      <c r="A4415" t="str">
        <f>_xll.BDP("FNFS8874 Mtge","ID_CUSIP")</f>
        <v>3140XQ2G1</v>
      </c>
      <c r="B4415" t="str">
        <f>_xll.BDP("FNFS8874 Mtge","SECURITY_NAME")</f>
        <v>FN FS8874</v>
      </c>
      <c r="C4415" t="str">
        <f>_xll.BDP("FNFS8874 Mtge","GENERIC_TICKER_VINTAGE")</f>
        <v>FNCL 3 2021</v>
      </c>
      <c r="D4415" t="str">
        <f>_xll.BDP("FNFS8874 Mtge","CRNCY")</f>
        <v>USD</v>
      </c>
      <c r="E4415">
        <v>177674562</v>
      </c>
      <c r="F4415">
        <f>_xll.BDP("FNFS8874 Mtge","CPN")</f>
        <v>3</v>
      </c>
      <c r="G4415">
        <f>_xll.BDP("FNFS8874 Mtge","MTG_FACTOR")</f>
        <v>0.89807294000000004</v>
      </c>
      <c r="H4415">
        <f>_xll.BDP("FNFS8874 Mtge","MTG_WAL")</f>
        <v>8.2591000000000001</v>
      </c>
      <c r="I4415" t="str">
        <f>_xll.BDP("FNFS8874 Mtge","MTG_ORIG_WAL")</f>
        <v>#N/A N/A</v>
      </c>
    </row>
    <row r="4416" spans="1:9" x14ac:dyDescent="0.25">
      <c r="A4416" t="str">
        <f>_xll.BDP("FNFS8914 Mtge","ID_CUSIP")</f>
        <v>3140XQ3Y1</v>
      </c>
      <c r="B4416" t="str">
        <f>_xll.BDP("FNFS8914 Mtge","SECURITY_NAME")</f>
        <v>FN FS8914</v>
      </c>
      <c r="C4416" t="str">
        <f>_xll.BDP("FNFS8914 Mtge","GENERIC_TICKER_VINTAGE")</f>
        <v>FNCL 3 2021</v>
      </c>
      <c r="D4416" t="str">
        <f>_xll.BDP("FNFS8914 Mtge","CRNCY")</f>
        <v>USD</v>
      </c>
      <c r="E4416">
        <v>28817447</v>
      </c>
      <c r="F4416">
        <f>_xll.BDP("FNFS8914 Mtge","CPN")</f>
        <v>3</v>
      </c>
      <c r="G4416">
        <f>_xll.BDP("FNFS8914 Mtge","MTG_FACTOR")</f>
        <v>0.86755806000000002</v>
      </c>
      <c r="H4416">
        <f>_xll.BDP("FNFS8914 Mtge","MTG_WAL")</f>
        <v>8.3196999999999992</v>
      </c>
      <c r="I4416" t="str">
        <f>_xll.BDP("FNFS8914 Mtge","MTG_ORIG_WAL")</f>
        <v>#N/A N/A</v>
      </c>
    </row>
    <row r="4417" spans="1:9" x14ac:dyDescent="0.25">
      <c r="A4417" t="str">
        <f>_xll.BDP("FNFS8951 Mtge","ID_CUSIP")</f>
        <v>3140XQ5M5</v>
      </c>
      <c r="B4417" t="str">
        <f>_xll.BDP("FNFS8951 Mtge","SECURITY_NAME")</f>
        <v>FN FS8951</v>
      </c>
      <c r="C4417" t="str">
        <f>_xll.BDP("FNFS8951 Mtge","GENERIC_TICKER_VINTAGE")</f>
        <v>FNCL 3 2021</v>
      </c>
      <c r="D4417" t="str">
        <f>_xll.BDP("FNFS8951 Mtge","CRNCY")</f>
        <v>USD</v>
      </c>
      <c r="E4417">
        <v>110143180</v>
      </c>
      <c r="F4417">
        <f>_xll.BDP("FNFS8951 Mtge","CPN")</f>
        <v>3</v>
      </c>
      <c r="G4417">
        <f>_xll.BDP("FNFS8951 Mtge","MTG_FACTOR")</f>
        <v>0.85384276000000003</v>
      </c>
      <c r="H4417">
        <f>_xll.BDP("FNFS8951 Mtge","MTG_WAL")</f>
        <v>8.0667000000000009</v>
      </c>
      <c r="I4417" t="str">
        <f>_xll.BDP("FNFS8951 Mtge","MTG_ORIG_WAL")</f>
        <v>#N/A N/A</v>
      </c>
    </row>
    <row r="4418" spans="1:9" x14ac:dyDescent="0.25">
      <c r="A4418" t="str">
        <f>_xll.BDP("FNFS9013 Mtge","ID_CUSIP")</f>
        <v>3140XRAP0</v>
      </c>
      <c r="B4418" t="str">
        <f>_xll.BDP("FNFS9013 Mtge","SECURITY_NAME")</f>
        <v>FN FS9013</v>
      </c>
      <c r="C4418" t="str">
        <f>_xll.BDP("FNFS9013 Mtge","GENERIC_TICKER_VINTAGE")</f>
        <v>FNCL 3 2021</v>
      </c>
      <c r="D4418" t="str">
        <f>_xll.BDP("FNFS9013 Mtge","CRNCY")</f>
        <v>USD</v>
      </c>
      <c r="E4418">
        <v>57704511</v>
      </c>
      <c r="F4418">
        <f>_xll.BDP("FNFS9013 Mtge","CPN")</f>
        <v>3</v>
      </c>
      <c r="G4418">
        <f>_xll.BDP("FNFS9013 Mtge","MTG_FACTOR")</f>
        <v>0.90428083999999997</v>
      </c>
      <c r="H4418">
        <f>_xll.BDP("FNFS9013 Mtge","MTG_WAL")</f>
        <v>8.3190000000000008</v>
      </c>
      <c r="I4418" t="str">
        <f>_xll.BDP("FNFS9013 Mtge","MTG_ORIG_WAL")</f>
        <v>#N/A N/A</v>
      </c>
    </row>
    <row r="4419" spans="1:9" x14ac:dyDescent="0.25">
      <c r="A4419" t="str">
        <f>_xll.BDP("FNFS9072 Mtge","ID_CUSIP")</f>
        <v>3140XRCJ2</v>
      </c>
      <c r="B4419" t="str">
        <f>_xll.BDP("FNFS9072 Mtge","SECURITY_NAME")</f>
        <v>FN FS9072</v>
      </c>
      <c r="C4419" t="str">
        <f>_xll.BDP("FNFS9072 Mtge","GENERIC_TICKER_VINTAGE")</f>
        <v>FNCL 3 2021</v>
      </c>
      <c r="D4419" t="str">
        <f>_xll.BDP("FNFS9072 Mtge","CRNCY")</f>
        <v>USD</v>
      </c>
      <c r="E4419">
        <v>69766394</v>
      </c>
      <c r="F4419">
        <f>_xll.BDP("FNFS9072 Mtge","CPN")</f>
        <v>3</v>
      </c>
      <c r="G4419">
        <f>_xll.BDP("FNFS9072 Mtge","MTG_FACTOR")</f>
        <v>0.90792227999999997</v>
      </c>
      <c r="H4419">
        <f>_xll.BDP("FNFS9072 Mtge","MTG_WAL")</f>
        <v>8.3603000000000005</v>
      </c>
      <c r="I4419" t="str">
        <f>_xll.BDP("FNFS9072 Mtge","MTG_ORIG_WAL")</f>
        <v>#N/A N/A</v>
      </c>
    </row>
    <row r="4420" spans="1:9" x14ac:dyDescent="0.25">
      <c r="A4420" t="str">
        <f>_xll.BDP("FNFS9141 Mtge","ID_CUSIP")</f>
        <v>3140XREP6</v>
      </c>
      <c r="B4420" t="str">
        <f>_xll.BDP("FNFS9141 Mtge","SECURITY_NAME")</f>
        <v>FN FS9141</v>
      </c>
      <c r="C4420" t="str">
        <f>_xll.BDP("FNFS9141 Mtge","GENERIC_TICKER_VINTAGE")</f>
        <v>FNCL 3 2021</v>
      </c>
      <c r="D4420" t="str">
        <f>_xll.BDP("FNFS9141 Mtge","CRNCY")</f>
        <v>USD</v>
      </c>
      <c r="E4420">
        <v>90184027</v>
      </c>
      <c r="F4420">
        <f>_xll.BDP("FNFS9141 Mtge","CPN")</f>
        <v>3</v>
      </c>
      <c r="G4420">
        <f>_xll.BDP("FNFS9141 Mtge","MTG_FACTOR")</f>
        <v>0.87276973000000002</v>
      </c>
      <c r="H4420">
        <f>_xll.BDP("FNFS9141 Mtge","MTG_WAL")</f>
        <v>8.3885000000000005</v>
      </c>
      <c r="I4420" t="str">
        <f>_xll.BDP("FNFS9141 Mtge","MTG_ORIG_WAL")</f>
        <v>#N/A N/A</v>
      </c>
    </row>
    <row r="4421" spans="1:9" x14ac:dyDescent="0.25">
      <c r="A4421" t="str">
        <f>_xll.BDP("FNFS9331 Mtge","ID_CUSIP")</f>
        <v>3140XRLM5</v>
      </c>
      <c r="B4421" t="str">
        <f>_xll.BDP("FNFS9331 Mtge","SECURITY_NAME")</f>
        <v>FN FS9331</v>
      </c>
      <c r="C4421" t="str">
        <f>_xll.BDP("FNFS9331 Mtge","GENERIC_TICKER_VINTAGE")</f>
        <v>FNCL 3 2021</v>
      </c>
      <c r="D4421" t="str">
        <f>_xll.BDP("FNFS9331 Mtge","CRNCY")</f>
        <v>USD</v>
      </c>
      <c r="E4421">
        <v>64603541</v>
      </c>
      <c r="F4421">
        <f>_xll.BDP("FNFS9331 Mtge","CPN")</f>
        <v>3</v>
      </c>
      <c r="G4421">
        <f>_xll.BDP("FNFS9331 Mtge","MTG_FACTOR")</f>
        <v>0.90543631999999996</v>
      </c>
      <c r="H4421">
        <f>_xll.BDP("FNFS9331 Mtge","MTG_WAL")</f>
        <v>8.3872</v>
      </c>
      <c r="I4421" t="str">
        <f>_xll.BDP("FNFS9331 Mtge","MTG_ORIG_WAL")</f>
        <v>#N/A N/A</v>
      </c>
    </row>
    <row r="4422" spans="1:9" x14ac:dyDescent="0.25">
      <c r="A4422" t="str">
        <f>_xll.BDP("FNFS9376 Mtge","ID_CUSIP")</f>
        <v>3140XRM28</v>
      </c>
      <c r="B4422" t="str">
        <f>_xll.BDP("FNFS9376 Mtge","SECURITY_NAME")</f>
        <v>FN FS9376</v>
      </c>
      <c r="C4422" t="str">
        <f>_xll.BDP("FNFS9376 Mtge","GENERIC_TICKER_VINTAGE")</f>
        <v>FNCL 3 2021</v>
      </c>
      <c r="D4422" t="str">
        <f>_xll.BDP("FNFS9376 Mtge","CRNCY")</f>
        <v>USD</v>
      </c>
      <c r="E4422">
        <v>50119096</v>
      </c>
      <c r="F4422">
        <f>_xll.BDP("FNFS9376 Mtge","CPN")</f>
        <v>3</v>
      </c>
      <c r="G4422">
        <f>_xll.BDP("FNFS9376 Mtge","MTG_FACTOR")</f>
        <v>0.88346093999999997</v>
      </c>
      <c r="H4422">
        <f>_xll.BDP("FNFS9376 Mtge","MTG_WAL")</f>
        <v>8.3489000000000004</v>
      </c>
      <c r="I4422" t="str">
        <f>_xll.BDP("FNFS9376 Mtge","MTG_ORIG_WAL")</f>
        <v>#N/A N/A</v>
      </c>
    </row>
    <row r="4423" spans="1:9" x14ac:dyDescent="0.25">
      <c r="A4423" t="str">
        <f>_xll.BDP("FNFS9428 Mtge","ID_CUSIP")</f>
        <v>3140XRPN9</v>
      </c>
      <c r="B4423" t="str">
        <f>_xll.BDP("FNFS9428 Mtge","SECURITY_NAME")</f>
        <v>FN FS9428</v>
      </c>
      <c r="C4423" t="str">
        <f>_xll.BDP("FNFS9428 Mtge","GENERIC_TICKER_VINTAGE")</f>
        <v>FNCL 3 2021</v>
      </c>
      <c r="D4423" t="str">
        <f>_xll.BDP("FNFS9428 Mtge","CRNCY")</f>
        <v>USD</v>
      </c>
      <c r="E4423">
        <v>40829525</v>
      </c>
      <c r="F4423">
        <f>_xll.BDP("FNFS9428 Mtge","CPN")</f>
        <v>3</v>
      </c>
      <c r="G4423">
        <f>_xll.BDP("FNFS9428 Mtge","MTG_FACTOR")</f>
        <v>0.90666000999999996</v>
      </c>
      <c r="H4423">
        <f>_xll.BDP("FNFS9428 Mtge","MTG_WAL")</f>
        <v>8.3594000000000008</v>
      </c>
      <c r="I4423" t="str">
        <f>_xll.BDP("FNFS9428 Mtge","MTG_ORIG_WAL")</f>
        <v>#N/A N/A</v>
      </c>
    </row>
    <row r="4424" spans="1:9" x14ac:dyDescent="0.25">
      <c r="A4424" t="str">
        <f>_xll.BDP("FNFS9505 Mtge","ID_CUSIP")</f>
        <v>3140XRR31</v>
      </c>
      <c r="B4424" t="str">
        <f>_xll.BDP("FNFS9505 Mtge","SECURITY_NAME")</f>
        <v>FN FS9505</v>
      </c>
      <c r="C4424" t="str">
        <f>_xll.BDP("FNFS9505 Mtge","GENERIC_TICKER_VINTAGE")</f>
        <v>FNCL 3 2021</v>
      </c>
      <c r="D4424" t="str">
        <f>_xll.BDP("FNFS9505 Mtge","CRNCY")</f>
        <v>USD</v>
      </c>
      <c r="E4424">
        <v>6501823</v>
      </c>
      <c r="F4424">
        <f>_xll.BDP("FNFS9505 Mtge","CPN")</f>
        <v>3</v>
      </c>
      <c r="G4424">
        <f>_xll.BDP("FNFS9505 Mtge","MTG_FACTOR")</f>
        <v>0.86650978999999995</v>
      </c>
      <c r="H4424">
        <f>_xll.BDP("FNFS9505 Mtge","MTG_WAL")</f>
        <v>8.2051999999999996</v>
      </c>
      <c r="I4424" t="str">
        <f>_xll.BDP("FNFS9505 Mtge","MTG_ORIG_WAL")</f>
        <v>#N/A N/A</v>
      </c>
    </row>
    <row r="4425" spans="1:9" x14ac:dyDescent="0.25">
      <c r="A4425" t="str">
        <f>_xll.BDP("FNFS9518 Mtge","ID_CUSIP")</f>
        <v>3140XRSG1</v>
      </c>
      <c r="B4425" t="str">
        <f>_xll.BDP("FNFS9518 Mtge","SECURITY_NAME")</f>
        <v>FN FS9518</v>
      </c>
      <c r="C4425" t="str">
        <f>_xll.BDP("FNFS9518 Mtge","GENERIC_TICKER_VINTAGE")</f>
        <v>FNCL 3 2021</v>
      </c>
      <c r="D4425" t="str">
        <f>_xll.BDP("FNFS9518 Mtge","CRNCY")</f>
        <v>USD</v>
      </c>
      <c r="E4425">
        <v>19455560</v>
      </c>
      <c r="F4425">
        <f>_xll.BDP("FNFS9518 Mtge","CPN")</f>
        <v>3</v>
      </c>
      <c r="G4425">
        <f>_xll.BDP("FNFS9518 Mtge","MTG_FACTOR")</f>
        <v>0.87335448999999998</v>
      </c>
      <c r="H4425">
        <f>_xll.BDP("FNFS9518 Mtge","MTG_WAL")</f>
        <v>8.0318000000000005</v>
      </c>
      <c r="I4425" t="str">
        <f>_xll.BDP("FNFS9518 Mtge","MTG_ORIG_WAL")</f>
        <v>#N/A N/A</v>
      </c>
    </row>
    <row r="4426" spans="1:9" x14ac:dyDescent="0.25">
      <c r="A4426" t="str">
        <f>_xll.BDP("FNFS9519 Mtge","ID_CUSIP")</f>
        <v>3140XRSH9</v>
      </c>
      <c r="B4426" t="str">
        <f>_xll.BDP("FNFS9519 Mtge","SECURITY_NAME")</f>
        <v>FN FS9519</v>
      </c>
      <c r="C4426" t="str">
        <f>_xll.BDP("FNFS9519 Mtge","GENERIC_TICKER_VINTAGE")</f>
        <v>FNCL 3 2021</v>
      </c>
      <c r="D4426" t="str">
        <f>_xll.BDP("FNFS9519 Mtge","CRNCY")</f>
        <v>USD</v>
      </c>
      <c r="E4426">
        <v>37966934</v>
      </c>
      <c r="F4426">
        <f>_xll.BDP("FNFS9519 Mtge","CPN")</f>
        <v>3</v>
      </c>
      <c r="G4426">
        <f>_xll.BDP("FNFS9519 Mtge","MTG_FACTOR")</f>
        <v>0.85481678000000005</v>
      </c>
      <c r="H4426">
        <f>_xll.BDP("FNFS9519 Mtge","MTG_WAL")</f>
        <v>8.1981000000000002</v>
      </c>
      <c r="I4426" t="str">
        <f>_xll.BDP("FNFS9519 Mtge","MTG_ORIG_WAL")</f>
        <v>#N/A N/A</v>
      </c>
    </row>
    <row r="4427" spans="1:9" x14ac:dyDescent="0.25">
      <c r="A4427" t="str">
        <f>_xll.BDP("FNFS9708 Mtge","ID_CUSIP")</f>
        <v>3140XRYE9</v>
      </c>
      <c r="B4427" t="str">
        <f>_xll.BDP("FNFS9708 Mtge","SECURITY_NAME")</f>
        <v>FN FS9708</v>
      </c>
      <c r="C4427" t="str">
        <f>_xll.BDP("FNFS9708 Mtge","GENERIC_TICKER_VINTAGE")</f>
        <v>FNCL 3 2021</v>
      </c>
      <c r="D4427" t="str">
        <f>_xll.BDP("FNFS9708 Mtge","CRNCY")</f>
        <v>USD</v>
      </c>
      <c r="E4427">
        <v>81810136</v>
      </c>
      <c r="F4427">
        <f>_xll.BDP("FNFS9708 Mtge","CPN")</f>
        <v>3</v>
      </c>
      <c r="G4427">
        <f>_xll.BDP("FNFS9708 Mtge","MTG_FACTOR")</f>
        <v>0.88397402999999997</v>
      </c>
      <c r="H4427">
        <f>_xll.BDP("FNFS9708 Mtge","MTG_WAL")</f>
        <v>8.3186</v>
      </c>
      <c r="I4427" t="str">
        <f>_xll.BDP("FNFS9708 Mtge","MTG_ORIG_WAL")</f>
        <v>#N/A N/A</v>
      </c>
    </row>
    <row r="4428" spans="1:9" x14ac:dyDescent="0.25">
      <c r="A4428" t="str">
        <f>_xll.BDP("FNFS9728 Mtge","ID_CUSIP")</f>
        <v>3140XRY25</v>
      </c>
      <c r="B4428" t="str">
        <f>_xll.BDP("FNFS9728 Mtge","SECURITY_NAME")</f>
        <v>FN FS9728</v>
      </c>
      <c r="C4428" t="str">
        <f>_xll.BDP("FNFS9728 Mtge","GENERIC_TICKER_VINTAGE")</f>
        <v>FNCL 3 2021</v>
      </c>
      <c r="D4428" t="str">
        <f>_xll.BDP("FNFS9728 Mtge","CRNCY")</f>
        <v>USD</v>
      </c>
      <c r="E4428">
        <v>12115603</v>
      </c>
      <c r="F4428">
        <f>_xll.BDP("FNFS9728 Mtge","CPN")</f>
        <v>3</v>
      </c>
      <c r="G4428">
        <f>_xll.BDP("FNFS9728 Mtge","MTG_FACTOR")</f>
        <v>0.89053523999999995</v>
      </c>
      <c r="H4428">
        <f>_xll.BDP("FNFS9728 Mtge","MTG_WAL")</f>
        <v>8.2501999999999995</v>
      </c>
      <c r="I4428" t="str">
        <f>_xll.BDP("FNFS9728 Mtge","MTG_ORIG_WAL")</f>
        <v>#N/A N/A</v>
      </c>
    </row>
    <row r="4429" spans="1:9" x14ac:dyDescent="0.25">
      <c r="A4429" t="str">
        <f>_xll.BDP("FNFS9760 Mtge","ID_CUSIP")</f>
        <v>3140XRZ24</v>
      </c>
      <c r="B4429" t="str">
        <f>_xll.BDP("FNFS9760 Mtge","SECURITY_NAME")</f>
        <v>FN FS9760</v>
      </c>
      <c r="C4429" t="str">
        <f>_xll.BDP("FNFS9760 Mtge","GENERIC_TICKER_VINTAGE")</f>
        <v>FNCL 3 2021</v>
      </c>
      <c r="D4429" t="str">
        <f>_xll.BDP("FNFS9760 Mtge","CRNCY")</f>
        <v>USD</v>
      </c>
      <c r="E4429">
        <v>16016869</v>
      </c>
      <c r="F4429">
        <f>_xll.BDP("FNFS9760 Mtge","CPN")</f>
        <v>3</v>
      </c>
      <c r="G4429">
        <f>_xll.BDP("FNFS9760 Mtge","MTG_FACTOR")</f>
        <v>0.90227482999999997</v>
      </c>
      <c r="H4429">
        <f>_xll.BDP("FNFS9760 Mtge","MTG_WAL")</f>
        <v>8.2728999999999999</v>
      </c>
      <c r="I4429" t="str">
        <f>_xll.BDP("FNFS9760 Mtge","MTG_ORIG_WAL")</f>
        <v>#N/A N/A</v>
      </c>
    </row>
    <row r="4430" spans="1:9" x14ac:dyDescent="0.25">
      <c r="A4430" t="str">
        <f>_xll.BDP("FNFS9761 Mtge","ID_CUSIP")</f>
        <v>3140XRZ32</v>
      </c>
      <c r="B4430" t="str">
        <f>_xll.BDP("FNFS9761 Mtge","SECURITY_NAME")</f>
        <v>FN FS9761</v>
      </c>
      <c r="C4430" t="str">
        <f>_xll.BDP("FNFS9761 Mtge","GENERIC_TICKER_VINTAGE")</f>
        <v>FNCL 3 2021</v>
      </c>
      <c r="D4430" t="str">
        <f>_xll.BDP("FNFS9761 Mtge","CRNCY")</f>
        <v>USD</v>
      </c>
      <c r="E4430">
        <v>25885059</v>
      </c>
      <c r="F4430">
        <f>_xll.BDP("FNFS9761 Mtge","CPN")</f>
        <v>3</v>
      </c>
      <c r="G4430">
        <f>_xll.BDP("FNFS9761 Mtge","MTG_FACTOR")</f>
        <v>0.92120665000000002</v>
      </c>
      <c r="H4430">
        <f>_xll.BDP("FNFS9761 Mtge","MTG_WAL")</f>
        <v>8.2545000000000002</v>
      </c>
      <c r="I4430" t="str">
        <f>_xll.BDP("FNFS9761 Mtge","MTG_ORIG_WAL")</f>
        <v>#N/A N/A</v>
      </c>
    </row>
    <row r="4431" spans="1:9" x14ac:dyDescent="0.25">
      <c r="A4431" t="str">
        <f>_xll.BDP("FNFS9895 Mtge","ID_CUSIP")</f>
        <v>3140XR7H2</v>
      </c>
      <c r="B4431" t="str">
        <f>_xll.BDP("FNFS9895 Mtge","SECURITY_NAME")</f>
        <v>FN FS9895</v>
      </c>
      <c r="C4431" t="str">
        <f>_xll.BDP("FNFS9895 Mtge","GENERIC_TICKER_VINTAGE")</f>
        <v>FNCL 3 2021</v>
      </c>
      <c r="D4431" t="str">
        <f>_xll.BDP("FNFS9895 Mtge","CRNCY")</f>
        <v>USD</v>
      </c>
      <c r="E4431">
        <v>10188556</v>
      </c>
      <c r="F4431">
        <f>_xll.BDP("FNFS9895 Mtge","CPN")</f>
        <v>3</v>
      </c>
      <c r="G4431">
        <f>_xll.BDP("FNFS9895 Mtge","MTG_FACTOR")</f>
        <v>0.85209181000000001</v>
      </c>
      <c r="H4431">
        <f>_xll.BDP("FNFS9895 Mtge","MTG_WAL")</f>
        <v>8.2058999999999997</v>
      </c>
      <c r="I4431" t="str">
        <f>_xll.BDP("FNFS9895 Mtge","MTG_ORIG_WAL")</f>
        <v>#N/A N/A</v>
      </c>
    </row>
    <row r="4432" spans="1:9" x14ac:dyDescent="0.25">
      <c r="A4432" t="str">
        <f>_xll.BDP("FNFS9976 Mtge","ID_CUSIP")</f>
        <v>3140XSCN1</v>
      </c>
      <c r="B4432" t="str">
        <f>_xll.BDP("FNFS9976 Mtge","SECURITY_NAME")</f>
        <v>FN FS9976</v>
      </c>
      <c r="C4432" t="str">
        <f>_xll.BDP("FNFS9976 Mtge","GENERIC_TICKER_VINTAGE")</f>
        <v>FNCL 3 2021</v>
      </c>
      <c r="D4432" t="str">
        <f>_xll.BDP("FNFS9976 Mtge","CRNCY")</f>
        <v>USD</v>
      </c>
      <c r="E4432">
        <v>12668509</v>
      </c>
      <c r="F4432">
        <f>_xll.BDP("FNFS9976 Mtge","CPN")</f>
        <v>3</v>
      </c>
      <c r="G4432">
        <f>_xll.BDP("FNFS9976 Mtge","MTG_FACTOR")</f>
        <v>0.88339009999999996</v>
      </c>
      <c r="H4432">
        <f>_xll.BDP("FNFS9976 Mtge","MTG_WAL")</f>
        <v>8.1762999999999995</v>
      </c>
      <c r="I4432" t="str">
        <f>_xll.BDP("FNFS9976 Mtge","MTG_ORIG_WAL")</f>
        <v>#N/A N/A</v>
      </c>
    </row>
    <row r="4433" spans="1:9" x14ac:dyDescent="0.25">
      <c r="A4433" t="str">
        <f>_xll.BDP("FNFS9977 Mtge","ID_CUSIP")</f>
        <v>3140XSCP6</v>
      </c>
      <c r="B4433" t="str">
        <f>_xll.BDP("FNFS9977 Mtge","SECURITY_NAME")</f>
        <v>FN FS9977</v>
      </c>
      <c r="C4433" t="str">
        <f>_xll.BDP("FNFS9977 Mtge","GENERIC_TICKER_VINTAGE")</f>
        <v>FNCL 3 2021</v>
      </c>
      <c r="D4433" t="str">
        <f>_xll.BDP("FNFS9977 Mtge","CRNCY")</f>
        <v>USD</v>
      </c>
      <c r="E4433">
        <v>10124068</v>
      </c>
      <c r="F4433">
        <f>_xll.BDP("FNFS9977 Mtge","CPN")</f>
        <v>3</v>
      </c>
      <c r="G4433">
        <f>_xll.BDP("FNFS9977 Mtge","MTG_FACTOR")</f>
        <v>0.89543088999999998</v>
      </c>
      <c r="H4433">
        <f>_xll.BDP("FNFS9977 Mtge","MTG_WAL")</f>
        <v>8.2584999999999997</v>
      </c>
      <c r="I4433" t="str">
        <f>_xll.BDP("FNFS9977 Mtge","MTG_ORIG_WAL")</f>
        <v>#N/A N/A</v>
      </c>
    </row>
    <row r="4434" spans="1:9" x14ac:dyDescent="0.25">
      <c r="A4434" t="str">
        <f>_xll.BDP("FNMA4283 Mtge","ID_CUSIP")</f>
        <v>31418DXM9</v>
      </c>
      <c r="B4434" t="str">
        <f>_xll.BDP("FNMA4283 Mtge","SECURITY_NAME")</f>
        <v>FN MA4283</v>
      </c>
      <c r="C4434" t="str">
        <f>_xll.BDP("FNMA4283 Mtge","GENERIC_TICKER_VINTAGE")</f>
        <v>FNCL 3 2021</v>
      </c>
      <c r="D4434" t="str">
        <f>_xll.BDP("FNMA4283 Mtge","CRNCY")</f>
        <v>USD</v>
      </c>
      <c r="E4434">
        <v>74621886</v>
      </c>
      <c r="F4434">
        <f>_xll.BDP("FNMA4283 Mtge","CPN")</f>
        <v>3</v>
      </c>
      <c r="G4434">
        <f>_xll.BDP("FNMA4283 Mtge","MTG_FACTOR")</f>
        <v>0.51548744000000002</v>
      </c>
      <c r="H4434">
        <f>_xll.BDP("FNMA4283 Mtge","MTG_WAL")</f>
        <v>8.3145000000000007</v>
      </c>
      <c r="I4434" t="str">
        <f>_xll.BDP("FNMA4283 Mtge","MTG_ORIG_WAL")</f>
        <v>#N/A N/A</v>
      </c>
    </row>
    <row r="4435" spans="1:9" x14ac:dyDescent="0.25">
      <c r="A4435" t="str">
        <f>_xll.BDP("FNMA4380 Mtge","ID_CUSIP")</f>
        <v>31418D2N1</v>
      </c>
      <c r="B4435" t="str">
        <f>_xll.BDP("FNMA4380 Mtge","SECURITY_NAME")</f>
        <v>FN MA4380</v>
      </c>
      <c r="C4435" t="str">
        <f>_xll.BDP("FNMA4380 Mtge","GENERIC_TICKER_VINTAGE")</f>
        <v>FNCL 3 2021</v>
      </c>
      <c r="D4435" t="str">
        <f>_xll.BDP("FNMA4380 Mtge","CRNCY")</f>
        <v>USD</v>
      </c>
      <c r="E4435">
        <v>1007458862</v>
      </c>
      <c r="F4435">
        <f>_xll.BDP("FNMA4380 Mtge","CPN")</f>
        <v>3</v>
      </c>
      <c r="G4435">
        <f>_xll.BDP("FNMA4380 Mtge","MTG_FACTOR")</f>
        <v>0.55171462999999998</v>
      </c>
      <c r="H4435">
        <f>_xll.BDP("FNMA4380 Mtge","MTG_WAL")</f>
        <v>8.2942</v>
      </c>
      <c r="I4435" t="str">
        <f>_xll.BDP("FNMA4380 Mtge","MTG_ORIG_WAL")</f>
        <v>#N/A N/A</v>
      </c>
    </row>
    <row r="4436" spans="1:9" x14ac:dyDescent="0.25">
      <c r="A4436" t="str">
        <f>_xll.BDP("FNMA4400 Mtge","ID_CUSIP")</f>
        <v>31418D3J9</v>
      </c>
      <c r="B4436" t="str">
        <f>_xll.BDP("FNMA4400 Mtge","SECURITY_NAME")</f>
        <v>FN MA4400</v>
      </c>
      <c r="C4436" t="str">
        <f>_xll.BDP("FNMA4400 Mtge","GENERIC_TICKER_VINTAGE")</f>
        <v>FNCL 3 2021</v>
      </c>
      <c r="D4436" t="str">
        <f>_xll.BDP("FNMA4400 Mtge","CRNCY")</f>
        <v>USD</v>
      </c>
      <c r="E4436">
        <v>591708255</v>
      </c>
      <c r="F4436">
        <f>_xll.BDP("FNMA4400 Mtge","CPN")</f>
        <v>3</v>
      </c>
      <c r="G4436">
        <f>_xll.BDP("FNMA4400 Mtge","MTG_FACTOR")</f>
        <v>0.58341202000000003</v>
      </c>
      <c r="H4436">
        <f>_xll.BDP("FNMA4400 Mtge","MTG_WAL")</f>
        <v>8.2935999999999996</v>
      </c>
      <c r="I4436" t="str">
        <f>_xll.BDP("FNMA4400 Mtge","MTG_ORIG_WAL")</f>
        <v>#N/A N/A</v>
      </c>
    </row>
    <row r="4437" spans="1:9" x14ac:dyDescent="0.25">
      <c r="A4437" t="str">
        <f>_xll.BDP("FNMA4415 Mtge","ID_CUSIP")</f>
        <v>31418D3Z3</v>
      </c>
      <c r="B4437" t="str">
        <f>_xll.BDP("FNMA4415 Mtge","SECURITY_NAME")</f>
        <v>FN MA4415</v>
      </c>
      <c r="C4437" t="str">
        <f>_xll.BDP("FNMA4415 Mtge","GENERIC_TICKER_VINTAGE")</f>
        <v>FNCL 3 2021</v>
      </c>
      <c r="D4437" t="str">
        <f>_xll.BDP("FNMA4415 Mtge","CRNCY")</f>
        <v>USD</v>
      </c>
      <c r="E4437">
        <v>587194992</v>
      </c>
      <c r="F4437">
        <f>_xll.BDP("FNMA4415 Mtge","CPN")</f>
        <v>3</v>
      </c>
      <c r="G4437">
        <f>_xll.BDP("FNMA4415 Mtge","MTG_FACTOR")</f>
        <v>0.57320406000000002</v>
      </c>
      <c r="H4437">
        <f>_xll.BDP("FNMA4415 Mtge","MTG_WAL")</f>
        <v>8.3348999999999993</v>
      </c>
      <c r="I4437" t="str">
        <f>_xll.BDP("FNMA4415 Mtge","MTG_ORIG_WAL")</f>
        <v>#N/A N/A</v>
      </c>
    </row>
    <row r="4438" spans="1:9" x14ac:dyDescent="0.25">
      <c r="A4438" t="str">
        <f>_xll.BDP("FNMA4467 Mtge","ID_CUSIP")</f>
        <v>31418D6D9</v>
      </c>
      <c r="B4438" t="str">
        <f>_xll.BDP("FNMA4467 Mtge","SECURITY_NAME")</f>
        <v>FN MA4467</v>
      </c>
      <c r="C4438" t="str">
        <f>_xll.BDP("FNMA4467 Mtge","GENERIC_TICKER_VINTAGE")</f>
        <v>FNCL 3 2021</v>
      </c>
      <c r="D4438" t="str">
        <f>_xll.BDP("FNMA4467 Mtge","CRNCY")</f>
        <v>USD</v>
      </c>
      <c r="E4438">
        <v>551145749</v>
      </c>
      <c r="F4438">
        <f>_xll.BDP("FNMA4467 Mtge","CPN")</f>
        <v>3</v>
      </c>
      <c r="G4438">
        <f>_xll.BDP("FNMA4467 Mtge","MTG_FACTOR")</f>
        <v>0.63290990999999996</v>
      </c>
      <c r="H4438">
        <f>_xll.BDP("FNMA4467 Mtge","MTG_WAL")</f>
        <v>8.3488000000000007</v>
      </c>
      <c r="I4438" t="str">
        <f>_xll.BDP("FNMA4467 Mtge","MTG_ORIG_WAL")</f>
        <v>#N/A N/A</v>
      </c>
    </row>
    <row r="4439" spans="1:9" x14ac:dyDescent="0.25">
      <c r="A4439" t="str">
        <f>_xll.BDP("FNMA4513 Mtge","ID_CUSIP")</f>
        <v>31418EAP5</v>
      </c>
      <c r="B4439" t="str">
        <f>_xll.BDP("FNMA4513 Mtge","SECURITY_NAME")</f>
        <v>FN MA4513</v>
      </c>
      <c r="C4439" t="str">
        <f>_xll.BDP("FNMA4513 Mtge","GENERIC_TICKER_VINTAGE")</f>
        <v>FNCL 3 2021</v>
      </c>
      <c r="D4439" t="str">
        <f>_xll.BDP("FNMA4513 Mtge","CRNCY")</f>
        <v>USD</v>
      </c>
      <c r="E4439">
        <v>974619361</v>
      </c>
      <c r="F4439">
        <f>_xll.BDP("FNMA4513 Mtge","CPN")</f>
        <v>3</v>
      </c>
      <c r="G4439">
        <f>_xll.BDP("FNMA4513 Mtge","MTG_FACTOR")</f>
        <v>0.67191809000000002</v>
      </c>
      <c r="H4439">
        <f>_xll.BDP("FNMA4513 Mtge","MTG_WAL")</f>
        <v>8.4268000000000001</v>
      </c>
      <c r="I4439" t="str">
        <f>_xll.BDP("FNMA4513 Mtge","MTG_ORIG_WAL")</f>
        <v>#N/A N/A</v>
      </c>
    </row>
    <row r="4440" spans="1:9" x14ac:dyDescent="0.25">
      <c r="A4440" t="str">
        <f>_xll.BDP("FRQB9285 Mtge","ID_CUSIP")</f>
        <v>3133AGJ67</v>
      </c>
      <c r="B4440" t="str">
        <f>_xll.BDP("FRQB9285 Mtge","SECURITY_NAME")</f>
        <v>FR QB9285</v>
      </c>
      <c r="C4440" t="str">
        <f>_xll.BDP("FRQB9285 Mtge","GENERIC_TICKER_VINTAGE")</f>
        <v>FNCL 3 2021</v>
      </c>
      <c r="D4440" t="str">
        <f>_xll.BDP("FRQB9285 Mtge","CRNCY")</f>
        <v>USD</v>
      </c>
      <c r="E4440">
        <v>491367</v>
      </c>
      <c r="F4440">
        <f>_xll.BDP("FRQB9285 Mtge","CPN")</f>
        <v>3</v>
      </c>
      <c r="G4440">
        <f>_xll.BDP("FRQB9285 Mtge","MTG_FACTOR")</f>
        <v>0.88695115999999996</v>
      </c>
      <c r="H4440">
        <f>_xll.BDP("FRQB9285 Mtge","MTG_WAL")</f>
        <v>8.3051999999999992</v>
      </c>
      <c r="I4440" t="str">
        <f>_xll.BDP("FRQB9285 Mtge","MTG_ORIG_WAL")</f>
        <v>#N/A N/A</v>
      </c>
    </row>
    <row r="4441" spans="1:9" x14ac:dyDescent="0.25">
      <c r="A4441" t="str">
        <f>_xll.BDP("FRQB9873 Mtge","ID_CUSIP")</f>
        <v>3133AG6J3</v>
      </c>
      <c r="B4441" t="str">
        <f>_xll.BDP("FRQB9873 Mtge","SECURITY_NAME")</f>
        <v>FR QB9873</v>
      </c>
      <c r="C4441" t="str">
        <f>_xll.BDP("FRQB9873 Mtge","GENERIC_TICKER_VINTAGE")</f>
        <v>FNCL 3 2021</v>
      </c>
      <c r="D4441" t="str">
        <f>_xll.BDP("FRQB9873 Mtge","CRNCY")</f>
        <v>USD</v>
      </c>
      <c r="E4441">
        <v>7695628</v>
      </c>
      <c r="F4441">
        <f>_xll.BDP("FRQB9873 Mtge","CPN")</f>
        <v>3</v>
      </c>
      <c r="G4441">
        <f>_xll.BDP("FRQB9873 Mtge","MTG_FACTOR")</f>
        <v>0.61414108000000001</v>
      </c>
      <c r="H4441">
        <f>_xll.BDP("FRQB9873 Mtge","MTG_WAL")</f>
        <v>8.1882999999999999</v>
      </c>
      <c r="I4441" t="str">
        <f>_xll.BDP("FRQB9873 Mtge","MTG_ORIG_WAL")</f>
        <v>#N/A N/A</v>
      </c>
    </row>
    <row r="4442" spans="1:9" x14ac:dyDescent="0.25">
      <c r="A4442" t="str">
        <f>_xll.BDP("FRQC0019 Mtge","ID_CUSIP")</f>
        <v>3133AJAU7</v>
      </c>
      <c r="B4442" t="str">
        <f>_xll.BDP("FRQC0019 Mtge","SECURITY_NAME")</f>
        <v>FR QC0019</v>
      </c>
      <c r="C4442" t="str">
        <f>_xll.BDP("FRQC0019 Mtge","GENERIC_TICKER_VINTAGE")</f>
        <v>FNCL 3 2021</v>
      </c>
      <c r="D4442" t="str">
        <f>_xll.BDP("FRQC0019 Mtge","CRNCY")</f>
        <v>USD</v>
      </c>
      <c r="E4442">
        <v>30982245</v>
      </c>
      <c r="F4442">
        <f>_xll.BDP("FRQC0019 Mtge","CPN")</f>
        <v>3</v>
      </c>
      <c r="G4442">
        <f>_xll.BDP("FRQC0019 Mtge","MTG_FACTOR")</f>
        <v>0.65794827</v>
      </c>
      <c r="H4442">
        <f>_xll.BDP("FRQC0019 Mtge","MTG_WAL")</f>
        <v>8.3188999999999993</v>
      </c>
      <c r="I4442" t="str">
        <f>_xll.BDP("FRQC0019 Mtge","MTG_ORIG_WAL")</f>
        <v>#N/A N/A</v>
      </c>
    </row>
    <row r="4443" spans="1:9" x14ac:dyDescent="0.25">
      <c r="A4443" t="str">
        <f>_xll.BDP("FRQC0287 Mtge","ID_CUSIP")</f>
        <v>3133AJJ87</v>
      </c>
      <c r="B4443" t="str">
        <f>_xll.BDP("FRQC0287 Mtge","SECURITY_NAME")</f>
        <v>FR QC0287</v>
      </c>
      <c r="C4443" t="str">
        <f>_xll.BDP("FRQC0287 Mtge","GENERIC_TICKER_VINTAGE")</f>
        <v>FNCL 3 2021</v>
      </c>
      <c r="D4443" t="str">
        <f>_xll.BDP("FRQC0287 Mtge","CRNCY")</f>
        <v>USD</v>
      </c>
      <c r="E4443">
        <v>13133200</v>
      </c>
      <c r="F4443">
        <f>_xll.BDP("FRQC0287 Mtge","CPN")</f>
        <v>3</v>
      </c>
      <c r="G4443">
        <f>_xll.BDP("FRQC0287 Mtge","MTG_FACTOR")</f>
        <v>0.64643437999999998</v>
      </c>
      <c r="H4443">
        <f>_xll.BDP("FRQC0287 Mtge","MTG_WAL")</f>
        <v>8.2989999999999995</v>
      </c>
      <c r="I4443" t="str">
        <f>_xll.BDP("FRQC0287 Mtge","MTG_ORIG_WAL")</f>
        <v>#N/A N/A</v>
      </c>
    </row>
    <row r="4444" spans="1:9" x14ac:dyDescent="0.25">
      <c r="A4444" t="str">
        <f>_xll.BDP("FRQC0393 Mtge","ID_CUSIP")</f>
        <v>3133AJNJ8</v>
      </c>
      <c r="B4444" t="str">
        <f>_xll.BDP("FRQC0393 Mtge","SECURITY_NAME")</f>
        <v>FR QC0393</v>
      </c>
      <c r="C4444" t="str">
        <f>_xll.BDP("FRQC0393 Mtge","GENERIC_TICKER_VINTAGE")</f>
        <v>FNCL 3 2021</v>
      </c>
      <c r="D4444" t="str">
        <f>_xll.BDP("FRQC0393 Mtge","CRNCY")</f>
        <v>USD</v>
      </c>
      <c r="E4444">
        <v>9686754</v>
      </c>
      <c r="F4444">
        <f>_xll.BDP("FRQC0393 Mtge","CPN")</f>
        <v>3</v>
      </c>
      <c r="G4444">
        <f>_xll.BDP("FRQC0393 Mtge","MTG_FACTOR")</f>
        <v>0.50858875000000003</v>
      </c>
      <c r="H4444">
        <f>_xll.BDP("FRQC0393 Mtge","MTG_WAL")</f>
        <v>8.2254000000000005</v>
      </c>
      <c r="I4444" t="str">
        <f>_xll.BDP("FRQC0393 Mtge","MTG_ORIG_WAL")</f>
        <v>#N/A N/A</v>
      </c>
    </row>
    <row r="4445" spans="1:9" x14ac:dyDescent="0.25">
      <c r="A4445" t="str">
        <f>_xll.BDP("FRQC0717 Mtge","ID_CUSIP")</f>
        <v>3133AJYN7</v>
      </c>
      <c r="B4445" t="str">
        <f>_xll.BDP("FRQC0717 Mtge","SECURITY_NAME")</f>
        <v>FR QC0717</v>
      </c>
      <c r="C4445" t="str">
        <f>_xll.BDP("FRQC0717 Mtge","GENERIC_TICKER_VINTAGE")</f>
        <v>FNCL 3 2021</v>
      </c>
      <c r="D4445" t="str">
        <f>_xll.BDP("FRQC0717 Mtge","CRNCY")</f>
        <v>USD</v>
      </c>
      <c r="E4445">
        <v>6149035</v>
      </c>
      <c r="F4445">
        <f>_xll.BDP("FRQC0717 Mtge","CPN")</f>
        <v>3</v>
      </c>
      <c r="G4445">
        <f>_xll.BDP("FRQC0717 Mtge","MTG_FACTOR")</f>
        <v>0.58569433000000004</v>
      </c>
      <c r="H4445">
        <f>_xll.BDP("FRQC0717 Mtge","MTG_WAL")</f>
        <v>8.2665000000000006</v>
      </c>
      <c r="I4445" t="str">
        <f>_xll.BDP("FRQC0717 Mtge","MTG_ORIG_WAL")</f>
        <v>#N/A N/A</v>
      </c>
    </row>
    <row r="4446" spans="1:9" x14ac:dyDescent="0.25">
      <c r="A4446" t="str">
        <f>_xll.BDP("FRQC1105 Mtge","ID_CUSIP")</f>
        <v>3133AKGN4</v>
      </c>
      <c r="B4446" t="str">
        <f>_xll.BDP("FRQC1105 Mtge","SECURITY_NAME")</f>
        <v>FR QC1105</v>
      </c>
      <c r="C4446" t="str">
        <f>_xll.BDP("FRQC1105 Mtge","GENERIC_TICKER_VINTAGE")</f>
        <v>FNCL 3 2021</v>
      </c>
      <c r="D4446" t="str">
        <f>_xll.BDP("FRQC1105 Mtge","CRNCY")</f>
        <v>USD</v>
      </c>
      <c r="E4446">
        <v>31936192</v>
      </c>
      <c r="F4446">
        <f>_xll.BDP("FRQC1105 Mtge","CPN")</f>
        <v>3</v>
      </c>
      <c r="G4446">
        <f>_xll.BDP("FRQC1105 Mtge","MTG_FACTOR")</f>
        <v>0.67570284999999997</v>
      </c>
      <c r="H4446">
        <f>_xll.BDP("FRQC1105 Mtge","MTG_WAL")</f>
        <v>8.1590000000000007</v>
      </c>
      <c r="I4446" t="str">
        <f>_xll.BDP("FRQC1105 Mtge","MTG_ORIG_WAL")</f>
        <v>#N/A N/A</v>
      </c>
    </row>
    <row r="4447" spans="1:9" x14ac:dyDescent="0.25">
      <c r="A4447" t="str">
        <f>_xll.BDP("FRQC1235 Mtge","ID_CUSIP")</f>
        <v>3133AKLQ1</v>
      </c>
      <c r="B4447" t="str">
        <f>_xll.BDP("FRQC1235 Mtge","SECURITY_NAME")</f>
        <v>FR QC1235</v>
      </c>
      <c r="C4447" t="str">
        <f>_xll.BDP("FRQC1235 Mtge","GENERIC_TICKER_VINTAGE")</f>
        <v>FNCL 3 2021</v>
      </c>
      <c r="D4447" t="str">
        <f>_xll.BDP("FRQC1235 Mtge","CRNCY")</f>
        <v>USD</v>
      </c>
      <c r="E4447">
        <v>17832415</v>
      </c>
      <c r="F4447">
        <f>_xll.BDP("FRQC1235 Mtge","CPN")</f>
        <v>3</v>
      </c>
      <c r="G4447">
        <f>_xll.BDP("FRQC1235 Mtge","MTG_FACTOR")</f>
        <v>0.56540760000000001</v>
      </c>
      <c r="H4447">
        <f>_xll.BDP("FRQC1235 Mtge","MTG_WAL")</f>
        <v>8.3079999999999998</v>
      </c>
      <c r="I4447" t="str">
        <f>_xll.BDP("FRQC1235 Mtge","MTG_ORIG_WAL")</f>
        <v>#N/A N/A</v>
      </c>
    </row>
    <row r="4448" spans="1:9" x14ac:dyDescent="0.25">
      <c r="A4448" t="str">
        <f>_xll.BDP("FRQC1458 Mtge","ID_CUSIP")</f>
        <v>3133AKTP5</v>
      </c>
      <c r="B4448" t="str">
        <f>_xll.BDP("FRQC1458 Mtge","SECURITY_NAME")</f>
        <v>FR QC1458</v>
      </c>
      <c r="C4448" t="str">
        <f>_xll.BDP("FRQC1458 Mtge","GENERIC_TICKER_VINTAGE")</f>
        <v>FNCL 3 2021</v>
      </c>
      <c r="D4448" t="str">
        <f>_xll.BDP("FRQC1458 Mtge","CRNCY")</f>
        <v>USD</v>
      </c>
      <c r="E4448">
        <v>6410478</v>
      </c>
      <c r="F4448">
        <f>_xll.BDP("FRQC1458 Mtge","CPN")</f>
        <v>3</v>
      </c>
      <c r="G4448">
        <f>_xll.BDP("FRQC1458 Mtge","MTG_FACTOR")</f>
        <v>0.32357016</v>
      </c>
      <c r="H4448">
        <f>_xll.BDP("FRQC1458 Mtge","MTG_WAL")</f>
        <v>8.1911000000000005</v>
      </c>
      <c r="I4448" t="str">
        <f>_xll.BDP("FRQC1458 Mtge","MTG_ORIG_WAL")</f>
        <v>#N/A N/A</v>
      </c>
    </row>
    <row r="4449" spans="1:9" x14ac:dyDescent="0.25">
      <c r="A4449" t="str">
        <f>_xll.BDP("FRQC2024 Mtge","ID_CUSIP")</f>
        <v>3133ALG93</v>
      </c>
      <c r="B4449" t="str">
        <f>_xll.BDP("FRQC2024 Mtge","SECURITY_NAME")</f>
        <v>FR QC2024</v>
      </c>
      <c r="C4449" t="str">
        <f>_xll.BDP("FRQC2024 Mtge","GENERIC_TICKER_VINTAGE")</f>
        <v>FNCL 3 2021</v>
      </c>
      <c r="D4449" t="str">
        <f>_xll.BDP("FRQC2024 Mtge","CRNCY")</f>
        <v>USD</v>
      </c>
      <c r="E4449">
        <v>2498479</v>
      </c>
      <c r="F4449">
        <f>_xll.BDP("FRQC2024 Mtge","CPN")</f>
        <v>3</v>
      </c>
      <c r="G4449">
        <f>_xll.BDP("FRQC2024 Mtge","MTG_FACTOR")</f>
        <v>0.68223363999999997</v>
      </c>
      <c r="H4449">
        <f>_xll.BDP("FRQC2024 Mtge","MTG_WAL")</f>
        <v>8.1910000000000007</v>
      </c>
      <c r="I4449" t="str">
        <f>_xll.BDP("FRQC2024 Mtge","MTG_ORIG_WAL")</f>
        <v>#N/A N/A</v>
      </c>
    </row>
    <row r="4450" spans="1:9" x14ac:dyDescent="0.25">
      <c r="A4450" t="str">
        <f>_xll.BDP("FRQC2367 Mtge","ID_CUSIP")</f>
        <v>3133ALTY4</v>
      </c>
      <c r="B4450" t="str">
        <f>_xll.BDP("FRQC2367 Mtge","SECURITY_NAME")</f>
        <v>FR QC2367</v>
      </c>
      <c r="C4450" t="str">
        <f>_xll.BDP("FRQC2367 Mtge","GENERIC_TICKER_VINTAGE")</f>
        <v>FNCL 3 2021</v>
      </c>
      <c r="D4450" t="str">
        <f>_xll.BDP("FRQC2367 Mtge","CRNCY")</f>
        <v>USD</v>
      </c>
      <c r="E4450">
        <v>9672518</v>
      </c>
      <c r="F4450">
        <f>_xll.BDP("FRQC2367 Mtge","CPN")</f>
        <v>3</v>
      </c>
      <c r="G4450">
        <f>_xll.BDP("FRQC2367 Mtge","MTG_FACTOR")</f>
        <v>0.69779972000000001</v>
      </c>
      <c r="H4450">
        <f>_xll.BDP("FRQC2367 Mtge","MTG_WAL")</f>
        <v>8.1418999999999997</v>
      </c>
      <c r="I4450" t="str">
        <f>_xll.BDP("FRQC2367 Mtge","MTG_ORIG_WAL")</f>
        <v>#N/A N/A</v>
      </c>
    </row>
    <row r="4451" spans="1:9" x14ac:dyDescent="0.25">
      <c r="A4451" t="str">
        <f>_xll.BDP("FRQC2567 Mtge","ID_CUSIP")</f>
        <v>3133ALZ84</v>
      </c>
      <c r="B4451" t="str">
        <f>_xll.BDP("FRQC2567 Mtge","SECURITY_NAME")</f>
        <v>FR QC2567</v>
      </c>
      <c r="C4451" t="str">
        <f>_xll.BDP("FRQC2567 Mtge","GENERIC_TICKER_VINTAGE")</f>
        <v>FNCL 3 2021</v>
      </c>
      <c r="D4451" t="str">
        <f>_xll.BDP("FRQC2567 Mtge","CRNCY")</f>
        <v>USD</v>
      </c>
      <c r="E4451">
        <v>12466483</v>
      </c>
      <c r="F4451">
        <f>_xll.BDP("FRQC2567 Mtge","CPN")</f>
        <v>3</v>
      </c>
      <c r="G4451">
        <f>_xll.BDP("FRQC2567 Mtge","MTG_FACTOR")</f>
        <v>0.63291233000000002</v>
      </c>
      <c r="H4451">
        <f>_xll.BDP("FRQC2567 Mtge","MTG_WAL")</f>
        <v>8.2562999999999995</v>
      </c>
      <c r="I4451" t="str">
        <f>_xll.BDP("FRQC2567 Mtge","MTG_ORIG_WAL")</f>
        <v>#N/A N/A</v>
      </c>
    </row>
    <row r="4452" spans="1:9" x14ac:dyDescent="0.25">
      <c r="A4452" t="str">
        <f>_xll.BDP("FRQC2692 Mtge","ID_CUSIP")</f>
        <v>3133AL7D4</v>
      </c>
      <c r="B4452" t="str">
        <f>_xll.BDP("FRQC2692 Mtge","SECURITY_NAME")</f>
        <v>FR QC2692</v>
      </c>
      <c r="C4452" t="str">
        <f>_xll.BDP("FRQC2692 Mtge","GENERIC_TICKER_VINTAGE")</f>
        <v>FNCL 3 2021</v>
      </c>
      <c r="D4452" t="str">
        <f>_xll.BDP("FRQC2692 Mtge","CRNCY")</f>
        <v>USD</v>
      </c>
      <c r="E4452">
        <v>5435706</v>
      </c>
      <c r="F4452">
        <f>_xll.BDP("FRQC2692 Mtge","CPN")</f>
        <v>3</v>
      </c>
      <c r="G4452">
        <f>_xll.BDP("FRQC2692 Mtge","MTG_FACTOR")</f>
        <v>0.50896222000000002</v>
      </c>
      <c r="H4452">
        <f>_xll.BDP("FRQC2692 Mtge","MTG_WAL")</f>
        <v>8.0237999999999996</v>
      </c>
      <c r="I4452" t="str">
        <f>_xll.BDP("FRQC2692 Mtge","MTG_ORIG_WAL")</f>
        <v>#N/A N/A</v>
      </c>
    </row>
    <row r="4453" spans="1:9" x14ac:dyDescent="0.25">
      <c r="A4453" t="str">
        <f>_xll.BDP("FRQC2796 Mtge","ID_CUSIP")</f>
        <v>3133AMC95</v>
      </c>
      <c r="B4453" t="str">
        <f>_xll.BDP("FRQC2796 Mtge","SECURITY_NAME")</f>
        <v>FR QC2796</v>
      </c>
      <c r="C4453" t="str">
        <f>_xll.BDP("FRQC2796 Mtge","GENERIC_TICKER_VINTAGE")</f>
        <v>FNCL 3 2021</v>
      </c>
      <c r="D4453" t="str">
        <f>_xll.BDP("FRQC2796 Mtge","CRNCY")</f>
        <v>USD</v>
      </c>
      <c r="E4453">
        <v>1021357</v>
      </c>
      <c r="F4453">
        <f>_xll.BDP("FRQC2796 Mtge","CPN")</f>
        <v>3</v>
      </c>
      <c r="G4453">
        <f>_xll.BDP("FRQC2796 Mtge","MTG_FACTOR")</f>
        <v>0.83116685000000001</v>
      </c>
      <c r="H4453">
        <f>_xll.BDP("FRQC2796 Mtge","MTG_WAL")</f>
        <v>8.3187999999999995</v>
      </c>
      <c r="I4453" t="str">
        <f>_xll.BDP("FRQC2796 Mtge","MTG_ORIG_WAL")</f>
        <v>#N/A N/A</v>
      </c>
    </row>
    <row r="4454" spans="1:9" x14ac:dyDescent="0.25">
      <c r="A4454" t="str">
        <f>_xll.BDP("FRQC2868 Mtge","ID_CUSIP")</f>
        <v>3133AMFH4</v>
      </c>
      <c r="B4454" t="str">
        <f>_xll.BDP("FRQC2868 Mtge","SECURITY_NAME")</f>
        <v>FR QC2868</v>
      </c>
      <c r="C4454" t="str">
        <f>_xll.BDP("FRQC2868 Mtge","GENERIC_TICKER_VINTAGE")</f>
        <v>FNCL 3 2021</v>
      </c>
      <c r="D4454" t="str">
        <f>_xll.BDP("FRQC2868 Mtge","CRNCY")</f>
        <v>USD</v>
      </c>
      <c r="E4454">
        <v>1120360</v>
      </c>
      <c r="F4454">
        <f>_xll.BDP("FRQC2868 Mtge","CPN")</f>
        <v>3</v>
      </c>
      <c r="G4454">
        <f>_xll.BDP("FRQC2868 Mtge","MTG_FACTOR")</f>
        <v>0.43128715000000001</v>
      </c>
      <c r="H4454">
        <f>_xll.BDP("FRQC2868 Mtge","MTG_WAL")</f>
        <v>8.3480000000000008</v>
      </c>
      <c r="I4454" t="str">
        <f>_xll.BDP("FRQC2868 Mtge","MTG_ORIG_WAL")</f>
        <v>#N/A N/A</v>
      </c>
    </row>
    <row r="4455" spans="1:9" x14ac:dyDescent="0.25">
      <c r="A4455" t="str">
        <f>_xll.BDP("FRQC3232 Mtge","ID_CUSIP")</f>
        <v>3133AMSV9</v>
      </c>
      <c r="B4455" t="str">
        <f>_xll.BDP("FRQC3232 Mtge","SECURITY_NAME")</f>
        <v>FR QC3232</v>
      </c>
      <c r="C4455" t="str">
        <f>_xll.BDP("FRQC3232 Mtge","GENERIC_TICKER_VINTAGE")</f>
        <v>FNCL 3 2021</v>
      </c>
      <c r="D4455" t="str">
        <f>_xll.BDP("FRQC3232 Mtge","CRNCY")</f>
        <v>USD</v>
      </c>
      <c r="E4455">
        <v>49505021</v>
      </c>
      <c r="F4455">
        <f>_xll.BDP("FRQC3232 Mtge","CPN")</f>
        <v>3</v>
      </c>
      <c r="G4455">
        <f>_xll.BDP("FRQC3232 Mtge","MTG_FACTOR")</f>
        <v>0.62196182</v>
      </c>
      <c r="H4455">
        <f>_xll.BDP("FRQC3232 Mtge","MTG_WAL")</f>
        <v>8.1968999999999994</v>
      </c>
      <c r="I4455" t="str">
        <f>_xll.BDP("FRQC3232 Mtge","MTG_ORIG_WAL")</f>
        <v>#N/A N/A</v>
      </c>
    </row>
    <row r="4456" spans="1:9" x14ac:dyDescent="0.25">
      <c r="A4456" t="str">
        <f>_xll.BDP("FRQC3239 Mtge","ID_CUSIP")</f>
        <v>3133AMS49</v>
      </c>
      <c r="B4456" t="str">
        <f>_xll.BDP("FRQC3239 Mtge","SECURITY_NAME")</f>
        <v>FR QC3239</v>
      </c>
      <c r="C4456" t="str">
        <f>_xll.BDP("FRQC3239 Mtge","GENERIC_TICKER_VINTAGE")</f>
        <v>FNCL 3 2021</v>
      </c>
      <c r="D4456" t="str">
        <f>_xll.BDP("FRQC3239 Mtge","CRNCY")</f>
        <v>USD</v>
      </c>
      <c r="E4456">
        <v>32122967</v>
      </c>
      <c r="F4456">
        <f>_xll.BDP("FRQC3239 Mtge","CPN")</f>
        <v>3</v>
      </c>
      <c r="G4456">
        <f>_xll.BDP("FRQC3239 Mtge","MTG_FACTOR")</f>
        <v>0.61084565000000002</v>
      </c>
      <c r="H4456">
        <f>_xll.BDP("FRQC3239 Mtge","MTG_WAL")</f>
        <v>8.2738999999999994</v>
      </c>
      <c r="I4456" t="str">
        <f>_xll.BDP("FRQC3239 Mtge","MTG_ORIG_WAL")</f>
        <v>#N/A N/A</v>
      </c>
    </row>
    <row r="4457" spans="1:9" x14ac:dyDescent="0.25">
      <c r="A4457" t="str">
        <f>_xll.BDP("FRQC3240 Mtge","ID_CUSIP")</f>
        <v>3133AMS56</v>
      </c>
      <c r="B4457" t="str">
        <f>_xll.BDP("FRQC3240 Mtge","SECURITY_NAME")</f>
        <v>FR QC3240</v>
      </c>
      <c r="C4457" t="str">
        <f>_xll.BDP("FRQC3240 Mtge","GENERIC_TICKER_VINTAGE")</f>
        <v>FNCL 3 2021</v>
      </c>
      <c r="D4457" t="str">
        <f>_xll.BDP("FRQC3240 Mtge","CRNCY")</f>
        <v>USD</v>
      </c>
      <c r="E4457">
        <v>7435643</v>
      </c>
      <c r="F4457">
        <f>_xll.BDP("FRQC3240 Mtge","CPN")</f>
        <v>3</v>
      </c>
      <c r="G4457">
        <f>_xll.BDP("FRQC3240 Mtge","MTG_FACTOR")</f>
        <v>0.47070758000000001</v>
      </c>
      <c r="H4457">
        <f>_xll.BDP("FRQC3240 Mtge","MTG_WAL")</f>
        <v>8.2504000000000008</v>
      </c>
      <c r="I4457" t="str">
        <f>_xll.BDP("FRQC3240 Mtge","MTG_ORIG_WAL")</f>
        <v>#N/A N/A</v>
      </c>
    </row>
    <row r="4458" spans="1:9" x14ac:dyDescent="0.25">
      <c r="A4458" t="str">
        <f>_xll.BDP("FRQC3242 Mtge","ID_CUSIP")</f>
        <v>3133AMS72</v>
      </c>
      <c r="B4458" t="str">
        <f>_xll.BDP("FRQC3242 Mtge","SECURITY_NAME")</f>
        <v>FR QC3242</v>
      </c>
      <c r="C4458" t="str">
        <f>_xll.BDP("FRQC3242 Mtge","GENERIC_TICKER_VINTAGE")</f>
        <v>FNCL 3 2021</v>
      </c>
      <c r="D4458" t="str">
        <f>_xll.BDP("FRQC3242 Mtge","CRNCY")</f>
        <v>USD</v>
      </c>
      <c r="E4458">
        <v>30700899</v>
      </c>
      <c r="F4458">
        <f>_xll.BDP("FRQC3242 Mtge","CPN")</f>
        <v>3</v>
      </c>
      <c r="G4458">
        <f>_xll.BDP("FRQC3242 Mtge","MTG_FACTOR")</f>
        <v>0.59269899999999998</v>
      </c>
      <c r="H4458">
        <f>_xll.BDP("FRQC3242 Mtge","MTG_WAL")</f>
        <v>8.2012999999999998</v>
      </c>
      <c r="I4458" t="str">
        <f>_xll.BDP("FRQC3242 Mtge","MTG_ORIG_WAL")</f>
        <v>#N/A N/A</v>
      </c>
    </row>
    <row r="4459" spans="1:9" x14ac:dyDescent="0.25">
      <c r="A4459" t="str">
        <f>_xll.BDP("FRQC3244 Mtge","ID_CUSIP")</f>
        <v>3133AMS98</v>
      </c>
      <c r="B4459" t="str">
        <f>_xll.BDP("FRQC3244 Mtge","SECURITY_NAME")</f>
        <v>FR QC3244</v>
      </c>
      <c r="C4459" t="str">
        <f>_xll.BDP("FRQC3244 Mtge","GENERIC_TICKER_VINTAGE")</f>
        <v>FNCL 3 2021</v>
      </c>
      <c r="D4459" t="str">
        <f>_xll.BDP("FRQC3244 Mtge","CRNCY")</f>
        <v>USD</v>
      </c>
      <c r="E4459">
        <v>17073709</v>
      </c>
      <c r="F4459">
        <f>_xll.BDP("FRQC3244 Mtge","CPN")</f>
        <v>3</v>
      </c>
      <c r="G4459">
        <f>_xll.BDP("FRQC3244 Mtge","MTG_FACTOR")</f>
        <v>0.65551842000000005</v>
      </c>
      <c r="H4459">
        <f>_xll.BDP("FRQC3244 Mtge","MTG_WAL")</f>
        <v>8.2531999999999996</v>
      </c>
      <c r="I4459" t="str">
        <f>_xll.BDP("FRQC3244 Mtge","MTG_ORIG_WAL")</f>
        <v>#N/A N/A</v>
      </c>
    </row>
    <row r="4460" spans="1:9" x14ac:dyDescent="0.25">
      <c r="A4460" t="str">
        <f>_xll.BDP("FRQC3427 Mtge","ID_CUSIP")</f>
        <v>3133AMYY6</v>
      </c>
      <c r="B4460" t="str">
        <f>_xll.BDP("FRQC3427 Mtge","SECURITY_NAME")</f>
        <v>FR QC3427</v>
      </c>
      <c r="C4460" t="str">
        <f>_xll.BDP("FRQC3427 Mtge","GENERIC_TICKER_VINTAGE")</f>
        <v>FNCL 3 2021</v>
      </c>
      <c r="D4460" t="str">
        <f>_xll.BDP("FRQC3427 Mtge","CRNCY")</f>
        <v>USD</v>
      </c>
      <c r="E4460">
        <v>5234621</v>
      </c>
      <c r="F4460">
        <f>_xll.BDP("FRQC3427 Mtge","CPN")</f>
        <v>3</v>
      </c>
      <c r="G4460">
        <f>_xll.BDP("FRQC3427 Mtge","MTG_FACTOR")</f>
        <v>0.54014645999999999</v>
      </c>
      <c r="H4460">
        <f>_xll.BDP("FRQC3427 Mtge","MTG_WAL")</f>
        <v>8.2210000000000001</v>
      </c>
      <c r="I4460" t="str">
        <f>_xll.BDP("FRQC3427 Mtge","MTG_ORIG_WAL")</f>
        <v>#N/A N/A</v>
      </c>
    </row>
    <row r="4461" spans="1:9" x14ac:dyDescent="0.25">
      <c r="A4461" t="str">
        <f>_xll.BDP("FRQC3826 Mtge","ID_CUSIP")</f>
        <v>3133ANHB3</v>
      </c>
      <c r="B4461" t="str">
        <f>_xll.BDP("FRQC3826 Mtge","SECURITY_NAME")</f>
        <v>FR QC3826</v>
      </c>
      <c r="C4461" t="str">
        <f>_xll.BDP("FRQC3826 Mtge","GENERIC_TICKER_VINTAGE")</f>
        <v>FNCL 3 2021</v>
      </c>
      <c r="D4461" t="str">
        <f>_xll.BDP("FRQC3826 Mtge","CRNCY")</f>
        <v>USD</v>
      </c>
      <c r="E4461">
        <v>6884000</v>
      </c>
      <c r="F4461">
        <f>_xll.BDP("FRQC3826 Mtge","CPN")</f>
        <v>3</v>
      </c>
      <c r="G4461">
        <f>_xll.BDP("FRQC3826 Mtge","MTG_FACTOR")</f>
        <v>0.71553920000000004</v>
      </c>
      <c r="H4461">
        <f>_xll.BDP("FRQC3826 Mtge","MTG_WAL")</f>
        <v>8.3086000000000002</v>
      </c>
      <c r="I4461" t="str">
        <f>_xll.BDP("FRQC3826 Mtge","MTG_ORIG_WAL")</f>
        <v>#N/A N/A</v>
      </c>
    </row>
    <row r="4462" spans="1:9" x14ac:dyDescent="0.25">
      <c r="A4462" t="str">
        <f>_xll.BDP("FRQC3913 Mtge","ID_CUSIP")</f>
        <v>3133ANK29</v>
      </c>
      <c r="B4462" t="str">
        <f>_xll.BDP("FRQC3913 Mtge","SECURITY_NAME")</f>
        <v>FR QC3913</v>
      </c>
      <c r="C4462" t="str">
        <f>_xll.BDP("FRQC3913 Mtge","GENERIC_TICKER_VINTAGE")</f>
        <v>FNCL 3 2021</v>
      </c>
      <c r="D4462" t="str">
        <f>_xll.BDP("FRQC3913 Mtge","CRNCY")</f>
        <v>USD</v>
      </c>
      <c r="E4462">
        <v>3565731</v>
      </c>
      <c r="F4462">
        <f>_xll.BDP("FRQC3913 Mtge","CPN")</f>
        <v>3</v>
      </c>
      <c r="G4462">
        <f>_xll.BDP("FRQC3913 Mtge","MTG_FACTOR")</f>
        <v>0.81725283000000004</v>
      </c>
      <c r="H4462">
        <f>_xll.BDP("FRQC3913 Mtge","MTG_WAL")</f>
        <v>8.2777999999999992</v>
      </c>
      <c r="I4462" t="str">
        <f>_xll.BDP("FRQC3913 Mtge","MTG_ORIG_WAL")</f>
        <v>#N/A N/A</v>
      </c>
    </row>
    <row r="4463" spans="1:9" x14ac:dyDescent="0.25">
      <c r="A4463" t="str">
        <f>_xll.BDP("FRQC3919 Mtge","ID_CUSIP")</f>
        <v>3133ANK86</v>
      </c>
      <c r="B4463" t="str">
        <f>_xll.BDP("FRQC3919 Mtge","SECURITY_NAME")</f>
        <v>FR QC3919</v>
      </c>
      <c r="C4463" t="str">
        <f>_xll.BDP("FRQC3919 Mtge","GENERIC_TICKER_VINTAGE")</f>
        <v>FNCL 3 2021</v>
      </c>
      <c r="D4463" t="str">
        <f>_xll.BDP("FRQC3919 Mtge","CRNCY")</f>
        <v>USD</v>
      </c>
      <c r="E4463">
        <v>13286925</v>
      </c>
      <c r="F4463">
        <f>_xll.BDP("FRQC3919 Mtge","CPN")</f>
        <v>3</v>
      </c>
      <c r="G4463">
        <f>_xll.BDP("FRQC3919 Mtge","MTG_FACTOR")</f>
        <v>0.62815723999999995</v>
      </c>
      <c r="H4463">
        <f>_xll.BDP("FRQC3919 Mtge","MTG_WAL")</f>
        <v>8.3519000000000005</v>
      </c>
      <c r="I4463" t="str">
        <f>_xll.BDP("FRQC3919 Mtge","MTG_ORIG_WAL")</f>
        <v>#N/A N/A</v>
      </c>
    </row>
    <row r="4464" spans="1:9" x14ac:dyDescent="0.25">
      <c r="A4464" t="str">
        <f>_xll.BDP("FRQC3970 Mtge","ID_CUSIP")</f>
        <v>3133ANMT8</v>
      </c>
      <c r="B4464" t="str">
        <f>_xll.BDP("FRQC3970 Mtge","SECURITY_NAME")</f>
        <v>FR QC3970</v>
      </c>
      <c r="C4464" t="str">
        <f>_xll.BDP("FRQC3970 Mtge","GENERIC_TICKER_VINTAGE")</f>
        <v>FNCL 3 2021</v>
      </c>
      <c r="D4464" t="str">
        <f>_xll.BDP("FRQC3970 Mtge","CRNCY")</f>
        <v>USD</v>
      </c>
      <c r="E4464">
        <v>2409571</v>
      </c>
      <c r="F4464">
        <f>_xll.BDP("FRQC3970 Mtge","CPN")</f>
        <v>3</v>
      </c>
      <c r="G4464">
        <f>_xll.BDP("FRQC3970 Mtge","MTG_FACTOR")</f>
        <v>0.62400359999999999</v>
      </c>
      <c r="H4464">
        <f>_xll.BDP("FRQC3970 Mtge","MTG_WAL")</f>
        <v>7.9802999999999997</v>
      </c>
      <c r="I4464" t="str">
        <f>_xll.BDP("FRQC3970 Mtge","MTG_ORIG_WAL")</f>
        <v>#N/A N/A</v>
      </c>
    </row>
    <row r="4465" spans="1:9" x14ac:dyDescent="0.25">
      <c r="A4465" t="str">
        <f>_xll.BDP("FRQC4360 Mtge","ID_CUSIP")</f>
        <v>3133ANZZ0</v>
      </c>
      <c r="B4465" t="str">
        <f>_xll.BDP("FRQC4360 Mtge","SECURITY_NAME")</f>
        <v>FR QC4360</v>
      </c>
      <c r="C4465" t="str">
        <f>_xll.BDP("FRQC4360 Mtge","GENERIC_TICKER_VINTAGE")</f>
        <v>FNCL 3 2021</v>
      </c>
      <c r="D4465" t="str">
        <f>_xll.BDP("FRQC4360 Mtge","CRNCY")</f>
        <v>USD</v>
      </c>
      <c r="E4465">
        <v>6176212</v>
      </c>
      <c r="F4465">
        <f>_xll.BDP("FRQC4360 Mtge","CPN")</f>
        <v>3</v>
      </c>
      <c r="G4465">
        <f>_xll.BDP("FRQC4360 Mtge","MTG_FACTOR")</f>
        <v>0.75792669999999995</v>
      </c>
      <c r="H4465">
        <f>_xll.BDP("FRQC4360 Mtge","MTG_WAL")</f>
        <v>8.2965999999999998</v>
      </c>
      <c r="I4465" t="str">
        <f>_xll.BDP("FRQC4360 Mtge","MTG_ORIG_WAL")</f>
        <v>#N/A N/A</v>
      </c>
    </row>
    <row r="4466" spans="1:9" x14ac:dyDescent="0.25">
      <c r="A4466" t="str">
        <f>_xll.BDP("FRQC4394 Mtge","ID_CUSIP")</f>
        <v>3133AN3B8</v>
      </c>
      <c r="B4466" t="str">
        <f>_xll.BDP("FRQC4394 Mtge","SECURITY_NAME")</f>
        <v>FR QC4394</v>
      </c>
      <c r="C4466" t="str">
        <f>_xll.BDP("FRQC4394 Mtge","GENERIC_TICKER_VINTAGE")</f>
        <v>FNCL 3 2021</v>
      </c>
      <c r="D4466" t="str">
        <f>_xll.BDP("FRQC4394 Mtge","CRNCY")</f>
        <v>USD</v>
      </c>
      <c r="E4466">
        <v>44757718</v>
      </c>
      <c r="F4466">
        <f>_xll.BDP("FRQC4394 Mtge","CPN")</f>
        <v>3</v>
      </c>
      <c r="G4466">
        <f>_xll.BDP("FRQC4394 Mtge","MTG_FACTOR")</f>
        <v>0.64121211</v>
      </c>
      <c r="H4466">
        <f>_xll.BDP("FRQC4394 Mtge","MTG_WAL")</f>
        <v>8.2592999999999996</v>
      </c>
      <c r="I4466" t="str">
        <f>_xll.BDP("FRQC4394 Mtge","MTG_ORIG_WAL")</f>
        <v>#N/A N/A</v>
      </c>
    </row>
    <row r="4467" spans="1:9" x14ac:dyDescent="0.25">
      <c r="A4467" t="str">
        <f>_xll.BDP("FRQC4706 Mtge","ID_CUSIP")</f>
        <v>3133APGP8</v>
      </c>
      <c r="B4467" t="str">
        <f>_xll.BDP("FRQC4706 Mtge","SECURITY_NAME")</f>
        <v>FR QC4706</v>
      </c>
      <c r="C4467" t="str">
        <f>_xll.BDP("FRQC4706 Mtge","GENERIC_TICKER_VINTAGE")</f>
        <v>FNCL 3 2021</v>
      </c>
      <c r="D4467" t="str">
        <f>_xll.BDP("FRQC4706 Mtge","CRNCY")</f>
        <v>USD</v>
      </c>
      <c r="E4467">
        <v>15061337</v>
      </c>
      <c r="F4467">
        <f>_xll.BDP("FRQC4706 Mtge","CPN")</f>
        <v>3</v>
      </c>
      <c r="G4467">
        <f>_xll.BDP("FRQC4706 Mtge","MTG_FACTOR")</f>
        <v>0.68383713000000002</v>
      </c>
      <c r="H4467">
        <f>_xll.BDP("FRQC4706 Mtge","MTG_WAL")</f>
        <v>8.3345000000000002</v>
      </c>
      <c r="I4467" t="str">
        <f>_xll.BDP("FRQC4706 Mtge","MTG_ORIG_WAL")</f>
        <v>#N/A N/A</v>
      </c>
    </row>
    <row r="4468" spans="1:9" x14ac:dyDescent="0.25">
      <c r="A4468" t="str">
        <f>_xll.BDP("FRQC4764 Mtge","ID_CUSIP")</f>
        <v>3133APJH3</v>
      </c>
      <c r="B4468" t="str">
        <f>_xll.BDP("FRQC4764 Mtge","SECURITY_NAME")</f>
        <v>FR QC4764</v>
      </c>
      <c r="C4468" t="str">
        <f>_xll.BDP("FRQC4764 Mtge","GENERIC_TICKER_VINTAGE")</f>
        <v>FNCL 3 2021</v>
      </c>
      <c r="D4468" t="str">
        <f>_xll.BDP("FRQC4764 Mtge","CRNCY")</f>
        <v>USD</v>
      </c>
      <c r="E4468">
        <v>2494380</v>
      </c>
      <c r="F4468">
        <f>_xll.BDP("FRQC4764 Mtge","CPN")</f>
        <v>3</v>
      </c>
      <c r="G4468">
        <f>_xll.BDP("FRQC4764 Mtge","MTG_FACTOR")</f>
        <v>0.77047909999999997</v>
      </c>
      <c r="H4468">
        <f>_xll.BDP("FRQC4764 Mtge","MTG_WAL")</f>
        <v>8.1161999999999992</v>
      </c>
      <c r="I4468" t="str">
        <f>_xll.BDP("FRQC4764 Mtge","MTG_ORIG_WAL")</f>
        <v>#N/A N/A</v>
      </c>
    </row>
    <row r="4469" spans="1:9" x14ac:dyDescent="0.25">
      <c r="A4469" t="str">
        <f>_xll.BDP("FRQC5175 Mtge","ID_CUSIP")</f>
        <v>3133APXC8</v>
      </c>
      <c r="B4469" t="str">
        <f>_xll.BDP("FRQC5175 Mtge","SECURITY_NAME")</f>
        <v>FR QC5175</v>
      </c>
      <c r="C4469" t="str">
        <f>_xll.BDP("FRQC5175 Mtge","GENERIC_TICKER_VINTAGE")</f>
        <v>FNCL 3 2021</v>
      </c>
      <c r="D4469" t="str">
        <f>_xll.BDP("FRQC5175 Mtge","CRNCY")</f>
        <v>USD</v>
      </c>
      <c r="E4469">
        <v>1101269</v>
      </c>
      <c r="F4469">
        <f>_xll.BDP("FRQC5175 Mtge","CPN")</f>
        <v>3</v>
      </c>
      <c r="G4469">
        <f>_xll.BDP("FRQC5175 Mtge","MTG_FACTOR")</f>
        <v>0.90854170000000001</v>
      </c>
      <c r="H4469">
        <f>_xll.BDP("FRQC5175 Mtge","MTG_WAL")</f>
        <v>8.3458000000000006</v>
      </c>
      <c r="I4469" t="str">
        <f>_xll.BDP("FRQC5175 Mtge","MTG_ORIG_WAL")</f>
        <v>#N/A N/A</v>
      </c>
    </row>
    <row r="4470" spans="1:9" x14ac:dyDescent="0.25">
      <c r="A4470" t="str">
        <f>_xll.BDP("FRQC5192 Mtge","ID_CUSIP")</f>
        <v>3133APXV6</v>
      </c>
      <c r="B4470" t="str">
        <f>_xll.BDP("FRQC5192 Mtge","SECURITY_NAME")</f>
        <v>FR QC5192</v>
      </c>
      <c r="C4470" t="str">
        <f>_xll.BDP("FRQC5192 Mtge","GENERIC_TICKER_VINTAGE")</f>
        <v>FNCL 3 2021</v>
      </c>
      <c r="D4470" t="str">
        <f>_xll.BDP("FRQC5192 Mtge","CRNCY")</f>
        <v>USD</v>
      </c>
      <c r="E4470">
        <v>604038</v>
      </c>
      <c r="F4470">
        <f>_xll.BDP("FRQC5192 Mtge","CPN")</f>
        <v>3</v>
      </c>
      <c r="G4470">
        <f>_xll.BDP("FRQC5192 Mtge","MTG_FACTOR")</f>
        <v>0.90772580999999997</v>
      </c>
      <c r="H4470">
        <f>_xll.BDP("FRQC5192 Mtge","MTG_WAL")</f>
        <v>8.3734000000000002</v>
      </c>
      <c r="I4470" t="str">
        <f>_xll.BDP("FRQC5192 Mtge","MTG_ORIG_WAL")</f>
        <v>#N/A N/A</v>
      </c>
    </row>
    <row r="4471" spans="1:9" x14ac:dyDescent="0.25">
      <c r="A4471" t="str">
        <f>_xll.BDP("FRQC5216 Mtge","ID_CUSIP")</f>
        <v>3133APYM5</v>
      </c>
      <c r="B4471" t="str">
        <f>_xll.BDP("FRQC5216 Mtge","SECURITY_NAME")</f>
        <v>FR QC5216</v>
      </c>
      <c r="C4471" t="str">
        <f>_xll.BDP("FRQC5216 Mtge","GENERIC_TICKER_VINTAGE")</f>
        <v>FNCL 3 2021</v>
      </c>
      <c r="D4471" t="str">
        <f>_xll.BDP("FRQC5216 Mtge","CRNCY")</f>
        <v>USD</v>
      </c>
      <c r="E4471">
        <v>4755597</v>
      </c>
      <c r="F4471">
        <f>_xll.BDP("FRQC5216 Mtge","CPN")</f>
        <v>3</v>
      </c>
      <c r="G4471">
        <f>_xll.BDP("FRQC5216 Mtge","MTG_FACTOR")</f>
        <v>0.67829930999999999</v>
      </c>
      <c r="H4471">
        <f>_xll.BDP("FRQC5216 Mtge","MTG_WAL")</f>
        <v>8.0744000000000007</v>
      </c>
      <c r="I4471" t="str">
        <f>_xll.BDP("FRQC5216 Mtge","MTG_ORIG_WAL")</f>
        <v>#N/A N/A</v>
      </c>
    </row>
    <row r="4472" spans="1:9" x14ac:dyDescent="0.25">
      <c r="A4472" t="str">
        <f>_xll.BDP("FRQC5482 Mtge","ID_CUSIP")</f>
        <v>3133AQCT2</v>
      </c>
      <c r="B4472" t="str">
        <f>_xll.BDP("FRQC5482 Mtge","SECURITY_NAME")</f>
        <v>FR QC5482</v>
      </c>
      <c r="C4472" t="str">
        <f>_xll.BDP("FRQC5482 Mtge","GENERIC_TICKER_VINTAGE")</f>
        <v>FNCL 3 2021</v>
      </c>
      <c r="D4472" t="str">
        <f>_xll.BDP("FRQC5482 Mtge","CRNCY")</f>
        <v>USD</v>
      </c>
      <c r="E4472">
        <v>15037837</v>
      </c>
      <c r="F4472">
        <f>_xll.BDP("FRQC5482 Mtge","CPN")</f>
        <v>3</v>
      </c>
      <c r="G4472">
        <f>_xll.BDP("FRQC5482 Mtge","MTG_FACTOR")</f>
        <v>0.66289220999999998</v>
      </c>
      <c r="H4472">
        <f>_xll.BDP("FRQC5482 Mtge","MTG_WAL")</f>
        <v>8.3920999999999992</v>
      </c>
      <c r="I4472" t="str">
        <f>_xll.BDP("FRQC5482 Mtge","MTG_ORIG_WAL")</f>
        <v>#N/A N/A</v>
      </c>
    </row>
    <row r="4473" spans="1:9" x14ac:dyDescent="0.25">
      <c r="A4473" t="str">
        <f>_xll.BDP("FRQC5545 Mtge","ID_CUSIP")</f>
        <v>3133AQES2</v>
      </c>
      <c r="B4473" t="str">
        <f>_xll.BDP("FRQC5545 Mtge","SECURITY_NAME")</f>
        <v>FR QC5545</v>
      </c>
      <c r="C4473" t="str">
        <f>_xll.BDP("FRQC5545 Mtge","GENERIC_TICKER_VINTAGE")</f>
        <v>FNCL 3 2021</v>
      </c>
      <c r="D4473" t="str">
        <f>_xll.BDP("FRQC5545 Mtge","CRNCY")</f>
        <v>USD</v>
      </c>
      <c r="E4473">
        <v>2190518</v>
      </c>
      <c r="F4473">
        <f>_xll.BDP("FRQC5545 Mtge","CPN")</f>
        <v>3</v>
      </c>
      <c r="G4473">
        <f>_xll.BDP("FRQC5545 Mtge","MTG_FACTOR")</f>
        <v>0.80275167000000003</v>
      </c>
      <c r="H4473">
        <f>_xll.BDP("FRQC5545 Mtge","MTG_WAL")</f>
        <v>8.4107000000000003</v>
      </c>
      <c r="I4473" t="str">
        <f>_xll.BDP("FRQC5545 Mtge","MTG_ORIG_WAL")</f>
        <v>#N/A N/A</v>
      </c>
    </row>
    <row r="4474" spans="1:9" x14ac:dyDescent="0.25">
      <c r="A4474" t="str">
        <f>_xll.BDP("FRQC5551 Mtge","ID_CUSIP")</f>
        <v>3133AQEY9</v>
      </c>
      <c r="B4474" t="str">
        <f>_xll.BDP("FRQC5551 Mtge","SECURITY_NAME")</f>
        <v>FR QC5551</v>
      </c>
      <c r="C4474" t="str">
        <f>_xll.BDP("FRQC5551 Mtge","GENERIC_TICKER_VINTAGE")</f>
        <v>FNCL 3 2021</v>
      </c>
      <c r="D4474" t="str">
        <f>_xll.BDP("FRQC5551 Mtge","CRNCY")</f>
        <v>USD</v>
      </c>
      <c r="E4474">
        <v>1542826</v>
      </c>
      <c r="F4474">
        <f>_xll.BDP("FRQC5551 Mtge","CPN")</f>
        <v>3</v>
      </c>
      <c r="G4474">
        <f>_xll.BDP("FRQC5551 Mtge","MTG_FACTOR")</f>
        <v>0.32947756</v>
      </c>
      <c r="H4474">
        <f>_xll.BDP("FRQC5551 Mtge","MTG_WAL")</f>
        <v>8.2810000000000006</v>
      </c>
      <c r="I4474" t="str">
        <f>_xll.BDP("FRQC5551 Mtge","MTG_ORIG_WAL")</f>
        <v>#N/A N/A</v>
      </c>
    </row>
    <row r="4475" spans="1:9" x14ac:dyDescent="0.25">
      <c r="A4475" t="str">
        <f>_xll.BDP("FRQC5857 Mtge","ID_CUSIP")</f>
        <v>3133AQQJ9</v>
      </c>
      <c r="B4475" t="str">
        <f>_xll.BDP("FRQC5857 Mtge","SECURITY_NAME")</f>
        <v>FR QC5857</v>
      </c>
      <c r="C4475" t="str">
        <f>_xll.BDP("FRQC5857 Mtge","GENERIC_TICKER_VINTAGE")</f>
        <v>FNCL 3 2021</v>
      </c>
      <c r="D4475" t="str">
        <f>_xll.BDP("FRQC5857 Mtge","CRNCY")</f>
        <v>USD</v>
      </c>
      <c r="E4475">
        <v>124164108</v>
      </c>
      <c r="F4475">
        <f>_xll.BDP("FRQC5857 Mtge","CPN")</f>
        <v>3</v>
      </c>
      <c r="G4475">
        <f>_xll.BDP("FRQC5857 Mtge","MTG_FACTOR")</f>
        <v>0.78211238000000005</v>
      </c>
      <c r="H4475">
        <f>_xll.BDP("FRQC5857 Mtge","MTG_WAL")</f>
        <v>8.1582000000000008</v>
      </c>
      <c r="I4475" t="str">
        <f>_xll.BDP("FRQC5857 Mtge","MTG_ORIG_WAL")</f>
        <v>#N/A N/A</v>
      </c>
    </row>
    <row r="4476" spans="1:9" x14ac:dyDescent="0.25">
      <c r="A4476" t="str">
        <f>_xll.BDP("FRQC5859 Mtge","ID_CUSIP")</f>
        <v>3133AQQL4</v>
      </c>
      <c r="B4476" t="str">
        <f>_xll.BDP("FRQC5859 Mtge","SECURITY_NAME")</f>
        <v>FR QC5859</v>
      </c>
      <c r="C4476" t="str">
        <f>_xll.BDP("FRQC5859 Mtge","GENERIC_TICKER_VINTAGE")</f>
        <v>FNCL 3 2021</v>
      </c>
      <c r="D4476" t="str">
        <f>_xll.BDP("FRQC5859 Mtge","CRNCY")</f>
        <v>USD</v>
      </c>
      <c r="E4476">
        <v>10583174</v>
      </c>
      <c r="F4476">
        <f>_xll.BDP("FRQC5859 Mtge","CPN")</f>
        <v>3</v>
      </c>
      <c r="G4476">
        <f>_xll.BDP("FRQC5859 Mtge","MTG_FACTOR")</f>
        <v>0.68493585000000001</v>
      </c>
      <c r="H4476">
        <f>_xll.BDP("FRQC5859 Mtge","MTG_WAL")</f>
        <v>8.3829999999999991</v>
      </c>
      <c r="I4476" t="str">
        <f>_xll.BDP("FRQC5859 Mtge","MTG_ORIG_WAL")</f>
        <v>#N/A N/A</v>
      </c>
    </row>
    <row r="4477" spans="1:9" x14ac:dyDescent="0.25">
      <c r="A4477" t="str">
        <f>_xll.BDP("FRQC6227 Mtge","ID_CUSIP")</f>
        <v>3133AQ4L8</v>
      </c>
      <c r="B4477" t="str">
        <f>_xll.BDP("FRQC6227 Mtge","SECURITY_NAME")</f>
        <v>FR QC6227</v>
      </c>
      <c r="C4477" t="str">
        <f>_xll.BDP("FRQC6227 Mtge","GENERIC_TICKER_VINTAGE")</f>
        <v>FNCL 3 2021</v>
      </c>
      <c r="D4477" t="str">
        <f>_xll.BDP("FRQC6227 Mtge","CRNCY")</f>
        <v>USD</v>
      </c>
      <c r="E4477">
        <v>1408333</v>
      </c>
      <c r="F4477">
        <f>_xll.BDP("FRQC6227 Mtge","CPN")</f>
        <v>3</v>
      </c>
      <c r="G4477">
        <f>_xll.BDP("FRQC6227 Mtge","MTG_FACTOR")</f>
        <v>0.60169041999999995</v>
      </c>
      <c r="H4477">
        <f>_xll.BDP("FRQC6227 Mtge","MTG_WAL")</f>
        <v>8.2802000000000007</v>
      </c>
      <c r="I4477" t="str">
        <f>_xll.BDP("FRQC6227 Mtge","MTG_ORIG_WAL")</f>
        <v>#N/A N/A</v>
      </c>
    </row>
    <row r="4478" spans="1:9" x14ac:dyDescent="0.25">
      <c r="A4478" t="str">
        <f>_xll.BDP("FRQC6456 Mtge","ID_CUSIP")</f>
        <v>3133ARE50</v>
      </c>
      <c r="B4478" t="str">
        <f>_xll.BDP("FRQC6456 Mtge","SECURITY_NAME")</f>
        <v>FR QC6456</v>
      </c>
      <c r="C4478" t="str">
        <f>_xll.BDP("FRQC6456 Mtge","GENERIC_TICKER_VINTAGE")</f>
        <v>FNCL 3 2021</v>
      </c>
      <c r="D4478" t="str">
        <f>_xll.BDP("FRQC6456 Mtge","CRNCY")</f>
        <v>USD</v>
      </c>
      <c r="E4478">
        <v>36194715</v>
      </c>
      <c r="F4478">
        <f>_xll.BDP("FRQC6456 Mtge","CPN")</f>
        <v>3</v>
      </c>
      <c r="G4478">
        <f>_xll.BDP("FRQC6456 Mtge","MTG_FACTOR")</f>
        <v>0.81846419000000004</v>
      </c>
      <c r="H4478">
        <f>_xll.BDP("FRQC6456 Mtge","MTG_WAL")</f>
        <v>8.2355</v>
      </c>
      <c r="I4478" t="str">
        <f>_xll.BDP("FRQC6456 Mtge","MTG_ORIG_WAL")</f>
        <v>#N/A N/A</v>
      </c>
    </row>
    <row r="4479" spans="1:9" x14ac:dyDescent="0.25">
      <c r="A4479" t="str">
        <f>_xll.BDP("FRQC6635 Mtge","ID_CUSIP")</f>
        <v>3133ARLQ6</v>
      </c>
      <c r="B4479" t="str">
        <f>_xll.BDP("FRQC6635 Mtge","SECURITY_NAME")</f>
        <v>FR QC6635</v>
      </c>
      <c r="C4479" t="str">
        <f>_xll.BDP("FRQC6635 Mtge","GENERIC_TICKER_VINTAGE")</f>
        <v>FNCL 3 2021</v>
      </c>
      <c r="D4479" t="str">
        <f>_xll.BDP("FRQC6635 Mtge","CRNCY")</f>
        <v>USD</v>
      </c>
      <c r="E4479">
        <v>5671461</v>
      </c>
      <c r="F4479">
        <f>_xll.BDP("FRQC6635 Mtge","CPN")</f>
        <v>3</v>
      </c>
      <c r="G4479">
        <f>_xll.BDP("FRQC6635 Mtge","MTG_FACTOR")</f>
        <v>0.72388565999999999</v>
      </c>
      <c r="H4479">
        <f>_xll.BDP("FRQC6635 Mtge","MTG_WAL")</f>
        <v>7.3403999999999998</v>
      </c>
      <c r="I4479" t="str">
        <f>_xll.BDP("FRQC6635 Mtge","MTG_ORIG_WAL")</f>
        <v>#N/A N/A</v>
      </c>
    </row>
    <row r="4480" spans="1:9" x14ac:dyDescent="0.25">
      <c r="A4480" t="str">
        <f>_xll.BDP("FRQC6768 Mtge","ID_CUSIP")</f>
        <v>3133ARQV0</v>
      </c>
      <c r="B4480" t="str">
        <f>_xll.BDP("FRQC6768 Mtge","SECURITY_NAME")</f>
        <v>FR QC6768</v>
      </c>
      <c r="C4480" t="str">
        <f>_xll.BDP("FRQC6768 Mtge","GENERIC_TICKER_VINTAGE")</f>
        <v>FNCL 3 2021</v>
      </c>
      <c r="D4480" t="str">
        <f>_xll.BDP("FRQC6768 Mtge","CRNCY")</f>
        <v>USD</v>
      </c>
      <c r="E4480">
        <v>15608839</v>
      </c>
      <c r="F4480">
        <f>_xll.BDP("FRQC6768 Mtge","CPN")</f>
        <v>3</v>
      </c>
      <c r="G4480">
        <f>_xll.BDP("FRQC6768 Mtge","MTG_FACTOR")</f>
        <v>0.65640849999999995</v>
      </c>
      <c r="H4480">
        <f>_xll.BDP("FRQC6768 Mtge","MTG_WAL")</f>
        <v>8.2433999999999994</v>
      </c>
      <c r="I4480" t="str">
        <f>_xll.BDP("FRQC6768 Mtge","MTG_ORIG_WAL")</f>
        <v>#N/A N/A</v>
      </c>
    </row>
    <row r="4481" spans="1:9" x14ac:dyDescent="0.25">
      <c r="A4481" t="str">
        <f>_xll.BDP("FRQC6873 Mtge","ID_CUSIP")</f>
        <v>3133ART62</v>
      </c>
      <c r="B4481" t="str">
        <f>_xll.BDP("FRQC6873 Mtge","SECURITY_NAME")</f>
        <v>FR QC6873</v>
      </c>
      <c r="C4481" t="str">
        <f>_xll.BDP("FRQC6873 Mtge","GENERIC_TICKER_VINTAGE")</f>
        <v>FNCL 3 2021</v>
      </c>
      <c r="D4481" t="str">
        <f>_xll.BDP("FRQC6873 Mtge","CRNCY")</f>
        <v>USD</v>
      </c>
      <c r="E4481">
        <v>1899718</v>
      </c>
      <c r="F4481">
        <f>_xll.BDP("FRQC6873 Mtge","CPN")</f>
        <v>3</v>
      </c>
      <c r="G4481">
        <f>_xll.BDP("FRQC6873 Mtge","MTG_FACTOR")</f>
        <v>0.80463297</v>
      </c>
      <c r="H4481">
        <f>_xll.BDP("FRQC6873 Mtge","MTG_WAL")</f>
        <v>8.3734000000000002</v>
      </c>
      <c r="I4481" t="str">
        <f>_xll.BDP("FRQC6873 Mtge","MTG_ORIG_WAL")</f>
        <v>#N/A N/A</v>
      </c>
    </row>
    <row r="4482" spans="1:9" x14ac:dyDescent="0.25">
      <c r="A4482" t="str">
        <f>_xll.BDP("FRQC7486 Mtge","ID_CUSIP")</f>
        <v>3133ASJ79</v>
      </c>
      <c r="B4482" t="str">
        <f>_xll.BDP("FRQC7486 Mtge","SECURITY_NAME")</f>
        <v>FR QC7486</v>
      </c>
      <c r="C4482" t="str">
        <f>_xll.BDP("FRQC7486 Mtge","GENERIC_TICKER_VINTAGE")</f>
        <v>FNCL 3 2021</v>
      </c>
      <c r="D4482" t="str">
        <f>_xll.BDP("FRQC7486 Mtge","CRNCY")</f>
        <v>USD</v>
      </c>
      <c r="E4482">
        <v>119362613</v>
      </c>
      <c r="F4482">
        <f>_xll.BDP("FRQC7486 Mtge","CPN")</f>
        <v>3</v>
      </c>
      <c r="G4482">
        <f>_xll.BDP("FRQC7486 Mtge","MTG_FACTOR")</f>
        <v>0.76890939999999997</v>
      </c>
      <c r="H4482">
        <f>_xll.BDP("FRQC7486 Mtge","MTG_WAL")</f>
        <v>8.1681000000000008</v>
      </c>
      <c r="I4482" t="str">
        <f>_xll.BDP("FRQC7486 Mtge","MTG_ORIG_WAL")</f>
        <v>#N/A N/A</v>
      </c>
    </row>
    <row r="4483" spans="1:9" x14ac:dyDescent="0.25">
      <c r="A4483" t="str">
        <f>_xll.BDP("FRQC7500 Mtge","ID_CUSIP")</f>
        <v>3133ASKM4</v>
      </c>
      <c r="B4483" t="str">
        <f>_xll.BDP("FRQC7500 Mtge","SECURITY_NAME")</f>
        <v>FR QC7500</v>
      </c>
      <c r="C4483" t="str">
        <f>_xll.BDP("FRQC7500 Mtge","GENERIC_TICKER_VINTAGE")</f>
        <v>FNCL 3 2021</v>
      </c>
      <c r="D4483" t="str">
        <f>_xll.BDP("FRQC7500 Mtge","CRNCY")</f>
        <v>USD</v>
      </c>
      <c r="E4483">
        <v>38945778</v>
      </c>
      <c r="F4483">
        <f>_xll.BDP("FRQC7500 Mtge","CPN")</f>
        <v>3</v>
      </c>
      <c r="G4483">
        <f>_xll.BDP("FRQC7500 Mtge","MTG_FACTOR")</f>
        <v>0.66322066000000002</v>
      </c>
      <c r="H4483">
        <f>_xll.BDP("FRQC7500 Mtge","MTG_WAL")</f>
        <v>8.2407000000000004</v>
      </c>
      <c r="I4483" t="str">
        <f>_xll.BDP("FRQC7500 Mtge","MTG_ORIG_WAL")</f>
        <v>#N/A N/A</v>
      </c>
    </row>
    <row r="4484" spans="1:9" x14ac:dyDescent="0.25">
      <c r="A4484" t="str">
        <f>_xll.BDP("FRQC7504 Mtge","ID_CUSIP")</f>
        <v>3133ASKR3</v>
      </c>
      <c r="B4484" t="str">
        <f>_xll.BDP("FRQC7504 Mtge","SECURITY_NAME")</f>
        <v>FR QC7504</v>
      </c>
      <c r="C4484" t="str">
        <f>_xll.BDP("FRQC7504 Mtge","GENERIC_TICKER_VINTAGE")</f>
        <v>FNCL 3 2021</v>
      </c>
      <c r="D4484" t="str">
        <f>_xll.BDP("FRQC7504 Mtge","CRNCY")</f>
        <v>USD</v>
      </c>
      <c r="E4484">
        <v>1774630</v>
      </c>
      <c r="F4484">
        <f>_xll.BDP("FRQC7504 Mtge","CPN")</f>
        <v>3</v>
      </c>
      <c r="G4484">
        <f>_xll.BDP("FRQC7504 Mtge","MTG_FACTOR")</f>
        <v>0.81150809000000002</v>
      </c>
      <c r="H4484">
        <f>_xll.BDP("FRQC7504 Mtge","MTG_WAL")</f>
        <v>8.1867999999999999</v>
      </c>
      <c r="I4484" t="str">
        <f>_xll.BDP("FRQC7504 Mtge","MTG_ORIG_WAL")</f>
        <v>#N/A N/A</v>
      </c>
    </row>
    <row r="4485" spans="1:9" x14ac:dyDescent="0.25">
      <c r="A4485" t="str">
        <f>_xll.BDP("FRQC8184 Mtge","ID_CUSIP")</f>
        <v>3133ATCV1</v>
      </c>
      <c r="B4485" t="str">
        <f>_xll.BDP("FRQC8184 Mtge","SECURITY_NAME")</f>
        <v>FR QC8184</v>
      </c>
      <c r="C4485" t="str">
        <f>_xll.BDP("FRQC8184 Mtge","GENERIC_TICKER_VINTAGE")</f>
        <v>FNCL 3 2021</v>
      </c>
      <c r="D4485" t="str">
        <f>_xll.BDP("FRQC8184 Mtge","CRNCY")</f>
        <v>USD</v>
      </c>
      <c r="E4485">
        <v>15171342</v>
      </c>
      <c r="F4485">
        <f>_xll.BDP("FRQC8184 Mtge","CPN")</f>
        <v>3</v>
      </c>
      <c r="G4485">
        <f>_xll.BDP("FRQC8184 Mtge","MTG_FACTOR")</f>
        <v>0.65934166000000005</v>
      </c>
      <c r="H4485">
        <f>_xll.BDP("FRQC8184 Mtge","MTG_WAL")</f>
        <v>8.1181000000000001</v>
      </c>
      <c r="I4485" t="str">
        <f>_xll.BDP("FRQC8184 Mtge","MTG_ORIG_WAL")</f>
        <v>#N/A N/A</v>
      </c>
    </row>
    <row r="4486" spans="1:9" x14ac:dyDescent="0.25">
      <c r="A4486" t="str">
        <f>_xll.BDP("FRQC8290 Mtge","ID_CUSIP")</f>
        <v>3133ATF71</v>
      </c>
      <c r="B4486" t="str">
        <f>_xll.BDP("FRQC8290 Mtge","SECURITY_NAME")</f>
        <v>FR QC8290</v>
      </c>
      <c r="C4486" t="str">
        <f>_xll.BDP("FRQC8290 Mtge","GENERIC_TICKER_VINTAGE")</f>
        <v>FNCL 3 2021</v>
      </c>
      <c r="D4486" t="str">
        <f>_xll.BDP("FRQC8290 Mtge","CRNCY")</f>
        <v>USD</v>
      </c>
      <c r="E4486">
        <v>11664996</v>
      </c>
      <c r="F4486">
        <f>_xll.BDP("FRQC8290 Mtge","CPN")</f>
        <v>3</v>
      </c>
      <c r="G4486">
        <f>_xll.BDP("FRQC8290 Mtge","MTG_FACTOR")</f>
        <v>0.68023067000000004</v>
      </c>
      <c r="H4486">
        <f>_xll.BDP("FRQC8290 Mtge","MTG_WAL")</f>
        <v>8.3556000000000008</v>
      </c>
      <c r="I4486" t="str">
        <f>_xll.BDP("FRQC8290 Mtge","MTG_ORIG_WAL")</f>
        <v>#N/A N/A</v>
      </c>
    </row>
    <row r="4487" spans="1:9" x14ac:dyDescent="0.25">
      <c r="A4487" t="str">
        <f>_xll.BDP("FRQC8590 Mtge","ID_CUSIP")</f>
        <v>3133ATRK9</v>
      </c>
      <c r="B4487" t="str">
        <f>_xll.BDP("FRQC8590 Mtge","SECURITY_NAME")</f>
        <v>FR QC8590</v>
      </c>
      <c r="C4487" t="str">
        <f>_xll.BDP("FRQC8590 Mtge","GENERIC_TICKER_VINTAGE")</f>
        <v>FNCL 3 2021</v>
      </c>
      <c r="D4487" t="str">
        <f>_xll.BDP("FRQC8590 Mtge","CRNCY")</f>
        <v>USD</v>
      </c>
      <c r="E4487">
        <v>2145021</v>
      </c>
      <c r="F4487">
        <f>_xll.BDP("FRQC8590 Mtge","CPN")</f>
        <v>3</v>
      </c>
      <c r="G4487">
        <f>_xll.BDP("FRQC8590 Mtge","MTG_FACTOR")</f>
        <v>0.73186589000000002</v>
      </c>
      <c r="H4487">
        <f>_xll.BDP("FRQC8590 Mtge","MTG_WAL")</f>
        <v>8.3078000000000003</v>
      </c>
      <c r="I4487" t="str">
        <f>_xll.BDP("FRQC8590 Mtge","MTG_ORIG_WAL")</f>
        <v>#N/A N/A</v>
      </c>
    </row>
    <row r="4488" spans="1:9" x14ac:dyDescent="0.25">
      <c r="A4488" t="str">
        <f>_xll.BDP("FRQC8718 Mtge","ID_CUSIP")</f>
        <v>3133ATVK4</v>
      </c>
      <c r="B4488" t="str">
        <f>_xll.BDP("FRQC8718 Mtge","SECURITY_NAME")</f>
        <v>FR QC8718</v>
      </c>
      <c r="C4488" t="str">
        <f>_xll.BDP("FRQC8718 Mtge","GENERIC_TICKER_VINTAGE")</f>
        <v>FNCL 3 2021</v>
      </c>
      <c r="D4488" t="str">
        <f>_xll.BDP("FRQC8718 Mtge","CRNCY")</f>
        <v>USD</v>
      </c>
      <c r="E4488">
        <v>10095219</v>
      </c>
      <c r="F4488">
        <f>_xll.BDP("FRQC8718 Mtge","CPN")</f>
        <v>3</v>
      </c>
      <c r="G4488">
        <f>_xll.BDP("FRQC8718 Mtge","MTG_FACTOR")</f>
        <v>0.66673682000000001</v>
      </c>
      <c r="H4488">
        <f>_xll.BDP("FRQC8718 Mtge","MTG_WAL")</f>
        <v>8.3048000000000002</v>
      </c>
      <c r="I4488" t="str">
        <f>_xll.BDP("FRQC8718 Mtge","MTG_ORIG_WAL")</f>
        <v>#N/A N/A</v>
      </c>
    </row>
    <row r="4489" spans="1:9" x14ac:dyDescent="0.25">
      <c r="A4489" t="str">
        <f>_xll.BDP("FRQC8786 Mtge","ID_CUSIP")</f>
        <v>3133ATXP1</v>
      </c>
      <c r="B4489" t="str">
        <f>_xll.BDP("FRQC8786 Mtge","SECURITY_NAME")</f>
        <v>FR QC8786</v>
      </c>
      <c r="C4489" t="str">
        <f>_xll.BDP("FRQC8786 Mtge","GENERIC_TICKER_VINTAGE")</f>
        <v>FNCL 3 2021</v>
      </c>
      <c r="D4489" t="str">
        <f>_xll.BDP("FRQC8786 Mtge","CRNCY")</f>
        <v>USD</v>
      </c>
      <c r="E4489">
        <v>10629764</v>
      </c>
      <c r="F4489">
        <f>_xll.BDP("FRQC8786 Mtge","CPN")</f>
        <v>3</v>
      </c>
      <c r="G4489">
        <f>_xll.BDP("FRQC8786 Mtge","MTG_FACTOR")</f>
        <v>0.65357695000000005</v>
      </c>
      <c r="H4489">
        <f>_xll.BDP("FRQC8786 Mtge","MTG_WAL")</f>
        <v>8.2053999999999991</v>
      </c>
      <c r="I4489" t="str">
        <f>_xll.BDP("FRQC8786 Mtge","MTG_ORIG_WAL")</f>
        <v>#N/A N/A</v>
      </c>
    </row>
    <row r="4490" spans="1:9" x14ac:dyDescent="0.25">
      <c r="A4490" t="str">
        <f>_xll.BDP("FRQC8888 Mtge","ID_CUSIP")</f>
        <v>3133AT2V2</v>
      </c>
      <c r="B4490" t="str">
        <f>_xll.BDP("FRQC8888 Mtge","SECURITY_NAME")</f>
        <v>FR QC8888</v>
      </c>
      <c r="C4490" t="str">
        <f>_xll.BDP("FRQC8888 Mtge","GENERIC_TICKER_VINTAGE")</f>
        <v>FNCL 3 2021</v>
      </c>
      <c r="D4490" t="str">
        <f>_xll.BDP("FRQC8888 Mtge","CRNCY")</f>
        <v>USD</v>
      </c>
      <c r="E4490">
        <v>20814065</v>
      </c>
      <c r="F4490">
        <f>_xll.BDP("FRQC8888 Mtge","CPN")</f>
        <v>3</v>
      </c>
      <c r="G4490">
        <f>_xll.BDP("FRQC8888 Mtge","MTG_FACTOR")</f>
        <v>0.63209426999999996</v>
      </c>
      <c r="H4490">
        <f>_xll.BDP("FRQC8888 Mtge","MTG_WAL")</f>
        <v>8.3341999999999992</v>
      </c>
      <c r="I4490" t="str">
        <f>_xll.BDP("FRQC8888 Mtge","MTG_ORIG_WAL")</f>
        <v>#N/A N/A</v>
      </c>
    </row>
    <row r="4491" spans="1:9" x14ac:dyDescent="0.25">
      <c r="A4491" t="str">
        <f>_xll.BDP("FRQC9067 Mtge","ID_CUSIP")</f>
        <v>3133AUCC0</v>
      </c>
      <c r="B4491" t="str">
        <f>_xll.BDP("FRQC9067 Mtge","SECURITY_NAME")</f>
        <v>FR QC9067</v>
      </c>
      <c r="C4491" t="str">
        <f>_xll.BDP("FRQC9067 Mtge","GENERIC_TICKER_VINTAGE")</f>
        <v>FNCL 3 2021</v>
      </c>
      <c r="D4491" t="str">
        <f>_xll.BDP("FRQC9067 Mtge","CRNCY")</f>
        <v>USD</v>
      </c>
      <c r="E4491">
        <v>4179590</v>
      </c>
      <c r="F4491">
        <f>_xll.BDP("FRQC9067 Mtge","CPN")</f>
        <v>3</v>
      </c>
      <c r="G4491">
        <f>_xll.BDP("FRQC9067 Mtge","MTG_FACTOR")</f>
        <v>0.62910363999999996</v>
      </c>
      <c r="H4491">
        <f>_xll.BDP("FRQC9067 Mtge","MTG_WAL")</f>
        <v>8.2853999999999992</v>
      </c>
      <c r="I4491" t="str">
        <f>_xll.BDP("FRQC9067 Mtge","MTG_ORIG_WAL")</f>
        <v>#N/A N/A</v>
      </c>
    </row>
    <row r="4492" spans="1:9" x14ac:dyDescent="0.25">
      <c r="A4492" t="str">
        <f>_xll.BDP("FRQC9119 Mtge","ID_CUSIP")</f>
        <v>3133AUDY1</v>
      </c>
      <c r="B4492" t="str">
        <f>_xll.BDP("FRQC9119 Mtge","SECURITY_NAME")</f>
        <v>FR QC9119</v>
      </c>
      <c r="C4492" t="str">
        <f>_xll.BDP("FRQC9119 Mtge","GENERIC_TICKER_VINTAGE")</f>
        <v>FNCL 3 2021</v>
      </c>
      <c r="D4492" t="str">
        <f>_xll.BDP("FRQC9119 Mtge","CRNCY")</f>
        <v>USD</v>
      </c>
      <c r="E4492">
        <v>80612535</v>
      </c>
      <c r="F4492">
        <f>_xll.BDP("FRQC9119 Mtge","CPN")</f>
        <v>3</v>
      </c>
      <c r="G4492">
        <f>_xll.BDP("FRQC9119 Mtge","MTG_FACTOR")</f>
        <v>0.67785044000000005</v>
      </c>
      <c r="H4492">
        <f>_xll.BDP("FRQC9119 Mtge","MTG_WAL")</f>
        <v>8.2456999999999994</v>
      </c>
      <c r="I4492" t="str">
        <f>_xll.BDP("FRQC9119 Mtge","MTG_ORIG_WAL")</f>
        <v>#N/A N/A</v>
      </c>
    </row>
    <row r="4493" spans="1:9" x14ac:dyDescent="0.25">
      <c r="A4493" t="str">
        <f>_xll.BDP("FRQC9135 Mtge","ID_CUSIP")</f>
        <v>3133AUEG9</v>
      </c>
      <c r="B4493" t="str">
        <f>_xll.BDP("FRQC9135 Mtge","SECURITY_NAME")</f>
        <v>FR QC9135</v>
      </c>
      <c r="C4493" t="str">
        <f>_xll.BDP("FRQC9135 Mtge","GENERIC_TICKER_VINTAGE")</f>
        <v>FNCL 3 2021</v>
      </c>
      <c r="D4493" t="str">
        <f>_xll.BDP("FRQC9135 Mtge","CRNCY")</f>
        <v>USD</v>
      </c>
      <c r="E4493">
        <v>57817984</v>
      </c>
      <c r="F4493">
        <f>_xll.BDP("FRQC9135 Mtge","CPN")</f>
        <v>3</v>
      </c>
      <c r="G4493">
        <f>_xll.BDP("FRQC9135 Mtge","MTG_FACTOR")</f>
        <v>0.69550944000000003</v>
      </c>
      <c r="H4493">
        <f>_xll.BDP("FRQC9135 Mtge","MTG_WAL")</f>
        <v>8.1820000000000004</v>
      </c>
      <c r="I4493" t="str">
        <f>_xll.BDP("FRQC9135 Mtge","MTG_ORIG_WAL")</f>
        <v>#N/A N/A</v>
      </c>
    </row>
    <row r="4494" spans="1:9" x14ac:dyDescent="0.25">
      <c r="A4494" t="str">
        <f>_xll.BDP("FRQC9154 Mtge","ID_CUSIP")</f>
        <v>3133AUE38</v>
      </c>
      <c r="B4494" t="str">
        <f>_xll.BDP("FRQC9154 Mtge","SECURITY_NAME")</f>
        <v>FR QC9154</v>
      </c>
      <c r="C4494" t="str">
        <f>_xll.BDP("FRQC9154 Mtge","GENERIC_TICKER_VINTAGE")</f>
        <v>FNCL 3 2021</v>
      </c>
      <c r="D4494" t="str">
        <f>_xll.BDP("FRQC9154 Mtge","CRNCY")</f>
        <v>USD</v>
      </c>
      <c r="E4494">
        <v>57442105</v>
      </c>
      <c r="F4494">
        <f>_xll.BDP("FRQC9154 Mtge","CPN")</f>
        <v>3</v>
      </c>
      <c r="G4494">
        <f>_xll.BDP("FRQC9154 Mtge","MTG_FACTOR")</f>
        <v>0.72994678999999996</v>
      </c>
      <c r="H4494">
        <f>_xll.BDP("FRQC9154 Mtge","MTG_WAL")</f>
        <v>8.1902000000000008</v>
      </c>
      <c r="I4494" t="str">
        <f>_xll.BDP("FRQC9154 Mtge","MTG_ORIG_WAL")</f>
        <v>#N/A N/A</v>
      </c>
    </row>
    <row r="4495" spans="1:9" x14ac:dyDescent="0.25">
      <c r="A4495" t="str">
        <f>_xll.BDP("FRQC9558 Mtge","ID_CUSIP")</f>
        <v>3133AUTP3</v>
      </c>
      <c r="B4495" t="str">
        <f>_xll.BDP("FRQC9558 Mtge","SECURITY_NAME")</f>
        <v>FR QC9558</v>
      </c>
      <c r="C4495" t="str">
        <f>_xll.BDP("FRQC9558 Mtge","GENERIC_TICKER_VINTAGE")</f>
        <v>FNCL 3 2021</v>
      </c>
      <c r="D4495" t="str">
        <f>_xll.BDP("FRQC9558 Mtge","CRNCY")</f>
        <v>USD</v>
      </c>
      <c r="E4495">
        <v>7229388</v>
      </c>
      <c r="F4495">
        <f>_xll.BDP("FRQC9558 Mtge","CPN")</f>
        <v>3</v>
      </c>
      <c r="G4495">
        <f>_xll.BDP("FRQC9558 Mtge","MTG_FACTOR")</f>
        <v>0.55313597000000003</v>
      </c>
      <c r="H4495">
        <f>_xll.BDP("FRQC9558 Mtge","MTG_WAL")</f>
        <v>8.2088999999999999</v>
      </c>
      <c r="I4495" t="str">
        <f>_xll.BDP("FRQC9558 Mtge","MTG_ORIG_WAL")</f>
        <v>#N/A N/A</v>
      </c>
    </row>
    <row r="4496" spans="1:9" x14ac:dyDescent="0.25">
      <c r="A4496" t="str">
        <f>_xll.BDP("FRQC9604 Mtge","ID_CUSIP")</f>
        <v>3133AUU55</v>
      </c>
      <c r="B4496" t="str">
        <f>_xll.BDP("FRQC9604 Mtge","SECURITY_NAME")</f>
        <v>FR QC9604</v>
      </c>
      <c r="C4496" t="str">
        <f>_xll.BDP("FRQC9604 Mtge","GENERIC_TICKER_VINTAGE")</f>
        <v>FNCL 3 2021</v>
      </c>
      <c r="D4496" t="str">
        <f>_xll.BDP("FRQC9604 Mtge","CRNCY")</f>
        <v>USD</v>
      </c>
      <c r="E4496">
        <v>14334584</v>
      </c>
      <c r="F4496">
        <f>_xll.BDP("FRQC9604 Mtge","CPN")</f>
        <v>3</v>
      </c>
      <c r="G4496">
        <f>_xll.BDP("FRQC9604 Mtge","MTG_FACTOR")</f>
        <v>0.62219009000000003</v>
      </c>
      <c r="H4496">
        <f>_xll.BDP("FRQC9604 Mtge","MTG_WAL")</f>
        <v>8.2885000000000009</v>
      </c>
      <c r="I4496" t="str">
        <f>_xll.BDP("FRQC9604 Mtge","MTG_ORIG_WAL")</f>
        <v>#N/A N/A</v>
      </c>
    </row>
    <row r="4497" spans="1:9" x14ac:dyDescent="0.25">
      <c r="A4497" t="str">
        <f>_xll.BDP("FRQC9760 Mtge","ID_CUSIP")</f>
        <v>3133AUZZ4</v>
      </c>
      <c r="B4497" t="str">
        <f>_xll.BDP("FRQC9760 Mtge","SECURITY_NAME")</f>
        <v>FR QC9760</v>
      </c>
      <c r="C4497" t="str">
        <f>_xll.BDP("FRQC9760 Mtge","GENERIC_TICKER_VINTAGE")</f>
        <v>FNCL 3 2021</v>
      </c>
      <c r="D4497" t="str">
        <f>_xll.BDP("FRQC9760 Mtge","CRNCY")</f>
        <v>USD</v>
      </c>
      <c r="E4497">
        <v>22077828</v>
      </c>
      <c r="F4497">
        <f>_xll.BDP("FRQC9760 Mtge","CPN")</f>
        <v>3</v>
      </c>
      <c r="G4497">
        <f>_xll.BDP("FRQC9760 Mtge","MTG_FACTOR")</f>
        <v>0.68716180999999998</v>
      </c>
      <c r="H4497">
        <f>_xll.BDP("FRQC9760 Mtge","MTG_WAL")</f>
        <v>8.3048000000000002</v>
      </c>
      <c r="I4497" t="str">
        <f>_xll.BDP("FRQC9760 Mtge","MTG_ORIG_WAL")</f>
        <v>#N/A N/A</v>
      </c>
    </row>
    <row r="4498" spans="1:9" x14ac:dyDescent="0.25">
      <c r="A4498" t="str">
        <f>_xll.BDP("FRQD0136 Mtge","ID_CUSIP")</f>
        <v>3133AWEH3</v>
      </c>
      <c r="B4498" t="str">
        <f>_xll.BDP("FRQD0136 Mtge","SECURITY_NAME")</f>
        <v>FR QD0136</v>
      </c>
      <c r="C4498" t="str">
        <f>_xll.BDP("FRQD0136 Mtge","GENERIC_TICKER_VINTAGE")</f>
        <v>FNCL 3 2021</v>
      </c>
      <c r="D4498" t="str">
        <f>_xll.BDP("FRQD0136 Mtge","CRNCY")</f>
        <v>USD</v>
      </c>
      <c r="E4498">
        <v>2709980</v>
      </c>
      <c r="F4498">
        <f>_xll.BDP("FRQD0136 Mtge","CPN")</f>
        <v>3</v>
      </c>
      <c r="G4498">
        <f>_xll.BDP("FRQD0136 Mtge","MTG_FACTOR")</f>
        <v>0.50179817999999998</v>
      </c>
      <c r="H4498">
        <f>_xll.BDP("FRQD0136 Mtge","MTG_WAL")</f>
        <v>6.0768000000000004</v>
      </c>
      <c r="I4498" t="str">
        <f>_xll.BDP("FRQD0136 Mtge","MTG_ORIG_WAL")</f>
        <v>#N/A N/A</v>
      </c>
    </row>
    <row r="4499" spans="1:9" x14ac:dyDescent="0.25">
      <c r="A4499" t="str">
        <f>_xll.BDP("FRQD0194 Mtge","ID_CUSIP")</f>
        <v>3133AWGB4</v>
      </c>
      <c r="B4499" t="str">
        <f>_xll.BDP("FRQD0194 Mtge","SECURITY_NAME")</f>
        <v>FR QD0194</v>
      </c>
      <c r="C4499" t="str">
        <f>_xll.BDP("FRQD0194 Mtge","GENERIC_TICKER_VINTAGE")</f>
        <v>FNCL 3 2021</v>
      </c>
      <c r="D4499" t="str">
        <f>_xll.BDP("FRQD0194 Mtge","CRNCY")</f>
        <v>USD</v>
      </c>
      <c r="E4499">
        <v>50539281</v>
      </c>
      <c r="F4499">
        <f>_xll.BDP("FRQD0194 Mtge","CPN")</f>
        <v>3</v>
      </c>
      <c r="G4499">
        <f>_xll.BDP("FRQD0194 Mtge","MTG_FACTOR")</f>
        <v>0.67025478999999999</v>
      </c>
      <c r="H4499">
        <f>_xll.BDP("FRQD0194 Mtge","MTG_WAL")</f>
        <v>8.2865000000000002</v>
      </c>
      <c r="I4499" t="str">
        <f>_xll.BDP("FRQD0194 Mtge","MTG_ORIG_WAL")</f>
        <v>#N/A N/A</v>
      </c>
    </row>
    <row r="4500" spans="1:9" x14ac:dyDescent="0.25">
      <c r="A4500" t="str">
        <f>_xll.BDP("FRQD0203 Mtge","ID_CUSIP")</f>
        <v>3133AWGL2</v>
      </c>
      <c r="B4500" t="str">
        <f>_xll.BDP("FRQD0203 Mtge","SECURITY_NAME")</f>
        <v>FR QD0203</v>
      </c>
      <c r="C4500" t="str">
        <f>_xll.BDP("FRQD0203 Mtge","GENERIC_TICKER_VINTAGE")</f>
        <v>FNCL 3 2021</v>
      </c>
      <c r="D4500" t="str">
        <f>_xll.BDP("FRQD0203 Mtge","CRNCY")</f>
        <v>USD</v>
      </c>
      <c r="E4500">
        <v>24536589</v>
      </c>
      <c r="F4500">
        <f>_xll.BDP("FRQD0203 Mtge","CPN")</f>
        <v>3</v>
      </c>
      <c r="G4500">
        <f>_xll.BDP("FRQD0203 Mtge","MTG_FACTOR")</f>
        <v>0.63717031000000002</v>
      </c>
      <c r="H4500">
        <f>_xll.BDP("FRQD0203 Mtge","MTG_WAL")</f>
        <v>8.2547999999999995</v>
      </c>
      <c r="I4500" t="str">
        <f>_xll.BDP("FRQD0203 Mtge","MTG_ORIG_WAL")</f>
        <v>#N/A N/A</v>
      </c>
    </row>
    <row r="4501" spans="1:9" x14ac:dyDescent="0.25">
      <c r="A4501" t="str">
        <f>_xll.BDP("FRQD0230 Mtge","ID_CUSIP")</f>
        <v>3133AWHF4</v>
      </c>
      <c r="B4501" t="str">
        <f>_xll.BDP("FRQD0230 Mtge","SECURITY_NAME")</f>
        <v>FR QD0230</v>
      </c>
      <c r="C4501" t="str">
        <f>_xll.BDP("FRQD0230 Mtge","GENERIC_TICKER_VINTAGE")</f>
        <v>FNCL 3 2021</v>
      </c>
      <c r="D4501" t="str">
        <f>_xll.BDP("FRQD0230 Mtge","CRNCY")</f>
        <v>USD</v>
      </c>
      <c r="E4501">
        <v>13801947</v>
      </c>
      <c r="F4501">
        <f>_xll.BDP("FRQD0230 Mtge","CPN")</f>
        <v>3</v>
      </c>
      <c r="G4501">
        <f>_xll.BDP("FRQD0230 Mtge","MTG_FACTOR")</f>
        <v>0.67728887999999998</v>
      </c>
      <c r="H4501">
        <f>_xll.BDP("FRQD0230 Mtge","MTG_WAL")</f>
        <v>8.1906999999999996</v>
      </c>
      <c r="I4501" t="str">
        <f>_xll.BDP("FRQD0230 Mtge","MTG_ORIG_WAL")</f>
        <v>#N/A N/A</v>
      </c>
    </row>
    <row r="4502" spans="1:9" x14ac:dyDescent="0.25">
      <c r="A4502" t="str">
        <f>_xll.BDP("FRQD0287 Mtge","ID_CUSIP")</f>
        <v>3133AWJ88</v>
      </c>
      <c r="B4502" t="str">
        <f>_xll.BDP("FRQD0287 Mtge","SECURITY_NAME")</f>
        <v>FR QD0287</v>
      </c>
      <c r="C4502" t="str">
        <f>_xll.BDP("FRQD0287 Mtge","GENERIC_TICKER_VINTAGE")</f>
        <v>FNCL 3 2021</v>
      </c>
      <c r="D4502" t="str">
        <f>_xll.BDP("FRQD0287 Mtge","CRNCY")</f>
        <v>USD</v>
      </c>
      <c r="E4502">
        <v>6304232</v>
      </c>
      <c r="F4502">
        <f>_xll.BDP("FRQD0287 Mtge","CPN")</f>
        <v>3</v>
      </c>
      <c r="G4502">
        <f>_xll.BDP("FRQD0287 Mtge","MTG_FACTOR")</f>
        <v>0.67930535000000003</v>
      </c>
      <c r="H4502">
        <f>_xll.BDP("FRQD0287 Mtge","MTG_WAL")</f>
        <v>8.3544</v>
      </c>
      <c r="I4502" t="str">
        <f>_xll.BDP("FRQD0287 Mtge","MTG_ORIG_WAL")</f>
        <v>#N/A N/A</v>
      </c>
    </row>
    <row r="4503" spans="1:9" x14ac:dyDescent="0.25">
      <c r="A4503" t="str">
        <f>_xll.BDP("FRQD0295 Mtge","ID_CUSIP")</f>
        <v>3133AWKG8</v>
      </c>
      <c r="B4503" t="str">
        <f>_xll.BDP("FRQD0295 Mtge","SECURITY_NAME")</f>
        <v>FR QD0295</v>
      </c>
      <c r="C4503" t="str">
        <f>_xll.BDP("FRQD0295 Mtge","GENERIC_TICKER_VINTAGE")</f>
        <v>FNCL 3 2021</v>
      </c>
      <c r="D4503" t="str">
        <f>_xll.BDP("FRQD0295 Mtge","CRNCY")</f>
        <v>USD</v>
      </c>
      <c r="E4503">
        <v>9464689</v>
      </c>
      <c r="F4503">
        <f>_xll.BDP("FRQD0295 Mtge","CPN")</f>
        <v>3</v>
      </c>
      <c r="G4503">
        <f>_xll.BDP("FRQD0295 Mtge","MTG_FACTOR")</f>
        <v>0.68832302000000001</v>
      </c>
      <c r="H4503">
        <f>_xll.BDP("FRQD0295 Mtge","MTG_WAL")</f>
        <v>8.2835999999999999</v>
      </c>
      <c r="I4503" t="str">
        <f>_xll.BDP("FRQD0295 Mtge","MTG_ORIG_WAL")</f>
        <v>#N/A N/A</v>
      </c>
    </row>
    <row r="4504" spans="1:9" x14ac:dyDescent="0.25">
      <c r="A4504" t="str">
        <f>_xll.BDP("FRQD0682 Mtge","ID_CUSIP")</f>
        <v>3133AWXK5</v>
      </c>
      <c r="B4504" t="str">
        <f>_xll.BDP("FRQD0682 Mtge","SECURITY_NAME")</f>
        <v>FR QD0682</v>
      </c>
      <c r="C4504" t="str">
        <f>_xll.BDP("FRQD0682 Mtge","GENERIC_TICKER_VINTAGE")</f>
        <v>FNCL 3 2021</v>
      </c>
      <c r="D4504" t="str">
        <f>_xll.BDP("FRQD0682 Mtge","CRNCY")</f>
        <v>USD</v>
      </c>
      <c r="E4504">
        <v>6522465</v>
      </c>
      <c r="F4504">
        <f>_xll.BDP("FRQD0682 Mtge","CPN")</f>
        <v>3</v>
      </c>
      <c r="G4504">
        <f>_xll.BDP("FRQD0682 Mtge","MTG_FACTOR")</f>
        <v>0.84371165000000004</v>
      </c>
      <c r="H4504">
        <f>_xll.BDP("FRQD0682 Mtge","MTG_WAL")</f>
        <v>8.3224</v>
      </c>
      <c r="I4504" t="str">
        <f>_xll.BDP("FRQD0682 Mtge","MTG_ORIG_WAL")</f>
        <v>#N/A N/A</v>
      </c>
    </row>
    <row r="4505" spans="1:9" x14ac:dyDescent="0.25">
      <c r="A4505" t="str">
        <f>_xll.BDP("FRQD0773 Mtge","ID_CUSIP")</f>
        <v>3133AW2E3</v>
      </c>
      <c r="B4505" t="str">
        <f>_xll.BDP("FRQD0773 Mtge","SECURITY_NAME")</f>
        <v>FR QD0773</v>
      </c>
      <c r="C4505" t="str">
        <f>_xll.BDP("FRQD0773 Mtge","GENERIC_TICKER_VINTAGE")</f>
        <v>FNCL 3 2021</v>
      </c>
      <c r="D4505" t="str">
        <f>_xll.BDP("FRQD0773 Mtge","CRNCY")</f>
        <v>USD</v>
      </c>
      <c r="E4505">
        <v>90488381</v>
      </c>
      <c r="F4505">
        <f>_xll.BDP("FRQD0773 Mtge","CPN")</f>
        <v>3</v>
      </c>
      <c r="G4505">
        <f>_xll.BDP("FRQD0773 Mtge","MTG_FACTOR")</f>
        <v>0.76835578999999998</v>
      </c>
      <c r="H4505">
        <f>_xll.BDP("FRQD0773 Mtge","MTG_WAL")</f>
        <v>8.2830999999999992</v>
      </c>
      <c r="I4505" t="str">
        <f>_xll.BDP("FRQD0773 Mtge","MTG_ORIG_WAL")</f>
        <v>#N/A N/A</v>
      </c>
    </row>
    <row r="4506" spans="1:9" x14ac:dyDescent="0.25">
      <c r="A4506" t="str">
        <f>_xll.BDP("FRQD0822 Mtge","ID_CUSIP")</f>
        <v>3133AW4F8</v>
      </c>
      <c r="B4506" t="str">
        <f>_xll.BDP("FRQD0822 Mtge","SECURITY_NAME")</f>
        <v>FR QD0822</v>
      </c>
      <c r="C4506" t="str">
        <f>_xll.BDP("FRQD0822 Mtge","GENERIC_TICKER_VINTAGE")</f>
        <v>FNCL 3 2021</v>
      </c>
      <c r="D4506" t="str">
        <f>_xll.BDP("FRQD0822 Mtge","CRNCY")</f>
        <v>USD</v>
      </c>
      <c r="E4506">
        <v>13401067</v>
      </c>
      <c r="F4506">
        <f>_xll.BDP("FRQD0822 Mtge","CPN")</f>
        <v>3</v>
      </c>
      <c r="G4506">
        <f>_xll.BDP("FRQD0822 Mtge","MTG_FACTOR")</f>
        <v>0.64061579999999996</v>
      </c>
      <c r="H4506">
        <f>_xll.BDP("FRQD0822 Mtge","MTG_WAL")</f>
        <v>8.2516999999999996</v>
      </c>
      <c r="I4506" t="str">
        <f>_xll.BDP("FRQD0822 Mtge","MTG_ORIG_WAL")</f>
        <v>#N/A N/A</v>
      </c>
    </row>
    <row r="4507" spans="1:9" x14ac:dyDescent="0.25">
      <c r="A4507" t="str">
        <f>_xll.BDP("FRQD0918 Mtge","ID_CUSIP")</f>
        <v>3133AXAT9</v>
      </c>
      <c r="B4507" t="str">
        <f>_xll.BDP("FRQD0918 Mtge","SECURITY_NAME")</f>
        <v>FR QD0918</v>
      </c>
      <c r="C4507" t="str">
        <f>_xll.BDP("FRQD0918 Mtge","GENERIC_TICKER_VINTAGE")</f>
        <v>FNCL 3 2021</v>
      </c>
      <c r="D4507" t="str">
        <f>_xll.BDP("FRQD0918 Mtge","CRNCY")</f>
        <v>USD</v>
      </c>
      <c r="E4507">
        <v>13195167</v>
      </c>
      <c r="F4507">
        <f>_xll.BDP("FRQD0918 Mtge","CPN")</f>
        <v>3</v>
      </c>
      <c r="G4507">
        <f>_xll.BDP("FRQD0918 Mtge","MTG_FACTOR")</f>
        <v>0.82644998000000003</v>
      </c>
      <c r="H4507">
        <f>_xll.BDP("FRQD0918 Mtge","MTG_WAL")</f>
        <v>8.3221000000000007</v>
      </c>
      <c r="I4507" t="str">
        <f>_xll.BDP("FRQD0918 Mtge","MTG_ORIG_WAL")</f>
        <v>#N/A N/A</v>
      </c>
    </row>
    <row r="4508" spans="1:9" x14ac:dyDescent="0.25">
      <c r="A4508" t="str">
        <f>_xll.BDP("FRQD0948 Mtge","ID_CUSIP")</f>
        <v>3133AXBR2</v>
      </c>
      <c r="B4508" t="str">
        <f>_xll.BDP("FRQD0948 Mtge","SECURITY_NAME")</f>
        <v>FR QD0948</v>
      </c>
      <c r="C4508" t="str">
        <f>_xll.BDP("FRQD0948 Mtge","GENERIC_TICKER_VINTAGE")</f>
        <v>FNCL 3 2021</v>
      </c>
      <c r="D4508" t="str">
        <f>_xll.BDP("FRQD0948 Mtge","CRNCY")</f>
        <v>USD</v>
      </c>
      <c r="E4508">
        <v>7264061</v>
      </c>
      <c r="F4508">
        <f>_xll.BDP("FRQD0948 Mtge","CPN")</f>
        <v>3</v>
      </c>
      <c r="G4508">
        <f>_xll.BDP("FRQD0948 Mtge","MTG_FACTOR")</f>
        <v>0.63915584999999997</v>
      </c>
      <c r="H4508">
        <f>_xll.BDP("FRQD0948 Mtge","MTG_WAL")</f>
        <v>8.2545999999999999</v>
      </c>
      <c r="I4508" t="str">
        <f>_xll.BDP("FRQD0948 Mtge","MTG_ORIG_WAL")</f>
        <v>#N/A N/A</v>
      </c>
    </row>
    <row r="4509" spans="1:9" x14ac:dyDescent="0.25">
      <c r="A4509" t="str">
        <f>_xll.BDP("FRQD0981 Mtge","ID_CUSIP")</f>
        <v>3133AXCS9</v>
      </c>
      <c r="B4509" t="str">
        <f>_xll.BDP("FRQD0981 Mtge","SECURITY_NAME")</f>
        <v>FR QD0981</v>
      </c>
      <c r="C4509" t="str">
        <f>_xll.BDP("FRQD0981 Mtge","GENERIC_TICKER_VINTAGE")</f>
        <v>FNCL 3 2021</v>
      </c>
      <c r="D4509" t="str">
        <f>_xll.BDP("FRQD0981 Mtge","CRNCY")</f>
        <v>USD</v>
      </c>
      <c r="E4509">
        <v>17399666</v>
      </c>
      <c r="F4509">
        <f>_xll.BDP("FRQD0981 Mtge","CPN")</f>
        <v>3</v>
      </c>
      <c r="G4509">
        <f>_xll.BDP("FRQD0981 Mtge","MTG_FACTOR")</f>
        <v>0.73816700000000002</v>
      </c>
      <c r="H4509">
        <f>_xll.BDP("FRQD0981 Mtge","MTG_WAL")</f>
        <v>8.3051999999999992</v>
      </c>
      <c r="I4509" t="str">
        <f>_xll.BDP("FRQD0981 Mtge","MTG_ORIG_WAL")</f>
        <v>#N/A N/A</v>
      </c>
    </row>
    <row r="4510" spans="1:9" x14ac:dyDescent="0.25">
      <c r="A4510" t="str">
        <f>_xll.BDP("FRQD1188 Mtge","ID_CUSIP")</f>
        <v>3133AXJ94</v>
      </c>
      <c r="B4510" t="str">
        <f>_xll.BDP("FRQD1188 Mtge","SECURITY_NAME")</f>
        <v>FR QD1188</v>
      </c>
      <c r="C4510" t="str">
        <f>_xll.BDP("FRQD1188 Mtge","GENERIC_TICKER_VINTAGE")</f>
        <v>FNCL 3 2021</v>
      </c>
      <c r="D4510" t="str">
        <f>_xll.BDP("FRQD1188 Mtge","CRNCY")</f>
        <v>USD</v>
      </c>
      <c r="E4510">
        <v>25049109</v>
      </c>
      <c r="F4510">
        <f>_xll.BDP("FRQD1188 Mtge","CPN")</f>
        <v>3</v>
      </c>
      <c r="G4510">
        <f>_xll.BDP("FRQD1188 Mtge","MTG_FACTOR")</f>
        <v>0.83558701999999996</v>
      </c>
      <c r="H4510">
        <f>_xll.BDP("FRQD1188 Mtge","MTG_WAL")</f>
        <v>8.3701000000000008</v>
      </c>
      <c r="I4510" t="str">
        <f>_xll.BDP("FRQD1188 Mtge","MTG_ORIG_WAL")</f>
        <v>#N/A N/A</v>
      </c>
    </row>
    <row r="4511" spans="1:9" x14ac:dyDescent="0.25">
      <c r="A4511" t="str">
        <f>_xll.BDP("FRQD1280 Mtge","ID_CUSIP")</f>
        <v>3133AXM58</v>
      </c>
      <c r="B4511" t="str">
        <f>_xll.BDP("FRQD1280 Mtge","SECURITY_NAME")</f>
        <v>FR QD1280</v>
      </c>
      <c r="C4511" t="str">
        <f>_xll.BDP("FRQD1280 Mtge","GENERIC_TICKER_VINTAGE")</f>
        <v>FNCL 3 2021</v>
      </c>
      <c r="D4511" t="str">
        <f>_xll.BDP("FRQD1280 Mtge","CRNCY")</f>
        <v>USD</v>
      </c>
      <c r="E4511">
        <v>47616476</v>
      </c>
      <c r="F4511">
        <f>_xll.BDP("FRQD1280 Mtge","CPN")</f>
        <v>3</v>
      </c>
      <c r="G4511">
        <f>_xll.BDP("FRQD1280 Mtge","MTG_FACTOR")</f>
        <v>0.71771249999999998</v>
      </c>
      <c r="H4511">
        <f>_xll.BDP("FRQD1280 Mtge","MTG_WAL")</f>
        <v>8.2652999999999999</v>
      </c>
      <c r="I4511" t="str">
        <f>_xll.BDP("FRQD1280 Mtge","MTG_ORIG_WAL")</f>
        <v>#N/A N/A</v>
      </c>
    </row>
    <row r="4512" spans="1:9" x14ac:dyDescent="0.25">
      <c r="A4512" t="str">
        <f>_xll.BDP("FRQD1439 Mtge","ID_CUSIP")</f>
        <v>3133AXS45</v>
      </c>
      <c r="B4512" t="str">
        <f>_xll.BDP("FRQD1439 Mtge","SECURITY_NAME")</f>
        <v>FR QD1439</v>
      </c>
      <c r="C4512" t="str">
        <f>_xll.BDP("FRQD1439 Mtge","GENERIC_TICKER_VINTAGE")</f>
        <v>FNCL 3 2021</v>
      </c>
      <c r="D4512" t="str">
        <f>_xll.BDP("FRQD1439 Mtge","CRNCY")</f>
        <v>USD</v>
      </c>
      <c r="E4512">
        <v>3418775</v>
      </c>
      <c r="F4512">
        <f>_xll.BDP("FRQD1439 Mtge","CPN")</f>
        <v>3</v>
      </c>
      <c r="G4512">
        <f>_xll.BDP("FRQD1439 Mtge","MTG_FACTOR")</f>
        <v>0.52154716999999995</v>
      </c>
      <c r="H4512">
        <f>_xll.BDP("FRQD1439 Mtge","MTG_WAL")</f>
        <v>8.33</v>
      </c>
      <c r="I4512" t="str">
        <f>_xll.BDP("FRQD1439 Mtge","MTG_ORIG_WAL")</f>
        <v>#N/A N/A</v>
      </c>
    </row>
    <row r="4513" spans="1:9" x14ac:dyDescent="0.25">
      <c r="A4513" t="str">
        <f>_xll.BDP("FRQD1536 Mtge","ID_CUSIP")</f>
        <v>3133AXV58</v>
      </c>
      <c r="B4513" t="str">
        <f>_xll.BDP("FRQD1536 Mtge","SECURITY_NAME")</f>
        <v>FR QD1536</v>
      </c>
      <c r="C4513" t="str">
        <f>_xll.BDP("FRQD1536 Mtge","GENERIC_TICKER_VINTAGE")</f>
        <v>FNCL 3 2021</v>
      </c>
      <c r="D4513" t="str">
        <f>_xll.BDP("FRQD1536 Mtge","CRNCY")</f>
        <v>USD</v>
      </c>
      <c r="E4513">
        <v>10095744</v>
      </c>
      <c r="F4513">
        <f>_xll.BDP("FRQD1536 Mtge","CPN")</f>
        <v>3</v>
      </c>
      <c r="G4513">
        <f>_xll.BDP("FRQD1536 Mtge","MTG_FACTOR")</f>
        <v>0.66297768000000001</v>
      </c>
      <c r="H4513">
        <f>_xll.BDP("FRQD1536 Mtge","MTG_WAL")</f>
        <v>8.2113999999999994</v>
      </c>
      <c r="I4513" t="str">
        <f>_xll.BDP("FRQD1536 Mtge","MTG_ORIG_WAL")</f>
        <v>#N/A N/A</v>
      </c>
    </row>
    <row r="4514" spans="1:9" x14ac:dyDescent="0.25">
      <c r="A4514" t="str">
        <f>_xll.BDP("FRQD1684 Mtge","ID_CUSIP")</f>
        <v>3133AX2R2</v>
      </c>
      <c r="B4514" t="str">
        <f>_xll.BDP("FRQD1684 Mtge","SECURITY_NAME")</f>
        <v>FR QD1684</v>
      </c>
      <c r="C4514" t="str">
        <f>_xll.BDP("FRQD1684 Mtge","GENERIC_TICKER_VINTAGE")</f>
        <v>FNCL 3 2021</v>
      </c>
      <c r="D4514" t="str">
        <f>_xll.BDP("FRQD1684 Mtge","CRNCY")</f>
        <v>USD</v>
      </c>
      <c r="E4514">
        <v>10668330</v>
      </c>
      <c r="F4514">
        <f>_xll.BDP("FRQD1684 Mtge","CPN")</f>
        <v>3</v>
      </c>
      <c r="G4514">
        <f>_xll.BDP("FRQD1684 Mtge","MTG_FACTOR")</f>
        <v>0.77657843999999998</v>
      </c>
      <c r="H4514">
        <f>_xll.BDP("FRQD1684 Mtge","MTG_WAL")</f>
        <v>8.3001000000000005</v>
      </c>
      <c r="I4514" t="str">
        <f>_xll.BDP("FRQD1684 Mtge","MTG_ORIG_WAL")</f>
        <v>#N/A N/A</v>
      </c>
    </row>
    <row r="4515" spans="1:9" x14ac:dyDescent="0.25">
      <c r="A4515" t="str">
        <f>_xll.BDP("FRQD1707 Mtge","ID_CUSIP")</f>
        <v>3133AX3Q3</v>
      </c>
      <c r="B4515" t="str">
        <f>_xll.BDP("FRQD1707 Mtge","SECURITY_NAME")</f>
        <v>FR QD1707</v>
      </c>
      <c r="C4515" t="str">
        <f>_xll.BDP("FRQD1707 Mtge","GENERIC_TICKER_VINTAGE")</f>
        <v>FNCL 3 2021</v>
      </c>
      <c r="D4515" t="str">
        <f>_xll.BDP("FRQD1707 Mtge","CRNCY")</f>
        <v>USD</v>
      </c>
      <c r="E4515">
        <v>4968868</v>
      </c>
      <c r="F4515">
        <f>_xll.BDP("FRQD1707 Mtge","CPN")</f>
        <v>3</v>
      </c>
      <c r="G4515">
        <f>_xll.BDP("FRQD1707 Mtge","MTG_FACTOR")</f>
        <v>0.69760314000000001</v>
      </c>
      <c r="H4515">
        <f>_xll.BDP("FRQD1707 Mtge","MTG_WAL")</f>
        <v>8.4548000000000005</v>
      </c>
      <c r="I4515" t="str">
        <f>_xll.BDP("FRQD1707 Mtge","MTG_ORIG_WAL")</f>
        <v>#N/A N/A</v>
      </c>
    </row>
    <row r="4516" spans="1:9" x14ac:dyDescent="0.25">
      <c r="A4516" t="str">
        <f>_xll.BDP("FRQD2369 Mtge","ID_CUSIP")</f>
        <v>3133AYT26</v>
      </c>
      <c r="B4516" t="str">
        <f>_xll.BDP("FRQD2369 Mtge","SECURITY_NAME")</f>
        <v>FR QD2369</v>
      </c>
      <c r="C4516" t="str">
        <f>_xll.BDP("FRQD2369 Mtge","GENERIC_TICKER_VINTAGE")</f>
        <v>FNCL 3 2021</v>
      </c>
      <c r="D4516" t="str">
        <f>_xll.BDP("FRQD2369 Mtge","CRNCY")</f>
        <v>USD</v>
      </c>
      <c r="E4516">
        <v>6379450</v>
      </c>
      <c r="F4516">
        <f>_xll.BDP("FRQD2369 Mtge","CPN")</f>
        <v>3</v>
      </c>
      <c r="G4516">
        <f>_xll.BDP("FRQD2369 Mtge","MTG_FACTOR")</f>
        <v>0.64988394000000005</v>
      </c>
      <c r="H4516">
        <f>_xll.BDP("FRQD2369 Mtge","MTG_WAL")</f>
        <v>8.4199000000000002</v>
      </c>
      <c r="I4516" t="str">
        <f>_xll.BDP("FRQD2369 Mtge","MTG_ORIG_WAL")</f>
        <v>#N/A N/A</v>
      </c>
    </row>
    <row r="4517" spans="1:9" x14ac:dyDescent="0.25">
      <c r="A4517" t="str">
        <f>_xll.BDP("FRQD2532 Mtge","ID_CUSIP")</f>
        <v>3133AYY53</v>
      </c>
      <c r="B4517" t="str">
        <f>_xll.BDP("FRQD2532 Mtge","SECURITY_NAME")</f>
        <v>FR QD2532</v>
      </c>
      <c r="C4517" t="str">
        <f>_xll.BDP("FRQD2532 Mtge","GENERIC_TICKER_VINTAGE")</f>
        <v>FNCL 3 2021</v>
      </c>
      <c r="D4517" t="str">
        <f>_xll.BDP("FRQD2532 Mtge","CRNCY")</f>
        <v>USD</v>
      </c>
      <c r="E4517">
        <v>1015080</v>
      </c>
      <c r="F4517">
        <f>_xll.BDP("FRQD2532 Mtge","CPN")</f>
        <v>3</v>
      </c>
      <c r="G4517">
        <f>_xll.BDP("FRQD2532 Mtge","MTG_FACTOR")</f>
        <v>0.72746485999999999</v>
      </c>
      <c r="H4517">
        <f>_xll.BDP("FRQD2532 Mtge","MTG_WAL")</f>
        <v>8.2925000000000004</v>
      </c>
      <c r="I4517" t="str">
        <f>_xll.BDP("FRQD2532 Mtge","MTG_ORIG_WAL")</f>
        <v>#N/A N/A</v>
      </c>
    </row>
    <row r="4518" spans="1:9" x14ac:dyDescent="0.25">
      <c r="A4518" t="str">
        <f>_xll.BDP("FRQD2732 Mtge","ID_CUSIP")</f>
        <v>3133B0A94</v>
      </c>
      <c r="B4518" t="str">
        <f>_xll.BDP("FRQD2732 Mtge","SECURITY_NAME")</f>
        <v>FR QD2732</v>
      </c>
      <c r="C4518" t="str">
        <f>_xll.BDP("FRQD2732 Mtge","GENERIC_TICKER_VINTAGE")</f>
        <v>FNCL 3 2021</v>
      </c>
      <c r="D4518" t="str">
        <f>_xll.BDP("FRQD2732 Mtge","CRNCY")</f>
        <v>USD</v>
      </c>
      <c r="E4518">
        <v>16523617</v>
      </c>
      <c r="F4518">
        <f>_xll.BDP("FRQD2732 Mtge","CPN")</f>
        <v>3</v>
      </c>
      <c r="G4518">
        <f>_xll.BDP("FRQD2732 Mtge","MTG_FACTOR")</f>
        <v>0.77403538999999999</v>
      </c>
      <c r="H4518">
        <f>_xll.BDP("FRQD2732 Mtge","MTG_WAL")</f>
        <v>8.3796999999999997</v>
      </c>
      <c r="I4518" t="str">
        <f>_xll.BDP("FRQD2732 Mtge","MTG_ORIG_WAL")</f>
        <v>#N/A N/A</v>
      </c>
    </row>
    <row r="4519" spans="1:9" x14ac:dyDescent="0.25">
      <c r="A4519" t="str">
        <f>_xll.BDP("FRQD2877 Mtge","ID_CUSIP")</f>
        <v>3133B0FS7</v>
      </c>
      <c r="B4519" t="str">
        <f>_xll.BDP("FRQD2877 Mtge","SECURITY_NAME")</f>
        <v>FR QD2877</v>
      </c>
      <c r="C4519" t="str">
        <f>_xll.BDP("FRQD2877 Mtge","GENERIC_TICKER_VINTAGE")</f>
        <v>FNCL 3 2021</v>
      </c>
      <c r="D4519" t="str">
        <f>_xll.BDP("FRQD2877 Mtge","CRNCY")</f>
        <v>USD</v>
      </c>
      <c r="E4519">
        <v>2384846</v>
      </c>
      <c r="F4519">
        <f>_xll.BDP("FRQD2877 Mtge","CPN")</f>
        <v>3</v>
      </c>
      <c r="G4519">
        <f>_xll.BDP("FRQD2877 Mtge","MTG_FACTOR")</f>
        <v>0.85127984999999995</v>
      </c>
      <c r="H4519">
        <f>_xll.BDP("FRQD2877 Mtge","MTG_WAL")</f>
        <v>8.3863000000000003</v>
      </c>
      <c r="I4519" t="str">
        <f>_xll.BDP("FRQD2877 Mtge","MTG_ORIG_WAL")</f>
        <v>#N/A N/A</v>
      </c>
    </row>
    <row r="4520" spans="1:9" x14ac:dyDescent="0.25">
      <c r="A4520" t="str">
        <f>_xll.BDP("FRQD3200 Mtge","ID_CUSIP")</f>
        <v>3133B0RV7</v>
      </c>
      <c r="B4520" t="str">
        <f>_xll.BDP("FRQD3200 Mtge","SECURITY_NAME")</f>
        <v>FR QD3200</v>
      </c>
      <c r="C4520" t="str">
        <f>_xll.BDP("FRQD3200 Mtge","GENERIC_TICKER_VINTAGE")</f>
        <v>FNCL 3 2021</v>
      </c>
      <c r="D4520" t="str">
        <f>_xll.BDP("FRQD3200 Mtge","CRNCY")</f>
        <v>USD</v>
      </c>
      <c r="E4520">
        <v>26001804</v>
      </c>
      <c r="F4520">
        <f>_xll.BDP("FRQD3200 Mtge","CPN")</f>
        <v>3</v>
      </c>
      <c r="G4520">
        <f>_xll.BDP("FRQD3200 Mtge","MTG_FACTOR")</f>
        <v>0.65927902000000005</v>
      </c>
      <c r="H4520">
        <f>_xll.BDP("FRQD3200 Mtge","MTG_WAL")</f>
        <v>8.4558</v>
      </c>
      <c r="I4520" t="str">
        <f>_xll.BDP("FRQD3200 Mtge","MTG_ORIG_WAL")</f>
        <v>#N/A N/A</v>
      </c>
    </row>
    <row r="4521" spans="1:9" x14ac:dyDescent="0.25">
      <c r="A4521" t="str">
        <f>_xll.BDP("FRQD3209 Mtge","ID_CUSIP")</f>
        <v>3133B0R62</v>
      </c>
      <c r="B4521" t="str">
        <f>_xll.BDP("FRQD3209 Mtge","SECURITY_NAME")</f>
        <v>FR QD3209</v>
      </c>
      <c r="C4521" t="str">
        <f>_xll.BDP("FRQD3209 Mtge","GENERIC_TICKER_VINTAGE")</f>
        <v>FNCL 3 2021</v>
      </c>
      <c r="D4521" t="str">
        <f>_xll.BDP("FRQD3209 Mtge","CRNCY")</f>
        <v>USD</v>
      </c>
      <c r="E4521">
        <v>84901157</v>
      </c>
      <c r="F4521">
        <f>_xll.BDP("FRQD3209 Mtge","CPN")</f>
        <v>3</v>
      </c>
      <c r="G4521">
        <f>_xll.BDP("FRQD3209 Mtge","MTG_FACTOR")</f>
        <v>0.79200795999999996</v>
      </c>
      <c r="H4521">
        <f>_xll.BDP("FRQD3209 Mtge","MTG_WAL")</f>
        <v>8.2729999999999997</v>
      </c>
      <c r="I4521" t="str">
        <f>_xll.BDP("FRQD3209 Mtge","MTG_ORIG_WAL")</f>
        <v>#N/A N/A</v>
      </c>
    </row>
    <row r="4522" spans="1:9" x14ac:dyDescent="0.25">
      <c r="A4522" t="str">
        <f>_xll.BDP("FRQD3310 Mtge","ID_CUSIP")</f>
        <v>3133B0VB6</v>
      </c>
      <c r="B4522" t="str">
        <f>_xll.BDP("FRQD3310 Mtge","SECURITY_NAME")</f>
        <v>FR QD3310</v>
      </c>
      <c r="C4522" t="str">
        <f>_xll.BDP("FRQD3310 Mtge","GENERIC_TICKER_VINTAGE")</f>
        <v>FNCL 3 2021</v>
      </c>
      <c r="D4522" t="str">
        <f>_xll.BDP("FRQD3310 Mtge","CRNCY")</f>
        <v>USD</v>
      </c>
      <c r="E4522">
        <v>16035553</v>
      </c>
      <c r="F4522">
        <f>_xll.BDP("FRQD3310 Mtge","CPN")</f>
        <v>3</v>
      </c>
      <c r="G4522">
        <f>_xll.BDP("FRQD3310 Mtge","MTG_FACTOR")</f>
        <v>0.73898187000000004</v>
      </c>
      <c r="H4522">
        <f>_xll.BDP("FRQD3310 Mtge","MTG_WAL")</f>
        <v>8.4274000000000004</v>
      </c>
      <c r="I4522" t="str">
        <f>_xll.BDP("FRQD3310 Mtge","MTG_ORIG_WAL")</f>
        <v>#N/A N/A</v>
      </c>
    </row>
    <row r="4523" spans="1:9" x14ac:dyDescent="0.25">
      <c r="A4523" t="str">
        <f>_xll.BDP("FRQD3329 Mtge","ID_CUSIP")</f>
        <v>3133B0VW0</v>
      </c>
      <c r="B4523" t="str">
        <f>_xll.BDP("FRQD3329 Mtge","SECURITY_NAME")</f>
        <v>FR QD3329</v>
      </c>
      <c r="C4523" t="str">
        <f>_xll.BDP("FRQD3329 Mtge","GENERIC_TICKER_VINTAGE")</f>
        <v>FNCL 3 2021</v>
      </c>
      <c r="D4523" t="str">
        <f>_xll.BDP("FRQD3329 Mtge","CRNCY")</f>
        <v>USD</v>
      </c>
      <c r="E4523">
        <v>1643209</v>
      </c>
      <c r="F4523">
        <f>_xll.BDP("FRQD3329 Mtge","CPN")</f>
        <v>3</v>
      </c>
      <c r="G4523">
        <f>_xll.BDP("FRQD3329 Mtge","MTG_FACTOR")</f>
        <v>0.90733688999999995</v>
      </c>
      <c r="H4523">
        <f>_xll.BDP("FRQD3329 Mtge","MTG_WAL")</f>
        <v>8.3780000000000001</v>
      </c>
      <c r="I4523" t="str">
        <f>_xll.BDP("FRQD3329 Mtge","MTG_ORIG_WAL")</f>
        <v>#N/A N/A</v>
      </c>
    </row>
    <row r="4524" spans="1:9" x14ac:dyDescent="0.25">
      <c r="A4524" t="str">
        <f>_xll.BDP("FRQD3363 Mtge","ID_CUSIP")</f>
        <v>3133B0WY5</v>
      </c>
      <c r="B4524" t="str">
        <f>_xll.BDP("FRQD3363 Mtge","SECURITY_NAME")</f>
        <v>FR QD3363</v>
      </c>
      <c r="C4524" t="str">
        <f>_xll.BDP("FRQD3363 Mtge","GENERIC_TICKER_VINTAGE")</f>
        <v>FNCL 3 2021</v>
      </c>
      <c r="D4524" t="str">
        <f>_xll.BDP("FRQD3363 Mtge","CRNCY")</f>
        <v>USD</v>
      </c>
      <c r="E4524">
        <v>10007684</v>
      </c>
      <c r="F4524">
        <f>_xll.BDP("FRQD3363 Mtge","CPN")</f>
        <v>3</v>
      </c>
      <c r="G4524">
        <f>_xll.BDP("FRQD3363 Mtge","MTG_FACTOR")</f>
        <v>0.72444819000000005</v>
      </c>
      <c r="H4524">
        <f>_xll.BDP("FRQD3363 Mtge","MTG_WAL")</f>
        <v>8.4344999999999999</v>
      </c>
      <c r="I4524" t="str">
        <f>_xll.BDP("FRQD3363 Mtge","MTG_ORIG_WAL")</f>
        <v>#N/A N/A</v>
      </c>
    </row>
    <row r="4525" spans="1:9" x14ac:dyDescent="0.25">
      <c r="A4525" t="str">
        <f>_xll.BDP("FRQD3410 Mtge","ID_CUSIP")</f>
        <v>3133B0YF4</v>
      </c>
      <c r="B4525" t="str">
        <f>_xll.BDP("FRQD3410 Mtge","SECURITY_NAME")</f>
        <v>FR QD3410</v>
      </c>
      <c r="C4525" t="str">
        <f>_xll.BDP("FRQD3410 Mtge","GENERIC_TICKER_VINTAGE")</f>
        <v>FNCL 3 2021</v>
      </c>
      <c r="D4525" t="str">
        <f>_xll.BDP("FRQD3410 Mtge","CRNCY")</f>
        <v>USD</v>
      </c>
      <c r="E4525">
        <v>15074299</v>
      </c>
      <c r="F4525">
        <f>_xll.BDP("FRQD3410 Mtge","CPN")</f>
        <v>3</v>
      </c>
      <c r="G4525">
        <f>_xll.BDP("FRQD3410 Mtge","MTG_FACTOR")</f>
        <v>0.71934025999999995</v>
      </c>
      <c r="H4525">
        <f>_xll.BDP("FRQD3410 Mtge","MTG_WAL")</f>
        <v>8.4199000000000002</v>
      </c>
      <c r="I4525" t="str">
        <f>_xll.BDP("FRQD3410 Mtge","MTG_ORIG_WAL")</f>
        <v>#N/A N/A</v>
      </c>
    </row>
    <row r="4526" spans="1:9" x14ac:dyDescent="0.25">
      <c r="A4526" t="str">
        <f>_xll.BDP("FRQD3512 Mtge","ID_CUSIP")</f>
        <v>3133B03V3</v>
      </c>
      <c r="B4526" t="str">
        <f>_xll.BDP("FRQD3512 Mtge","SECURITY_NAME")</f>
        <v>FR QD3512</v>
      </c>
      <c r="C4526" t="str">
        <f>_xll.BDP("FRQD3512 Mtge","GENERIC_TICKER_VINTAGE")</f>
        <v>FNCL 3 2021</v>
      </c>
      <c r="D4526" t="str">
        <f>_xll.BDP("FRQD3512 Mtge","CRNCY")</f>
        <v>USD</v>
      </c>
      <c r="E4526">
        <v>10013335</v>
      </c>
      <c r="F4526">
        <f>_xll.BDP("FRQD3512 Mtge","CPN")</f>
        <v>3</v>
      </c>
      <c r="G4526">
        <f>_xll.BDP("FRQD3512 Mtge","MTG_FACTOR")</f>
        <v>0.69183227000000003</v>
      </c>
      <c r="H4526">
        <f>_xll.BDP("FRQD3512 Mtge","MTG_WAL")</f>
        <v>8.3351000000000006</v>
      </c>
      <c r="I4526" t="str">
        <f>_xll.BDP("FRQD3512 Mtge","MTG_ORIG_WAL")</f>
        <v>#N/A N/A</v>
      </c>
    </row>
    <row r="4527" spans="1:9" x14ac:dyDescent="0.25">
      <c r="A4527" t="str">
        <f>_xll.BDP("FRQD3618 Mtge","ID_CUSIP")</f>
        <v>3133B1AT8</v>
      </c>
      <c r="B4527" t="str">
        <f>_xll.BDP("FRQD3618 Mtge","SECURITY_NAME")</f>
        <v>FR QD3618</v>
      </c>
      <c r="C4527" t="str">
        <f>_xll.BDP("FRQD3618 Mtge","GENERIC_TICKER_VINTAGE")</f>
        <v>FNCL 3 2021</v>
      </c>
      <c r="D4527" t="str">
        <f>_xll.BDP("FRQD3618 Mtge","CRNCY")</f>
        <v>USD</v>
      </c>
      <c r="E4527">
        <v>5212281</v>
      </c>
      <c r="F4527">
        <f>_xll.BDP("FRQD3618 Mtge","CPN")</f>
        <v>3</v>
      </c>
      <c r="G4527">
        <f>_xll.BDP("FRQD3618 Mtge","MTG_FACTOR")</f>
        <v>0.64278676999999995</v>
      </c>
      <c r="H4527">
        <f>_xll.BDP("FRQD3618 Mtge","MTG_WAL")</f>
        <v>8.4290000000000003</v>
      </c>
      <c r="I4527" t="str">
        <f>_xll.BDP("FRQD3618 Mtge","MTG_ORIG_WAL")</f>
        <v>#N/A N/A</v>
      </c>
    </row>
    <row r="4528" spans="1:9" x14ac:dyDescent="0.25">
      <c r="A4528" t="str">
        <f>_xll.BDP("FRQD3812 Mtge","ID_CUSIP")</f>
        <v>3133B1GV7</v>
      </c>
      <c r="B4528" t="str">
        <f>_xll.BDP("FRQD3812 Mtge","SECURITY_NAME")</f>
        <v>FR QD3812</v>
      </c>
      <c r="C4528" t="str">
        <f>_xll.BDP("FRQD3812 Mtge","GENERIC_TICKER_VINTAGE")</f>
        <v>FNCL 3 2021</v>
      </c>
      <c r="D4528" t="str">
        <f>_xll.BDP("FRQD3812 Mtge","CRNCY")</f>
        <v>USD</v>
      </c>
      <c r="E4528">
        <v>11941463</v>
      </c>
      <c r="F4528">
        <f>_xll.BDP("FRQD3812 Mtge","CPN")</f>
        <v>3</v>
      </c>
      <c r="G4528">
        <f>_xll.BDP("FRQD3812 Mtge","MTG_FACTOR")</f>
        <v>0.86880802000000001</v>
      </c>
      <c r="H4528">
        <f>_xll.BDP("FRQD3812 Mtge","MTG_WAL")</f>
        <v>8.3905999999999992</v>
      </c>
      <c r="I4528" t="str">
        <f>_xll.BDP("FRQD3812 Mtge","MTG_ORIG_WAL")</f>
        <v>#N/A N/A</v>
      </c>
    </row>
    <row r="4529" spans="1:9" x14ac:dyDescent="0.25">
      <c r="A4529" t="str">
        <f>_xll.BDP("FRQD4157 Mtge","ID_CUSIP")</f>
        <v>3133B1TN1</v>
      </c>
      <c r="B4529" t="str">
        <f>_xll.BDP("FRQD4157 Mtge","SECURITY_NAME")</f>
        <v>FR QD4157</v>
      </c>
      <c r="C4529" t="str">
        <f>_xll.BDP("FRQD4157 Mtge","GENERIC_TICKER_VINTAGE")</f>
        <v>FNCL 3 2021</v>
      </c>
      <c r="D4529" t="str">
        <f>_xll.BDP("FRQD4157 Mtge","CRNCY")</f>
        <v>USD</v>
      </c>
      <c r="E4529">
        <v>9238194</v>
      </c>
      <c r="F4529">
        <f>_xll.BDP("FRQD4157 Mtge","CPN")</f>
        <v>3</v>
      </c>
      <c r="G4529">
        <f>_xll.BDP("FRQD4157 Mtge","MTG_FACTOR")</f>
        <v>0.61958351</v>
      </c>
      <c r="H4529">
        <f>_xll.BDP("FRQD4157 Mtge","MTG_WAL")</f>
        <v>8.3716000000000008</v>
      </c>
      <c r="I4529" t="str">
        <f>_xll.BDP("FRQD4157 Mtge","MTG_ORIG_WAL")</f>
        <v>#N/A N/A</v>
      </c>
    </row>
    <row r="4530" spans="1:9" x14ac:dyDescent="0.25">
      <c r="A4530" t="str">
        <f>_xll.BDP("FRQD4207 Mtge","ID_CUSIP")</f>
        <v>3133B1U82</v>
      </c>
      <c r="B4530" t="str">
        <f>_xll.BDP("FRQD4207 Mtge","SECURITY_NAME")</f>
        <v>FR QD4207</v>
      </c>
      <c r="C4530" t="str">
        <f>_xll.BDP("FRQD4207 Mtge","GENERIC_TICKER_VINTAGE")</f>
        <v>FNCL 3 2021</v>
      </c>
      <c r="D4530" t="str">
        <f>_xll.BDP("FRQD4207 Mtge","CRNCY")</f>
        <v>USD</v>
      </c>
      <c r="E4530">
        <v>9934884</v>
      </c>
      <c r="F4530">
        <f>_xll.BDP("FRQD4207 Mtge","CPN")</f>
        <v>3</v>
      </c>
      <c r="G4530">
        <f>_xll.BDP("FRQD4207 Mtge","MTG_FACTOR")</f>
        <v>0.68099936000000005</v>
      </c>
      <c r="H4530">
        <f>_xll.BDP("FRQD4207 Mtge","MTG_WAL")</f>
        <v>8.3059999999999992</v>
      </c>
      <c r="I4530" t="str">
        <f>_xll.BDP("FRQD4207 Mtge","MTG_ORIG_WAL")</f>
        <v>#N/A N/A</v>
      </c>
    </row>
    <row r="4531" spans="1:9" x14ac:dyDescent="0.25">
      <c r="A4531" t="str">
        <f>_xll.BDP("FRQD4398 Mtge","ID_CUSIP")</f>
        <v>3133B13F6</v>
      </c>
      <c r="B4531" t="str">
        <f>_xll.BDP("FRQD4398 Mtge","SECURITY_NAME")</f>
        <v>FR QD4398</v>
      </c>
      <c r="C4531" t="str">
        <f>_xll.BDP("FRQD4398 Mtge","GENERIC_TICKER_VINTAGE")</f>
        <v>FNCL 3 2021</v>
      </c>
      <c r="D4531" t="str">
        <f>_xll.BDP("FRQD4398 Mtge","CRNCY")</f>
        <v>USD</v>
      </c>
      <c r="E4531">
        <v>2428402</v>
      </c>
      <c r="F4531">
        <f>_xll.BDP("FRQD4398 Mtge","CPN")</f>
        <v>3</v>
      </c>
      <c r="G4531">
        <f>_xll.BDP("FRQD4398 Mtge","MTG_FACTOR")</f>
        <v>0.84836948000000001</v>
      </c>
      <c r="H4531">
        <f>_xll.BDP("FRQD4398 Mtge","MTG_WAL")</f>
        <v>8.3498000000000001</v>
      </c>
      <c r="I4531" t="str">
        <f>_xll.BDP("FRQD4398 Mtge","MTG_ORIG_WAL")</f>
        <v>#N/A N/A</v>
      </c>
    </row>
    <row r="4532" spans="1:9" x14ac:dyDescent="0.25">
      <c r="A4532" t="str">
        <f>_xll.BDP("FRQD4867 Mtge","ID_CUSIP")</f>
        <v>3133B2MQ9</v>
      </c>
      <c r="B4532" t="str">
        <f>_xll.BDP("FRQD4867 Mtge","SECURITY_NAME")</f>
        <v>FR QD4867</v>
      </c>
      <c r="C4532" t="str">
        <f>_xll.BDP("FRQD4867 Mtge","GENERIC_TICKER_VINTAGE")</f>
        <v>FNCL 3 2021</v>
      </c>
      <c r="D4532" t="str">
        <f>_xll.BDP("FRQD4867 Mtge","CRNCY")</f>
        <v>USD</v>
      </c>
      <c r="E4532">
        <v>20135138</v>
      </c>
      <c r="F4532">
        <f>_xll.BDP("FRQD4867 Mtge","CPN")</f>
        <v>3</v>
      </c>
      <c r="G4532">
        <f>_xll.BDP("FRQD4867 Mtge","MTG_FACTOR")</f>
        <v>0.68609279999999995</v>
      </c>
      <c r="H4532">
        <f>_xll.BDP("FRQD4867 Mtge","MTG_WAL")</f>
        <v>8.2949999999999999</v>
      </c>
      <c r="I4532" t="str">
        <f>_xll.BDP("FRQD4867 Mtge","MTG_ORIG_WAL")</f>
        <v>#N/A N/A</v>
      </c>
    </row>
    <row r="4533" spans="1:9" x14ac:dyDescent="0.25">
      <c r="A4533" t="str">
        <f>_xll.BDP("FRQD4968 Mtge","ID_CUSIP")</f>
        <v>3133B2QV4</v>
      </c>
      <c r="B4533" t="str">
        <f>_xll.BDP("FRQD4968 Mtge","SECURITY_NAME")</f>
        <v>FR QD4968</v>
      </c>
      <c r="C4533" t="str">
        <f>_xll.BDP("FRQD4968 Mtge","GENERIC_TICKER_VINTAGE")</f>
        <v>FNCL 3 2021</v>
      </c>
      <c r="D4533" t="str">
        <f>_xll.BDP("FRQD4968 Mtge","CRNCY")</f>
        <v>USD</v>
      </c>
      <c r="E4533">
        <v>1155816</v>
      </c>
      <c r="F4533">
        <f>_xll.BDP("FRQD4968 Mtge","CPN")</f>
        <v>3</v>
      </c>
      <c r="G4533">
        <f>_xll.BDP("FRQD4968 Mtge","MTG_FACTOR")</f>
        <v>0.51370331000000002</v>
      </c>
      <c r="H4533">
        <f>_xll.BDP("FRQD4968 Mtge","MTG_WAL")</f>
        <v>8.4539000000000009</v>
      </c>
      <c r="I4533" t="str">
        <f>_xll.BDP("FRQD4968 Mtge","MTG_ORIG_WAL")</f>
        <v>#N/A N/A</v>
      </c>
    </row>
    <row r="4534" spans="1:9" x14ac:dyDescent="0.25">
      <c r="A4534" t="str">
        <f>_xll.BDP("FRQD5009 Mtge","ID_CUSIP")</f>
        <v>3133B2R68</v>
      </c>
      <c r="B4534" t="str">
        <f>_xll.BDP("FRQD5009 Mtge","SECURITY_NAME")</f>
        <v>FR QD5009</v>
      </c>
      <c r="C4534" t="str">
        <f>_xll.BDP("FRQD5009 Mtge","GENERIC_TICKER_VINTAGE")</f>
        <v>FNCL 3 2021</v>
      </c>
      <c r="D4534" t="str">
        <f>_xll.BDP("FRQD5009 Mtge","CRNCY")</f>
        <v>USD</v>
      </c>
      <c r="E4534">
        <v>10002305</v>
      </c>
      <c r="F4534">
        <f>_xll.BDP("FRQD5009 Mtge","CPN")</f>
        <v>3</v>
      </c>
      <c r="G4534">
        <f>_xll.BDP("FRQD5009 Mtge","MTG_FACTOR")</f>
        <v>0.65009216000000003</v>
      </c>
      <c r="H4534">
        <f>_xll.BDP("FRQD5009 Mtge","MTG_WAL")</f>
        <v>8.3695000000000004</v>
      </c>
      <c r="I4534" t="str">
        <f>_xll.BDP("FRQD5009 Mtge","MTG_ORIG_WAL")</f>
        <v>#N/A N/A</v>
      </c>
    </row>
    <row r="4535" spans="1:9" x14ac:dyDescent="0.25">
      <c r="A4535" t="str">
        <f>_xll.BDP("FRQD5192 Mtge","ID_CUSIP")</f>
        <v>3133B2XV6</v>
      </c>
      <c r="B4535" t="str">
        <f>_xll.BDP("FRQD5192 Mtge","SECURITY_NAME")</f>
        <v>FR QD5192</v>
      </c>
      <c r="C4535" t="str">
        <f>_xll.BDP("FRQD5192 Mtge","GENERIC_TICKER_VINTAGE")</f>
        <v>FNCL 3 2021</v>
      </c>
      <c r="D4535" t="str">
        <f>_xll.BDP("FRQD5192 Mtge","CRNCY")</f>
        <v>USD</v>
      </c>
      <c r="E4535">
        <v>52283138</v>
      </c>
      <c r="F4535">
        <f>_xll.BDP("FRQD5192 Mtge","CPN")</f>
        <v>3</v>
      </c>
      <c r="G4535">
        <f>_xll.BDP("FRQD5192 Mtge","MTG_FACTOR")</f>
        <v>0.72652276000000005</v>
      </c>
      <c r="H4535">
        <f>_xll.BDP("FRQD5192 Mtge","MTG_WAL")</f>
        <v>8.3826999999999998</v>
      </c>
      <c r="I4535" t="str">
        <f>_xll.BDP("FRQD5192 Mtge","MTG_ORIG_WAL")</f>
        <v>#N/A N/A</v>
      </c>
    </row>
    <row r="4536" spans="1:9" x14ac:dyDescent="0.25">
      <c r="A4536" t="str">
        <f>_xll.BDP("FRQD5194 Mtge","ID_CUSIP")</f>
        <v>3133B2XX2</v>
      </c>
      <c r="B4536" t="str">
        <f>_xll.BDP("FRQD5194 Mtge","SECURITY_NAME")</f>
        <v>FR QD5194</v>
      </c>
      <c r="C4536" t="str">
        <f>_xll.BDP("FRQD5194 Mtge","GENERIC_TICKER_VINTAGE")</f>
        <v>FNCL 3 2021</v>
      </c>
      <c r="D4536" t="str">
        <f>_xll.BDP("FRQD5194 Mtge","CRNCY")</f>
        <v>USD</v>
      </c>
      <c r="E4536">
        <v>81440170</v>
      </c>
      <c r="F4536">
        <f>_xll.BDP("FRQD5194 Mtge","CPN")</f>
        <v>3</v>
      </c>
      <c r="G4536">
        <f>_xll.BDP("FRQD5194 Mtge","MTG_FACTOR")</f>
        <v>0.71117613000000002</v>
      </c>
      <c r="H4536">
        <f>_xll.BDP("FRQD5194 Mtge","MTG_WAL")</f>
        <v>8.3010999999999999</v>
      </c>
      <c r="I4536" t="str">
        <f>_xll.BDP("FRQD5194 Mtge","MTG_ORIG_WAL")</f>
        <v>#N/A N/A</v>
      </c>
    </row>
    <row r="4537" spans="1:9" x14ac:dyDescent="0.25">
      <c r="A4537" t="str">
        <f>_xll.BDP("FRQD5325 Mtge","ID_CUSIP")</f>
        <v>3133B24J5</v>
      </c>
      <c r="B4537" t="str">
        <f>_xll.BDP("FRQD5325 Mtge","SECURITY_NAME")</f>
        <v>FR QD5325</v>
      </c>
      <c r="C4537" t="str">
        <f>_xll.BDP("FRQD5325 Mtge","GENERIC_TICKER_VINTAGE")</f>
        <v>FNCL 3 2021</v>
      </c>
      <c r="D4537" t="str">
        <f>_xll.BDP("FRQD5325 Mtge","CRNCY")</f>
        <v>USD</v>
      </c>
      <c r="E4537">
        <v>50045390</v>
      </c>
      <c r="F4537">
        <f>_xll.BDP("FRQD5325 Mtge","CPN")</f>
        <v>3</v>
      </c>
      <c r="G4537">
        <f>_xll.BDP("FRQD5325 Mtge","MTG_FACTOR")</f>
        <v>0.77663945000000001</v>
      </c>
      <c r="H4537">
        <f>_xll.BDP("FRQD5325 Mtge","MTG_WAL")</f>
        <v>8.4290000000000003</v>
      </c>
      <c r="I4537" t="str">
        <f>_xll.BDP("FRQD5325 Mtge","MTG_ORIG_WAL")</f>
        <v>#N/A N/A</v>
      </c>
    </row>
    <row r="4538" spans="1:9" x14ac:dyDescent="0.25">
      <c r="A4538" t="str">
        <f>_xll.BDP("FRQD5484 Mtge","ID_CUSIP")</f>
        <v>3133B3CV7</v>
      </c>
      <c r="B4538" t="str">
        <f>_xll.BDP("FRQD5484 Mtge","SECURITY_NAME")</f>
        <v>FR QD5484</v>
      </c>
      <c r="C4538" t="str">
        <f>_xll.BDP("FRQD5484 Mtge","GENERIC_TICKER_VINTAGE")</f>
        <v>FNCL 3 2021</v>
      </c>
      <c r="D4538" t="str">
        <f>_xll.BDP("FRQD5484 Mtge","CRNCY")</f>
        <v>USD</v>
      </c>
      <c r="E4538">
        <v>5648203</v>
      </c>
      <c r="F4538">
        <f>_xll.BDP("FRQD5484 Mtge","CPN")</f>
        <v>3</v>
      </c>
      <c r="G4538">
        <f>_xll.BDP("FRQD5484 Mtge","MTG_FACTOR")</f>
        <v>0.35069175000000002</v>
      </c>
      <c r="H4538">
        <f>_xll.BDP("FRQD5484 Mtge","MTG_WAL")</f>
        <v>8.4152000000000005</v>
      </c>
      <c r="I4538" t="str">
        <f>_xll.BDP("FRQD5484 Mtge","MTG_ORIG_WAL")</f>
        <v>#N/A N/A</v>
      </c>
    </row>
    <row r="4539" spans="1:9" x14ac:dyDescent="0.25">
      <c r="A4539" t="str">
        <f>_xll.BDP("FRQD5490 Mtge","ID_CUSIP")</f>
        <v>3133B3C39</v>
      </c>
      <c r="B4539" t="str">
        <f>_xll.BDP("FRQD5490 Mtge","SECURITY_NAME")</f>
        <v>FR QD5490</v>
      </c>
      <c r="C4539" t="str">
        <f>_xll.BDP("FRQD5490 Mtge","GENERIC_TICKER_VINTAGE")</f>
        <v>FNCL 3 2021</v>
      </c>
      <c r="D4539" t="str">
        <f>_xll.BDP("FRQD5490 Mtge","CRNCY")</f>
        <v>USD</v>
      </c>
      <c r="E4539">
        <v>9051030</v>
      </c>
      <c r="F4539">
        <f>_xll.BDP("FRQD5490 Mtge","CPN")</f>
        <v>3</v>
      </c>
      <c r="G4539">
        <f>_xll.BDP("FRQD5490 Mtge","MTG_FACTOR")</f>
        <v>0.74180235000000005</v>
      </c>
      <c r="H4539">
        <f>_xll.BDP("FRQD5490 Mtge","MTG_WAL")</f>
        <v>8.3604000000000003</v>
      </c>
      <c r="I4539" t="str">
        <f>_xll.BDP("FRQD5490 Mtge","MTG_ORIG_WAL")</f>
        <v>#N/A N/A</v>
      </c>
    </row>
    <row r="4540" spans="1:9" x14ac:dyDescent="0.25">
      <c r="A4540" t="str">
        <f>_xll.BDP("FRQD5491 Mtge","ID_CUSIP")</f>
        <v>3133B3C47</v>
      </c>
      <c r="B4540" t="str">
        <f>_xll.BDP("FRQD5491 Mtge","SECURITY_NAME")</f>
        <v>FR QD5491</v>
      </c>
      <c r="C4540" t="str">
        <f>_xll.BDP("FRQD5491 Mtge","GENERIC_TICKER_VINTAGE")</f>
        <v>FNCL 3 2021</v>
      </c>
      <c r="D4540" t="str">
        <f>_xll.BDP("FRQD5491 Mtge","CRNCY")</f>
        <v>USD</v>
      </c>
      <c r="E4540">
        <v>6409539</v>
      </c>
      <c r="F4540">
        <f>_xll.BDP("FRQD5491 Mtge","CPN")</f>
        <v>3</v>
      </c>
      <c r="G4540">
        <f>_xll.BDP("FRQD5491 Mtge","MTG_FACTOR")</f>
        <v>0.58367491999999999</v>
      </c>
      <c r="H4540">
        <f>_xll.BDP("FRQD5491 Mtge","MTG_WAL")</f>
        <v>8.3139000000000003</v>
      </c>
      <c r="I4540" t="str">
        <f>_xll.BDP("FRQD5491 Mtge","MTG_ORIG_WAL")</f>
        <v>#N/A N/A</v>
      </c>
    </row>
    <row r="4541" spans="1:9" x14ac:dyDescent="0.25">
      <c r="A4541" t="str">
        <f>_xll.BDP("FRQD5530 Mtge","ID_CUSIP")</f>
        <v>3133B3EB9</v>
      </c>
      <c r="B4541" t="str">
        <f>_xll.BDP("FRQD5530 Mtge","SECURITY_NAME")</f>
        <v>FR QD5530</v>
      </c>
      <c r="C4541" t="str">
        <f>_xll.BDP("FRQD5530 Mtge","GENERIC_TICKER_VINTAGE")</f>
        <v>FNCL 3 2021</v>
      </c>
      <c r="D4541" t="str">
        <f>_xll.BDP("FRQD5530 Mtge","CRNCY")</f>
        <v>USD</v>
      </c>
      <c r="E4541">
        <v>7460681</v>
      </c>
      <c r="F4541">
        <f>_xll.BDP("FRQD5530 Mtge","CPN")</f>
        <v>3</v>
      </c>
      <c r="G4541">
        <f>_xll.BDP("FRQD5530 Mtge","MTG_FACTOR")</f>
        <v>0.79218478000000003</v>
      </c>
      <c r="H4541">
        <f>_xll.BDP("FRQD5530 Mtge","MTG_WAL")</f>
        <v>8.4400999999999993</v>
      </c>
      <c r="I4541" t="str">
        <f>_xll.BDP("FRQD5530 Mtge","MTG_ORIG_WAL")</f>
        <v>#N/A N/A</v>
      </c>
    </row>
    <row r="4542" spans="1:9" x14ac:dyDescent="0.25">
      <c r="A4542" t="str">
        <f>_xll.BDP("FRQD5662 Mtge","ID_CUSIP")</f>
        <v>3133B3JF5</v>
      </c>
      <c r="B4542" t="str">
        <f>_xll.BDP("FRQD5662 Mtge","SECURITY_NAME")</f>
        <v>FR QD5662</v>
      </c>
      <c r="C4542" t="str">
        <f>_xll.BDP("FRQD5662 Mtge","GENERIC_TICKER_VINTAGE")</f>
        <v>FNCL 3 2021</v>
      </c>
      <c r="D4542" t="str">
        <f>_xll.BDP("FRQD5662 Mtge","CRNCY")</f>
        <v>USD</v>
      </c>
      <c r="E4542">
        <v>13482489</v>
      </c>
      <c r="F4542">
        <f>_xll.BDP("FRQD5662 Mtge","CPN")</f>
        <v>3</v>
      </c>
      <c r="G4542">
        <f>_xll.BDP("FRQD5662 Mtge","MTG_FACTOR")</f>
        <v>0.89754765000000003</v>
      </c>
      <c r="H4542">
        <f>_xll.BDP("FRQD5662 Mtge","MTG_WAL")</f>
        <v>8.3109000000000002</v>
      </c>
      <c r="I4542" t="str">
        <f>_xll.BDP("FRQD5662 Mtge","MTG_ORIG_WAL")</f>
        <v>#N/A N/A</v>
      </c>
    </row>
    <row r="4543" spans="1:9" x14ac:dyDescent="0.25">
      <c r="A4543" t="str">
        <f>_xll.BDP("FRQD5778 Mtge","ID_CUSIP")</f>
        <v>3133B3M38</v>
      </c>
      <c r="B4543" t="str">
        <f>_xll.BDP("FRQD5778 Mtge","SECURITY_NAME")</f>
        <v>FR QD5778</v>
      </c>
      <c r="C4543" t="str">
        <f>_xll.BDP("FRQD5778 Mtge","GENERIC_TICKER_VINTAGE")</f>
        <v>FNCL 3 2021</v>
      </c>
      <c r="D4543" t="str">
        <f>_xll.BDP("FRQD5778 Mtge","CRNCY")</f>
        <v>USD</v>
      </c>
      <c r="E4543">
        <v>1073125</v>
      </c>
      <c r="F4543">
        <f>_xll.BDP("FRQD5778 Mtge","CPN")</f>
        <v>3</v>
      </c>
      <c r="G4543">
        <f>_xll.BDP("FRQD5778 Mtge","MTG_FACTOR")</f>
        <v>0.90964884999999995</v>
      </c>
      <c r="H4543">
        <f>_xll.BDP("FRQD5778 Mtge","MTG_WAL")</f>
        <v>8.3842999999999996</v>
      </c>
      <c r="I4543" t="str">
        <f>_xll.BDP("FRQD5778 Mtge","MTG_ORIG_WAL")</f>
        <v>#N/A N/A</v>
      </c>
    </row>
    <row r="4544" spans="1:9" x14ac:dyDescent="0.25">
      <c r="A4544" t="str">
        <f>_xll.BDP("FRQD5779 Mtge","ID_CUSIP")</f>
        <v>3133B3M46</v>
      </c>
      <c r="B4544" t="str">
        <f>_xll.BDP("FRQD5779 Mtge","SECURITY_NAME")</f>
        <v>FR QD5779</v>
      </c>
      <c r="C4544" t="str">
        <f>_xll.BDP("FRQD5779 Mtge","GENERIC_TICKER_VINTAGE")</f>
        <v>FNCL 3 2021</v>
      </c>
      <c r="D4544" t="str">
        <f>_xll.BDP("FRQD5779 Mtge","CRNCY")</f>
        <v>USD</v>
      </c>
      <c r="E4544">
        <v>15686165</v>
      </c>
      <c r="F4544">
        <f>_xll.BDP("FRQD5779 Mtge","CPN")</f>
        <v>3</v>
      </c>
      <c r="G4544">
        <f>_xll.BDP("FRQD5779 Mtge","MTG_FACTOR")</f>
        <v>0.81558657000000001</v>
      </c>
      <c r="H4544">
        <f>_xll.BDP("FRQD5779 Mtge","MTG_WAL")</f>
        <v>8.4571000000000005</v>
      </c>
      <c r="I4544" t="str">
        <f>_xll.BDP("FRQD5779 Mtge","MTG_ORIG_WAL")</f>
        <v>#N/A N/A</v>
      </c>
    </row>
    <row r="4545" spans="1:9" x14ac:dyDescent="0.25">
      <c r="A4545" t="str">
        <f>_xll.BDP("FRQD5990 Mtge","ID_CUSIP")</f>
        <v>3133B3UP0</v>
      </c>
      <c r="B4545" t="str">
        <f>_xll.BDP("FRQD5990 Mtge","SECURITY_NAME")</f>
        <v>FR QD5990</v>
      </c>
      <c r="C4545" t="str">
        <f>_xll.BDP("FRQD5990 Mtge","GENERIC_TICKER_VINTAGE")</f>
        <v>FNCL 3 2021</v>
      </c>
      <c r="D4545" t="str">
        <f>_xll.BDP("FRQD5990 Mtge","CRNCY")</f>
        <v>USD</v>
      </c>
      <c r="E4545">
        <v>10146160</v>
      </c>
      <c r="F4545">
        <f>_xll.BDP("FRQD5990 Mtge","CPN")</f>
        <v>3</v>
      </c>
      <c r="G4545">
        <f>_xll.BDP("FRQD5990 Mtge","MTG_FACTOR")</f>
        <v>0.79085253</v>
      </c>
      <c r="H4545">
        <f>_xll.BDP("FRQD5990 Mtge","MTG_WAL")</f>
        <v>8.2725000000000009</v>
      </c>
      <c r="I4545" t="str">
        <f>_xll.BDP("FRQD5990 Mtge","MTG_ORIG_WAL")</f>
        <v>#N/A N/A</v>
      </c>
    </row>
    <row r="4546" spans="1:9" x14ac:dyDescent="0.25">
      <c r="A4546" t="str">
        <f>_xll.BDP("FRQD6056 Mtge","ID_CUSIP")</f>
        <v>3133B3WR4</v>
      </c>
      <c r="B4546" t="str">
        <f>_xll.BDP("FRQD6056 Mtge","SECURITY_NAME")</f>
        <v>FR QD6056</v>
      </c>
      <c r="C4546" t="str">
        <f>_xll.BDP("FRQD6056 Mtge","GENERIC_TICKER_VINTAGE")</f>
        <v>FNCL 3 2021</v>
      </c>
      <c r="D4546" t="str">
        <f>_xll.BDP("FRQD6056 Mtge","CRNCY")</f>
        <v>USD</v>
      </c>
      <c r="E4546">
        <v>108590364</v>
      </c>
      <c r="F4546">
        <f>_xll.BDP("FRQD6056 Mtge","CPN")</f>
        <v>3</v>
      </c>
      <c r="G4546">
        <f>_xll.BDP("FRQD6056 Mtge","MTG_FACTOR")</f>
        <v>0.73817997999999996</v>
      </c>
      <c r="H4546">
        <f>_xll.BDP("FRQD6056 Mtge","MTG_WAL")</f>
        <v>8.2767999999999997</v>
      </c>
      <c r="I4546" t="str">
        <f>_xll.BDP("FRQD6056 Mtge","MTG_ORIG_WAL")</f>
        <v>#N/A N/A</v>
      </c>
    </row>
    <row r="4547" spans="1:9" x14ac:dyDescent="0.25">
      <c r="A4547" t="str">
        <f>_xll.BDP("FRQD6060 Mtge","ID_CUSIP")</f>
        <v>3133B3WV5</v>
      </c>
      <c r="B4547" t="str">
        <f>_xll.BDP("FRQD6060 Mtge","SECURITY_NAME")</f>
        <v>FR QD6060</v>
      </c>
      <c r="C4547" t="str">
        <f>_xll.BDP("FRQD6060 Mtge","GENERIC_TICKER_VINTAGE")</f>
        <v>FNCL 3 2021</v>
      </c>
      <c r="D4547" t="str">
        <f>_xll.BDP("FRQD6060 Mtge","CRNCY")</f>
        <v>USD</v>
      </c>
      <c r="E4547">
        <v>102286533</v>
      </c>
      <c r="F4547">
        <f>_xll.BDP("FRQD6060 Mtge","CPN")</f>
        <v>3</v>
      </c>
      <c r="G4547">
        <f>_xll.BDP("FRQD6060 Mtge","MTG_FACTOR")</f>
        <v>0.71248831999999995</v>
      </c>
      <c r="H4547">
        <f>_xll.BDP("FRQD6060 Mtge","MTG_WAL")</f>
        <v>8.2539999999999996</v>
      </c>
      <c r="I4547" t="str">
        <f>_xll.BDP("FRQD6060 Mtge","MTG_ORIG_WAL")</f>
        <v>#N/A N/A</v>
      </c>
    </row>
    <row r="4548" spans="1:9" x14ac:dyDescent="0.25">
      <c r="A4548" t="str">
        <f>_xll.BDP("FRQD6067 Mtge","ID_CUSIP")</f>
        <v>3133B3W45</v>
      </c>
      <c r="B4548" t="str">
        <f>_xll.BDP("FRQD6067 Mtge","SECURITY_NAME")</f>
        <v>FR QD6067</v>
      </c>
      <c r="C4548" t="str">
        <f>_xll.BDP("FRQD6067 Mtge","GENERIC_TICKER_VINTAGE")</f>
        <v>FNCL 3 2021</v>
      </c>
      <c r="D4548" t="str">
        <f>_xll.BDP("FRQD6067 Mtge","CRNCY")</f>
        <v>USD</v>
      </c>
      <c r="E4548">
        <v>25093628</v>
      </c>
      <c r="F4548">
        <f>_xll.BDP("FRQD6067 Mtge","CPN")</f>
        <v>3</v>
      </c>
      <c r="G4548">
        <f>_xll.BDP("FRQD6067 Mtge","MTG_FACTOR")</f>
        <v>0.78937351</v>
      </c>
      <c r="H4548">
        <f>_xll.BDP("FRQD6067 Mtge","MTG_WAL")</f>
        <v>8.4016000000000002</v>
      </c>
      <c r="I4548" t="str">
        <f>_xll.BDP("FRQD6067 Mtge","MTG_ORIG_WAL")</f>
        <v>#N/A N/A</v>
      </c>
    </row>
    <row r="4549" spans="1:9" x14ac:dyDescent="0.25">
      <c r="A4549" t="str">
        <f>_xll.BDP("FRQD6089 Mtge","ID_CUSIP")</f>
        <v>3133B3XS1</v>
      </c>
      <c r="B4549" t="str">
        <f>_xll.BDP("FRQD6089 Mtge","SECURITY_NAME")</f>
        <v>FR QD6089</v>
      </c>
      <c r="C4549" t="str">
        <f>_xll.BDP("FRQD6089 Mtge","GENERIC_TICKER_VINTAGE")</f>
        <v>FNCL 3 2021</v>
      </c>
      <c r="D4549" t="str">
        <f>_xll.BDP("FRQD6089 Mtge","CRNCY")</f>
        <v>USD</v>
      </c>
      <c r="E4549">
        <v>151914667</v>
      </c>
      <c r="F4549">
        <f>_xll.BDP("FRQD6089 Mtge","CPN")</f>
        <v>3</v>
      </c>
      <c r="G4549">
        <f>_xll.BDP("FRQD6089 Mtge","MTG_FACTOR")</f>
        <v>0.74828824000000005</v>
      </c>
      <c r="H4549">
        <f>_xll.BDP("FRQD6089 Mtge","MTG_WAL")</f>
        <v>8.3157999999999994</v>
      </c>
      <c r="I4549" t="str">
        <f>_xll.BDP("FRQD6089 Mtge","MTG_ORIG_WAL")</f>
        <v>#N/A N/A</v>
      </c>
    </row>
    <row r="4550" spans="1:9" x14ac:dyDescent="0.25">
      <c r="A4550" t="str">
        <f>_xll.BDP("FRQD6459 Mtge","ID_CUSIP")</f>
        <v>3133B4E84</v>
      </c>
      <c r="B4550" t="str">
        <f>_xll.BDP("FRQD6459 Mtge","SECURITY_NAME")</f>
        <v>FR QD6459</v>
      </c>
      <c r="C4550" t="str">
        <f>_xll.BDP("FRQD6459 Mtge","GENERIC_TICKER_VINTAGE")</f>
        <v>FNCL 3 2021</v>
      </c>
      <c r="D4550" t="str">
        <f>_xll.BDP("FRQD6459 Mtge","CRNCY")</f>
        <v>USD</v>
      </c>
      <c r="E4550">
        <v>17480157</v>
      </c>
      <c r="F4550">
        <f>_xll.BDP("FRQD6459 Mtge","CPN")</f>
        <v>3</v>
      </c>
      <c r="G4550">
        <f>_xll.BDP("FRQD6459 Mtge","MTG_FACTOR")</f>
        <v>0.71699064000000001</v>
      </c>
      <c r="H4550">
        <f>_xll.BDP("FRQD6459 Mtge","MTG_WAL")</f>
        <v>8.2335999999999991</v>
      </c>
      <c r="I4550" t="str">
        <f>_xll.BDP("FRQD6459 Mtge","MTG_ORIG_WAL")</f>
        <v>#N/A N/A</v>
      </c>
    </row>
    <row r="4551" spans="1:9" x14ac:dyDescent="0.25">
      <c r="A4551" t="str">
        <f>_xll.BDP("FRQD6478 Mtge","ID_CUSIP")</f>
        <v>3133B4FT7</v>
      </c>
      <c r="B4551" t="str">
        <f>_xll.BDP("FRQD6478 Mtge","SECURITY_NAME")</f>
        <v>FR QD6478</v>
      </c>
      <c r="C4551" t="str">
        <f>_xll.BDP("FRQD6478 Mtge","GENERIC_TICKER_VINTAGE")</f>
        <v>FNCL 3 2021</v>
      </c>
      <c r="D4551" t="str">
        <f>_xll.BDP("FRQD6478 Mtge","CRNCY")</f>
        <v>USD</v>
      </c>
      <c r="E4551">
        <v>1504168</v>
      </c>
      <c r="F4551">
        <f>_xll.BDP("FRQD6478 Mtge","CPN")</f>
        <v>3</v>
      </c>
      <c r="G4551">
        <f>_xll.BDP("FRQD6478 Mtge","MTG_FACTOR")</f>
        <v>0.90806288000000002</v>
      </c>
      <c r="H4551">
        <f>_xll.BDP("FRQD6478 Mtge","MTG_WAL")</f>
        <v>8.3728999999999996</v>
      </c>
      <c r="I4551" t="str">
        <f>_xll.BDP("FRQD6478 Mtge","MTG_ORIG_WAL")</f>
        <v>#N/A N/A</v>
      </c>
    </row>
    <row r="4552" spans="1:9" x14ac:dyDescent="0.25">
      <c r="A4552" t="str">
        <f>_xll.BDP("FRQD6520 Mtge","ID_CUSIP")</f>
        <v>3133B4G58</v>
      </c>
      <c r="B4552" t="str">
        <f>_xll.BDP("FRQD6520 Mtge","SECURITY_NAME")</f>
        <v>FR QD6520</v>
      </c>
      <c r="C4552" t="str">
        <f>_xll.BDP("FRQD6520 Mtge","GENERIC_TICKER_VINTAGE")</f>
        <v>FNCL 3 2021</v>
      </c>
      <c r="D4552" t="str">
        <f>_xll.BDP("FRQD6520 Mtge","CRNCY")</f>
        <v>USD</v>
      </c>
      <c r="E4552">
        <v>362785</v>
      </c>
      <c r="F4552">
        <f>_xll.BDP("FRQD6520 Mtge","CPN")</f>
        <v>3</v>
      </c>
      <c r="G4552">
        <f>_xll.BDP("FRQD6520 Mtge","MTG_FACTOR")</f>
        <v>0.89372898999999995</v>
      </c>
      <c r="H4552">
        <f>_xll.BDP("FRQD6520 Mtge","MTG_WAL")</f>
        <v>8.2454999999999998</v>
      </c>
      <c r="I4552" t="str">
        <f>_xll.BDP("FRQD6520 Mtge","MTG_ORIG_WAL")</f>
        <v>#N/A N/A</v>
      </c>
    </row>
    <row r="4553" spans="1:9" x14ac:dyDescent="0.25">
      <c r="A4553" t="str">
        <f>_xll.BDP("FRQD6604 Mtge","ID_CUSIP")</f>
        <v>3133B4KR5</v>
      </c>
      <c r="B4553" t="str">
        <f>_xll.BDP("FRQD6604 Mtge","SECURITY_NAME")</f>
        <v>FR QD6604</v>
      </c>
      <c r="C4553" t="str">
        <f>_xll.BDP("FRQD6604 Mtge","GENERIC_TICKER_VINTAGE")</f>
        <v>FNCL 3 2021</v>
      </c>
      <c r="D4553" t="str">
        <f>_xll.BDP("FRQD6604 Mtge","CRNCY")</f>
        <v>USD</v>
      </c>
      <c r="E4553">
        <v>1167489</v>
      </c>
      <c r="F4553">
        <f>_xll.BDP("FRQD6604 Mtge","CPN")</f>
        <v>3</v>
      </c>
      <c r="G4553">
        <f>_xll.BDP("FRQD6604 Mtge","MTG_FACTOR")</f>
        <v>0.90032055</v>
      </c>
      <c r="H4553">
        <f>_xll.BDP("FRQD6604 Mtge","MTG_WAL")</f>
        <v>8.2737999999999996</v>
      </c>
      <c r="I4553" t="str">
        <f>_xll.BDP("FRQD6604 Mtge","MTG_ORIG_WAL")</f>
        <v>#N/A N/A</v>
      </c>
    </row>
    <row r="4554" spans="1:9" x14ac:dyDescent="0.25">
      <c r="A4554" t="str">
        <f>_xll.BDP("FRQD7052 Mtge","ID_CUSIP")</f>
        <v>3133B4ZR9</v>
      </c>
      <c r="B4554" t="str">
        <f>_xll.BDP("FRQD7052 Mtge","SECURITY_NAME")</f>
        <v>FR QD7052</v>
      </c>
      <c r="C4554" t="str">
        <f>_xll.BDP("FRQD7052 Mtge","GENERIC_TICKER_VINTAGE")</f>
        <v>FNCL 3 2021</v>
      </c>
      <c r="D4554" t="str">
        <f>_xll.BDP("FRQD7052 Mtge","CRNCY")</f>
        <v>USD</v>
      </c>
      <c r="E4554">
        <v>59842878</v>
      </c>
      <c r="F4554">
        <f>_xll.BDP("FRQD7052 Mtge","CPN")</f>
        <v>3</v>
      </c>
      <c r="G4554">
        <f>_xll.BDP("FRQD7052 Mtge","MTG_FACTOR")</f>
        <v>0.73937850000000005</v>
      </c>
      <c r="H4554">
        <f>_xll.BDP("FRQD7052 Mtge","MTG_WAL")</f>
        <v>8.3832000000000004</v>
      </c>
      <c r="I4554" t="str">
        <f>_xll.BDP("FRQD7052 Mtge","MTG_ORIG_WAL")</f>
        <v>#N/A N/A</v>
      </c>
    </row>
    <row r="4555" spans="1:9" x14ac:dyDescent="0.25">
      <c r="A4555" t="str">
        <f>_xll.BDP("FRQD7059 Mtge","ID_CUSIP")</f>
        <v>3133B4ZY4</v>
      </c>
      <c r="B4555" t="str">
        <f>_xll.BDP("FRQD7059 Mtge","SECURITY_NAME")</f>
        <v>FR QD7059</v>
      </c>
      <c r="C4555" t="str">
        <f>_xll.BDP("FRQD7059 Mtge","GENERIC_TICKER_VINTAGE")</f>
        <v>FNCL 3 2021</v>
      </c>
      <c r="D4555" t="str">
        <f>_xll.BDP("FRQD7059 Mtge","CRNCY")</f>
        <v>USD</v>
      </c>
      <c r="E4555">
        <v>149058537</v>
      </c>
      <c r="F4555">
        <f>_xll.BDP("FRQD7059 Mtge","CPN")</f>
        <v>3</v>
      </c>
      <c r="G4555">
        <f>_xll.BDP("FRQD7059 Mtge","MTG_FACTOR")</f>
        <v>0.80645467000000004</v>
      </c>
      <c r="H4555">
        <f>_xll.BDP("FRQD7059 Mtge","MTG_WAL")</f>
        <v>8.3307000000000002</v>
      </c>
      <c r="I4555" t="str">
        <f>_xll.BDP("FRQD7059 Mtge","MTG_ORIG_WAL")</f>
        <v>#N/A N/A</v>
      </c>
    </row>
    <row r="4556" spans="1:9" x14ac:dyDescent="0.25">
      <c r="A4556" t="str">
        <f>_xll.BDP("FRQD7229 Mtge","ID_CUSIP")</f>
        <v>3133B5A69</v>
      </c>
      <c r="B4556" t="str">
        <f>_xll.BDP("FRQD7229 Mtge","SECURITY_NAME")</f>
        <v>FR QD7229</v>
      </c>
      <c r="C4556" t="str">
        <f>_xll.BDP("FRQD7229 Mtge","GENERIC_TICKER_VINTAGE")</f>
        <v>FNCL 3 2021</v>
      </c>
      <c r="D4556" t="str">
        <f>_xll.BDP("FRQD7229 Mtge","CRNCY")</f>
        <v>USD</v>
      </c>
      <c r="E4556">
        <v>22075096</v>
      </c>
      <c r="F4556">
        <f>_xll.BDP("FRQD7229 Mtge","CPN")</f>
        <v>3</v>
      </c>
      <c r="G4556">
        <f>_xll.BDP("FRQD7229 Mtge","MTG_FACTOR")</f>
        <v>0.68453600999999997</v>
      </c>
      <c r="H4556">
        <f>_xll.BDP("FRQD7229 Mtge","MTG_WAL")</f>
        <v>8.4460999999999995</v>
      </c>
      <c r="I4556" t="str">
        <f>_xll.BDP("FRQD7229 Mtge","MTG_ORIG_WAL")</f>
        <v>#N/A N/A</v>
      </c>
    </row>
    <row r="4557" spans="1:9" x14ac:dyDescent="0.25">
      <c r="A4557" t="str">
        <f>_xll.BDP("FRQD7333 Mtge","ID_CUSIP")</f>
        <v>3133B5EE8</v>
      </c>
      <c r="B4557" t="str">
        <f>_xll.BDP("FRQD7333 Mtge","SECURITY_NAME")</f>
        <v>FR QD7333</v>
      </c>
      <c r="C4557" t="str">
        <f>_xll.BDP("FRQD7333 Mtge","GENERIC_TICKER_VINTAGE")</f>
        <v>FNCL 3 2021</v>
      </c>
      <c r="D4557" t="str">
        <f>_xll.BDP("FRQD7333 Mtge","CRNCY")</f>
        <v>USD</v>
      </c>
      <c r="E4557">
        <v>25073705</v>
      </c>
      <c r="F4557">
        <f>_xll.BDP("FRQD7333 Mtge","CPN")</f>
        <v>3</v>
      </c>
      <c r="G4557">
        <f>_xll.BDP("FRQD7333 Mtge","MTG_FACTOR")</f>
        <v>0.79611390000000004</v>
      </c>
      <c r="H4557">
        <f>_xll.BDP("FRQD7333 Mtge","MTG_WAL")</f>
        <v>8.4082000000000008</v>
      </c>
      <c r="I4557" t="str">
        <f>_xll.BDP("FRQD7333 Mtge","MTG_ORIG_WAL")</f>
        <v>#N/A N/A</v>
      </c>
    </row>
    <row r="4558" spans="1:9" x14ac:dyDescent="0.25">
      <c r="A4558" t="str">
        <f>_xll.BDP("FRQD7436 Mtge","ID_CUSIP")</f>
        <v>3133B5HM7</v>
      </c>
      <c r="B4558" t="str">
        <f>_xll.BDP("FRQD7436 Mtge","SECURITY_NAME")</f>
        <v>FR QD7436</v>
      </c>
      <c r="C4558" t="str">
        <f>_xll.BDP("FRQD7436 Mtge","GENERIC_TICKER_VINTAGE")</f>
        <v>FNCL 3 2021</v>
      </c>
      <c r="D4558" t="str">
        <f>_xll.BDP("FRQD7436 Mtge","CRNCY")</f>
        <v>USD</v>
      </c>
      <c r="E4558">
        <v>29557734</v>
      </c>
      <c r="F4558">
        <f>_xll.BDP("FRQD7436 Mtge","CPN")</f>
        <v>3</v>
      </c>
      <c r="G4558">
        <f>_xll.BDP("FRQD7436 Mtge","MTG_FACTOR")</f>
        <v>0.84096134</v>
      </c>
      <c r="H4558">
        <f>_xll.BDP("FRQD7436 Mtge","MTG_WAL")</f>
        <v>8.3260000000000005</v>
      </c>
      <c r="I4558" t="str">
        <f>_xll.BDP("FRQD7436 Mtge","MTG_ORIG_WAL")</f>
        <v>#N/A N/A</v>
      </c>
    </row>
    <row r="4559" spans="1:9" x14ac:dyDescent="0.25">
      <c r="A4559" t="str">
        <f>_xll.BDP("FRQD8316 Mtge","ID_CUSIP")</f>
        <v>3133B6GZ7</v>
      </c>
      <c r="B4559" t="str">
        <f>_xll.BDP("FRQD8316 Mtge","SECURITY_NAME")</f>
        <v>FR QD8316</v>
      </c>
      <c r="C4559" t="str">
        <f>_xll.BDP("FRQD8316 Mtge","GENERIC_TICKER_VINTAGE")</f>
        <v>FNCL 3 2021</v>
      </c>
      <c r="D4559" t="str">
        <f>_xll.BDP("FRQD8316 Mtge","CRNCY")</f>
        <v>USD</v>
      </c>
      <c r="E4559">
        <v>627054</v>
      </c>
      <c r="F4559">
        <f>_xll.BDP("FRQD8316 Mtge","CPN")</f>
        <v>3</v>
      </c>
      <c r="G4559">
        <f>_xll.BDP("FRQD8316 Mtge","MTG_FACTOR")</f>
        <v>0.90955772999999995</v>
      </c>
      <c r="H4559">
        <f>_xll.BDP("FRQD8316 Mtge","MTG_WAL")</f>
        <v>8.3473000000000006</v>
      </c>
      <c r="I4559" t="str">
        <f>_xll.BDP("FRQD8316 Mtge","MTG_ORIG_WAL")</f>
        <v>#N/A N/A</v>
      </c>
    </row>
    <row r="4560" spans="1:9" x14ac:dyDescent="0.25">
      <c r="A4560" t="str">
        <f>_xll.BDP("FRQD9118 Mtge","ID_CUSIP")</f>
        <v>3133B7DX3</v>
      </c>
      <c r="B4560" t="str">
        <f>_xll.BDP("FRQD9118 Mtge","SECURITY_NAME")</f>
        <v>FR QD9118</v>
      </c>
      <c r="C4560" t="str">
        <f>_xll.BDP("FRQD9118 Mtge","GENERIC_TICKER_VINTAGE")</f>
        <v>FNCL 3 2021</v>
      </c>
      <c r="D4560" t="str">
        <f>_xll.BDP("FRQD9118 Mtge","CRNCY")</f>
        <v>USD</v>
      </c>
      <c r="E4560">
        <v>1412318</v>
      </c>
      <c r="F4560">
        <f>_xll.BDP("FRQD9118 Mtge","CPN")</f>
        <v>3</v>
      </c>
      <c r="G4560">
        <f>_xll.BDP("FRQD9118 Mtge","MTG_FACTOR")</f>
        <v>0.91671986000000005</v>
      </c>
      <c r="H4560">
        <f>_xll.BDP("FRQD9118 Mtge","MTG_WAL")</f>
        <v>8.4245999999999999</v>
      </c>
      <c r="I4560" t="str">
        <f>_xll.BDP("FRQD9118 Mtge","MTG_ORIG_WAL")</f>
        <v>#N/A N/A</v>
      </c>
    </row>
    <row r="4561" spans="1:9" x14ac:dyDescent="0.25">
      <c r="A4561" t="str">
        <f>_xll.BDP("FRQX4591 Mtge","ID_CUSIP")</f>
        <v>31426AC55</v>
      </c>
      <c r="B4561" t="str">
        <f>_xll.BDP("FRQX4591 Mtge","SECURITY_NAME")</f>
        <v>FR QX4591</v>
      </c>
      <c r="C4561" t="str">
        <f>_xll.BDP("FRQX4591 Mtge","GENERIC_TICKER_VINTAGE")</f>
        <v>FNCL 6 2025</v>
      </c>
      <c r="D4561" t="str">
        <f>_xll.BDP("FRQX4591 Mtge","CRNCY")</f>
        <v>USD</v>
      </c>
      <c r="E4561">
        <v>1565200</v>
      </c>
      <c r="F4561">
        <f>_xll.BDP("FRQX4591 Mtge","CPN")</f>
        <v>6</v>
      </c>
      <c r="G4561">
        <f>_xll.BDP("FRQX4591 Mtge","MTG_FACTOR")</f>
        <v>0.79829141000000003</v>
      </c>
      <c r="H4561">
        <f>_xll.BDP("FRQX4591 Mtge","MTG_WAL")</f>
        <v>3.1543999999999999</v>
      </c>
      <c r="I4561" t="str">
        <f>_xll.BDP("FRQX4591 Mtge","MTG_ORIG_WAL")</f>
        <v>#N/A N/A</v>
      </c>
    </row>
    <row r="4562" spans="1:9" x14ac:dyDescent="0.25">
      <c r="A4562" t="str">
        <f>_xll.BDP("FRQX4850 Mtge","ID_CUSIP")</f>
        <v>31426AL89</v>
      </c>
      <c r="B4562" t="str">
        <f>_xll.BDP("FRQX4850 Mtge","SECURITY_NAME")</f>
        <v>FR QX4850</v>
      </c>
      <c r="C4562" t="str">
        <f>_xll.BDP("FRQX4850 Mtge","GENERIC_TICKER_VINTAGE")</f>
        <v>FNCL 6 2025</v>
      </c>
      <c r="D4562" t="str">
        <f>_xll.BDP("FRQX4850 Mtge","CRNCY")</f>
        <v>USD</v>
      </c>
      <c r="E4562">
        <v>1570935</v>
      </c>
      <c r="F4562">
        <f>_xll.BDP("FRQX4850 Mtge","CPN")</f>
        <v>6</v>
      </c>
      <c r="G4562">
        <f>_xll.BDP("FRQX4850 Mtge","MTG_FACTOR")</f>
        <v>0.78482872999999997</v>
      </c>
      <c r="H4562">
        <f>_xll.BDP("FRQX4850 Mtge","MTG_WAL")</f>
        <v>3.1615000000000002</v>
      </c>
      <c r="I4562" t="str">
        <f>_xll.BDP("FRQX4850 Mtge","MTG_ORIG_WAL")</f>
        <v>#N/A N/A</v>
      </c>
    </row>
    <row r="4563" spans="1:9" x14ac:dyDescent="0.25">
      <c r="A4563" t="str">
        <f>_xll.BDP("FRQX4924 Mtge","ID_CUSIP")</f>
        <v>31426APJ1</v>
      </c>
      <c r="B4563" t="str">
        <f>_xll.BDP("FRQX4924 Mtge","SECURITY_NAME")</f>
        <v>FR QX4924</v>
      </c>
      <c r="C4563" t="str">
        <f>_xll.BDP("FRQX4924 Mtge","GENERIC_TICKER_VINTAGE")</f>
        <v>FNCL 6 2025</v>
      </c>
      <c r="D4563" t="str">
        <f>_xll.BDP("FRQX4924 Mtge","CRNCY")</f>
        <v>USD</v>
      </c>
      <c r="E4563">
        <v>1263280</v>
      </c>
      <c r="F4563">
        <f>_xll.BDP("FRQX4924 Mtge","CPN")</f>
        <v>6</v>
      </c>
      <c r="G4563">
        <f>_xll.BDP("FRQX4924 Mtge","MTG_FACTOR")</f>
        <v>0.98685988999999996</v>
      </c>
      <c r="H4563">
        <f>_xll.BDP("FRQX4924 Mtge","MTG_WAL")</f>
        <v>3.1545999999999998</v>
      </c>
      <c r="I4563" t="str">
        <f>_xll.BDP("FRQX4924 Mtge","MTG_ORIG_WAL")</f>
        <v>#N/A N/A</v>
      </c>
    </row>
    <row r="4564" spans="1:9" x14ac:dyDescent="0.25">
      <c r="A4564" t="str">
        <f>_xll.BDP("FRQX4969 Mtge","ID_CUSIP")</f>
        <v>31426AQX9</v>
      </c>
      <c r="B4564" t="str">
        <f>_xll.BDP("FRQX4969 Mtge","SECURITY_NAME")</f>
        <v>FR QX4969</v>
      </c>
      <c r="C4564" t="str">
        <f>_xll.BDP("FRQX4969 Mtge","GENERIC_TICKER_VINTAGE")</f>
        <v>FNCL 6 2025</v>
      </c>
      <c r="D4564" t="str">
        <f>_xll.BDP("FRQX4969 Mtge","CRNCY")</f>
        <v>USD</v>
      </c>
      <c r="E4564">
        <v>1921600</v>
      </c>
      <c r="F4564">
        <f>_xll.BDP("FRQX4969 Mtge","CPN")</f>
        <v>6</v>
      </c>
      <c r="G4564">
        <f>_xll.BDP("FRQX4969 Mtge","MTG_FACTOR")</f>
        <v>0.85467391000000004</v>
      </c>
      <c r="H4564">
        <f>_xll.BDP("FRQX4969 Mtge","MTG_WAL")</f>
        <v>3.1472000000000002</v>
      </c>
      <c r="I4564" t="str">
        <f>_xll.BDP("FRQX4969 Mtge","MTG_ORIG_WAL")</f>
        <v>#N/A N/A</v>
      </c>
    </row>
    <row r="4565" spans="1:9" x14ac:dyDescent="0.25">
      <c r="A4565" t="str">
        <f>_xll.BDP("FRQX4998 Mtge","ID_CUSIP")</f>
        <v>31426ARU4</v>
      </c>
      <c r="B4565" t="str">
        <f>_xll.BDP("FRQX4998 Mtge","SECURITY_NAME")</f>
        <v>FR QX4998</v>
      </c>
      <c r="C4565" t="str">
        <f>_xll.BDP("FRQX4998 Mtge","GENERIC_TICKER_VINTAGE")</f>
        <v>FNCL 6 2025</v>
      </c>
      <c r="D4565" t="str">
        <f>_xll.BDP("FRQX4998 Mtge","CRNCY")</f>
        <v>USD</v>
      </c>
      <c r="E4565">
        <v>1956300</v>
      </c>
      <c r="F4565">
        <f>_xll.BDP("FRQX4998 Mtge","CPN")</f>
        <v>6</v>
      </c>
      <c r="G4565">
        <f>_xll.BDP("FRQX4998 Mtge","MTG_FACTOR")</f>
        <v>0.98796297</v>
      </c>
      <c r="H4565">
        <f>_xll.BDP("FRQX4998 Mtge","MTG_WAL")</f>
        <v>3.1560000000000001</v>
      </c>
      <c r="I4565" t="str">
        <f>_xll.BDP("FRQX4998 Mtge","MTG_ORIG_WAL")</f>
        <v>#N/A N/A</v>
      </c>
    </row>
    <row r="4566" spans="1:9" x14ac:dyDescent="0.25">
      <c r="A4566" t="str">
        <f>_xll.BDP("FRQX5000 Mtge","ID_CUSIP")</f>
        <v>31426ARW0</v>
      </c>
      <c r="B4566" t="str">
        <f>_xll.BDP("FRQX5000 Mtge","SECURITY_NAME")</f>
        <v>FR QX5000</v>
      </c>
      <c r="C4566" t="str">
        <f>_xll.BDP("FRQX5000 Mtge","GENERIC_TICKER_VINTAGE")</f>
        <v>FNCL 6 2025</v>
      </c>
      <c r="D4566" t="str">
        <f>_xll.BDP("FRQX5000 Mtge","CRNCY")</f>
        <v>USD</v>
      </c>
      <c r="E4566">
        <v>1254467</v>
      </c>
      <c r="F4566">
        <f>_xll.BDP("FRQX5000 Mtge","CPN")</f>
        <v>6</v>
      </c>
      <c r="G4566">
        <f>_xll.BDP("FRQX5000 Mtge","MTG_FACTOR")</f>
        <v>0.54373822000000005</v>
      </c>
      <c r="H4566">
        <f>_xll.BDP("FRQX5000 Mtge","MTG_WAL")</f>
        <v>3.1520000000000001</v>
      </c>
      <c r="I4566" t="str">
        <f>_xll.BDP("FRQX5000 Mtge","MTG_ORIG_WAL")</f>
        <v>#N/A N/A</v>
      </c>
    </row>
    <row r="4567" spans="1:9" x14ac:dyDescent="0.25">
      <c r="A4567" t="str">
        <f>_xll.BDP("FRQX5029 Mtge","ID_CUSIP")</f>
        <v>31426AST6</v>
      </c>
      <c r="B4567" t="str">
        <f>_xll.BDP("FRQX5029 Mtge","SECURITY_NAME")</f>
        <v>FR QX5029</v>
      </c>
      <c r="C4567" t="str">
        <f>_xll.BDP("FRQX5029 Mtge","GENERIC_TICKER_VINTAGE")</f>
        <v>FNCL 6 2025</v>
      </c>
      <c r="D4567" t="str">
        <f>_xll.BDP("FRQX5029 Mtge","CRNCY")</f>
        <v>USD</v>
      </c>
      <c r="E4567">
        <v>2139025</v>
      </c>
      <c r="F4567">
        <f>_xll.BDP("FRQX5029 Mtge","CPN")</f>
        <v>6</v>
      </c>
      <c r="G4567">
        <f>_xll.BDP("FRQX5029 Mtge","MTG_FACTOR")</f>
        <v>0.81372054000000005</v>
      </c>
      <c r="H4567">
        <f>_xll.BDP("FRQX5029 Mtge","MTG_WAL")</f>
        <v>3.1593</v>
      </c>
      <c r="I4567" t="str">
        <f>_xll.BDP("FRQX5029 Mtge","MTG_ORIG_WAL")</f>
        <v>#N/A N/A</v>
      </c>
    </row>
    <row r="4568" spans="1:9" x14ac:dyDescent="0.25">
      <c r="A4568" t="str">
        <f>_xll.BDP("FRQX5075 Mtge","ID_CUSIP")</f>
        <v>31426AT99</v>
      </c>
      <c r="B4568" t="str">
        <f>_xll.BDP("FRQX5075 Mtge","SECURITY_NAME")</f>
        <v>FR QX5075</v>
      </c>
      <c r="C4568" t="str">
        <f>_xll.BDP("FRQX5075 Mtge","GENERIC_TICKER_VINTAGE")</f>
        <v>FNCL 6 2025</v>
      </c>
      <c r="D4568" t="str">
        <f>_xll.BDP("FRQX5075 Mtge","CRNCY")</f>
        <v>USD</v>
      </c>
      <c r="E4568">
        <v>1072520</v>
      </c>
      <c r="F4568">
        <f>_xll.BDP("FRQX5075 Mtge","CPN")</f>
        <v>6</v>
      </c>
      <c r="G4568">
        <f>_xll.BDP("FRQX5075 Mtge","MTG_FACTOR")</f>
        <v>0.98653840000000004</v>
      </c>
      <c r="H4568">
        <f>_xll.BDP("FRQX5075 Mtge","MTG_WAL")</f>
        <v>3.1558999999999999</v>
      </c>
      <c r="I4568" t="str">
        <f>_xll.BDP("FRQX5075 Mtge","MTG_ORIG_WAL")</f>
        <v>#N/A N/A</v>
      </c>
    </row>
    <row r="4569" spans="1:9" x14ac:dyDescent="0.25">
      <c r="A4569" t="str">
        <f>_xll.BDP("FRQX5076 Mtge","ID_CUSIP")</f>
        <v>31426AUA4</v>
      </c>
      <c r="B4569" t="str">
        <f>_xll.BDP("FRQX5076 Mtge","SECURITY_NAME")</f>
        <v>FR QX5076</v>
      </c>
      <c r="C4569" t="str">
        <f>_xll.BDP("FRQX5076 Mtge","GENERIC_TICKER_VINTAGE")</f>
        <v>FNCL 6 2025</v>
      </c>
      <c r="D4569" t="str">
        <f>_xll.BDP("FRQX5076 Mtge","CRNCY")</f>
        <v>USD</v>
      </c>
      <c r="E4569">
        <v>1159235</v>
      </c>
      <c r="F4569">
        <f>_xll.BDP("FRQX5076 Mtge","CPN")</f>
        <v>6</v>
      </c>
      <c r="G4569">
        <f>_xll.BDP("FRQX5076 Mtge","MTG_FACTOR")</f>
        <v>0.72930666</v>
      </c>
      <c r="H4569">
        <f>_xll.BDP("FRQX5076 Mtge","MTG_WAL")</f>
        <v>3.1562000000000001</v>
      </c>
      <c r="I4569" t="str">
        <f>_xll.BDP("FRQX5076 Mtge","MTG_ORIG_WAL")</f>
        <v>#N/A N/A</v>
      </c>
    </row>
    <row r="4570" spans="1:9" x14ac:dyDescent="0.25">
      <c r="A4570" t="str">
        <f>_xll.BDP("FRQX5081 Mtge","ID_CUSIP")</f>
        <v>31426AUF3</v>
      </c>
      <c r="B4570" t="str">
        <f>_xll.BDP("FRQX5081 Mtge","SECURITY_NAME")</f>
        <v>FR QX5081</v>
      </c>
      <c r="C4570" t="str">
        <f>_xll.BDP("FRQX5081 Mtge","GENERIC_TICKER_VINTAGE")</f>
        <v>FNCL 6 2025</v>
      </c>
      <c r="D4570" t="str">
        <f>_xll.BDP("FRQX5081 Mtge","CRNCY")</f>
        <v>USD</v>
      </c>
      <c r="E4570">
        <v>1307993</v>
      </c>
      <c r="F4570">
        <f>_xll.BDP("FRQX5081 Mtge","CPN")</f>
        <v>6</v>
      </c>
      <c r="G4570">
        <f>_xll.BDP("FRQX5081 Mtge","MTG_FACTOR")</f>
        <v>0.98601225000000003</v>
      </c>
      <c r="H4570">
        <f>_xll.BDP("FRQX5081 Mtge","MTG_WAL")</f>
        <v>3.1435</v>
      </c>
      <c r="I4570" t="str">
        <f>_xll.BDP("FRQX5081 Mtge","MTG_ORIG_WAL")</f>
        <v>#N/A N/A</v>
      </c>
    </row>
    <row r="4571" spans="1:9" x14ac:dyDescent="0.25">
      <c r="A4571" t="str">
        <f>_xll.BDP("FRQX5098 Mtge","ID_CUSIP")</f>
        <v>31426AUY2</v>
      </c>
      <c r="B4571" t="str">
        <f>_xll.BDP("FRQX5098 Mtge","SECURITY_NAME")</f>
        <v>FR QX5098</v>
      </c>
      <c r="C4571" t="str">
        <f>_xll.BDP("FRQX5098 Mtge","GENERIC_TICKER_VINTAGE")</f>
        <v>FNCL 6 2025</v>
      </c>
      <c r="D4571" t="str">
        <f>_xll.BDP("FRQX5098 Mtge","CRNCY")</f>
        <v>USD</v>
      </c>
      <c r="E4571">
        <v>17037487</v>
      </c>
      <c r="F4571">
        <f>_xll.BDP("FRQX5098 Mtge","CPN")</f>
        <v>6</v>
      </c>
      <c r="G4571">
        <f>_xll.BDP("FRQX5098 Mtge","MTG_FACTOR")</f>
        <v>0.77974938000000005</v>
      </c>
      <c r="H4571">
        <f>_xll.BDP("FRQX5098 Mtge","MTG_WAL")</f>
        <v>3.1566999999999998</v>
      </c>
      <c r="I4571" t="str">
        <f>_xll.BDP("FRQX5098 Mtge","MTG_ORIG_WAL")</f>
        <v>#N/A N/A</v>
      </c>
    </row>
    <row r="4572" spans="1:9" x14ac:dyDescent="0.25">
      <c r="A4572" t="str">
        <f>_xll.BDP("FRQX5105 Mtge","ID_CUSIP")</f>
        <v>31426AU71</v>
      </c>
      <c r="B4572" t="str">
        <f>_xll.BDP("FRQX5105 Mtge","SECURITY_NAME")</f>
        <v>FR QX5105</v>
      </c>
      <c r="C4572" t="str">
        <f>_xll.BDP("FRQX5105 Mtge","GENERIC_TICKER_VINTAGE")</f>
        <v>FNCL 6 2025</v>
      </c>
      <c r="D4572" t="str">
        <f>_xll.BDP("FRQX5105 Mtge","CRNCY")</f>
        <v>USD</v>
      </c>
      <c r="E4572">
        <v>2700140</v>
      </c>
      <c r="F4572">
        <f>_xll.BDP("FRQX5105 Mtge","CPN")</f>
        <v>6</v>
      </c>
      <c r="G4572">
        <f>_xll.BDP("FRQX5105 Mtge","MTG_FACTOR")</f>
        <v>0.98750190000000004</v>
      </c>
      <c r="H4572">
        <f>_xll.BDP("FRQX5105 Mtge","MTG_WAL")</f>
        <v>3.1616</v>
      </c>
      <c r="I4572" t="str">
        <f>_xll.BDP("FRQX5105 Mtge","MTG_ORIG_WAL")</f>
        <v>#N/A N/A</v>
      </c>
    </row>
    <row r="4573" spans="1:9" x14ac:dyDescent="0.25">
      <c r="A4573" t="str">
        <f>_xll.BDP("FRQX5113 Mtge","ID_CUSIP")</f>
        <v>31426AVF2</v>
      </c>
      <c r="B4573" t="str">
        <f>_xll.BDP("FRQX5113 Mtge","SECURITY_NAME")</f>
        <v>FR QX5113</v>
      </c>
      <c r="C4573" t="str">
        <f>_xll.BDP("FRQX5113 Mtge","GENERIC_TICKER_VINTAGE")</f>
        <v>FNCL 6 2025</v>
      </c>
      <c r="D4573" t="str">
        <f>_xll.BDP("FRQX5113 Mtge","CRNCY")</f>
        <v>USD</v>
      </c>
      <c r="E4573">
        <v>3771676</v>
      </c>
      <c r="F4573">
        <f>_xll.BDP("FRQX5113 Mtge","CPN")</f>
        <v>6</v>
      </c>
      <c r="G4573">
        <f>_xll.BDP("FRQX5113 Mtge","MTG_FACTOR")</f>
        <v>0.86047571</v>
      </c>
      <c r="H4573">
        <f>_xll.BDP("FRQX5113 Mtge","MTG_WAL")</f>
        <v>3.1425999999999998</v>
      </c>
      <c r="I4573" t="str">
        <f>_xll.BDP("FRQX5113 Mtge","MTG_ORIG_WAL")</f>
        <v>#N/A N/A</v>
      </c>
    </row>
    <row r="4574" spans="1:9" x14ac:dyDescent="0.25">
      <c r="A4574" t="str">
        <f>_xll.BDP("FRQX5122 Mtge","ID_CUSIP")</f>
        <v>31426AVQ8</v>
      </c>
      <c r="B4574" t="str">
        <f>_xll.BDP("FRQX5122 Mtge","SECURITY_NAME")</f>
        <v>FR QX5122</v>
      </c>
      <c r="C4574" t="str">
        <f>_xll.BDP("FRQX5122 Mtge","GENERIC_TICKER_VINTAGE")</f>
        <v>FNCL 6 2025</v>
      </c>
      <c r="D4574" t="str">
        <f>_xll.BDP("FRQX5122 Mtge","CRNCY")</f>
        <v>USD</v>
      </c>
      <c r="E4574">
        <v>1169969</v>
      </c>
      <c r="F4574">
        <f>_xll.BDP("FRQX5122 Mtge","CPN")</f>
        <v>6</v>
      </c>
      <c r="G4574">
        <f>_xll.BDP("FRQX5122 Mtge","MTG_FACTOR")</f>
        <v>0.63057598999999998</v>
      </c>
      <c r="H4574">
        <f>_xll.BDP("FRQX5122 Mtge","MTG_WAL")</f>
        <v>3.1537000000000002</v>
      </c>
      <c r="I4574" t="str">
        <f>_xll.BDP("FRQX5122 Mtge","MTG_ORIG_WAL")</f>
        <v>#N/A N/A</v>
      </c>
    </row>
    <row r="4575" spans="1:9" x14ac:dyDescent="0.25">
      <c r="A4575" t="str">
        <f>_xll.BDP("FRQX5164 Mtge","ID_CUSIP")</f>
        <v>31426AW20</v>
      </c>
      <c r="B4575" t="str">
        <f>_xll.BDP("FRQX5164 Mtge","SECURITY_NAME")</f>
        <v>FR QX5164</v>
      </c>
      <c r="C4575" t="str">
        <f>_xll.BDP("FRQX5164 Mtge","GENERIC_TICKER_VINTAGE")</f>
        <v>FNCL 6 2025</v>
      </c>
      <c r="D4575" t="str">
        <f>_xll.BDP("FRQX5164 Mtge","CRNCY")</f>
        <v>USD</v>
      </c>
      <c r="E4575">
        <v>1492600</v>
      </c>
      <c r="F4575">
        <f>_xll.BDP("FRQX5164 Mtge","CPN")</f>
        <v>6</v>
      </c>
      <c r="G4575">
        <f>_xll.BDP("FRQX5164 Mtge","MTG_FACTOR")</f>
        <v>0.98653420000000003</v>
      </c>
      <c r="H4575">
        <f>_xll.BDP("FRQX5164 Mtge","MTG_WAL")</f>
        <v>3.1606999999999998</v>
      </c>
      <c r="I4575" t="str">
        <f>_xll.BDP("FRQX5164 Mtge","MTG_ORIG_WAL")</f>
        <v>#N/A N/A</v>
      </c>
    </row>
    <row r="4576" spans="1:9" x14ac:dyDescent="0.25">
      <c r="A4576" t="str">
        <f>_xll.BDP("FRQX5323 Mtge","ID_CUSIP")</f>
        <v>31426A4H8</v>
      </c>
      <c r="B4576" t="str">
        <f>_xll.BDP("FRQX5323 Mtge","SECURITY_NAME")</f>
        <v>FR QX5323</v>
      </c>
      <c r="C4576" t="str">
        <f>_xll.BDP("FRQX5323 Mtge","GENERIC_TICKER_VINTAGE")</f>
        <v>FNCL 6 2025</v>
      </c>
      <c r="D4576" t="str">
        <f>_xll.BDP("FRQX5323 Mtge","CRNCY")</f>
        <v>USD</v>
      </c>
      <c r="E4576">
        <v>1120925</v>
      </c>
      <c r="F4576">
        <f>_xll.BDP("FRQX5323 Mtge","CPN")</f>
        <v>6</v>
      </c>
      <c r="G4576">
        <f>_xll.BDP("FRQX5323 Mtge","MTG_FACTOR")</f>
        <v>0.98433303000000005</v>
      </c>
      <c r="H4576">
        <f>_xll.BDP("FRQX5323 Mtge","MTG_WAL")</f>
        <v>3.1553</v>
      </c>
      <c r="I4576" t="str">
        <f>_xll.BDP("FRQX5323 Mtge","MTG_ORIG_WAL")</f>
        <v>#N/A N/A</v>
      </c>
    </row>
    <row r="4577" spans="1:9" x14ac:dyDescent="0.25">
      <c r="A4577" t="str">
        <f>_xll.BDP("FRQX5354 Mtge","ID_CUSIP")</f>
        <v>31426A5Q7</v>
      </c>
      <c r="B4577" t="str">
        <f>_xll.BDP("FRQX5354 Mtge","SECURITY_NAME")</f>
        <v>FR QX5354</v>
      </c>
      <c r="C4577" t="str">
        <f>_xll.BDP("FRQX5354 Mtge","GENERIC_TICKER_VINTAGE")</f>
        <v>FNCL 6 2025</v>
      </c>
      <c r="D4577" t="str">
        <f>_xll.BDP("FRQX5354 Mtge","CRNCY")</f>
        <v>USD</v>
      </c>
      <c r="E4577">
        <v>1708698</v>
      </c>
      <c r="F4577">
        <f>_xll.BDP("FRQX5354 Mtge","CPN")</f>
        <v>6</v>
      </c>
      <c r="G4577">
        <f>_xll.BDP("FRQX5354 Mtge","MTG_FACTOR")</f>
        <v>0.76739634000000001</v>
      </c>
      <c r="H4577">
        <f>_xll.BDP("FRQX5354 Mtge","MTG_WAL")</f>
        <v>3.1356000000000002</v>
      </c>
      <c r="I4577" t="str">
        <f>_xll.BDP("FRQX5354 Mtge","MTG_ORIG_WAL")</f>
        <v>#N/A N/A</v>
      </c>
    </row>
    <row r="4578" spans="1:9" x14ac:dyDescent="0.25">
      <c r="A4578" t="str">
        <f>_xll.BDP("FRQX5364 Mtge","ID_CUSIP")</f>
        <v>31426A6A1</v>
      </c>
      <c r="B4578" t="str">
        <f>_xll.BDP("FRQX5364 Mtge","SECURITY_NAME")</f>
        <v>FR QX5364</v>
      </c>
      <c r="C4578" t="str">
        <f>_xll.BDP("FRQX5364 Mtge","GENERIC_TICKER_VINTAGE")</f>
        <v>FNCL 6 2025</v>
      </c>
      <c r="D4578" t="str">
        <f>_xll.BDP("FRQX5364 Mtge","CRNCY")</f>
        <v>USD</v>
      </c>
      <c r="E4578">
        <v>1124927</v>
      </c>
      <c r="F4578">
        <f>_xll.BDP("FRQX5364 Mtge","CPN")</f>
        <v>6</v>
      </c>
      <c r="G4578">
        <f>_xll.BDP("FRQX5364 Mtge","MTG_FACTOR")</f>
        <v>0.98757649999999997</v>
      </c>
      <c r="H4578">
        <f>_xll.BDP("FRQX5364 Mtge","MTG_WAL")</f>
        <v>3.1587000000000001</v>
      </c>
      <c r="I4578" t="str">
        <f>_xll.BDP("FRQX5364 Mtge","MTG_ORIG_WAL")</f>
        <v>#N/A N/A</v>
      </c>
    </row>
    <row r="4579" spans="1:9" x14ac:dyDescent="0.25">
      <c r="A4579" t="str">
        <f>_xll.BDP("FRQX5371 Mtge","ID_CUSIP")</f>
        <v>31426A6H6</v>
      </c>
      <c r="B4579" t="str">
        <f>_xll.BDP("FRQX5371 Mtge","SECURITY_NAME")</f>
        <v>FR QX5371</v>
      </c>
      <c r="C4579" t="str">
        <f>_xll.BDP("FRQX5371 Mtge","GENERIC_TICKER_VINTAGE")</f>
        <v>FNCL 6 2025</v>
      </c>
      <c r="D4579" t="str">
        <f>_xll.BDP("FRQX5371 Mtge","CRNCY")</f>
        <v>USD</v>
      </c>
      <c r="E4579">
        <v>2349754</v>
      </c>
      <c r="F4579">
        <f>_xll.BDP("FRQX5371 Mtge","CPN")</f>
        <v>6</v>
      </c>
      <c r="G4579">
        <f>_xll.BDP("FRQX5371 Mtge","MTG_FACTOR")</f>
        <v>0.79104205999999999</v>
      </c>
      <c r="H4579">
        <f>_xll.BDP("FRQX5371 Mtge","MTG_WAL")</f>
        <v>3.1505999999999998</v>
      </c>
      <c r="I4579" t="str">
        <f>_xll.BDP("FRQX5371 Mtge","MTG_ORIG_WAL")</f>
        <v>#N/A N/A</v>
      </c>
    </row>
    <row r="4580" spans="1:9" x14ac:dyDescent="0.25">
      <c r="A4580" t="str">
        <f>_xll.BDP("FRQX5413 Mtge","ID_CUSIP")</f>
        <v>31426BAP1</v>
      </c>
      <c r="B4580" t="str">
        <f>_xll.BDP("FRQX5413 Mtge","SECURITY_NAME")</f>
        <v>FR QX5413</v>
      </c>
      <c r="C4580" t="str">
        <f>_xll.BDP("FRQX5413 Mtge","GENERIC_TICKER_VINTAGE")</f>
        <v>FNCL 6 2025</v>
      </c>
      <c r="D4580" t="str">
        <f>_xll.BDP("FRQX5413 Mtge","CRNCY")</f>
        <v>USD</v>
      </c>
      <c r="E4580">
        <v>1306200</v>
      </c>
      <c r="F4580">
        <f>_xll.BDP("FRQX5413 Mtge","CPN")</f>
        <v>6</v>
      </c>
      <c r="G4580">
        <f>_xll.BDP("FRQX5413 Mtge","MTG_FACTOR")</f>
        <v>0.89052248000000001</v>
      </c>
      <c r="H4580">
        <f>_xll.BDP("FRQX5413 Mtge","MTG_WAL")</f>
        <v>3.1585000000000001</v>
      </c>
      <c r="I4580" t="str">
        <f>_xll.BDP("FRQX5413 Mtge","MTG_ORIG_WAL")</f>
        <v>#N/A N/A</v>
      </c>
    </row>
    <row r="4581" spans="1:9" x14ac:dyDescent="0.25">
      <c r="A4581" t="str">
        <f>_xll.BDP("FRQX5428 Mtge","ID_CUSIP")</f>
        <v>31426BA63</v>
      </c>
      <c r="B4581" t="str">
        <f>_xll.BDP("FRQX5428 Mtge","SECURITY_NAME")</f>
        <v>FR QX5428</v>
      </c>
      <c r="C4581" t="str">
        <f>_xll.BDP("FRQX5428 Mtge","GENERIC_TICKER_VINTAGE")</f>
        <v>FNCL 6 2025</v>
      </c>
      <c r="D4581" t="str">
        <f>_xll.BDP("FRQX5428 Mtge","CRNCY")</f>
        <v>USD</v>
      </c>
      <c r="E4581">
        <v>1906400</v>
      </c>
      <c r="F4581">
        <f>_xll.BDP("FRQX5428 Mtge","CPN")</f>
        <v>6</v>
      </c>
      <c r="G4581">
        <f>_xll.BDP("FRQX5428 Mtge","MTG_FACTOR")</f>
        <v>0.74476103999999999</v>
      </c>
      <c r="H4581">
        <f>_xll.BDP("FRQX5428 Mtge","MTG_WAL")</f>
        <v>3.141</v>
      </c>
      <c r="I4581" t="str">
        <f>_xll.BDP("FRQX5428 Mtge","MTG_ORIG_WAL")</f>
        <v>#N/A N/A</v>
      </c>
    </row>
    <row r="4582" spans="1:9" x14ac:dyDescent="0.25">
      <c r="A4582" t="str">
        <f>_xll.BDP("FRQX5429 Mtge","ID_CUSIP")</f>
        <v>31426BA71</v>
      </c>
      <c r="B4582" t="str">
        <f>_xll.BDP("FRQX5429 Mtge","SECURITY_NAME")</f>
        <v>FR QX5429</v>
      </c>
      <c r="C4582" t="str">
        <f>_xll.BDP("FRQX5429 Mtge","GENERIC_TICKER_VINTAGE")</f>
        <v>FNCL 6 2025</v>
      </c>
      <c r="D4582" t="str">
        <f>_xll.BDP("FRQX5429 Mtge","CRNCY")</f>
        <v>USD</v>
      </c>
      <c r="E4582">
        <v>9656575</v>
      </c>
      <c r="F4582">
        <f>_xll.BDP("FRQX5429 Mtge","CPN")</f>
        <v>6</v>
      </c>
      <c r="G4582">
        <f>_xll.BDP("FRQX5429 Mtge","MTG_FACTOR")</f>
        <v>0.90438187000000003</v>
      </c>
      <c r="H4582">
        <f>_xll.BDP("FRQX5429 Mtge","MTG_WAL")</f>
        <v>3.1621999999999999</v>
      </c>
      <c r="I4582" t="str">
        <f>_xll.BDP("FRQX5429 Mtge","MTG_ORIG_WAL")</f>
        <v>#N/A N/A</v>
      </c>
    </row>
    <row r="4583" spans="1:9" x14ac:dyDescent="0.25">
      <c r="A4583" t="str">
        <f>_xll.BDP("FRQX5433 Mtge","ID_CUSIP")</f>
        <v>31426BBB1</v>
      </c>
      <c r="B4583" t="str">
        <f>_xll.BDP("FRQX5433 Mtge","SECURITY_NAME")</f>
        <v>FR QX5433</v>
      </c>
      <c r="C4583" t="str">
        <f>_xll.BDP("FRQX5433 Mtge","GENERIC_TICKER_VINTAGE")</f>
        <v>FNCL 6 2025</v>
      </c>
      <c r="D4583" t="str">
        <f>_xll.BDP("FRQX5433 Mtge","CRNCY")</f>
        <v>USD</v>
      </c>
      <c r="E4583">
        <v>2695584</v>
      </c>
      <c r="F4583">
        <f>_xll.BDP("FRQX5433 Mtge","CPN")</f>
        <v>6</v>
      </c>
      <c r="G4583">
        <f>_xll.BDP("FRQX5433 Mtge","MTG_FACTOR")</f>
        <v>0.79417526999999999</v>
      </c>
      <c r="H4583">
        <f>_xll.BDP("FRQX5433 Mtge","MTG_WAL")</f>
        <v>3.1551</v>
      </c>
      <c r="I4583" t="str">
        <f>_xll.BDP("FRQX5433 Mtge","MTG_ORIG_WAL")</f>
        <v>#N/A N/A</v>
      </c>
    </row>
    <row r="4584" spans="1:9" x14ac:dyDescent="0.25">
      <c r="A4584" t="str">
        <f>_xll.BDP("FRQX5434 Mtge","ID_CUSIP")</f>
        <v>31426BBC9</v>
      </c>
      <c r="B4584" t="str">
        <f>_xll.BDP("FRQX5434 Mtge","SECURITY_NAME")</f>
        <v>FR QX5434</v>
      </c>
      <c r="C4584" t="str">
        <f>_xll.BDP("FRQX5434 Mtge","GENERIC_TICKER_VINTAGE")</f>
        <v>FNCL 6 2025</v>
      </c>
      <c r="D4584" t="str">
        <f>_xll.BDP("FRQX5434 Mtge","CRNCY")</f>
        <v>USD</v>
      </c>
      <c r="E4584">
        <v>6003781</v>
      </c>
      <c r="F4584">
        <f>_xll.BDP("FRQX5434 Mtge","CPN")</f>
        <v>6</v>
      </c>
      <c r="G4584">
        <f>_xll.BDP("FRQX5434 Mtge","MTG_FACTOR")</f>
        <v>0.90563053999999998</v>
      </c>
      <c r="H4584">
        <f>_xll.BDP("FRQX5434 Mtge","MTG_WAL")</f>
        <v>3.1520999999999999</v>
      </c>
      <c r="I4584" t="str">
        <f>_xll.BDP("FRQX5434 Mtge","MTG_ORIG_WAL")</f>
        <v>#N/A N/A</v>
      </c>
    </row>
    <row r="4585" spans="1:9" x14ac:dyDescent="0.25">
      <c r="A4585" t="str">
        <f>_xll.BDP("FRQX5439 Mtge","ID_CUSIP")</f>
        <v>31426BBH8</v>
      </c>
      <c r="B4585" t="str">
        <f>_xll.BDP("FRQX5439 Mtge","SECURITY_NAME")</f>
        <v>FR QX5439</v>
      </c>
      <c r="C4585" t="str">
        <f>_xll.BDP("FRQX5439 Mtge","GENERIC_TICKER_VINTAGE")</f>
        <v>FNCL 6 2025</v>
      </c>
      <c r="D4585" t="str">
        <f>_xll.BDP("FRQX5439 Mtge","CRNCY")</f>
        <v>USD</v>
      </c>
      <c r="E4585">
        <v>2323183</v>
      </c>
      <c r="F4585">
        <f>_xll.BDP("FRQX5439 Mtge","CPN")</f>
        <v>6</v>
      </c>
      <c r="G4585">
        <f>_xll.BDP("FRQX5439 Mtge","MTG_FACTOR")</f>
        <v>0.96562398000000005</v>
      </c>
      <c r="H4585">
        <f>_xll.BDP("FRQX5439 Mtge","MTG_WAL")</f>
        <v>3.1463000000000001</v>
      </c>
      <c r="I4585" t="str">
        <f>_xll.BDP("FRQX5439 Mtge","MTG_ORIG_WAL")</f>
        <v>#N/A N/A</v>
      </c>
    </row>
    <row r="4586" spans="1:9" x14ac:dyDescent="0.25">
      <c r="A4586" t="str">
        <f>_xll.BDP("FRQX5502 Mtge","ID_CUSIP")</f>
        <v>31426BDG8</v>
      </c>
      <c r="B4586" t="str">
        <f>_xll.BDP("FRQX5502 Mtge","SECURITY_NAME")</f>
        <v>FR QX5502</v>
      </c>
      <c r="C4586" t="str">
        <f>_xll.BDP("FRQX5502 Mtge","GENERIC_TICKER_VINTAGE")</f>
        <v>FNCL 6 2025</v>
      </c>
      <c r="D4586" t="str">
        <f>_xll.BDP("FRQX5502 Mtge","CRNCY")</f>
        <v>USD</v>
      </c>
      <c r="E4586">
        <v>19722184</v>
      </c>
      <c r="F4586">
        <f>_xll.BDP("FRQX5502 Mtge","CPN")</f>
        <v>6</v>
      </c>
      <c r="G4586">
        <f>_xll.BDP("FRQX5502 Mtge","MTG_FACTOR")</f>
        <v>0.72319648000000003</v>
      </c>
      <c r="H4586">
        <f>_xll.BDP("FRQX5502 Mtge","MTG_WAL")</f>
        <v>3.1543000000000001</v>
      </c>
      <c r="I4586" t="str">
        <f>_xll.BDP("FRQX5502 Mtge","MTG_ORIG_WAL")</f>
        <v>#N/A N/A</v>
      </c>
    </row>
    <row r="4587" spans="1:9" x14ac:dyDescent="0.25">
      <c r="A4587" t="str">
        <f>_xll.BDP("FRQX5506 Mtge","ID_CUSIP")</f>
        <v>31426BDL7</v>
      </c>
      <c r="B4587" t="str">
        <f>_xll.BDP("FRQX5506 Mtge","SECURITY_NAME")</f>
        <v>FR QX5506</v>
      </c>
      <c r="C4587" t="str">
        <f>_xll.BDP("FRQX5506 Mtge","GENERIC_TICKER_VINTAGE")</f>
        <v>FNCL 6 2025</v>
      </c>
      <c r="D4587" t="str">
        <f>_xll.BDP("FRQX5506 Mtge","CRNCY")</f>
        <v>USD</v>
      </c>
      <c r="E4587">
        <v>2464674</v>
      </c>
      <c r="F4587">
        <f>_xll.BDP("FRQX5506 Mtge","CPN")</f>
        <v>6</v>
      </c>
      <c r="G4587">
        <f>_xll.BDP("FRQX5506 Mtge","MTG_FACTOR")</f>
        <v>0.78246674000000005</v>
      </c>
      <c r="H4587">
        <f>_xll.BDP("FRQX5506 Mtge","MTG_WAL")</f>
        <v>3.1585999999999999</v>
      </c>
      <c r="I4587" t="str">
        <f>_xll.BDP("FRQX5506 Mtge","MTG_ORIG_WAL")</f>
        <v>#N/A N/A</v>
      </c>
    </row>
    <row r="4588" spans="1:9" x14ac:dyDescent="0.25">
      <c r="A4588" t="str">
        <f>_xll.BDP("FRQX5512 Mtge","ID_CUSIP")</f>
        <v>31426BDS2</v>
      </c>
      <c r="B4588" t="str">
        <f>_xll.BDP("FRQX5512 Mtge","SECURITY_NAME")</f>
        <v>FR QX5512</v>
      </c>
      <c r="C4588" t="str">
        <f>_xll.BDP("FRQX5512 Mtge","GENERIC_TICKER_VINTAGE")</f>
        <v>FNCL 6 2025</v>
      </c>
      <c r="D4588" t="str">
        <f>_xll.BDP("FRQX5512 Mtge","CRNCY")</f>
        <v>USD</v>
      </c>
      <c r="E4588">
        <v>5316699</v>
      </c>
      <c r="F4588">
        <f>_xll.BDP("FRQX5512 Mtge","CPN")</f>
        <v>6</v>
      </c>
      <c r="G4588">
        <f>_xll.BDP("FRQX5512 Mtge","MTG_FACTOR")</f>
        <v>0.83520676000000005</v>
      </c>
      <c r="H4588">
        <f>_xll.BDP("FRQX5512 Mtge","MTG_WAL")</f>
        <v>3.1572</v>
      </c>
      <c r="I4588" t="str">
        <f>_xll.BDP("FRQX5512 Mtge","MTG_ORIG_WAL")</f>
        <v>#N/A N/A</v>
      </c>
    </row>
    <row r="4589" spans="1:9" x14ac:dyDescent="0.25">
      <c r="A4589" t="str">
        <f>_xll.BDP("FRQX5524 Mtge","ID_CUSIP")</f>
        <v>31426BD60</v>
      </c>
      <c r="B4589" t="str">
        <f>_xll.BDP("FRQX5524 Mtge","SECURITY_NAME")</f>
        <v>FR QX5524</v>
      </c>
      <c r="C4589" t="str">
        <f>_xll.BDP("FRQX5524 Mtge","GENERIC_TICKER_VINTAGE")</f>
        <v>FNCL 6 2025</v>
      </c>
      <c r="D4589" t="str">
        <f>_xll.BDP("FRQX5524 Mtge","CRNCY")</f>
        <v>USD</v>
      </c>
      <c r="E4589">
        <v>1221075</v>
      </c>
      <c r="F4589">
        <f>_xll.BDP("FRQX5524 Mtge","CPN")</f>
        <v>6</v>
      </c>
      <c r="G4589">
        <f>_xll.BDP("FRQX5524 Mtge","MTG_FACTOR")</f>
        <v>0.77521110999999998</v>
      </c>
      <c r="H4589">
        <f>_xll.BDP("FRQX5524 Mtge","MTG_WAL")</f>
        <v>3.1545000000000001</v>
      </c>
      <c r="I4589" t="str">
        <f>_xll.BDP("FRQX5524 Mtge","MTG_ORIG_WAL")</f>
        <v>#N/A N/A</v>
      </c>
    </row>
    <row r="4590" spans="1:9" x14ac:dyDescent="0.25">
      <c r="A4590" t="str">
        <f>_xll.BDP("FRQX5532 Mtge","ID_CUSIP")</f>
        <v>31426BEE2</v>
      </c>
      <c r="B4590" t="str">
        <f>_xll.BDP("FRQX5532 Mtge","SECURITY_NAME")</f>
        <v>FR QX5532</v>
      </c>
      <c r="C4590" t="str">
        <f>_xll.BDP("FRQX5532 Mtge","GENERIC_TICKER_VINTAGE")</f>
        <v>FNCL 6 2025</v>
      </c>
      <c r="D4590" t="str">
        <f>_xll.BDP("FRQX5532 Mtge","CRNCY")</f>
        <v>USD</v>
      </c>
      <c r="E4590">
        <v>37156836</v>
      </c>
      <c r="F4590">
        <f>_xll.BDP("FRQX5532 Mtge","CPN")</f>
        <v>6</v>
      </c>
      <c r="G4590">
        <f>_xll.BDP("FRQX5532 Mtge","MTG_FACTOR")</f>
        <v>0.80955573999999997</v>
      </c>
      <c r="H4590">
        <f>_xll.BDP("FRQX5532 Mtge","MTG_WAL")</f>
        <v>3.161</v>
      </c>
      <c r="I4590" t="str">
        <f>_xll.BDP("FRQX5532 Mtge","MTG_ORIG_WAL")</f>
        <v>#N/A N/A</v>
      </c>
    </row>
    <row r="4591" spans="1:9" x14ac:dyDescent="0.25">
      <c r="A4591" t="str">
        <f>_xll.BDP("FRQX5533 Mtge","ID_CUSIP")</f>
        <v>31426BEF9</v>
      </c>
      <c r="B4591" t="str">
        <f>_xll.BDP("FRQX5533 Mtge","SECURITY_NAME")</f>
        <v>FR QX5533</v>
      </c>
      <c r="C4591" t="str">
        <f>_xll.BDP("FRQX5533 Mtge","GENERIC_TICKER_VINTAGE")</f>
        <v>FNCL 6 2025</v>
      </c>
      <c r="D4591" t="str">
        <f>_xll.BDP("FRQX5533 Mtge","CRNCY")</f>
        <v>USD</v>
      </c>
      <c r="E4591">
        <v>2742581</v>
      </c>
      <c r="F4591">
        <f>_xll.BDP("FRQX5533 Mtge","CPN")</f>
        <v>6</v>
      </c>
      <c r="G4591">
        <f>_xll.BDP("FRQX5533 Mtge","MTG_FACTOR")</f>
        <v>0.92400207000000001</v>
      </c>
      <c r="H4591">
        <f>_xll.BDP("FRQX5533 Mtge","MTG_WAL")</f>
        <v>3.1566999999999998</v>
      </c>
      <c r="I4591" t="str">
        <f>_xll.BDP("FRQX5533 Mtge","MTG_ORIG_WAL")</f>
        <v>#N/A N/A</v>
      </c>
    </row>
    <row r="4592" spans="1:9" x14ac:dyDescent="0.25">
      <c r="A4592" t="str">
        <f>_xll.BDP("FRQX5534 Mtge","ID_CUSIP")</f>
        <v>31426BEG7</v>
      </c>
      <c r="B4592" t="str">
        <f>_xll.BDP("FRQX5534 Mtge","SECURITY_NAME")</f>
        <v>FR QX5534</v>
      </c>
      <c r="C4592" t="str">
        <f>_xll.BDP("FRQX5534 Mtge","GENERIC_TICKER_VINTAGE")</f>
        <v>FNCL 6 2025</v>
      </c>
      <c r="D4592" t="str">
        <f>_xll.BDP("FRQX5534 Mtge","CRNCY")</f>
        <v>USD</v>
      </c>
      <c r="E4592">
        <v>1049954</v>
      </c>
      <c r="F4592">
        <f>_xll.BDP("FRQX5534 Mtge","CPN")</f>
        <v>6</v>
      </c>
      <c r="G4592">
        <f>_xll.BDP("FRQX5534 Mtge","MTG_FACTOR")</f>
        <v>0.85739138999999998</v>
      </c>
      <c r="H4592">
        <f>_xll.BDP("FRQX5534 Mtge","MTG_WAL")</f>
        <v>3.1379000000000001</v>
      </c>
      <c r="I4592" t="str">
        <f>_xll.BDP("FRQX5534 Mtge","MTG_ORIG_WAL")</f>
        <v>#N/A N/A</v>
      </c>
    </row>
    <row r="4593" spans="1:9" x14ac:dyDescent="0.25">
      <c r="A4593" t="str">
        <f>_xll.BDP("FRQX5535 Mtge","ID_CUSIP")</f>
        <v>31426BEH5</v>
      </c>
      <c r="B4593" t="str">
        <f>_xll.BDP("FRQX5535 Mtge","SECURITY_NAME")</f>
        <v>FR QX5535</v>
      </c>
      <c r="C4593" t="str">
        <f>_xll.BDP("FRQX5535 Mtge","GENERIC_TICKER_VINTAGE")</f>
        <v>FNCL 6 2025</v>
      </c>
      <c r="D4593" t="str">
        <f>_xll.BDP("FRQX5535 Mtge","CRNCY")</f>
        <v>USD</v>
      </c>
      <c r="E4593">
        <v>12798212</v>
      </c>
      <c r="F4593">
        <f>_xll.BDP("FRQX5535 Mtge","CPN")</f>
        <v>6</v>
      </c>
      <c r="G4593">
        <f>_xll.BDP("FRQX5535 Mtge","MTG_FACTOR")</f>
        <v>0.96810035000000005</v>
      </c>
      <c r="H4593">
        <f>_xll.BDP("FRQX5535 Mtge","MTG_WAL")</f>
        <v>3.1583999999999999</v>
      </c>
      <c r="I4593" t="str">
        <f>_xll.BDP("FRQX5535 Mtge","MTG_ORIG_WAL")</f>
        <v>#N/A N/A</v>
      </c>
    </row>
    <row r="4594" spans="1:9" x14ac:dyDescent="0.25">
      <c r="A4594" t="str">
        <f>_xll.BDP("FRQX5543 Mtge","ID_CUSIP")</f>
        <v>31426BER3</v>
      </c>
      <c r="B4594" t="str">
        <f>_xll.BDP("FRQX5543 Mtge","SECURITY_NAME")</f>
        <v>FR QX5543</v>
      </c>
      <c r="C4594" t="str">
        <f>_xll.BDP("FRQX5543 Mtge","GENERIC_TICKER_VINTAGE")</f>
        <v>FNCL 6 2025</v>
      </c>
      <c r="D4594" t="str">
        <f>_xll.BDP("FRQX5543 Mtge","CRNCY")</f>
        <v>USD</v>
      </c>
      <c r="E4594">
        <v>3099495</v>
      </c>
      <c r="F4594">
        <f>_xll.BDP("FRQX5543 Mtge","CPN")</f>
        <v>6</v>
      </c>
      <c r="G4594">
        <f>_xll.BDP("FRQX5543 Mtge","MTG_FACTOR")</f>
        <v>0.91456272999999999</v>
      </c>
      <c r="H4594">
        <f>_xll.BDP("FRQX5543 Mtge","MTG_WAL")</f>
        <v>3.1610999999999998</v>
      </c>
      <c r="I4594" t="str">
        <f>_xll.BDP("FRQX5543 Mtge","MTG_ORIG_WAL")</f>
        <v>#N/A N/A</v>
      </c>
    </row>
    <row r="4595" spans="1:9" x14ac:dyDescent="0.25">
      <c r="A4595" t="str">
        <f>_xll.BDP("FRQX5607 Mtge","ID_CUSIP")</f>
        <v>31426BGR1</v>
      </c>
      <c r="B4595" t="str">
        <f>_xll.BDP("FRQX5607 Mtge","SECURITY_NAME")</f>
        <v>FR QX5607</v>
      </c>
      <c r="C4595" t="str">
        <f>_xll.BDP("FRQX5607 Mtge","GENERIC_TICKER_VINTAGE")</f>
        <v>FNCL 6 2025</v>
      </c>
      <c r="D4595" t="str">
        <f>_xll.BDP("FRQX5607 Mtge","CRNCY")</f>
        <v>USD</v>
      </c>
      <c r="E4595">
        <v>8878497</v>
      </c>
      <c r="F4595">
        <f>_xll.BDP("FRQX5607 Mtge","CPN")</f>
        <v>6</v>
      </c>
      <c r="G4595">
        <f>_xll.BDP("FRQX5607 Mtge","MTG_FACTOR")</f>
        <v>0.91993031999999997</v>
      </c>
      <c r="H4595">
        <f>_xll.BDP("FRQX5607 Mtge","MTG_WAL")</f>
        <v>3.1568000000000001</v>
      </c>
      <c r="I4595" t="str">
        <f>_xll.BDP("FRQX5607 Mtge","MTG_ORIG_WAL")</f>
        <v>#N/A N/A</v>
      </c>
    </row>
    <row r="4596" spans="1:9" x14ac:dyDescent="0.25">
      <c r="A4596" t="str">
        <f>_xll.BDP("FRQX5615 Mtge","ID_CUSIP")</f>
        <v>31426BGZ3</v>
      </c>
      <c r="B4596" t="str">
        <f>_xll.BDP("FRQX5615 Mtge","SECURITY_NAME")</f>
        <v>FR QX5615</v>
      </c>
      <c r="C4596" t="str">
        <f>_xll.BDP("FRQX5615 Mtge","GENERIC_TICKER_VINTAGE")</f>
        <v>FNCL 6 2025</v>
      </c>
      <c r="D4596" t="str">
        <f>_xll.BDP("FRQX5615 Mtge","CRNCY")</f>
        <v>USD</v>
      </c>
      <c r="E4596">
        <v>1732794</v>
      </c>
      <c r="F4596">
        <f>_xll.BDP("FRQX5615 Mtge","CPN")</f>
        <v>6</v>
      </c>
      <c r="G4596">
        <f>_xll.BDP("FRQX5615 Mtge","MTG_FACTOR")</f>
        <v>0.98817098999999997</v>
      </c>
      <c r="H4596">
        <f>_xll.BDP("FRQX5615 Mtge","MTG_WAL")</f>
        <v>3.1576</v>
      </c>
      <c r="I4596" t="str">
        <f>_xll.BDP("FRQX5615 Mtge","MTG_ORIG_WAL")</f>
        <v>#N/A N/A</v>
      </c>
    </row>
    <row r="4597" spans="1:9" x14ac:dyDescent="0.25">
      <c r="A4597" t="str">
        <f>_xll.BDP("FRQX5632 Mtge","ID_CUSIP")</f>
        <v>31426BHJ8</v>
      </c>
      <c r="B4597" t="str">
        <f>_xll.BDP("FRQX5632 Mtge","SECURITY_NAME")</f>
        <v>FR QX5632</v>
      </c>
      <c r="C4597" t="str">
        <f>_xll.BDP("FRQX5632 Mtge","GENERIC_TICKER_VINTAGE")</f>
        <v>FNCL 6 2025</v>
      </c>
      <c r="D4597" t="str">
        <f>_xll.BDP("FRQX5632 Mtge","CRNCY")</f>
        <v>USD</v>
      </c>
      <c r="E4597">
        <v>30675991</v>
      </c>
      <c r="F4597">
        <f>_xll.BDP("FRQX5632 Mtge","CPN")</f>
        <v>6</v>
      </c>
      <c r="G4597">
        <f>_xll.BDP("FRQX5632 Mtge","MTG_FACTOR")</f>
        <v>0.93358034000000001</v>
      </c>
      <c r="H4597">
        <f>_xll.BDP("FRQX5632 Mtge","MTG_WAL")</f>
        <v>3.1496</v>
      </c>
      <c r="I4597" t="str">
        <f>_xll.BDP("FRQX5632 Mtge","MTG_ORIG_WAL")</f>
        <v>#N/A N/A</v>
      </c>
    </row>
    <row r="4598" spans="1:9" x14ac:dyDescent="0.25">
      <c r="A4598" t="str">
        <f>_xll.BDP("FRQX5646 Mtge","ID_CUSIP")</f>
        <v>31426BHY5</v>
      </c>
      <c r="B4598" t="str">
        <f>_xll.BDP("FRQX5646 Mtge","SECURITY_NAME")</f>
        <v>FR QX5646</v>
      </c>
      <c r="C4598" t="str">
        <f>_xll.BDP("FRQX5646 Mtge","GENERIC_TICKER_VINTAGE")</f>
        <v>FNCL 6 2025</v>
      </c>
      <c r="D4598" t="str">
        <f>_xll.BDP("FRQX5646 Mtge","CRNCY")</f>
        <v>USD</v>
      </c>
      <c r="E4598">
        <v>1411562</v>
      </c>
      <c r="F4598">
        <f>_xll.BDP("FRQX5646 Mtge","CPN")</f>
        <v>6</v>
      </c>
      <c r="G4598">
        <f>_xll.BDP("FRQX5646 Mtge","MTG_FACTOR")</f>
        <v>0.21152464000000001</v>
      </c>
      <c r="H4598">
        <f>_xll.BDP("FRQX5646 Mtge","MTG_WAL")</f>
        <v>2.7547999999999999</v>
      </c>
      <c r="I4598" t="str">
        <f>_xll.BDP("FRQX5646 Mtge","MTG_ORIG_WAL")</f>
        <v>#N/A N/A</v>
      </c>
    </row>
    <row r="4599" spans="1:9" x14ac:dyDescent="0.25">
      <c r="A4599" t="str">
        <f>_xll.BDP("FRQX5659 Mtge","ID_CUSIP")</f>
        <v>31426BJD9</v>
      </c>
      <c r="B4599" t="str">
        <f>_xll.BDP("FRQX5659 Mtge","SECURITY_NAME")</f>
        <v>FR QX5659</v>
      </c>
      <c r="C4599" t="str">
        <f>_xll.BDP("FRQX5659 Mtge","GENERIC_TICKER_VINTAGE")</f>
        <v>FNCL 6 2025</v>
      </c>
      <c r="D4599" t="str">
        <f>_xll.BDP("FRQX5659 Mtge","CRNCY")</f>
        <v>USD</v>
      </c>
      <c r="E4599">
        <v>1326300</v>
      </c>
      <c r="F4599">
        <f>_xll.BDP("FRQX5659 Mtge","CPN")</f>
        <v>6</v>
      </c>
      <c r="G4599">
        <f>_xll.BDP("FRQX5659 Mtge","MTG_FACTOR")</f>
        <v>0.98735286</v>
      </c>
      <c r="H4599">
        <f>_xll.BDP("FRQX5659 Mtge","MTG_WAL")</f>
        <v>3.1568000000000001</v>
      </c>
      <c r="I4599" t="str">
        <f>_xll.BDP("FRQX5659 Mtge","MTG_ORIG_WAL")</f>
        <v>#N/A N/A</v>
      </c>
    </row>
    <row r="4600" spans="1:9" x14ac:dyDescent="0.25">
      <c r="A4600" t="str">
        <f>_xll.BDP("FRQX5660 Mtge","ID_CUSIP")</f>
        <v>31426BJE7</v>
      </c>
      <c r="B4600" t="str">
        <f>_xll.BDP("FRQX5660 Mtge","SECURITY_NAME")</f>
        <v>FR QX5660</v>
      </c>
      <c r="C4600" t="str">
        <f>_xll.BDP("FRQX5660 Mtge","GENERIC_TICKER_VINTAGE")</f>
        <v>FNCL 6 2025</v>
      </c>
      <c r="D4600" t="str">
        <f>_xll.BDP("FRQX5660 Mtge","CRNCY")</f>
        <v>USD</v>
      </c>
      <c r="E4600">
        <v>1020850</v>
      </c>
      <c r="F4600">
        <f>_xll.BDP("FRQX5660 Mtge","CPN")</f>
        <v>6</v>
      </c>
      <c r="G4600">
        <f>_xll.BDP("FRQX5660 Mtge","MTG_FACTOR")</f>
        <v>0.51404468000000003</v>
      </c>
      <c r="H4600">
        <f>_xll.BDP("FRQX5660 Mtge","MTG_WAL")</f>
        <v>3.1168</v>
      </c>
      <c r="I4600" t="str">
        <f>_xll.BDP("FRQX5660 Mtge","MTG_ORIG_WAL")</f>
        <v>#N/A N/A</v>
      </c>
    </row>
    <row r="4601" spans="1:9" x14ac:dyDescent="0.25">
      <c r="A4601" t="str">
        <f>_xll.BDP("FRQX5661 Mtge","ID_CUSIP")</f>
        <v>31426BJF4</v>
      </c>
      <c r="B4601" t="str">
        <f>_xll.BDP("FRQX5661 Mtge","SECURITY_NAME")</f>
        <v>FR QX5661</v>
      </c>
      <c r="C4601" t="str">
        <f>_xll.BDP("FRQX5661 Mtge","GENERIC_TICKER_VINTAGE")</f>
        <v>FNCL 6 2025</v>
      </c>
      <c r="D4601" t="str">
        <f>_xll.BDP("FRQX5661 Mtge","CRNCY")</f>
        <v>USD</v>
      </c>
      <c r="E4601">
        <v>1307170</v>
      </c>
      <c r="F4601">
        <f>_xll.BDP("FRQX5661 Mtge","CPN")</f>
        <v>6</v>
      </c>
      <c r="G4601">
        <f>_xll.BDP("FRQX5661 Mtge","MTG_FACTOR")</f>
        <v>0.98348393000000001</v>
      </c>
      <c r="H4601">
        <f>_xll.BDP("FRQX5661 Mtge","MTG_WAL")</f>
        <v>3.1556999999999999</v>
      </c>
      <c r="I4601" t="str">
        <f>_xll.BDP("FRQX5661 Mtge","MTG_ORIG_WAL")</f>
        <v>#N/A N/A</v>
      </c>
    </row>
    <row r="4602" spans="1:9" x14ac:dyDescent="0.25">
      <c r="A4602" t="str">
        <f>_xll.BDP("FRQX5697 Mtge","ID_CUSIP")</f>
        <v>31426BKK1</v>
      </c>
      <c r="B4602" t="str">
        <f>_xll.BDP("FRQX5697 Mtge","SECURITY_NAME")</f>
        <v>FR QX5697</v>
      </c>
      <c r="C4602" t="str">
        <f>_xll.BDP("FRQX5697 Mtge","GENERIC_TICKER_VINTAGE")</f>
        <v>FNCL 6 2025</v>
      </c>
      <c r="D4602" t="str">
        <f>_xll.BDP("FRQX5697 Mtge","CRNCY")</f>
        <v>USD</v>
      </c>
      <c r="E4602">
        <v>1232401</v>
      </c>
      <c r="F4602">
        <f>_xll.BDP("FRQX5697 Mtge","CPN")</f>
        <v>6</v>
      </c>
      <c r="G4602">
        <f>_xll.BDP("FRQX5697 Mtge","MTG_FACTOR")</f>
        <v>0.62387508999999997</v>
      </c>
      <c r="H4602">
        <f>_xll.BDP("FRQX5697 Mtge","MTG_WAL")</f>
        <v>3.1520000000000001</v>
      </c>
      <c r="I4602" t="str">
        <f>_xll.BDP("FRQX5697 Mtge","MTG_ORIG_WAL")</f>
        <v>#N/A N/A</v>
      </c>
    </row>
    <row r="4603" spans="1:9" x14ac:dyDescent="0.25">
      <c r="A4603" t="str">
        <f>_xll.BDP("FRQX5698 Mtge","ID_CUSIP")</f>
        <v>31426BKL9</v>
      </c>
      <c r="B4603" t="str">
        <f>_xll.BDP("FRQX5698 Mtge","SECURITY_NAME")</f>
        <v>FR QX5698</v>
      </c>
      <c r="C4603" t="str">
        <f>_xll.BDP("FRQX5698 Mtge","GENERIC_TICKER_VINTAGE")</f>
        <v>FNCL 6 2025</v>
      </c>
      <c r="D4603" t="str">
        <f>_xll.BDP("FRQX5698 Mtge","CRNCY")</f>
        <v>USD</v>
      </c>
      <c r="E4603">
        <v>2623607</v>
      </c>
      <c r="F4603">
        <f>_xll.BDP("FRQX5698 Mtge","CPN")</f>
        <v>6</v>
      </c>
      <c r="G4603">
        <f>_xll.BDP("FRQX5698 Mtge","MTG_FACTOR")</f>
        <v>0.98685831999999996</v>
      </c>
      <c r="H4603">
        <f>_xll.BDP("FRQX5698 Mtge","MTG_WAL")</f>
        <v>3.1613000000000002</v>
      </c>
      <c r="I4603" t="str">
        <f>_xll.BDP("FRQX5698 Mtge","MTG_ORIG_WAL")</f>
        <v>#N/A N/A</v>
      </c>
    </row>
    <row r="4604" spans="1:9" x14ac:dyDescent="0.25">
      <c r="A4604" t="str">
        <f>_xll.BDP("FRQX5699 Mtge","ID_CUSIP")</f>
        <v>31426BKM7</v>
      </c>
      <c r="B4604" t="str">
        <f>_xll.BDP("FRQX5699 Mtge","SECURITY_NAME")</f>
        <v>FR QX5699</v>
      </c>
      <c r="C4604" t="str">
        <f>_xll.BDP("FRQX5699 Mtge","GENERIC_TICKER_VINTAGE")</f>
        <v>FNCL 6 2025</v>
      </c>
      <c r="D4604" t="str">
        <f>_xll.BDP("FRQX5699 Mtge","CRNCY")</f>
        <v>USD</v>
      </c>
      <c r="E4604">
        <v>1098428</v>
      </c>
      <c r="F4604">
        <f>_xll.BDP("FRQX5699 Mtge","CPN")</f>
        <v>6</v>
      </c>
      <c r="G4604">
        <f>_xll.BDP("FRQX5699 Mtge","MTG_FACTOR")</f>
        <v>0.77928522</v>
      </c>
      <c r="H4604">
        <f>_xll.BDP("FRQX5699 Mtge","MTG_WAL")</f>
        <v>3.1615000000000002</v>
      </c>
      <c r="I4604" t="str">
        <f>_xll.BDP("FRQX5699 Mtge","MTG_ORIG_WAL")</f>
        <v>#N/A N/A</v>
      </c>
    </row>
    <row r="4605" spans="1:9" x14ac:dyDescent="0.25">
      <c r="A4605" t="str">
        <f>_xll.BDP("FRQX5705 Mtge","ID_CUSIP")</f>
        <v>31426BKT2</v>
      </c>
      <c r="B4605" t="str">
        <f>_xll.BDP("FRQX5705 Mtge","SECURITY_NAME")</f>
        <v>FR QX5705</v>
      </c>
      <c r="C4605" t="str">
        <f>_xll.BDP("FRQX5705 Mtge","GENERIC_TICKER_VINTAGE")</f>
        <v>FNCL 6 2025</v>
      </c>
      <c r="D4605" t="str">
        <f>_xll.BDP("FRQX5705 Mtge","CRNCY")</f>
        <v>USD</v>
      </c>
      <c r="E4605">
        <v>2876600</v>
      </c>
      <c r="F4605">
        <f>_xll.BDP("FRQX5705 Mtge","CPN")</f>
        <v>6</v>
      </c>
      <c r="G4605">
        <f>_xll.BDP("FRQX5705 Mtge","MTG_FACTOR")</f>
        <v>0.98890414999999998</v>
      </c>
      <c r="H4605">
        <f>_xll.BDP("FRQX5705 Mtge","MTG_WAL")</f>
        <v>3.1631999999999998</v>
      </c>
      <c r="I4605" t="str">
        <f>_xll.BDP("FRQX5705 Mtge","MTG_ORIG_WAL")</f>
        <v>#N/A N/A</v>
      </c>
    </row>
    <row r="4606" spans="1:9" x14ac:dyDescent="0.25">
      <c r="A4606" t="str">
        <f>_xll.BDP("FRQX5757 Mtge","ID_CUSIP")</f>
        <v>31426BMF0</v>
      </c>
      <c r="B4606" t="str">
        <f>_xll.BDP("FRQX5757 Mtge","SECURITY_NAME")</f>
        <v>FR QX5757</v>
      </c>
      <c r="C4606" t="str">
        <f>_xll.BDP("FRQX5757 Mtge","GENERIC_TICKER_VINTAGE")</f>
        <v>FNCL 6 2025</v>
      </c>
      <c r="D4606" t="str">
        <f>_xll.BDP("FRQX5757 Mtge","CRNCY")</f>
        <v>USD</v>
      </c>
      <c r="E4606">
        <v>3293466</v>
      </c>
      <c r="F4606">
        <f>_xll.BDP("FRQX5757 Mtge","CPN")</f>
        <v>6</v>
      </c>
      <c r="G4606">
        <f>_xll.BDP("FRQX5757 Mtge","MTG_FACTOR")</f>
        <v>0.65344599999999997</v>
      </c>
      <c r="H4606">
        <f>_xll.BDP("FRQX5757 Mtge","MTG_WAL")</f>
        <v>3.121</v>
      </c>
      <c r="I4606" t="str">
        <f>_xll.BDP("FRQX5757 Mtge","MTG_ORIG_WAL")</f>
        <v>#N/A N/A</v>
      </c>
    </row>
    <row r="4607" spans="1:9" x14ac:dyDescent="0.25">
      <c r="A4607" t="str">
        <f>_xll.BDP("FRQX5801 Mtge","ID_CUSIP")</f>
        <v>31426BNT9</v>
      </c>
      <c r="B4607" t="str">
        <f>_xll.BDP("FRQX5801 Mtge","SECURITY_NAME")</f>
        <v>FR QX5801</v>
      </c>
      <c r="C4607" t="str">
        <f>_xll.BDP("FRQX5801 Mtge","GENERIC_TICKER_VINTAGE")</f>
        <v>FNCL 6 2025</v>
      </c>
      <c r="D4607" t="str">
        <f>_xll.BDP("FRQX5801 Mtge","CRNCY")</f>
        <v>USD</v>
      </c>
      <c r="E4607">
        <v>1424131</v>
      </c>
      <c r="F4607">
        <f>_xll.BDP("FRQX5801 Mtge","CPN")</f>
        <v>6</v>
      </c>
      <c r="G4607">
        <f>_xll.BDP("FRQX5801 Mtge","MTG_FACTOR")</f>
        <v>0.97583993000000002</v>
      </c>
      <c r="H4607">
        <f>_xll.BDP("FRQX5801 Mtge","MTG_WAL")</f>
        <v>3.1415999999999999</v>
      </c>
      <c r="I4607" t="str">
        <f>_xll.BDP("FRQX5801 Mtge","MTG_ORIG_WAL")</f>
        <v>#N/A N/A</v>
      </c>
    </row>
    <row r="4608" spans="1:9" x14ac:dyDescent="0.25">
      <c r="A4608" t="str">
        <f>_xll.BDP("FRQX5817 Mtge","ID_CUSIP")</f>
        <v>31426BPB6</v>
      </c>
      <c r="B4608" t="str">
        <f>_xll.BDP("FRQX5817 Mtge","SECURITY_NAME")</f>
        <v>FR QX5817</v>
      </c>
      <c r="C4608" t="str">
        <f>_xll.BDP("FRQX5817 Mtge","GENERIC_TICKER_VINTAGE")</f>
        <v>FNCL 6 2025</v>
      </c>
      <c r="D4608" t="str">
        <f>_xll.BDP("FRQX5817 Mtge","CRNCY")</f>
        <v>USD</v>
      </c>
      <c r="E4608">
        <v>19071047</v>
      </c>
      <c r="F4608">
        <f>_xll.BDP("FRQX5817 Mtge","CPN")</f>
        <v>6</v>
      </c>
      <c r="G4608">
        <f>_xll.BDP("FRQX5817 Mtge","MTG_FACTOR")</f>
        <v>0.87539270999999996</v>
      </c>
      <c r="H4608">
        <f>_xll.BDP("FRQX5817 Mtge","MTG_WAL")</f>
        <v>3.1593</v>
      </c>
      <c r="I4608" t="str">
        <f>_xll.BDP("FRQX5817 Mtge","MTG_ORIG_WAL")</f>
        <v>#N/A N/A</v>
      </c>
    </row>
    <row r="4609" spans="1:9" x14ac:dyDescent="0.25">
      <c r="A4609" t="str">
        <f>_xll.BDP("FRQX5819 Mtge","ID_CUSIP")</f>
        <v>31426BPD2</v>
      </c>
      <c r="B4609" t="str">
        <f>_xll.BDP("FRQX5819 Mtge","SECURITY_NAME")</f>
        <v>FR QX5819</v>
      </c>
      <c r="C4609" t="str">
        <f>_xll.BDP("FRQX5819 Mtge","GENERIC_TICKER_VINTAGE")</f>
        <v>FNCL 6 2025</v>
      </c>
      <c r="D4609" t="str">
        <f>_xll.BDP("FRQX5819 Mtge","CRNCY")</f>
        <v>USD</v>
      </c>
      <c r="E4609">
        <v>10185470</v>
      </c>
      <c r="F4609">
        <f>_xll.BDP("FRQX5819 Mtge","CPN")</f>
        <v>6</v>
      </c>
      <c r="G4609">
        <f>_xll.BDP("FRQX5819 Mtge","MTG_FACTOR")</f>
        <v>0.88719194999999995</v>
      </c>
      <c r="H4609">
        <f>_xll.BDP("FRQX5819 Mtge","MTG_WAL")</f>
        <v>3.1456</v>
      </c>
      <c r="I4609" t="str">
        <f>_xll.BDP("FRQX5819 Mtge","MTG_ORIG_WAL")</f>
        <v>#N/A N/A</v>
      </c>
    </row>
    <row r="4610" spans="1:9" x14ac:dyDescent="0.25">
      <c r="A4610" t="str">
        <f>_xll.BDP("FRQX5821 Mtge","ID_CUSIP")</f>
        <v>31426BPF7</v>
      </c>
      <c r="B4610" t="str">
        <f>_xll.BDP("FRQX5821 Mtge","SECURITY_NAME")</f>
        <v>FR QX5821</v>
      </c>
      <c r="C4610" t="str">
        <f>_xll.BDP("FRQX5821 Mtge","GENERIC_TICKER_VINTAGE")</f>
        <v>FNCL 6 2025</v>
      </c>
      <c r="D4610" t="str">
        <f>_xll.BDP("FRQX5821 Mtge","CRNCY")</f>
        <v>USD</v>
      </c>
      <c r="E4610">
        <v>6184339</v>
      </c>
      <c r="F4610">
        <f>_xll.BDP("FRQX5821 Mtge","CPN")</f>
        <v>6</v>
      </c>
      <c r="G4610">
        <f>_xll.BDP("FRQX5821 Mtge","MTG_FACTOR")</f>
        <v>0.82662172</v>
      </c>
      <c r="H4610">
        <f>_xll.BDP("FRQX5821 Mtge","MTG_WAL")</f>
        <v>3.1499000000000001</v>
      </c>
      <c r="I4610" t="str">
        <f>_xll.BDP("FRQX5821 Mtge","MTG_ORIG_WAL")</f>
        <v>#N/A N/A</v>
      </c>
    </row>
    <row r="4611" spans="1:9" x14ac:dyDescent="0.25">
      <c r="A4611" t="str">
        <f>_xll.BDP("FRQX5889 Mtge","ID_CUSIP")</f>
        <v>31426BRK4</v>
      </c>
      <c r="B4611" t="str">
        <f>_xll.BDP("FRQX5889 Mtge","SECURITY_NAME")</f>
        <v>FR QX5889</v>
      </c>
      <c r="C4611" t="str">
        <f>_xll.BDP("FRQX5889 Mtge","GENERIC_TICKER_VINTAGE")</f>
        <v>FNCL 6 2025</v>
      </c>
      <c r="D4611" t="str">
        <f>_xll.BDP("FRQX5889 Mtge","CRNCY")</f>
        <v>USD</v>
      </c>
      <c r="E4611">
        <v>5495271</v>
      </c>
      <c r="F4611">
        <f>_xll.BDP("FRQX5889 Mtge","CPN")</f>
        <v>6</v>
      </c>
      <c r="G4611">
        <f>_xll.BDP("FRQX5889 Mtge","MTG_FACTOR")</f>
        <v>0.98639314</v>
      </c>
      <c r="H4611">
        <f>_xll.BDP("FRQX5889 Mtge","MTG_WAL")</f>
        <v>3.1585000000000001</v>
      </c>
      <c r="I4611" t="str">
        <f>_xll.BDP("FRQX5889 Mtge","MTG_ORIG_WAL")</f>
        <v>#N/A N/A</v>
      </c>
    </row>
    <row r="4612" spans="1:9" x14ac:dyDescent="0.25">
      <c r="A4612" t="str">
        <f>_xll.BDP("FRQX5909 Mtge","ID_CUSIP")</f>
        <v>31426BR73</v>
      </c>
      <c r="B4612" t="str">
        <f>_xll.BDP("FRQX5909 Mtge","SECURITY_NAME")</f>
        <v>FR QX5909</v>
      </c>
      <c r="C4612" t="str">
        <f>_xll.BDP("FRQX5909 Mtge","GENERIC_TICKER_VINTAGE")</f>
        <v>FNCL 6 2025</v>
      </c>
      <c r="D4612" t="str">
        <f>_xll.BDP("FRQX5909 Mtge","CRNCY")</f>
        <v>USD</v>
      </c>
      <c r="E4612">
        <v>1272600</v>
      </c>
      <c r="F4612">
        <f>_xll.BDP("FRQX5909 Mtge","CPN")</f>
        <v>6</v>
      </c>
      <c r="G4612">
        <f>_xll.BDP("FRQX5909 Mtge","MTG_FACTOR")</f>
        <v>0.87723874999999996</v>
      </c>
      <c r="H4612">
        <f>_xll.BDP("FRQX5909 Mtge","MTG_WAL")</f>
        <v>3.1507999999999998</v>
      </c>
      <c r="I4612" t="str">
        <f>_xll.BDP("FRQX5909 Mtge","MTG_ORIG_WAL")</f>
        <v>#N/A N/A</v>
      </c>
    </row>
    <row r="4613" spans="1:9" x14ac:dyDescent="0.25">
      <c r="A4613" t="str">
        <f>_xll.BDP("FRQX5927 Mtge","ID_CUSIP")</f>
        <v>31426BSR8</v>
      </c>
      <c r="B4613" t="str">
        <f>_xll.BDP("FRQX5927 Mtge","SECURITY_NAME")</f>
        <v>FR QX5927</v>
      </c>
      <c r="C4613" t="str">
        <f>_xll.BDP("FRQX5927 Mtge","GENERIC_TICKER_VINTAGE")</f>
        <v>FNCL 6 2025</v>
      </c>
      <c r="D4613" t="str">
        <f>_xll.BDP("FRQX5927 Mtge","CRNCY")</f>
        <v>USD</v>
      </c>
      <c r="E4613">
        <v>2878585</v>
      </c>
      <c r="F4613">
        <f>_xll.BDP("FRQX5927 Mtge","CPN")</f>
        <v>6</v>
      </c>
      <c r="G4613">
        <f>_xll.BDP("FRQX5927 Mtge","MTG_FACTOR")</f>
        <v>0.77974270000000001</v>
      </c>
      <c r="H4613">
        <f>_xll.BDP("FRQX5927 Mtge","MTG_WAL")</f>
        <v>3.1493000000000002</v>
      </c>
      <c r="I4613" t="str">
        <f>_xll.BDP("FRQX5927 Mtge","MTG_ORIG_WAL")</f>
        <v>#N/A N/A</v>
      </c>
    </row>
    <row r="4614" spans="1:9" x14ac:dyDescent="0.25">
      <c r="A4614" t="str">
        <f>_xll.BDP("FRQX5928 Mtge","ID_CUSIP")</f>
        <v>31426BSS6</v>
      </c>
      <c r="B4614" t="str">
        <f>_xll.BDP("FRQX5928 Mtge","SECURITY_NAME")</f>
        <v>FR QX5928</v>
      </c>
      <c r="C4614" t="str">
        <f>_xll.BDP("FRQX5928 Mtge","GENERIC_TICKER_VINTAGE")</f>
        <v>FNCL 6 2025</v>
      </c>
      <c r="D4614" t="str">
        <f>_xll.BDP("FRQX5928 Mtge","CRNCY")</f>
        <v>USD</v>
      </c>
      <c r="E4614">
        <v>2386523</v>
      </c>
      <c r="F4614">
        <f>_xll.BDP("FRQX5928 Mtge","CPN")</f>
        <v>6</v>
      </c>
      <c r="G4614">
        <f>_xll.BDP("FRQX5928 Mtge","MTG_FACTOR")</f>
        <v>0.98293980000000003</v>
      </c>
      <c r="H4614">
        <f>_xll.BDP("FRQX5928 Mtge","MTG_WAL")</f>
        <v>3.1573000000000002</v>
      </c>
      <c r="I4614" t="str">
        <f>_xll.BDP("FRQX5928 Mtge","MTG_ORIG_WAL")</f>
        <v>#N/A N/A</v>
      </c>
    </row>
    <row r="4615" spans="1:9" x14ac:dyDescent="0.25">
      <c r="A4615" t="str">
        <f>_xll.BDP("FRQX5930 Mtge","ID_CUSIP")</f>
        <v>31426BSU1</v>
      </c>
      <c r="B4615" t="str">
        <f>_xll.BDP("FRQX5930 Mtge","SECURITY_NAME")</f>
        <v>FR QX5930</v>
      </c>
      <c r="C4615" t="str">
        <f>_xll.BDP("FRQX5930 Mtge","GENERIC_TICKER_VINTAGE")</f>
        <v>FNCL 6 2025</v>
      </c>
      <c r="D4615" t="str">
        <f>_xll.BDP("FRQX5930 Mtge","CRNCY")</f>
        <v>USD</v>
      </c>
      <c r="E4615">
        <v>7083691</v>
      </c>
      <c r="F4615">
        <f>_xll.BDP("FRQX5930 Mtge","CPN")</f>
        <v>6</v>
      </c>
      <c r="G4615">
        <f>_xll.BDP("FRQX5930 Mtge","MTG_FACTOR")</f>
        <v>0.71258686999999998</v>
      </c>
      <c r="H4615">
        <f>_xll.BDP("FRQX5930 Mtge","MTG_WAL")</f>
        <v>3.1556999999999999</v>
      </c>
      <c r="I4615" t="str">
        <f>_xll.BDP("FRQX5930 Mtge","MTG_ORIG_WAL")</f>
        <v>#N/A N/A</v>
      </c>
    </row>
    <row r="4616" spans="1:9" x14ac:dyDescent="0.25">
      <c r="A4616" t="str">
        <f>_xll.BDP("FRQX5988 Mtge","ID_CUSIP")</f>
        <v>31426BUN4</v>
      </c>
      <c r="B4616" t="str">
        <f>_xll.BDP("FRQX5988 Mtge","SECURITY_NAME")</f>
        <v>FR QX5988</v>
      </c>
      <c r="C4616" t="str">
        <f>_xll.BDP("FRQX5988 Mtge","GENERIC_TICKER_VINTAGE")</f>
        <v>FNCL 6 2025</v>
      </c>
      <c r="D4616" t="str">
        <f>_xll.BDP("FRQX5988 Mtge","CRNCY")</f>
        <v>USD</v>
      </c>
      <c r="E4616">
        <v>1167667</v>
      </c>
      <c r="F4616">
        <f>_xll.BDP("FRQX5988 Mtge","CPN")</f>
        <v>6</v>
      </c>
      <c r="G4616">
        <f>_xll.BDP("FRQX5988 Mtge","MTG_FACTOR")</f>
        <v>0.86758548000000002</v>
      </c>
      <c r="H4616">
        <f>_xll.BDP("FRQX5988 Mtge","MTG_WAL")</f>
        <v>3.1267</v>
      </c>
      <c r="I4616" t="str">
        <f>_xll.BDP("FRQX5988 Mtge","MTG_ORIG_WAL")</f>
        <v>#N/A N/A</v>
      </c>
    </row>
    <row r="4617" spans="1:9" x14ac:dyDescent="0.25">
      <c r="A4617" t="str">
        <f>_xll.BDP("FRQX6017 Mtge","ID_CUSIP")</f>
        <v>31426BVK9</v>
      </c>
      <c r="B4617" t="str">
        <f>_xll.BDP("FRQX6017 Mtge","SECURITY_NAME")</f>
        <v>FR QX6017</v>
      </c>
      <c r="C4617" t="str">
        <f>_xll.BDP("FRQX6017 Mtge","GENERIC_TICKER_VINTAGE")</f>
        <v>FNCL 6 2025</v>
      </c>
      <c r="D4617" t="str">
        <f>_xll.BDP("FRQX6017 Mtge","CRNCY")</f>
        <v>USD</v>
      </c>
      <c r="E4617">
        <v>5414025</v>
      </c>
      <c r="F4617">
        <f>_xll.BDP("FRQX6017 Mtge","CPN")</f>
        <v>6</v>
      </c>
      <c r="G4617">
        <f>_xll.BDP("FRQX6017 Mtge","MTG_FACTOR")</f>
        <v>0.92208393</v>
      </c>
      <c r="H4617">
        <f>_xll.BDP("FRQX6017 Mtge","MTG_WAL")</f>
        <v>3.161</v>
      </c>
      <c r="I4617" t="str">
        <f>_xll.BDP("FRQX6017 Mtge","MTG_ORIG_WAL")</f>
        <v>#N/A N/A</v>
      </c>
    </row>
    <row r="4618" spans="1:9" x14ac:dyDescent="0.25">
      <c r="A4618" t="str">
        <f>_xll.BDP("FRQX6052 Mtge","ID_CUSIP")</f>
        <v>31426BWN2</v>
      </c>
      <c r="B4618" t="str">
        <f>_xll.BDP("FRQX6052 Mtge","SECURITY_NAME")</f>
        <v>FR QX6052</v>
      </c>
      <c r="C4618" t="str">
        <f>_xll.BDP("FRQX6052 Mtge","GENERIC_TICKER_VINTAGE")</f>
        <v>FNCL 6 2025</v>
      </c>
      <c r="D4618" t="str">
        <f>_xll.BDP("FRQX6052 Mtge","CRNCY")</f>
        <v>USD</v>
      </c>
      <c r="E4618">
        <v>2313351</v>
      </c>
      <c r="F4618">
        <f>_xll.BDP("FRQX6052 Mtge","CPN")</f>
        <v>6</v>
      </c>
      <c r="G4618">
        <f>_xll.BDP("FRQX6052 Mtge","MTG_FACTOR")</f>
        <v>0.79061026999999995</v>
      </c>
      <c r="H4618">
        <f>_xll.BDP("FRQX6052 Mtge","MTG_WAL")</f>
        <v>3.1476000000000002</v>
      </c>
      <c r="I4618" t="str">
        <f>_xll.BDP("FRQX6052 Mtge","MTG_ORIG_WAL")</f>
        <v>#N/A N/A</v>
      </c>
    </row>
    <row r="4619" spans="1:9" x14ac:dyDescent="0.25">
      <c r="A4619" t="str">
        <f>_xll.BDP("FRQX6054 Mtge","ID_CUSIP")</f>
        <v>31426BWQ5</v>
      </c>
      <c r="B4619" t="str">
        <f>_xll.BDP("FRQX6054 Mtge","SECURITY_NAME")</f>
        <v>FR QX6054</v>
      </c>
      <c r="C4619" t="str">
        <f>_xll.BDP("FRQX6054 Mtge","GENERIC_TICKER_VINTAGE")</f>
        <v>FNCL 6 2025</v>
      </c>
      <c r="D4619" t="str">
        <f>_xll.BDP("FRQX6054 Mtge","CRNCY")</f>
        <v>USD</v>
      </c>
      <c r="E4619">
        <v>3141431</v>
      </c>
      <c r="F4619">
        <f>_xll.BDP("FRQX6054 Mtge","CPN")</f>
        <v>6</v>
      </c>
      <c r="G4619">
        <f>_xll.BDP("FRQX6054 Mtge","MTG_FACTOR")</f>
        <v>0.75976063000000005</v>
      </c>
      <c r="H4619">
        <f>_xll.BDP("FRQX6054 Mtge","MTG_WAL")</f>
        <v>3.1614</v>
      </c>
      <c r="I4619" t="str">
        <f>_xll.BDP("FRQX6054 Mtge","MTG_ORIG_WAL")</f>
        <v>#N/A N/A</v>
      </c>
    </row>
    <row r="4620" spans="1:9" x14ac:dyDescent="0.25">
      <c r="A4620" t="str">
        <f>_xll.BDP("FRQX6056 Mtge","ID_CUSIP")</f>
        <v>31426BWS1</v>
      </c>
      <c r="B4620" t="str">
        <f>_xll.BDP("FRQX6056 Mtge","SECURITY_NAME")</f>
        <v>FR QX6056</v>
      </c>
      <c r="C4620" t="str">
        <f>_xll.BDP("FRQX6056 Mtge","GENERIC_TICKER_VINTAGE")</f>
        <v>FNCL 6 2025</v>
      </c>
      <c r="D4620" t="str">
        <f>_xll.BDP("FRQX6056 Mtge","CRNCY")</f>
        <v>USD</v>
      </c>
      <c r="E4620">
        <v>7237277</v>
      </c>
      <c r="F4620">
        <f>_xll.BDP("FRQX6056 Mtge","CPN")</f>
        <v>6</v>
      </c>
      <c r="G4620">
        <f>_xll.BDP("FRQX6056 Mtge","MTG_FACTOR")</f>
        <v>0.91656715</v>
      </c>
      <c r="H4620">
        <f>_xll.BDP("FRQX6056 Mtge","MTG_WAL")</f>
        <v>3.1621999999999999</v>
      </c>
      <c r="I4620" t="str">
        <f>_xll.BDP("FRQX6056 Mtge","MTG_ORIG_WAL")</f>
        <v>#N/A N/A</v>
      </c>
    </row>
    <row r="4621" spans="1:9" x14ac:dyDescent="0.25">
      <c r="A4621" t="str">
        <f>_xll.BDP("FRQX6068 Mtge","ID_CUSIP")</f>
        <v>31426BW69</v>
      </c>
      <c r="B4621" t="str">
        <f>_xll.BDP("FRQX6068 Mtge","SECURITY_NAME")</f>
        <v>FR QX6068</v>
      </c>
      <c r="C4621" t="str">
        <f>_xll.BDP("FRQX6068 Mtge","GENERIC_TICKER_VINTAGE")</f>
        <v>FNCL 6 2025</v>
      </c>
      <c r="D4621" t="str">
        <f>_xll.BDP("FRQX6068 Mtge","CRNCY")</f>
        <v>USD</v>
      </c>
      <c r="E4621">
        <v>5108270</v>
      </c>
      <c r="F4621">
        <f>_xll.BDP("FRQX6068 Mtge","CPN")</f>
        <v>6</v>
      </c>
      <c r="G4621">
        <f>_xll.BDP("FRQX6068 Mtge","MTG_FACTOR")</f>
        <v>0.90739320000000001</v>
      </c>
      <c r="H4621">
        <f>_xll.BDP("FRQX6068 Mtge","MTG_WAL")</f>
        <v>3.1598000000000002</v>
      </c>
      <c r="I4621" t="str">
        <f>_xll.BDP("FRQX6068 Mtge","MTG_ORIG_WAL")</f>
        <v>#N/A N/A</v>
      </c>
    </row>
    <row r="4622" spans="1:9" x14ac:dyDescent="0.25">
      <c r="A4622" t="str">
        <f>_xll.BDP("FRQX6090 Mtge","ID_CUSIP")</f>
        <v>31426BXU5</v>
      </c>
      <c r="B4622" t="str">
        <f>_xll.BDP("FRQX6090 Mtge","SECURITY_NAME")</f>
        <v>FR QX6090</v>
      </c>
      <c r="C4622" t="str">
        <f>_xll.BDP("FRQX6090 Mtge","GENERIC_TICKER_VINTAGE")</f>
        <v>FNCL 6 2025</v>
      </c>
      <c r="D4622" t="str">
        <f>_xll.BDP("FRQX6090 Mtge","CRNCY")</f>
        <v>USD</v>
      </c>
      <c r="E4622">
        <v>2959702</v>
      </c>
      <c r="F4622">
        <f>_xll.BDP("FRQX6090 Mtge","CPN")</f>
        <v>6</v>
      </c>
      <c r="G4622">
        <f>_xll.BDP("FRQX6090 Mtge","MTG_FACTOR")</f>
        <v>0.98380513000000003</v>
      </c>
      <c r="H4622">
        <f>_xll.BDP("FRQX6090 Mtge","MTG_WAL")</f>
        <v>3.1585000000000001</v>
      </c>
      <c r="I4622" t="str">
        <f>_xll.BDP("FRQX6090 Mtge","MTG_ORIG_WAL")</f>
        <v>#N/A N/A</v>
      </c>
    </row>
    <row r="4623" spans="1:9" x14ac:dyDescent="0.25">
      <c r="A4623" t="str">
        <f>_xll.BDP("FRQX6095 Mtge","ID_CUSIP")</f>
        <v>31426BXZ4</v>
      </c>
      <c r="B4623" t="str">
        <f>_xll.BDP("FRQX6095 Mtge","SECURITY_NAME")</f>
        <v>FR QX6095</v>
      </c>
      <c r="C4623" t="str">
        <f>_xll.BDP("FRQX6095 Mtge","GENERIC_TICKER_VINTAGE")</f>
        <v>FNCL 6 2025</v>
      </c>
      <c r="D4623" t="str">
        <f>_xll.BDP("FRQX6095 Mtge","CRNCY")</f>
        <v>USD</v>
      </c>
      <c r="E4623">
        <v>1876250</v>
      </c>
      <c r="F4623">
        <f>_xll.BDP("FRQX6095 Mtge","CPN")</f>
        <v>6</v>
      </c>
      <c r="G4623">
        <f>_xll.BDP("FRQX6095 Mtge","MTG_FACTOR")</f>
        <v>0.98894163000000002</v>
      </c>
      <c r="H4623">
        <f>_xll.BDP("FRQX6095 Mtge","MTG_WAL")</f>
        <v>3.1636000000000002</v>
      </c>
      <c r="I4623" t="str">
        <f>_xll.BDP("FRQX6095 Mtge","MTG_ORIG_WAL")</f>
        <v>#N/A N/A</v>
      </c>
    </row>
    <row r="4624" spans="1:9" x14ac:dyDescent="0.25">
      <c r="A4624" t="str">
        <f>_xll.BDP("FRQX6096 Mtge","ID_CUSIP")</f>
        <v>31426BX27</v>
      </c>
      <c r="B4624" t="str">
        <f>_xll.BDP("FRQX6096 Mtge","SECURITY_NAME")</f>
        <v>FR QX6096</v>
      </c>
      <c r="C4624" t="str">
        <f>_xll.BDP("FRQX6096 Mtge","GENERIC_TICKER_VINTAGE")</f>
        <v>FNCL 6 2025</v>
      </c>
      <c r="D4624" t="str">
        <f>_xll.BDP("FRQX6096 Mtge","CRNCY")</f>
        <v>USD</v>
      </c>
      <c r="E4624">
        <v>2919818</v>
      </c>
      <c r="F4624">
        <f>_xll.BDP("FRQX6096 Mtge","CPN")</f>
        <v>6</v>
      </c>
      <c r="G4624">
        <f>_xll.BDP("FRQX6096 Mtge","MTG_FACTOR")</f>
        <v>0.31348814000000003</v>
      </c>
      <c r="H4624">
        <f>_xll.BDP("FRQX6096 Mtge","MTG_WAL")</f>
        <v>3.1598000000000002</v>
      </c>
      <c r="I4624" t="str">
        <f>_xll.BDP("FRQX6096 Mtge","MTG_ORIG_WAL")</f>
        <v>#N/A N/A</v>
      </c>
    </row>
    <row r="4625" spans="1:9" x14ac:dyDescent="0.25">
      <c r="A4625" t="str">
        <f>_xll.BDP("FRQX6097 Mtge","ID_CUSIP")</f>
        <v>31426BX35</v>
      </c>
      <c r="B4625" t="str">
        <f>_xll.BDP("FRQX6097 Mtge","SECURITY_NAME")</f>
        <v>FR QX6097</v>
      </c>
      <c r="C4625" t="str">
        <f>_xll.BDP("FRQX6097 Mtge","GENERIC_TICKER_VINTAGE")</f>
        <v>FNCL 6 2025</v>
      </c>
      <c r="D4625" t="str">
        <f>_xll.BDP("FRQX6097 Mtge","CRNCY")</f>
        <v>USD</v>
      </c>
      <c r="E4625">
        <v>1326715</v>
      </c>
      <c r="F4625">
        <f>_xll.BDP("FRQX6097 Mtge","CPN")</f>
        <v>6</v>
      </c>
      <c r="G4625">
        <f>_xll.BDP("FRQX6097 Mtge","MTG_FACTOR")</f>
        <v>0.98833802000000004</v>
      </c>
      <c r="H4625">
        <f>_xll.BDP("FRQX6097 Mtge","MTG_WAL")</f>
        <v>3.1617999999999999</v>
      </c>
      <c r="I4625" t="str">
        <f>_xll.BDP("FRQX6097 Mtge","MTG_ORIG_WAL")</f>
        <v>#N/A N/A</v>
      </c>
    </row>
    <row r="4626" spans="1:9" x14ac:dyDescent="0.25">
      <c r="A4626" t="str">
        <f>_xll.BDP("FRQX6107 Mtge","ID_CUSIP")</f>
        <v>31426BYD2</v>
      </c>
      <c r="B4626" t="str">
        <f>_xll.BDP("FRQX6107 Mtge","SECURITY_NAME")</f>
        <v>FR QX6107</v>
      </c>
      <c r="C4626" t="str">
        <f>_xll.BDP("FRQX6107 Mtge","GENERIC_TICKER_VINTAGE")</f>
        <v>FNCL 6 2025</v>
      </c>
      <c r="D4626" t="str">
        <f>_xll.BDP("FRQX6107 Mtge","CRNCY")</f>
        <v>USD</v>
      </c>
      <c r="E4626">
        <v>1144537</v>
      </c>
      <c r="F4626">
        <f>_xll.BDP("FRQX6107 Mtge","CPN")</f>
        <v>6</v>
      </c>
      <c r="G4626">
        <f>_xll.BDP("FRQX6107 Mtge","MTG_FACTOR")</f>
        <v>0.51388599999999995</v>
      </c>
      <c r="H4626">
        <f>_xll.BDP("FRQX6107 Mtge","MTG_WAL")</f>
        <v>3.1636000000000002</v>
      </c>
      <c r="I4626" t="str">
        <f>_xll.BDP("FRQX6107 Mtge","MTG_ORIG_WAL")</f>
        <v>#N/A N/A</v>
      </c>
    </row>
    <row r="4627" spans="1:9" x14ac:dyDescent="0.25">
      <c r="A4627" t="str">
        <f>_xll.BDP("FRQX6125 Mtge","ID_CUSIP")</f>
        <v>31426BYX8</v>
      </c>
      <c r="B4627" t="str">
        <f>_xll.BDP("FRQX6125 Mtge","SECURITY_NAME")</f>
        <v>FR QX6125</v>
      </c>
      <c r="C4627" t="str">
        <f>_xll.BDP("FRQX6125 Mtge","GENERIC_TICKER_VINTAGE")</f>
        <v>FNCL 6 2025</v>
      </c>
      <c r="D4627" t="str">
        <f>_xll.BDP("FRQX6125 Mtge","CRNCY")</f>
        <v>USD</v>
      </c>
      <c r="E4627">
        <v>2017338</v>
      </c>
      <c r="F4627">
        <f>_xll.BDP("FRQX6125 Mtge","CPN")</f>
        <v>6</v>
      </c>
      <c r="G4627">
        <f>_xll.BDP("FRQX6125 Mtge","MTG_FACTOR")</f>
        <v>0.9879095</v>
      </c>
      <c r="H4627">
        <f>_xll.BDP("FRQX6125 Mtge","MTG_WAL")</f>
        <v>3.1596000000000002</v>
      </c>
      <c r="I4627" t="str">
        <f>_xll.BDP("FRQX6125 Mtge","MTG_ORIG_WAL")</f>
        <v>#N/A N/A</v>
      </c>
    </row>
    <row r="4628" spans="1:9" x14ac:dyDescent="0.25">
      <c r="A4628" t="str">
        <f>_xll.BDP("FRQX6126 Mtge","ID_CUSIP")</f>
        <v>31426BYY6</v>
      </c>
      <c r="B4628" t="str">
        <f>_xll.BDP("FRQX6126 Mtge","SECURITY_NAME")</f>
        <v>FR QX6126</v>
      </c>
      <c r="C4628" t="str">
        <f>_xll.BDP("FRQX6126 Mtge","GENERIC_TICKER_VINTAGE")</f>
        <v>FNCL 6 2025</v>
      </c>
      <c r="D4628" t="str">
        <f>_xll.BDP("FRQX6126 Mtge","CRNCY")</f>
        <v>USD</v>
      </c>
      <c r="E4628">
        <v>1995100</v>
      </c>
      <c r="F4628">
        <f>_xll.BDP("FRQX6126 Mtge","CPN")</f>
        <v>6</v>
      </c>
      <c r="G4628">
        <f>_xll.BDP("FRQX6126 Mtge","MTG_FACTOR")</f>
        <v>0.65424698999999997</v>
      </c>
      <c r="H4628">
        <f>_xll.BDP("FRQX6126 Mtge","MTG_WAL")</f>
        <v>3.1621000000000001</v>
      </c>
      <c r="I4628" t="str">
        <f>_xll.BDP("FRQX6126 Mtge","MTG_ORIG_WAL")</f>
        <v>#N/A N/A</v>
      </c>
    </row>
    <row r="4629" spans="1:9" x14ac:dyDescent="0.25">
      <c r="A4629" t="str">
        <f>_xll.BDP("FRQX6147 Mtge","ID_CUSIP")</f>
        <v>31426BZM1</v>
      </c>
      <c r="B4629" t="str">
        <f>_xll.BDP("FRQX6147 Mtge","SECURITY_NAME")</f>
        <v>FR QX6147</v>
      </c>
      <c r="C4629" t="str">
        <f>_xll.BDP("FRQX6147 Mtge","GENERIC_TICKER_VINTAGE")</f>
        <v>FNCL 6 2025</v>
      </c>
      <c r="D4629" t="str">
        <f>_xll.BDP("FRQX6147 Mtge","CRNCY")</f>
        <v>USD</v>
      </c>
      <c r="E4629">
        <v>6265480</v>
      </c>
      <c r="F4629">
        <f>_xll.BDP("FRQX6147 Mtge","CPN")</f>
        <v>6</v>
      </c>
      <c r="G4629">
        <f>_xll.BDP("FRQX6147 Mtge","MTG_FACTOR")</f>
        <v>0.84475723000000003</v>
      </c>
      <c r="H4629">
        <f>_xll.BDP("FRQX6147 Mtge","MTG_WAL")</f>
        <v>3.1524000000000001</v>
      </c>
      <c r="I4629" t="str">
        <f>_xll.BDP("FRQX6147 Mtge","MTG_ORIG_WAL")</f>
        <v>#N/A N/A</v>
      </c>
    </row>
    <row r="4630" spans="1:9" x14ac:dyDescent="0.25">
      <c r="A4630" t="str">
        <f>_xll.BDP("FRQX6151 Mtge","ID_CUSIP")</f>
        <v>31426BZR0</v>
      </c>
      <c r="B4630" t="str">
        <f>_xll.BDP("FRQX6151 Mtge","SECURITY_NAME")</f>
        <v>FR QX6151</v>
      </c>
      <c r="C4630" t="str">
        <f>_xll.BDP("FRQX6151 Mtge","GENERIC_TICKER_VINTAGE")</f>
        <v>FNCL 6 2025</v>
      </c>
      <c r="D4630" t="str">
        <f>_xll.BDP("FRQX6151 Mtge","CRNCY")</f>
        <v>USD</v>
      </c>
      <c r="E4630">
        <v>7257146</v>
      </c>
      <c r="F4630">
        <f>_xll.BDP("FRQX6151 Mtge","CPN")</f>
        <v>6</v>
      </c>
      <c r="G4630">
        <f>_xll.BDP("FRQX6151 Mtge","MTG_FACTOR")</f>
        <v>0.89486418000000001</v>
      </c>
      <c r="H4630">
        <f>_xll.BDP("FRQX6151 Mtge","MTG_WAL")</f>
        <v>3.1530999999999998</v>
      </c>
      <c r="I4630" t="str">
        <f>_xll.BDP("FRQX6151 Mtge","MTG_ORIG_WAL")</f>
        <v>#N/A N/A</v>
      </c>
    </row>
    <row r="4631" spans="1:9" x14ac:dyDescent="0.25">
      <c r="A4631" t="str">
        <f>_xll.BDP("FRQX6153 Mtge","ID_CUSIP")</f>
        <v>31426BZT6</v>
      </c>
      <c r="B4631" t="str">
        <f>_xll.BDP("FRQX6153 Mtge","SECURITY_NAME")</f>
        <v>FR QX6153</v>
      </c>
      <c r="C4631" t="str">
        <f>_xll.BDP("FRQX6153 Mtge","GENERIC_TICKER_VINTAGE")</f>
        <v>FNCL 6 2025</v>
      </c>
      <c r="D4631" t="str">
        <f>_xll.BDP("FRQX6153 Mtge","CRNCY")</f>
        <v>USD</v>
      </c>
      <c r="E4631">
        <v>8565408</v>
      </c>
      <c r="F4631">
        <f>_xll.BDP("FRQX6153 Mtge","CPN")</f>
        <v>6</v>
      </c>
      <c r="G4631">
        <f>_xll.BDP("FRQX6153 Mtge","MTG_FACTOR")</f>
        <v>0.75242843999999998</v>
      </c>
      <c r="H4631">
        <f>_xll.BDP("FRQX6153 Mtge","MTG_WAL")</f>
        <v>3.1615000000000002</v>
      </c>
      <c r="I4631" t="str">
        <f>_xll.BDP("FRQX6153 Mtge","MTG_ORIG_WAL")</f>
        <v>#N/A N/A</v>
      </c>
    </row>
    <row r="4632" spans="1:9" x14ac:dyDescent="0.25">
      <c r="A4632" t="str">
        <f>_xll.BDP("FRQX6179 Mtge","ID_CUSIP")</f>
        <v>31426B2M7</v>
      </c>
      <c r="B4632" t="str">
        <f>_xll.BDP("FRQX6179 Mtge","SECURITY_NAME")</f>
        <v>FR QX6179</v>
      </c>
      <c r="C4632" t="str">
        <f>_xll.BDP("FRQX6179 Mtge","GENERIC_TICKER_VINTAGE")</f>
        <v>FNCL 6 2025</v>
      </c>
      <c r="D4632" t="str">
        <f>_xll.BDP("FRQX6179 Mtge","CRNCY")</f>
        <v>USD</v>
      </c>
      <c r="E4632">
        <v>1227407</v>
      </c>
      <c r="F4632">
        <f>_xll.BDP("FRQX6179 Mtge","CPN")</f>
        <v>6</v>
      </c>
      <c r="G4632">
        <f>_xll.BDP("FRQX6179 Mtge","MTG_FACTOR")</f>
        <v>0.98245351000000003</v>
      </c>
      <c r="H4632">
        <f>_xll.BDP("FRQX6179 Mtge","MTG_WAL")</f>
        <v>3.1547000000000001</v>
      </c>
      <c r="I4632" t="str">
        <f>_xll.BDP("FRQX6179 Mtge","MTG_ORIG_WAL")</f>
        <v>#N/A N/A</v>
      </c>
    </row>
    <row r="4633" spans="1:9" x14ac:dyDescent="0.25">
      <c r="A4633" t="str">
        <f>_xll.BDP("FRQX6188 Mtge","ID_CUSIP")</f>
        <v>31426B2W5</v>
      </c>
      <c r="B4633" t="str">
        <f>_xll.BDP("FRQX6188 Mtge","SECURITY_NAME")</f>
        <v>FR QX6188</v>
      </c>
      <c r="C4633" t="str">
        <f>_xll.BDP("FRQX6188 Mtge","GENERIC_TICKER_VINTAGE")</f>
        <v>FNCL 6 2025</v>
      </c>
      <c r="D4633" t="str">
        <f>_xll.BDP("FRQX6188 Mtge","CRNCY")</f>
        <v>USD</v>
      </c>
      <c r="E4633">
        <v>4710509</v>
      </c>
      <c r="F4633">
        <f>_xll.BDP("FRQX6188 Mtge","CPN")</f>
        <v>6</v>
      </c>
      <c r="G4633">
        <f>_xll.BDP("FRQX6188 Mtge","MTG_FACTOR")</f>
        <v>0.89695203999999995</v>
      </c>
      <c r="H4633">
        <f>_xll.BDP("FRQX6188 Mtge","MTG_WAL")</f>
        <v>3.1621999999999999</v>
      </c>
      <c r="I4633" t="str">
        <f>_xll.BDP("FRQX6188 Mtge","MTG_ORIG_WAL")</f>
        <v>#N/A N/A</v>
      </c>
    </row>
    <row r="4634" spans="1:9" x14ac:dyDescent="0.25">
      <c r="A4634" t="str">
        <f>_xll.BDP("FRQX6204 Mtge","ID_CUSIP")</f>
        <v>31426B3N4</v>
      </c>
      <c r="B4634" t="str">
        <f>_xll.BDP("FRQX6204 Mtge","SECURITY_NAME")</f>
        <v>FR QX6204</v>
      </c>
      <c r="C4634" t="str">
        <f>_xll.BDP("FRQX6204 Mtge","GENERIC_TICKER_VINTAGE")</f>
        <v>FNCL 6 2025</v>
      </c>
      <c r="D4634" t="str">
        <f>_xll.BDP("FRQX6204 Mtge","CRNCY")</f>
        <v>USD</v>
      </c>
      <c r="E4634">
        <v>6451858</v>
      </c>
      <c r="F4634">
        <f>_xll.BDP("FRQX6204 Mtge","CPN")</f>
        <v>6</v>
      </c>
      <c r="G4634">
        <f>_xll.BDP("FRQX6204 Mtge","MTG_FACTOR")</f>
        <v>0.72668823999999999</v>
      </c>
      <c r="H4634">
        <f>_xll.BDP("FRQX6204 Mtge","MTG_WAL")</f>
        <v>3.1604000000000001</v>
      </c>
      <c r="I4634" t="str">
        <f>_xll.BDP("FRQX6204 Mtge","MTG_ORIG_WAL")</f>
        <v>#N/A N/A</v>
      </c>
    </row>
    <row r="4635" spans="1:9" x14ac:dyDescent="0.25">
      <c r="A4635" t="str">
        <f>_xll.BDP("FRQX6212 Mtge","ID_CUSIP")</f>
        <v>31426B3W4</v>
      </c>
      <c r="B4635" t="str">
        <f>_xll.BDP("FRQX6212 Mtge","SECURITY_NAME")</f>
        <v>FR QX6212</v>
      </c>
      <c r="C4635" t="str">
        <f>_xll.BDP("FRQX6212 Mtge","GENERIC_TICKER_VINTAGE")</f>
        <v>FNCL 6 2025</v>
      </c>
      <c r="D4635" t="str">
        <f>_xll.BDP("FRQX6212 Mtge","CRNCY")</f>
        <v>USD</v>
      </c>
      <c r="E4635">
        <v>16726653</v>
      </c>
      <c r="F4635">
        <f>_xll.BDP("FRQX6212 Mtge","CPN")</f>
        <v>6</v>
      </c>
      <c r="G4635">
        <f>_xll.BDP("FRQX6212 Mtge","MTG_FACTOR")</f>
        <v>0.79273525</v>
      </c>
      <c r="H4635">
        <f>_xll.BDP("FRQX6212 Mtge","MTG_WAL")</f>
        <v>3.1616</v>
      </c>
      <c r="I4635" t="str">
        <f>_xll.BDP("FRQX6212 Mtge","MTG_ORIG_WAL")</f>
        <v>#N/A N/A</v>
      </c>
    </row>
    <row r="4636" spans="1:9" x14ac:dyDescent="0.25">
      <c r="A4636" t="str">
        <f>_xll.BDP("FRQX6213 Mtge","ID_CUSIP")</f>
        <v>31426B3X2</v>
      </c>
      <c r="B4636" t="str">
        <f>_xll.BDP("FRQX6213 Mtge","SECURITY_NAME")</f>
        <v>FR QX6213</v>
      </c>
      <c r="C4636" t="str">
        <f>_xll.BDP("FRQX6213 Mtge","GENERIC_TICKER_VINTAGE")</f>
        <v>FNCL 6 2025</v>
      </c>
      <c r="D4636" t="str">
        <f>_xll.BDP("FRQX6213 Mtge","CRNCY")</f>
        <v>USD</v>
      </c>
      <c r="E4636">
        <v>1648465</v>
      </c>
      <c r="F4636">
        <f>_xll.BDP("FRQX6213 Mtge","CPN")</f>
        <v>6</v>
      </c>
      <c r="G4636">
        <f>_xll.BDP("FRQX6213 Mtge","MTG_FACTOR")</f>
        <v>0.68933977000000002</v>
      </c>
      <c r="H4636">
        <f>_xll.BDP("FRQX6213 Mtge","MTG_WAL")</f>
        <v>3.1629999999999998</v>
      </c>
      <c r="I4636" t="str">
        <f>_xll.BDP("FRQX6213 Mtge","MTG_ORIG_WAL")</f>
        <v>#N/A N/A</v>
      </c>
    </row>
    <row r="4637" spans="1:9" x14ac:dyDescent="0.25">
      <c r="A4637" t="str">
        <f>_xll.BDP("FRQX6216 Mtge","ID_CUSIP")</f>
        <v>31426B4A1</v>
      </c>
      <c r="B4637" t="str">
        <f>_xll.BDP("FRQX6216 Mtge","SECURITY_NAME")</f>
        <v>FR QX6216</v>
      </c>
      <c r="C4637" t="str">
        <f>_xll.BDP("FRQX6216 Mtge","GENERIC_TICKER_VINTAGE")</f>
        <v>FNCL 6 2025</v>
      </c>
      <c r="D4637" t="str">
        <f>_xll.BDP("FRQX6216 Mtge","CRNCY")</f>
        <v>USD</v>
      </c>
      <c r="E4637">
        <v>7453654</v>
      </c>
      <c r="F4637">
        <f>_xll.BDP("FRQX6216 Mtge","CPN")</f>
        <v>6</v>
      </c>
      <c r="G4637">
        <f>_xll.BDP("FRQX6216 Mtge","MTG_FACTOR")</f>
        <v>0.92807976000000003</v>
      </c>
      <c r="H4637">
        <f>_xll.BDP("FRQX6216 Mtge","MTG_WAL")</f>
        <v>3.1516999999999999</v>
      </c>
      <c r="I4637" t="str">
        <f>_xll.BDP("FRQX6216 Mtge","MTG_ORIG_WAL")</f>
        <v>#N/A N/A</v>
      </c>
    </row>
    <row r="4638" spans="1:9" x14ac:dyDescent="0.25">
      <c r="A4638" t="str">
        <f>_xll.BDP("FRQX6227 Mtge","ID_CUSIP")</f>
        <v>31426B4M5</v>
      </c>
      <c r="B4638" t="str">
        <f>_xll.BDP("FRQX6227 Mtge","SECURITY_NAME")</f>
        <v>FR QX6227</v>
      </c>
      <c r="C4638" t="str">
        <f>_xll.BDP("FRQX6227 Mtge","GENERIC_TICKER_VINTAGE")</f>
        <v>FNCL 6 2025</v>
      </c>
      <c r="D4638" t="str">
        <f>_xll.BDP("FRQX6227 Mtge","CRNCY")</f>
        <v>USD</v>
      </c>
      <c r="E4638">
        <v>1759495</v>
      </c>
      <c r="F4638">
        <f>_xll.BDP("FRQX6227 Mtge","CPN")</f>
        <v>6</v>
      </c>
      <c r="G4638">
        <f>_xll.BDP("FRQX6227 Mtge","MTG_FACTOR")</f>
        <v>0.76752008000000005</v>
      </c>
      <c r="H4638">
        <f>_xll.BDP("FRQX6227 Mtge","MTG_WAL")</f>
        <v>3.1328</v>
      </c>
      <c r="I4638" t="str">
        <f>_xll.BDP("FRQX6227 Mtge","MTG_ORIG_WAL")</f>
        <v>#N/A N/A</v>
      </c>
    </row>
    <row r="4639" spans="1:9" x14ac:dyDescent="0.25">
      <c r="A4639" t="str">
        <f>_xll.BDP("FRQX6238 Mtge","ID_CUSIP")</f>
        <v>31426B4Y9</v>
      </c>
      <c r="B4639" t="str">
        <f>_xll.BDP("FRQX6238 Mtge","SECURITY_NAME")</f>
        <v>FR QX6238</v>
      </c>
      <c r="C4639" t="str">
        <f>_xll.BDP("FRQX6238 Mtge","GENERIC_TICKER_VINTAGE")</f>
        <v>FNCL 6 2025</v>
      </c>
      <c r="D4639" t="str">
        <f>_xll.BDP("FRQX6238 Mtge","CRNCY")</f>
        <v>USD</v>
      </c>
      <c r="E4639">
        <v>9935665</v>
      </c>
      <c r="F4639">
        <f>_xll.BDP("FRQX6238 Mtge","CPN")</f>
        <v>6</v>
      </c>
      <c r="G4639">
        <f>_xll.BDP("FRQX6238 Mtge","MTG_FACTOR")</f>
        <v>0.98334109000000003</v>
      </c>
      <c r="H4639">
        <f>_xll.BDP("FRQX6238 Mtge","MTG_WAL")</f>
        <v>3.1560999999999999</v>
      </c>
      <c r="I4639" t="str">
        <f>_xll.BDP("FRQX6238 Mtge","MTG_ORIG_WAL")</f>
        <v>#N/A N/A</v>
      </c>
    </row>
    <row r="4640" spans="1:9" x14ac:dyDescent="0.25">
      <c r="A4640" t="str">
        <f>_xll.BDP("FRQX6241 Mtge","ID_CUSIP")</f>
        <v>31426B5B8</v>
      </c>
      <c r="B4640" t="str">
        <f>_xll.BDP("FRQX6241 Mtge","SECURITY_NAME")</f>
        <v>FR QX6241</v>
      </c>
      <c r="C4640" t="str">
        <f>_xll.BDP("FRQX6241 Mtge","GENERIC_TICKER_VINTAGE")</f>
        <v>FNCL 6 2025</v>
      </c>
      <c r="D4640" t="str">
        <f>_xll.BDP("FRQX6241 Mtge","CRNCY")</f>
        <v>USD</v>
      </c>
      <c r="E4640">
        <v>2615898</v>
      </c>
      <c r="F4640">
        <f>_xll.BDP("FRQX6241 Mtge","CPN")</f>
        <v>6</v>
      </c>
      <c r="G4640">
        <f>_xll.BDP("FRQX6241 Mtge","MTG_FACTOR")</f>
        <v>0.97246814000000004</v>
      </c>
      <c r="H4640">
        <f>_xll.BDP("FRQX6241 Mtge","MTG_WAL")</f>
        <v>3.1436000000000002</v>
      </c>
      <c r="I4640" t="str">
        <f>_xll.BDP("FRQX6241 Mtge","MTG_ORIG_WAL")</f>
        <v>#N/A N/A</v>
      </c>
    </row>
    <row r="4641" spans="1:9" x14ac:dyDescent="0.25">
      <c r="A4641" t="str">
        <f>_xll.BDP("FRQX6242 Mtge","ID_CUSIP")</f>
        <v>31426B5C6</v>
      </c>
      <c r="B4641" t="str">
        <f>_xll.BDP("FRQX6242 Mtge","SECURITY_NAME")</f>
        <v>FR QX6242</v>
      </c>
      <c r="C4641" t="str">
        <f>_xll.BDP("FRQX6242 Mtge","GENERIC_TICKER_VINTAGE")</f>
        <v>FNCL 6 2025</v>
      </c>
      <c r="D4641" t="str">
        <f>_xll.BDP("FRQX6242 Mtge","CRNCY")</f>
        <v>USD</v>
      </c>
      <c r="E4641">
        <v>13888024</v>
      </c>
      <c r="F4641">
        <f>_xll.BDP("FRQX6242 Mtge","CPN")</f>
        <v>6</v>
      </c>
      <c r="G4641">
        <f>_xll.BDP("FRQX6242 Mtge","MTG_FACTOR")</f>
        <v>0.95398112000000002</v>
      </c>
      <c r="H4641">
        <f>_xll.BDP("FRQX6242 Mtge","MTG_WAL")</f>
        <v>3.1623000000000001</v>
      </c>
      <c r="I4641" t="str">
        <f>_xll.BDP("FRQX6242 Mtge","MTG_ORIG_WAL")</f>
        <v>#N/A N/A</v>
      </c>
    </row>
    <row r="4642" spans="1:9" x14ac:dyDescent="0.25">
      <c r="A4642" t="str">
        <f>_xll.BDP("FRQX6261 Mtge","ID_CUSIP")</f>
        <v>31426B5X0</v>
      </c>
      <c r="B4642" t="str">
        <f>_xll.BDP("FRQX6261 Mtge","SECURITY_NAME")</f>
        <v>FR QX6261</v>
      </c>
      <c r="C4642" t="str">
        <f>_xll.BDP("FRQX6261 Mtge","GENERIC_TICKER_VINTAGE")</f>
        <v>FNCL 6 2025</v>
      </c>
      <c r="D4642" t="str">
        <f>_xll.BDP("FRQX6261 Mtge","CRNCY")</f>
        <v>USD</v>
      </c>
      <c r="E4642">
        <v>1614162</v>
      </c>
      <c r="F4642">
        <f>_xll.BDP("FRQX6261 Mtge","CPN")</f>
        <v>6</v>
      </c>
      <c r="G4642">
        <f>_xll.BDP("FRQX6261 Mtge","MTG_FACTOR")</f>
        <v>0.65086348000000005</v>
      </c>
      <c r="H4642">
        <f>_xll.BDP("FRQX6261 Mtge","MTG_WAL")</f>
        <v>3.1051000000000002</v>
      </c>
      <c r="I4642" t="str">
        <f>_xll.BDP("FRQX6261 Mtge","MTG_ORIG_WAL")</f>
        <v>#N/A N/A</v>
      </c>
    </row>
    <row r="4643" spans="1:9" x14ac:dyDescent="0.25">
      <c r="A4643" t="str">
        <f>_xll.BDP("FRQX6267 Mtge","ID_CUSIP")</f>
        <v>31426B6D3</v>
      </c>
      <c r="B4643" t="str">
        <f>_xll.BDP("FRQX6267 Mtge","SECURITY_NAME")</f>
        <v>FR QX6267</v>
      </c>
      <c r="C4643" t="str">
        <f>_xll.BDP("FRQX6267 Mtge","GENERIC_TICKER_VINTAGE")</f>
        <v>FNCL 6 2025</v>
      </c>
      <c r="D4643" t="str">
        <f>_xll.BDP("FRQX6267 Mtge","CRNCY")</f>
        <v>USD</v>
      </c>
      <c r="E4643">
        <v>19713012</v>
      </c>
      <c r="F4643">
        <f>_xll.BDP("FRQX6267 Mtge","CPN")</f>
        <v>6</v>
      </c>
      <c r="G4643">
        <f>_xll.BDP("FRQX6267 Mtge","MTG_FACTOR")</f>
        <v>0.74811485</v>
      </c>
      <c r="H4643">
        <f>_xll.BDP("FRQX6267 Mtge","MTG_WAL")</f>
        <v>3.1576</v>
      </c>
      <c r="I4643" t="str">
        <f>_xll.BDP("FRQX6267 Mtge","MTG_ORIG_WAL")</f>
        <v>#N/A N/A</v>
      </c>
    </row>
    <row r="4644" spans="1:9" x14ac:dyDescent="0.25">
      <c r="A4644" t="str">
        <f>_xll.BDP("FRQX6269 Mtge","ID_CUSIP")</f>
        <v>31426B6F8</v>
      </c>
      <c r="B4644" t="str">
        <f>_xll.BDP("FRQX6269 Mtge","SECURITY_NAME")</f>
        <v>FR QX6269</v>
      </c>
      <c r="C4644" t="str">
        <f>_xll.BDP("FRQX6269 Mtge","GENERIC_TICKER_VINTAGE")</f>
        <v>FNCL 6 2025</v>
      </c>
      <c r="D4644" t="str">
        <f>_xll.BDP("FRQX6269 Mtge","CRNCY")</f>
        <v>USD</v>
      </c>
      <c r="E4644">
        <v>1097952</v>
      </c>
      <c r="F4644">
        <f>_xll.BDP("FRQX6269 Mtge","CPN")</f>
        <v>6</v>
      </c>
      <c r="G4644">
        <f>_xll.BDP("FRQX6269 Mtge","MTG_FACTOR")</f>
        <v>0.98876206</v>
      </c>
      <c r="H4644">
        <f>_xll.BDP("FRQX6269 Mtge","MTG_WAL")</f>
        <v>3.1621999999999999</v>
      </c>
      <c r="I4644" t="str">
        <f>_xll.BDP("FRQX6269 Mtge","MTG_ORIG_WAL")</f>
        <v>#N/A N/A</v>
      </c>
    </row>
    <row r="4645" spans="1:9" x14ac:dyDescent="0.25">
      <c r="A4645" t="str">
        <f>_xll.BDP("FRQX6272 Mtge","ID_CUSIP")</f>
        <v>31426B6J0</v>
      </c>
      <c r="B4645" t="str">
        <f>_xll.BDP("FRQX6272 Mtge","SECURITY_NAME")</f>
        <v>FR QX6272</v>
      </c>
      <c r="C4645" t="str">
        <f>_xll.BDP("FRQX6272 Mtge","GENERIC_TICKER_VINTAGE")</f>
        <v>FNCL 6 2025</v>
      </c>
      <c r="D4645" t="str">
        <f>_xll.BDP("FRQX6272 Mtge","CRNCY")</f>
        <v>USD</v>
      </c>
      <c r="E4645">
        <v>1557696</v>
      </c>
      <c r="F4645">
        <f>_xll.BDP("FRQX6272 Mtge","CPN")</f>
        <v>6</v>
      </c>
      <c r="G4645">
        <f>_xll.BDP("FRQX6272 Mtge","MTG_FACTOR")</f>
        <v>0.98833311999999995</v>
      </c>
      <c r="H4645">
        <f>_xll.BDP("FRQX6272 Mtge","MTG_WAL")</f>
        <v>3.1593</v>
      </c>
      <c r="I4645" t="str">
        <f>_xll.BDP("FRQX6272 Mtge","MTG_ORIG_WAL")</f>
        <v>#N/A N/A</v>
      </c>
    </row>
    <row r="4646" spans="1:9" x14ac:dyDescent="0.25">
      <c r="A4646" t="str">
        <f>_xll.BDP("FRQX6282 Mtge","ID_CUSIP")</f>
        <v>31426B6U5</v>
      </c>
      <c r="B4646" t="str">
        <f>_xll.BDP("FRQX6282 Mtge","SECURITY_NAME")</f>
        <v>FR QX6282</v>
      </c>
      <c r="C4646" t="str">
        <f>_xll.BDP("FRQX6282 Mtge","GENERIC_TICKER_VINTAGE")</f>
        <v>FNCL 6 2025</v>
      </c>
      <c r="D4646" t="str">
        <f>_xll.BDP("FRQX6282 Mtge","CRNCY")</f>
        <v>USD</v>
      </c>
      <c r="E4646">
        <v>19180996</v>
      </c>
      <c r="F4646">
        <f>_xll.BDP("FRQX6282 Mtge","CPN")</f>
        <v>6</v>
      </c>
      <c r="G4646">
        <f>_xll.BDP("FRQX6282 Mtge","MTG_FACTOR")</f>
        <v>0.71210720999999999</v>
      </c>
      <c r="H4646">
        <f>_xll.BDP("FRQX6282 Mtge","MTG_WAL")</f>
        <v>3.1532</v>
      </c>
      <c r="I4646" t="str">
        <f>_xll.BDP("FRQX6282 Mtge","MTG_ORIG_WAL")</f>
        <v>#N/A N/A</v>
      </c>
    </row>
    <row r="4647" spans="1:9" x14ac:dyDescent="0.25">
      <c r="A4647" t="str">
        <f>_xll.BDP("FRQX6287 Mtge","ID_CUSIP")</f>
        <v>31426B6Z4</v>
      </c>
      <c r="B4647" t="str">
        <f>_xll.BDP("FRQX6287 Mtge","SECURITY_NAME")</f>
        <v>FR QX6287</v>
      </c>
      <c r="C4647" t="str">
        <f>_xll.BDP("FRQX6287 Mtge","GENERIC_TICKER_VINTAGE")</f>
        <v>FNCL 6 2025</v>
      </c>
      <c r="D4647" t="str">
        <f>_xll.BDP("FRQX6287 Mtge","CRNCY")</f>
        <v>USD</v>
      </c>
      <c r="E4647">
        <v>1026546</v>
      </c>
      <c r="F4647">
        <f>_xll.BDP("FRQX6287 Mtge","CPN")</f>
        <v>6</v>
      </c>
      <c r="G4647">
        <f>_xll.BDP("FRQX6287 Mtge","MTG_FACTOR")</f>
        <v>0.98681039000000004</v>
      </c>
      <c r="H4647">
        <f>_xll.BDP("FRQX6287 Mtge","MTG_WAL")</f>
        <v>3.1585000000000001</v>
      </c>
      <c r="I4647" t="str">
        <f>_xll.BDP("FRQX6287 Mtge","MTG_ORIG_WAL")</f>
        <v>#N/A N/A</v>
      </c>
    </row>
    <row r="4648" spans="1:9" x14ac:dyDescent="0.25">
      <c r="A4648" t="str">
        <f>_xll.BDP("FRQX6296 Mtge","ID_CUSIP")</f>
        <v>31426B7J9</v>
      </c>
      <c r="B4648" t="str">
        <f>_xll.BDP("FRQX6296 Mtge","SECURITY_NAME")</f>
        <v>FR QX6296</v>
      </c>
      <c r="C4648" t="str">
        <f>_xll.BDP("FRQX6296 Mtge","GENERIC_TICKER_VINTAGE")</f>
        <v>FNCL 6 2025</v>
      </c>
      <c r="D4648" t="str">
        <f>_xll.BDP("FRQX6296 Mtge","CRNCY")</f>
        <v>USD</v>
      </c>
      <c r="E4648">
        <v>1272000</v>
      </c>
      <c r="F4648">
        <f>_xll.BDP("FRQX6296 Mtge","CPN")</f>
        <v>6</v>
      </c>
      <c r="G4648">
        <f>_xll.BDP("FRQX6296 Mtge","MTG_FACTOR")</f>
        <v>0.98808267000000005</v>
      </c>
      <c r="H4648">
        <f>_xll.BDP("FRQX6296 Mtge","MTG_WAL")</f>
        <v>3.1613000000000002</v>
      </c>
      <c r="I4648" t="str">
        <f>_xll.BDP("FRQX6296 Mtge","MTG_ORIG_WAL")</f>
        <v>#N/A N/A</v>
      </c>
    </row>
    <row r="4649" spans="1:9" x14ac:dyDescent="0.25">
      <c r="A4649" t="str">
        <f>_xll.BDP("FRQX6316 Mtge","ID_CUSIP")</f>
        <v>31426CAS3</v>
      </c>
      <c r="B4649" t="str">
        <f>_xll.BDP("FRQX6316 Mtge","SECURITY_NAME")</f>
        <v>FR QX6316</v>
      </c>
      <c r="C4649" t="str">
        <f>_xll.BDP("FRQX6316 Mtge","GENERIC_TICKER_VINTAGE")</f>
        <v>FNCL 6 2025</v>
      </c>
      <c r="D4649" t="str">
        <f>_xll.BDP("FRQX6316 Mtge","CRNCY")</f>
        <v>USD</v>
      </c>
      <c r="E4649">
        <v>1378942</v>
      </c>
      <c r="F4649">
        <f>_xll.BDP("FRQX6316 Mtge","CPN")</f>
        <v>6</v>
      </c>
      <c r="G4649">
        <f>_xll.BDP("FRQX6316 Mtge","MTG_FACTOR")</f>
        <v>0.52091105999999998</v>
      </c>
      <c r="H4649">
        <f>_xll.BDP("FRQX6316 Mtge","MTG_WAL")</f>
        <v>3.1543000000000001</v>
      </c>
      <c r="I4649" t="str">
        <f>_xll.BDP("FRQX6316 Mtge","MTG_ORIG_WAL")</f>
        <v>#N/A N/A</v>
      </c>
    </row>
    <row r="4650" spans="1:9" x14ac:dyDescent="0.25">
      <c r="A4650" t="str">
        <f>_xll.BDP("FRQX6317 Mtge","ID_CUSIP")</f>
        <v>31426CAT1</v>
      </c>
      <c r="B4650" t="str">
        <f>_xll.BDP("FRQX6317 Mtge","SECURITY_NAME")</f>
        <v>FR QX6317</v>
      </c>
      <c r="C4650" t="str">
        <f>_xll.BDP("FRQX6317 Mtge","GENERIC_TICKER_VINTAGE")</f>
        <v>FNCL 6 2025</v>
      </c>
      <c r="D4650" t="str">
        <f>_xll.BDP("FRQX6317 Mtge","CRNCY")</f>
        <v>USD</v>
      </c>
      <c r="E4650">
        <v>1019000</v>
      </c>
      <c r="F4650">
        <f>_xll.BDP("FRQX6317 Mtge","CPN")</f>
        <v>6</v>
      </c>
      <c r="G4650">
        <f>_xll.BDP("FRQX6317 Mtge","MTG_FACTOR")</f>
        <v>0.98762039999999995</v>
      </c>
      <c r="H4650">
        <f>_xll.BDP("FRQX6317 Mtge","MTG_WAL")</f>
        <v>3.1627000000000001</v>
      </c>
      <c r="I4650" t="str">
        <f>_xll.BDP("FRQX6317 Mtge","MTG_ORIG_WAL")</f>
        <v>#N/A N/A</v>
      </c>
    </row>
    <row r="4651" spans="1:9" x14ac:dyDescent="0.25">
      <c r="A4651" t="str">
        <f>_xll.BDP("FRQX6318 Mtge","ID_CUSIP")</f>
        <v>31426CAU8</v>
      </c>
      <c r="B4651" t="str">
        <f>_xll.BDP("FRQX6318 Mtge","SECURITY_NAME")</f>
        <v>FR QX6318</v>
      </c>
      <c r="C4651" t="str">
        <f>_xll.BDP("FRQX6318 Mtge","GENERIC_TICKER_VINTAGE")</f>
        <v>FNCL 6 2025</v>
      </c>
      <c r="D4651" t="str">
        <f>_xll.BDP("FRQX6318 Mtge","CRNCY")</f>
        <v>USD</v>
      </c>
      <c r="E4651">
        <v>2128800</v>
      </c>
      <c r="F4651">
        <f>_xll.BDP("FRQX6318 Mtge","CPN")</f>
        <v>6</v>
      </c>
      <c r="G4651">
        <f>_xll.BDP("FRQX6318 Mtge","MTG_FACTOR")</f>
        <v>0.97856164000000001</v>
      </c>
      <c r="H4651">
        <f>_xll.BDP("FRQX6318 Mtge","MTG_WAL")</f>
        <v>3.1558000000000002</v>
      </c>
      <c r="I4651" t="str">
        <f>_xll.BDP("FRQX6318 Mtge","MTG_ORIG_WAL")</f>
        <v>#N/A N/A</v>
      </c>
    </row>
    <row r="4652" spans="1:9" x14ac:dyDescent="0.25">
      <c r="A4652" t="str">
        <f>_xll.BDP("FRQX6319 Mtge","ID_CUSIP")</f>
        <v>31426CAV6</v>
      </c>
      <c r="B4652" t="str">
        <f>_xll.BDP("FRQX6319 Mtge","SECURITY_NAME")</f>
        <v>FR QX6319</v>
      </c>
      <c r="C4652" t="str">
        <f>_xll.BDP("FRQX6319 Mtge","GENERIC_TICKER_VINTAGE")</f>
        <v>FNCL 6 2025</v>
      </c>
      <c r="D4652" t="str">
        <f>_xll.BDP("FRQX6319 Mtge","CRNCY")</f>
        <v>USD</v>
      </c>
      <c r="E4652">
        <v>1059166</v>
      </c>
      <c r="F4652">
        <f>_xll.BDP("FRQX6319 Mtge","CPN")</f>
        <v>6</v>
      </c>
      <c r="G4652">
        <f>_xll.BDP("FRQX6319 Mtge","MTG_FACTOR")</f>
        <v>0.97451721999999996</v>
      </c>
      <c r="H4652">
        <f>_xll.BDP("FRQX6319 Mtge","MTG_WAL")</f>
        <v>3.1484000000000001</v>
      </c>
      <c r="I4652" t="str">
        <f>_xll.BDP("FRQX6319 Mtge","MTG_ORIG_WAL")</f>
        <v>#N/A N/A</v>
      </c>
    </row>
    <row r="4653" spans="1:9" x14ac:dyDescent="0.25">
      <c r="A4653" t="str">
        <f>_xll.BDP("FRQX6323 Mtge","ID_CUSIP")</f>
        <v>31426CAZ7</v>
      </c>
      <c r="B4653" t="str">
        <f>_xll.BDP("FRQX6323 Mtge","SECURITY_NAME")</f>
        <v>FR QX6323</v>
      </c>
      <c r="C4653" t="str">
        <f>_xll.BDP("FRQX6323 Mtge","GENERIC_TICKER_VINTAGE")</f>
        <v>FNCL 6 2025</v>
      </c>
      <c r="D4653" t="str">
        <f>_xll.BDP("FRQX6323 Mtge","CRNCY")</f>
        <v>USD</v>
      </c>
      <c r="E4653">
        <v>2194456</v>
      </c>
      <c r="F4653">
        <f>_xll.BDP("FRQX6323 Mtge","CPN")</f>
        <v>6</v>
      </c>
      <c r="G4653">
        <f>_xll.BDP("FRQX6323 Mtge","MTG_FACTOR")</f>
        <v>0.84799007999999998</v>
      </c>
      <c r="H4653">
        <f>_xll.BDP("FRQX6323 Mtge","MTG_WAL")</f>
        <v>3.1597</v>
      </c>
      <c r="I4653" t="str">
        <f>_xll.BDP("FRQX6323 Mtge","MTG_ORIG_WAL")</f>
        <v>#N/A N/A</v>
      </c>
    </row>
    <row r="4654" spans="1:9" x14ac:dyDescent="0.25">
      <c r="A4654" t="str">
        <f>_xll.BDP("FRQX6328 Mtge","ID_CUSIP")</f>
        <v>31426CA61</v>
      </c>
      <c r="B4654" t="str">
        <f>_xll.BDP("FRQX6328 Mtge","SECURITY_NAME")</f>
        <v>FR QX6328</v>
      </c>
      <c r="C4654" t="str">
        <f>_xll.BDP("FRQX6328 Mtge","GENERIC_TICKER_VINTAGE")</f>
        <v>FNCL 6 2025</v>
      </c>
      <c r="D4654" t="str">
        <f>_xll.BDP("FRQX6328 Mtge","CRNCY")</f>
        <v>USD</v>
      </c>
      <c r="E4654">
        <v>332025</v>
      </c>
      <c r="F4654">
        <f>_xll.BDP("FRQX6328 Mtge","CPN")</f>
        <v>5.9050000000000002</v>
      </c>
      <c r="G4654">
        <f>_xll.BDP("FRQX6328 Mtge","MTG_FACTOR")</f>
        <v>0.98625366000000003</v>
      </c>
      <c r="H4654">
        <f>_xll.BDP("FRQX6328 Mtge","MTG_WAL")</f>
        <v>3.1545999999999998</v>
      </c>
      <c r="I4654" t="str">
        <f>_xll.BDP("FRQX6328 Mtge","MTG_ORIG_WAL")</f>
        <v>#N/A N/A</v>
      </c>
    </row>
    <row r="4655" spans="1:9" x14ac:dyDescent="0.25">
      <c r="A4655" t="str">
        <f>_xll.BDP("FRQX6333 Mtge","ID_CUSIP")</f>
        <v>31426CBB9</v>
      </c>
      <c r="B4655" t="str">
        <f>_xll.BDP("FRQX6333 Mtge","SECURITY_NAME")</f>
        <v>FR QX6333</v>
      </c>
      <c r="C4655" t="str">
        <f>_xll.BDP("FRQX6333 Mtge","GENERIC_TICKER_VINTAGE")</f>
        <v>FNCL 6 2025</v>
      </c>
      <c r="D4655" t="str">
        <f>_xll.BDP("FRQX6333 Mtge","CRNCY")</f>
        <v>USD</v>
      </c>
      <c r="E4655">
        <v>2603790</v>
      </c>
      <c r="F4655">
        <f>_xll.BDP("FRQX6333 Mtge","CPN")</f>
        <v>6</v>
      </c>
      <c r="G4655">
        <f>_xll.BDP("FRQX6333 Mtge","MTG_FACTOR")</f>
        <v>0.98594362000000002</v>
      </c>
      <c r="H4655">
        <f>_xll.BDP("FRQX6333 Mtge","MTG_WAL")</f>
        <v>3.1576</v>
      </c>
      <c r="I4655" t="str">
        <f>_xll.BDP("FRQX6333 Mtge","MTG_ORIG_WAL")</f>
        <v>#N/A N/A</v>
      </c>
    </row>
    <row r="4656" spans="1:9" x14ac:dyDescent="0.25">
      <c r="A4656" t="str">
        <f>_xll.BDP("FRQX6340 Mtge","ID_CUSIP")</f>
        <v>31426CBJ2</v>
      </c>
      <c r="B4656" t="str">
        <f>_xll.BDP("FRQX6340 Mtge","SECURITY_NAME")</f>
        <v>FR QX6340</v>
      </c>
      <c r="C4656" t="str">
        <f>_xll.BDP("FRQX6340 Mtge","GENERIC_TICKER_VINTAGE")</f>
        <v>FNCL 6 2025</v>
      </c>
      <c r="D4656" t="str">
        <f>_xll.BDP("FRQX6340 Mtge","CRNCY")</f>
        <v>USD</v>
      </c>
      <c r="E4656">
        <v>1755221</v>
      </c>
      <c r="F4656">
        <f>_xll.BDP("FRQX6340 Mtge","CPN")</f>
        <v>6</v>
      </c>
      <c r="G4656">
        <f>_xll.BDP("FRQX6340 Mtge","MTG_FACTOR")</f>
        <v>0.84612372000000002</v>
      </c>
      <c r="H4656">
        <f>_xll.BDP("FRQX6340 Mtge","MTG_WAL")</f>
        <v>3.1600999999999999</v>
      </c>
      <c r="I4656" t="str">
        <f>_xll.BDP("FRQX6340 Mtge","MTG_ORIG_WAL")</f>
        <v>#N/A N/A</v>
      </c>
    </row>
    <row r="4657" spans="1:9" x14ac:dyDescent="0.25">
      <c r="A4657" t="str">
        <f>_xll.BDP("FRQX6374 Mtge","ID_CUSIP")</f>
        <v>31426CCL6</v>
      </c>
      <c r="B4657" t="str">
        <f>_xll.BDP("FRQX6374 Mtge","SECURITY_NAME")</f>
        <v>FR QX6374</v>
      </c>
      <c r="C4657" t="str">
        <f>_xll.BDP("FRQX6374 Mtge","GENERIC_TICKER_VINTAGE")</f>
        <v>FNCL 6 2025</v>
      </c>
      <c r="D4657" t="str">
        <f>_xll.BDP("FRQX6374 Mtge","CRNCY")</f>
        <v>USD</v>
      </c>
      <c r="E4657">
        <v>43736547</v>
      </c>
      <c r="F4657">
        <f>_xll.BDP("FRQX6374 Mtge","CPN")</f>
        <v>6</v>
      </c>
      <c r="G4657">
        <f>_xll.BDP("FRQX6374 Mtge","MTG_FACTOR")</f>
        <v>0.77579226999999995</v>
      </c>
      <c r="H4657">
        <f>_xll.BDP("FRQX6374 Mtge","MTG_WAL")</f>
        <v>3.1522999999999999</v>
      </c>
      <c r="I4657" t="str">
        <f>_xll.BDP("FRQX6374 Mtge","MTG_ORIG_WAL")</f>
        <v>#N/A N/A</v>
      </c>
    </row>
    <row r="4658" spans="1:9" x14ac:dyDescent="0.25">
      <c r="A4658" t="str">
        <f>_xll.BDP("FRQX6391 Mtge","ID_CUSIP")</f>
        <v>31426CC51</v>
      </c>
      <c r="B4658" t="str">
        <f>_xll.BDP("FRQX6391 Mtge","SECURITY_NAME")</f>
        <v>FR QX6391</v>
      </c>
      <c r="C4658" t="str">
        <f>_xll.BDP("FRQX6391 Mtge","GENERIC_TICKER_VINTAGE")</f>
        <v>FNCL 6 2025</v>
      </c>
      <c r="D4658" t="str">
        <f>_xll.BDP("FRQX6391 Mtge","CRNCY")</f>
        <v>USD</v>
      </c>
      <c r="E4658">
        <v>1828396</v>
      </c>
      <c r="F4658">
        <f>_xll.BDP("FRQX6391 Mtge","CPN")</f>
        <v>6</v>
      </c>
      <c r="G4658">
        <f>_xll.BDP("FRQX6391 Mtge","MTG_FACTOR")</f>
        <v>0.94406489000000005</v>
      </c>
      <c r="H4658">
        <f>_xll.BDP("FRQX6391 Mtge","MTG_WAL")</f>
        <v>3.1358000000000001</v>
      </c>
      <c r="I4658" t="str">
        <f>_xll.BDP("FRQX6391 Mtge","MTG_ORIG_WAL")</f>
        <v>#N/A N/A</v>
      </c>
    </row>
    <row r="4659" spans="1:9" x14ac:dyDescent="0.25">
      <c r="A4659" t="str">
        <f>_xll.BDP("FRQX6413 Mtge","ID_CUSIP")</f>
        <v>31426CDT8</v>
      </c>
      <c r="B4659" t="str">
        <f>_xll.BDP("FRQX6413 Mtge","SECURITY_NAME")</f>
        <v>FR QX6413</v>
      </c>
      <c r="C4659" t="str">
        <f>_xll.BDP("FRQX6413 Mtge","GENERIC_TICKER_VINTAGE")</f>
        <v>FNCL 6 2025</v>
      </c>
      <c r="D4659" t="str">
        <f>_xll.BDP("FRQX6413 Mtge","CRNCY")</f>
        <v>USD</v>
      </c>
      <c r="E4659">
        <v>1530380</v>
      </c>
      <c r="F4659">
        <f>_xll.BDP("FRQX6413 Mtge","CPN")</f>
        <v>6</v>
      </c>
      <c r="G4659">
        <f>_xll.BDP("FRQX6413 Mtge","MTG_FACTOR")</f>
        <v>0.98017072000000005</v>
      </c>
      <c r="H4659">
        <f>_xll.BDP("FRQX6413 Mtge","MTG_WAL")</f>
        <v>3.1554000000000002</v>
      </c>
      <c r="I4659" t="str">
        <f>_xll.BDP("FRQX6413 Mtge","MTG_ORIG_WAL")</f>
        <v>#N/A N/A</v>
      </c>
    </row>
    <row r="4660" spans="1:9" x14ac:dyDescent="0.25">
      <c r="A4660" t="str">
        <f>_xll.BDP("FRQX6415 Mtge","ID_CUSIP")</f>
        <v>31426CDV3</v>
      </c>
      <c r="B4660" t="str">
        <f>_xll.BDP("FRQX6415 Mtge","SECURITY_NAME")</f>
        <v>FR QX6415</v>
      </c>
      <c r="C4660" t="str">
        <f>_xll.BDP("FRQX6415 Mtge","GENERIC_TICKER_VINTAGE")</f>
        <v>FNCL 6 2025</v>
      </c>
      <c r="D4660" t="str">
        <f>_xll.BDP("FRQX6415 Mtge","CRNCY")</f>
        <v>USD</v>
      </c>
      <c r="E4660">
        <v>22268395</v>
      </c>
      <c r="F4660">
        <f>_xll.BDP("FRQX6415 Mtge","CPN")</f>
        <v>6</v>
      </c>
      <c r="G4660">
        <f>_xll.BDP("FRQX6415 Mtge","MTG_FACTOR")</f>
        <v>0.79638505000000004</v>
      </c>
      <c r="H4660">
        <f>_xll.BDP("FRQX6415 Mtge","MTG_WAL")</f>
        <v>3.1617000000000002</v>
      </c>
      <c r="I4660" t="str">
        <f>_xll.BDP("FRQX6415 Mtge","MTG_ORIG_WAL")</f>
        <v>#N/A N/A</v>
      </c>
    </row>
    <row r="4661" spans="1:9" x14ac:dyDescent="0.25">
      <c r="A4661" t="str">
        <f>_xll.BDP("FRQX6427 Mtge","ID_CUSIP")</f>
        <v>31426CD92</v>
      </c>
      <c r="B4661" t="str">
        <f>_xll.BDP("FRQX6427 Mtge","SECURITY_NAME")</f>
        <v>FR QX6427</v>
      </c>
      <c r="C4661" t="str">
        <f>_xll.BDP("FRQX6427 Mtge","GENERIC_TICKER_VINTAGE")</f>
        <v>FNCL 6 2025</v>
      </c>
      <c r="D4661" t="str">
        <f>_xll.BDP("FRQX6427 Mtge","CRNCY")</f>
        <v>USD</v>
      </c>
      <c r="E4661">
        <v>5533392</v>
      </c>
      <c r="F4661">
        <f>_xll.BDP("FRQX6427 Mtge","CPN")</f>
        <v>6</v>
      </c>
      <c r="G4661">
        <f>_xll.BDP("FRQX6427 Mtge","MTG_FACTOR")</f>
        <v>0.93815305999999998</v>
      </c>
      <c r="H4661">
        <f>_xll.BDP("FRQX6427 Mtge","MTG_WAL")</f>
        <v>3.1616</v>
      </c>
      <c r="I4661" t="str">
        <f>_xll.BDP("FRQX6427 Mtge","MTG_ORIG_WAL")</f>
        <v>#N/A N/A</v>
      </c>
    </row>
    <row r="4662" spans="1:9" x14ac:dyDescent="0.25">
      <c r="A4662" t="str">
        <f>_xll.BDP("FRQX6436 Mtge","ID_CUSIP")</f>
        <v>31426CEJ9</v>
      </c>
      <c r="B4662" t="str">
        <f>_xll.BDP("FRQX6436 Mtge","SECURITY_NAME")</f>
        <v>FR QX6436</v>
      </c>
      <c r="C4662" t="str">
        <f>_xll.BDP("FRQX6436 Mtge","GENERIC_TICKER_VINTAGE")</f>
        <v>FNCL 6 2025</v>
      </c>
      <c r="D4662" t="str">
        <f>_xll.BDP("FRQX6436 Mtge","CRNCY")</f>
        <v>USD</v>
      </c>
      <c r="E4662">
        <v>3115503</v>
      </c>
      <c r="F4662">
        <f>_xll.BDP("FRQX6436 Mtge","CPN")</f>
        <v>6</v>
      </c>
      <c r="G4662">
        <f>_xll.BDP("FRQX6436 Mtge","MTG_FACTOR")</f>
        <v>0.84863865000000005</v>
      </c>
      <c r="H4662">
        <f>_xll.BDP("FRQX6436 Mtge","MTG_WAL")</f>
        <v>3.1511</v>
      </c>
      <c r="I4662" t="str">
        <f>_xll.BDP("FRQX6436 Mtge","MTG_ORIG_WAL")</f>
        <v>#N/A N/A</v>
      </c>
    </row>
    <row r="4663" spans="1:9" x14ac:dyDescent="0.25">
      <c r="A4663" t="str">
        <f>_xll.BDP("FRQX6437 Mtge","ID_CUSIP")</f>
        <v>31426CEK6</v>
      </c>
      <c r="B4663" t="str">
        <f>_xll.BDP("FRQX6437 Mtge","SECURITY_NAME")</f>
        <v>FR QX6437</v>
      </c>
      <c r="C4663" t="str">
        <f>_xll.BDP("FRQX6437 Mtge","GENERIC_TICKER_VINTAGE")</f>
        <v>FNCL 6 2025</v>
      </c>
      <c r="D4663" t="str">
        <f>_xll.BDP("FRQX6437 Mtge","CRNCY")</f>
        <v>USD</v>
      </c>
      <c r="E4663">
        <v>3106105</v>
      </c>
      <c r="F4663">
        <f>_xll.BDP("FRQX6437 Mtge","CPN")</f>
        <v>6</v>
      </c>
      <c r="G4663">
        <f>_xll.BDP("FRQX6437 Mtge","MTG_FACTOR")</f>
        <v>0.82575332999999995</v>
      </c>
      <c r="H4663">
        <f>_xll.BDP("FRQX6437 Mtge","MTG_WAL")</f>
        <v>3.1577000000000002</v>
      </c>
      <c r="I4663" t="str">
        <f>_xll.BDP("FRQX6437 Mtge","MTG_ORIG_WAL")</f>
        <v>#N/A N/A</v>
      </c>
    </row>
    <row r="4664" spans="1:9" x14ac:dyDescent="0.25">
      <c r="A4664" t="str">
        <f>_xll.BDP("FRQX6438 Mtge","ID_CUSIP")</f>
        <v>31426CEL4</v>
      </c>
      <c r="B4664" t="str">
        <f>_xll.BDP("FRQX6438 Mtge","SECURITY_NAME")</f>
        <v>FR QX6438</v>
      </c>
      <c r="C4664" t="str">
        <f>_xll.BDP("FRQX6438 Mtge","GENERIC_TICKER_VINTAGE")</f>
        <v>FNCL 6 2025</v>
      </c>
      <c r="D4664" t="str">
        <f>_xll.BDP("FRQX6438 Mtge","CRNCY")</f>
        <v>USD</v>
      </c>
      <c r="E4664">
        <v>20530026</v>
      </c>
      <c r="F4664">
        <f>_xll.BDP("FRQX6438 Mtge","CPN")</f>
        <v>6</v>
      </c>
      <c r="G4664">
        <f>_xll.BDP("FRQX6438 Mtge","MTG_FACTOR")</f>
        <v>0.91219528000000005</v>
      </c>
      <c r="H4664">
        <f>_xll.BDP("FRQX6438 Mtge","MTG_WAL")</f>
        <v>3.1629</v>
      </c>
      <c r="I4664" t="str">
        <f>_xll.BDP("FRQX6438 Mtge","MTG_ORIG_WAL")</f>
        <v>#N/A N/A</v>
      </c>
    </row>
    <row r="4665" spans="1:9" x14ac:dyDescent="0.25">
      <c r="A4665" t="str">
        <f>_xll.BDP("FRQX6450 Mtge","ID_CUSIP")</f>
        <v>31426CEY6</v>
      </c>
      <c r="B4665" t="str">
        <f>_xll.BDP("FRQX6450 Mtge","SECURITY_NAME")</f>
        <v>FR QX6450</v>
      </c>
      <c r="C4665" t="str">
        <f>_xll.BDP("FRQX6450 Mtge","GENERIC_TICKER_VINTAGE")</f>
        <v>FNCL 6 2025</v>
      </c>
      <c r="D4665" t="str">
        <f>_xll.BDP("FRQX6450 Mtge","CRNCY")</f>
        <v>USD</v>
      </c>
      <c r="E4665">
        <v>2122034</v>
      </c>
      <c r="F4665">
        <f>_xll.BDP("FRQX6450 Mtge","CPN")</f>
        <v>6</v>
      </c>
      <c r="G4665">
        <f>_xll.BDP("FRQX6450 Mtge","MTG_FACTOR")</f>
        <v>0.94586091999999999</v>
      </c>
      <c r="H4665">
        <f>_xll.BDP("FRQX6450 Mtge","MTG_WAL")</f>
        <v>3.1536</v>
      </c>
      <c r="I4665" t="str">
        <f>_xll.BDP("FRQX6450 Mtge","MTG_ORIG_WAL")</f>
        <v>#N/A N/A</v>
      </c>
    </row>
    <row r="4666" spans="1:9" x14ac:dyDescent="0.25">
      <c r="A4666" t="str">
        <f>_xll.BDP("FRQX6459 Mtge","ID_CUSIP")</f>
        <v>31426CE91</v>
      </c>
      <c r="B4666" t="str">
        <f>_xll.BDP("FRQX6459 Mtge","SECURITY_NAME")</f>
        <v>FR QX6459</v>
      </c>
      <c r="C4666" t="str">
        <f>_xll.BDP("FRQX6459 Mtge","GENERIC_TICKER_VINTAGE")</f>
        <v>FNCL 6 2025</v>
      </c>
      <c r="D4666" t="str">
        <f>_xll.BDP("FRQX6459 Mtge","CRNCY")</f>
        <v>USD</v>
      </c>
      <c r="E4666">
        <v>1353500</v>
      </c>
      <c r="F4666">
        <f>_xll.BDP("FRQX6459 Mtge","CPN")</f>
        <v>6</v>
      </c>
      <c r="G4666">
        <f>_xll.BDP("FRQX6459 Mtge","MTG_FACTOR")</f>
        <v>0.98832629000000005</v>
      </c>
      <c r="H4666">
        <f>_xll.BDP("FRQX6459 Mtge","MTG_WAL")</f>
        <v>3.1585000000000001</v>
      </c>
      <c r="I4666" t="str">
        <f>_xll.BDP("FRQX6459 Mtge","MTG_ORIG_WAL")</f>
        <v>#N/A N/A</v>
      </c>
    </row>
    <row r="4667" spans="1:9" x14ac:dyDescent="0.25">
      <c r="A4667" t="str">
        <f>_xll.BDP("FRQX6460 Mtge","ID_CUSIP")</f>
        <v>31426CFA7</v>
      </c>
      <c r="B4667" t="str">
        <f>_xll.BDP("FRQX6460 Mtge","SECURITY_NAME")</f>
        <v>FR QX6460</v>
      </c>
      <c r="C4667" t="str">
        <f>_xll.BDP("FRQX6460 Mtge","GENERIC_TICKER_VINTAGE")</f>
        <v>FNCL 6 2025</v>
      </c>
      <c r="D4667" t="str">
        <f>_xll.BDP("FRQX6460 Mtge","CRNCY")</f>
        <v>USD</v>
      </c>
      <c r="E4667">
        <v>1320120</v>
      </c>
      <c r="F4667">
        <f>_xll.BDP("FRQX6460 Mtge","CPN")</f>
        <v>6</v>
      </c>
      <c r="G4667">
        <f>_xll.BDP("FRQX6460 Mtge","MTG_FACTOR")</f>
        <v>0.97125048000000003</v>
      </c>
      <c r="H4667">
        <f>_xll.BDP("FRQX6460 Mtge","MTG_WAL")</f>
        <v>3.1463999999999999</v>
      </c>
      <c r="I4667" t="str">
        <f>_xll.BDP("FRQX6460 Mtge","MTG_ORIG_WAL")</f>
        <v>#N/A N/A</v>
      </c>
    </row>
    <row r="4668" spans="1:9" x14ac:dyDescent="0.25">
      <c r="A4668" t="str">
        <f>_xll.BDP("FRQX6461 Mtge","ID_CUSIP")</f>
        <v>31426CFB5</v>
      </c>
      <c r="B4668" t="str">
        <f>_xll.BDP("FRQX6461 Mtge","SECURITY_NAME")</f>
        <v>FR QX6461</v>
      </c>
      <c r="C4668" t="str">
        <f>_xll.BDP("FRQX6461 Mtge","GENERIC_TICKER_VINTAGE")</f>
        <v>FNCL 6 2025</v>
      </c>
      <c r="D4668" t="str">
        <f>_xll.BDP("FRQX6461 Mtge","CRNCY")</f>
        <v>USD</v>
      </c>
      <c r="E4668">
        <v>1271080</v>
      </c>
      <c r="F4668">
        <f>_xll.BDP("FRQX6461 Mtge","CPN")</f>
        <v>6</v>
      </c>
      <c r="G4668">
        <f>_xll.BDP("FRQX6461 Mtge","MTG_FACTOR")</f>
        <v>0.91785965000000003</v>
      </c>
      <c r="H4668">
        <f>_xll.BDP("FRQX6461 Mtge","MTG_WAL")</f>
        <v>3.13</v>
      </c>
      <c r="I4668" t="str">
        <f>_xll.BDP("FRQX6461 Mtge","MTG_ORIG_WAL")</f>
        <v>#N/A N/A</v>
      </c>
    </row>
    <row r="4669" spans="1:9" x14ac:dyDescent="0.25">
      <c r="A4669" t="str">
        <f>_xll.BDP("FRQX6462 Mtge","ID_CUSIP")</f>
        <v>31426CFC3</v>
      </c>
      <c r="B4669" t="str">
        <f>_xll.BDP("FRQX6462 Mtge","SECURITY_NAME")</f>
        <v>FR QX6462</v>
      </c>
      <c r="C4669" t="str">
        <f>_xll.BDP("FRQX6462 Mtge","GENERIC_TICKER_VINTAGE")</f>
        <v>FNCL 6 2025</v>
      </c>
      <c r="D4669" t="str">
        <f>_xll.BDP("FRQX6462 Mtge","CRNCY")</f>
        <v>USD</v>
      </c>
      <c r="E4669">
        <v>1508367</v>
      </c>
      <c r="F4669">
        <f>_xll.BDP("FRQX6462 Mtge","CPN")</f>
        <v>6</v>
      </c>
      <c r="G4669">
        <f>_xll.BDP("FRQX6462 Mtge","MTG_FACTOR")</f>
        <v>0.92599321000000001</v>
      </c>
      <c r="H4669">
        <f>_xll.BDP("FRQX6462 Mtge","MTG_WAL")</f>
        <v>3.1379999999999999</v>
      </c>
      <c r="I4669" t="str">
        <f>_xll.BDP("FRQX6462 Mtge","MTG_ORIG_WAL")</f>
        <v>#N/A N/A</v>
      </c>
    </row>
    <row r="4670" spans="1:9" x14ac:dyDescent="0.25">
      <c r="A4670" t="str">
        <f>_xll.BDP("FRQX6463 Mtge","ID_CUSIP")</f>
        <v>31426CFD1</v>
      </c>
      <c r="B4670" t="str">
        <f>_xll.BDP("FRQX6463 Mtge","SECURITY_NAME")</f>
        <v>FR QX6463</v>
      </c>
      <c r="C4670" t="str">
        <f>_xll.BDP("FRQX6463 Mtge","GENERIC_TICKER_VINTAGE")</f>
        <v>FNCL 6 2025</v>
      </c>
      <c r="D4670" t="str">
        <f>_xll.BDP("FRQX6463 Mtge","CRNCY")</f>
        <v>USD</v>
      </c>
      <c r="E4670">
        <v>1737575</v>
      </c>
      <c r="F4670">
        <f>_xll.BDP("FRQX6463 Mtge","CPN")</f>
        <v>6</v>
      </c>
      <c r="G4670">
        <f>_xll.BDP("FRQX6463 Mtge","MTG_FACTOR")</f>
        <v>0.98458045000000005</v>
      </c>
      <c r="H4670">
        <f>_xll.BDP("FRQX6463 Mtge","MTG_WAL")</f>
        <v>3.1589999999999998</v>
      </c>
      <c r="I4670" t="str">
        <f>_xll.BDP("FRQX6463 Mtge","MTG_ORIG_WAL")</f>
        <v>#N/A N/A</v>
      </c>
    </row>
    <row r="4671" spans="1:9" x14ac:dyDescent="0.25">
      <c r="A4671" t="str">
        <f>_xll.BDP("FRQX6480 Mtge","ID_CUSIP")</f>
        <v>31426CFW9</v>
      </c>
      <c r="B4671" t="str">
        <f>_xll.BDP("FRQX6480 Mtge","SECURITY_NAME")</f>
        <v>FR QX6480</v>
      </c>
      <c r="C4671" t="str">
        <f>_xll.BDP("FRQX6480 Mtge","GENERIC_TICKER_VINTAGE")</f>
        <v>FNCL 6 2025</v>
      </c>
      <c r="D4671" t="str">
        <f>_xll.BDP("FRQX6480 Mtge","CRNCY")</f>
        <v>USD</v>
      </c>
      <c r="E4671">
        <v>1393374</v>
      </c>
      <c r="F4671">
        <f>_xll.BDP("FRQX6480 Mtge","CPN")</f>
        <v>6</v>
      </c>
      <c r="G4671">
        <f>_xll.BDP("FRQX6480 Mtge","MTG_FACTOR")</f>
        <v>0.98399409999999998</v>
      </c>
      <c r="H4671">
        <f>_xll.BDP("FRQX6480 Mtge","MTG_WAL")</f>
        <v>3.1392000000000002</v>
      </c>
      <c r="I4671" t="str">
        <f>_xll.BDP("FRQX6480 Mtge","MTG_ORIG_WAL")</f>
        <v>#N/A N/A</v>
      </c>
    </row>
    <row r="4672" spans="1:9" x14ac:dyDescent="0.25">
      <c r="A4672" t="str">
        <f>_xll.BDP("FRQX6494 Mtge","ID_CUSIP")</f>
        <v>31426CGC2</v>
      </c>
      <c r="B4672" t="str">
        <f>_xll.BDP("FRQX6494 Mtge","SECURITY_NAME")</f>
        <v>FR QX6494</v>
      </c>
      <c r="C4672" t="str">
        <f>_xll.BDP("FRQX6494 Mtge","GENERIC_TICKER_VINTAGE")</f>
        <v>FNCL 6 2025</v>
      </c>
      <c r="D4672" t="str">
        <f>_xll.BDP("FRQX6494 Mtge","CRNCY")</f>
        <v>USD</v>
      </c>
      <c r="E4672">
        <v>30927074</v>
      </c>
      <c r="F4672">
        <f>_xll.BDP("FRQX6494 Mtge","CPN")</f>
        <v>6</v>
      </c>
      <c r="G4672">
        <f>_xll.BDP("FRQX6494 Mtge","MTG_FACTOR")</f>
        <v>0.62440123000000003</v>
      </c>
      <c r="H4672">
        <f>_xll.BDP("FRQX6494 Mtge","MTG_WAL")</f>
        <v>3.1589</v>
      </c>
      <c r="I4672" t="str">
        <f>_xll.BDP("FRQX6494 Mtge","MTG_ORIG_WAL")</f>
        <v>#N/A N/A</v>
      </c>
    </row>
    <row r="4673" spans="1:9" x14ac:dyDescent="0.25">
      <c r="A4673" t="str">
        <f>_xll.BDP("FRQX6495 Mtge","ID_CUSIP")</f>
        <v>31426CGD0</v>
      </c>
      <c r="B4673" t="str">
        <f>_xll.BDP("FRQX6495 Mtge","SECURITY_NAME")</f>
        <v>FR QX6495</v>
      </c>
      <c r="C4673" t="str">
        <f>_xll.BDP("FRQX6495 Mtge","GENERIC_TICKER_VINTAGE")</f>
        <v>FNCL 6 2025</v>
      </c>
      <c r="D4673" t="str">
        <f>_xll.BDP("FRQX6495 Mtge","CRNCY")</f>
        <v>USD</v>
      </c>
      <c r="E4673">
        <v>6038677</v>
      </c>
      <c r="F4673">
        <f>_xll.BDP("FRQX6495 Mtge","CPN")</f>
        <v>6</v>
      </c>
      <c r="G4673">
        <f>_xll.BDP("FRQX6495 Mtge","MTG_FACTOR")</f>
        <v>0.78063422999999998</v>
      </c>
      <c r="H4673">
        <f>_xll.BDP("FRQX6495 Mtge","MTG_WAL")</f>
        <v>3.1514000000000002</v>
      </c>
      <c r="I4673" t="str">
        <f>_xll.BDP("FRQX6495 Mtge","MTG_ORIG_WAL")</f>
        <v>#N/A N/A</v>
      </c>
    </row>
    <row r="4674" spans="1:9" x14ac:dyDescent="0.25">
      <c r="A4674" t="str">
        <f>_xll.BDP("FRQX6506 Mtge","ID_CUSIP")</f>
        <v>31426CGQ1</v>
      </c>
      <c r="B4674" t="str">
        <f>_xll.BDP("FRQX6506 Mtge","SECURITY_NAME")</f>
        <v>FR QX6506</v>
      </c>
      <c r="C4674" t="str">
        <f>_xll.BDP("FRQX6506 Mtge","GENERIC_TICKER_VINTAGE")</f>
        <v>FNCL 6 2025</v>
      </c>
      <c r="D4674" t="str">
        <f>_xll.BDP("FRQX6506 Mtge","CRNCY")</f>
        <v>USD</v>
      </c>
      <c r="E4674">
        <v>2033022</v>
      </c>
      <c r="F4674">
        <f>_xll.BDP("FRQX6506 Mtge","CPN")</f>
        <v>6</v>
      </c>
      <c r="G4674">
        <f>_xll.BDP("FRQX6506 Mtge","MTG_FACTOR")</f>
        <v>0.82092936999999999</v>
      </c>
      <c r="H4674">
        <f>_xll.BDP("FRQX6506 Mtge","MTG_WAL")</f>
        <v>3.1596000000000002</v>
      </c>
      <c r="I4674" t="str">
        <f>_xll.BDP("FRQX6506 Mtge","MTG_ORIG_WAL")</f>
        <v>#N/A N/A</v>
      </c>
    </row>
    <row r="4675" spans="1:9" x14ac:dyDescent="0.25">
      <c r="A4675" t="str">
        <f>_xll.BDP("FRQX6507 Mtge","ID_CUSIP")</f>
        <v>31426CGR9</v>
      </c>
      <c r="B4675" t="str">
        <f>_xll.BDP("FRQX6507 Mtge","SECURITY_NAME")</f>
        <v>FR QX6507</v>
      </c>
      <c r="C4675" t="str">
        <f>_xll.BDP("FRQX6507 Mtge","GENERIC_TICKER_VINTAGE")</f>
        <v>FNCL 6 2025</v>
      </c>
      <c r="D4675" t="str">
        <f>_xll.BDP("FRQX6507 Mtge","CRNCY")</f>
        <v>USD</v>
      </c>
      <c r="E4675">
        <v>5326759</v>
      </c>
      <c r="F4675">
        <f>_xll.BDP("FRQX6507 Mtge","CPN")</f>
        <v>6</v>
      </c>
      <c r="G4675">
        <f>_xll.BDP("FRQX6507 Mtge","MTG_FACTOR")</f>
        <v>0.87291015000000005</v>
      </c>
      <c r="H4675">
        <f>_xll.BDP("FRQX6507 Mtge","MTG_WAL")</f>
        <v>3.1614</v>
      </c>
      <c r="I4675" t="str">
        <f>_xll.BDP("FRQX6507 Mtge","MTG_ORIG_WAL")</f>
        <v>#N/A N/A</v>
      </c>
    </row>
    <row r="4676" spans="1:9" x14ac:dyDescent="0.25">
      <c r="A4676" t="str">
        <f>_xll.BDP("FRQX6508 Mtge","ID_CUSIP")</f>
        <v>31426CGS7</v>
      </c>
      <c r="B4676" t="str">
        <f>_xll.BDP("FRQX6508 Mtge","SECURITY_NAME")</f>
        <v>FR QX6508</v>
      </c>
      <c r="C4676" t="str">
        <f>_xll.BDP("FRQX6508 Mtge","GENERIC_TICKER_VINTAGE")</f>
        <v>FNCL 6 2025</v>
      </c>
      <c r="D4676" t="str">
        <f>_xll.BDP("FRQX6508 Mtge","CRNCY")</f>
        <v>USD</v>
      </c>
      <c r="E4676">
        <v>12068008</v>
      </c>
      <c r="F4676">
        <f>_xll.BDP("FRQX6508 Mtge","CPN")</f>
        <v>6</v>
      </c>
      <c r="G4676">
        <f>_xll.BDP("FRQX6508 Mtge","MTG_FACTOR")</f>
        <v>0.85273516999999999</v>
      </c>
      <c r="H4676">
        <f>_xll.BDP("FRQX6508 Mtge","MTG_WAL")</f>
        <v>3.1515</v>
      </c>
      <c r="I4676" t="str">
        <f>_xll.BDP("FRQX6508 Mtge","MTG_ORIG_WAL")</f>
        <v>#N/A N/A</v>
      </c>
    </row>
    <row r="4677" spans="1:9" x14ac:dyDescent="0.25">
      <c r="A4677" t="str">
        <f>_xll.BDP("FRQX6516 Mtge","ID_CUSIP")</f>
        <v>31426CG24</v>
      </c>
      <c r="B4677" t="str">
        <f>_xll.BDP("FRQX6516 Mtge","SECURITY_NAME")</f>
        <v>FR QX6516</v>
      </c>
      <c r="C4677" t="str">
        <f>_xll.BDP("FRQX6516 Mtge","GENERIC_TICKER_VINTAGE")</f>
        <v>FNCL 6 2025</v>
      </c>
      <c r="D4677" t="str">
        <f>_xll.BDP("FRQX6516 Mtge","CRNCY")</f>
        <v>USD</v>
      </c>
      <c r="E4677">
        <v>9680723</v>
      </c>
      <c r="F4677">
        <f>_xll.BDP("FRQX6516 Mtge","CPN")</f>
        <v>6</v>
      </c>
      <c r="G4677">
        <f>_xll.BDP("FRQX6516 Mtge","MTG_FACTOR")</f>
        <v>0.84809983</v>
      </c>
      <c r="H4677">
        <f>_xll.BDP("FRQX6516 Mtge","MTG_WAL")</f>
        <v>3.1621000000000001</v>
      </c>
      <c r="I4677" t="str">
        <f>_xll.BDP("FRQX6516 Mtge","MTG_ORIG_WAL")</f>
        <v>#N/A N/A</v>
      </c>
    </row>
    <row r="4678" spans="1:9" x14ac:dyDescent="0.25">
      <c r="A4678" t="str">
        <f>_xll.BDP("FRQX6547 Mtge","ID_CUSIP")</f>
        <v>31426CHZ0</v>
      </c>
      <c r="B4678" t="str">
        <f>_xll.BDP("FRQX6547 Mtge","SECURITY_NAME")</f>
        <v>FR QX6547</v>
      </c>
      <c r="C4678" t="str">
        <f>_xll.BDP("FRQX6547 Mtge","GENERIC_TICKER_VINTAGE")</f>
        <v>FNCL 6 2025</v>
      </c>
      <c r="D4678" t="str">
        <f>_xll.BDP("FRQX6547 Mtge","CRNCY")</f>
        <v>USD</v>
      </c>
      <c r="E4678">
        <v>6409973</v>
      </c>
      <c r="F4678">
        <f>_xll.BDP("FRQX6547 Mtge","CPN")</f>
        <v>6</v>
      </c>
      <c r="G4678">
        <f>_xll.BDP("FRQX6547 Mtge","MTG_FACTOR")</f>
        <v>0.86797983000000001</v>
      </c>
      <c r="H4678">
        <f>_xll.BDP("FRQX6547 Mtge","MTG_WAL")</f>
        <v>3.1608999999999998</v>
      </c>
      <c r="I4678" t="str">
        <f>_xll.BDP("FRQX6547 Mtge","MTG_ORIG_WAL")</f>
        <v>#N/A N/A</v>
      </c>
    </row>
    <row r="4679" spans="1:9" x14ac:dyDescent="0.25">
      <c r="A4679" t="str">
        <f>_xll.BDP("FRQX6549 Mtge","ID_CUSIP")</f>
        <v>31426CH31</v>
      </c>
      <c r="B4679" t="str">
        <f>_xll.BDP("FRQX6549 Mtge","SECURITY_NAME")</f>
        <v>FR QX6549</v>
      </c>
      <c r="C4679" t="str">
        <f>_xll.BDP("FRQX6549 Mtge","GENERIC_TICKER_VINTAGE")</f>
        <v>FNCL 6 2025</v>
      </c>
      <c r="D4679" t="str">
        <f>_xll.BDP("FRQX6549 Mtge","CRNCY")</f>
        <v>USD</v>
      </c>
      <c r="E4679">
        <v>5643535</v>
      </c>
      <c r="F4679">
        <f>_xll.BDP("FRQX6549 Mtge","CPN")</f>
        <v>6</v>
      </c>
      <c r="G4679">
        <f>_xll.BDP("FRQX6549 Mtge","MTG_FACTOR")</f>
        <v>0.79808995999999999</v>
      </c>
      <c r="H4679">
        <f>_xll.BDP("FRQX6549 Mtge","MTG_WAL")</f>
        <v>3.1581999999999999</v>
      </c>
      <c r="I4679" t="str">
        <f>_xll.BDP("FRQX6549 Mtge","MTG_ORIG_WAL")</f>
        <v>#N/A N/A</v>
      </c>
    </row>
    <row r="4680" spans="1:9" x14ac:dyDescent="0.25">
      <c r="A4680" t="str">
        <f>_xll.BDP("FRQX6555 Mtge","ID_CUSIP")</f>
        <v>31426CH98</v>
      </c>
      <c r="B4680" t="str">
        <f>_xll.BDP("FRQX6555 Mtge","SECURITY_NAME")</f>
        <v>FR QX6555</v>
      </c>
      <c r="C4680" t="str">
        <f>_xll.BDP("FRQX6555 Mtge","GENERIC_TICKER_VINTAGE")</f>
        <v>FNCL 6 2025</v>
      </c>
      <c r="D4680" t="str">
        <f>_xll.BDP("FRQX6555 Mtge","CRNCY")</f>
        <v>USD</v>
      </c>
      <c r="E4680">
        <v>10187301</v>
      </c>
      <c r="F4680">
        <f>_xll.BDP("FRQX6555 Mtge","CPN")</f>
        <v>6</v>
      </c>
      <c r="G4680">
        <f>_xll.BDP("FRQX6555 Mtge","MTG_FACTOR")</f>
        <v>0.91855001999999997</v>
      </c>
      <c r="H4680">
        <f>_xll.BDP("FRQX6555 Mtge","MTG_WAL")</f>
        <v>3.1625999999999999</v>
      </c>
      <c r="I4680" t="str">
        <f>_xll.BDP("FRQX6555 Mtge","MTG_ORIG_WAL")</f>
        <v>#N/A N/A</v>
      </c>
    </row>
    <row r="4681" spans="1:9" x14ac:dyDescent="0.25">
      <c r="A4681" t="str">
        <f>_xll.BDP("FRQX6559 Mtge","ID_CUSIP")</f>
        <v>31426CJD7</v>
      </c>
      <c r="B4681" t="str">
        <f>_xll.BDP("FRQX6559 Mtge","SECURITY_NAME")</f>
        <v>FR QX6559</v>
      </c>
      <c r="C4681" t="str">
        <f>_xll.BDP("FRQX6559 Mtge","GENERIC_TICKER_VINTAGE")</f>
        <v>FNCL 6 2025</v>
      </c>
      <c r="D4681" t="str">
        <f>_xll.BDP("FRQX6559 Mtge","CRNCY")</f>
        <v>USD</v>
      </c>
      <c r="E4681">
        <v>1438338</v>
      </c>
      <c r="F4681">
        <f>_xll.BDP("FRQX6559 Mtge","CPN")</f>
        <v>6</v>
      </c>
      <c r="G4681">
        <f>_xll.BDP("FRQX6559 Mtge","MTG_FACTOR")</f>
        <v>0.71975825999999998</v>
      </c>
      <c r="H4681">
        <f>_xll.BDP("FRQX6559 Mtge","MTG_WAL")</f>
        <v>3.1482000000000001</v>
      </c>
      <c r="I4681" t="str">
        <f>_xll.BDP("FRQX6559 Mtge","MTG_ORIG_WAL")</f>
        <v>#N/A N/A</v>
      </c>
    </row>
    <row r="4682" spans="1:9" x14ac:dyDescent="0.25">
      <c r="A4682" t="str">
        <f>_xll.BDP("FRQX6650 Mtge","ID_CUSIP")</f>
        <v>31426CL85</v>
      </c>
      <c r="B4682" t="str">
        <f>_xll.BDP("FRQX6650 Mtge","SECURITY_NAME")</f>
        <v>FR QX6650</v>
      </c>
      <c r="C4682" t="str">
        <f>_xll.BDP("FRQX6650 Mtge","GENERIC_TICKER_VINTAGE")</f>
        <v>FNCL 6 2025</v>
      </c>
      <c r="D4682" t="str">
        <f>_xll.BDP("FRQX6650 Mtge","CRNCY")</f>
        <v>USD</v>
      </c>
      <c r="E4682">
        <v>5396583</v>
      </c>
      <c r="F4682">
        <f>_xll.BDP("FRQX6650 Mtge","CPN")</f>
        <v>6</v>
      </c>
      <c r="G4682">
        <f>_xll.BDP("FRQX6650 Mtge","MTG_FACTOR")</f>
        <v>0.84964329999999999</v>
      </c>
      <c r="H4682">
        <f>_xll.BDP("FRQX6650 Mtge","MTG_WAL")</f>
        <v>3.1572</v>
      </c>
      <c r="I4682" t="str">
        <f>_xll.BDP("FRQX6650 Mtge","MTG_ORIG_WAL")</f>
        <v>#N/A N/A</v>
      </c>
    </row>
    <row r="4683" spans="1:9" x14ac:dyDescent="0.25">
      <c r="A4683" t="str">
        <f>_xll.BDP("FRQX6658 Mtge","ID_CUSIP")</f>
        <v>31426CMG6</v>
      </c>
      <c r="B4683" t="str">
        <f>_xll.BDP("FRQX6658 Mtge","SECURITY_NAME")</f>
        <v>FR QX6658</v>
      </c>
      <c r="C4683" t="str">
        <f>_xll.BDP("FRQX6658 Mtge","GENERIC_TICKER_VINTAGE")</f>
        <v>FNCL 6 2025</v>
      </c>
      <c r="D4683" t="str">
        <f>_xll.BDP("FRQX6658 Mtge","CRNCY")</f>
        <v>USD</v>
      </c>
      <c r="E4683">
        <v>2080762</v>
      </c>
      <c r="F4683">
        <f>_xll.BDP("FRQX6658 Mtge","CPN")</f>
        <v>6</v>
      </c>
      <c r="G4683">
        <f>_xll.BDP("FRQX6658 Mtge","MTG_FACTOR")</f>
        <v>0.98877866999999997</v>
      </c>
      <c r="H4683">
        <f>_xll.BDP("FRQX6658 Mtge","MTG_WAL")</f>
        <v>3.1621000000000001</v>
      </c>
      <c r="I4683" t="str">
        <f>_xll.BDP("FRQX6658 Mtge","MTG_ORIG_WAL")</f>
        <v>#N/A N/A</v>
      </c>
    </row>
    <row r="4684" spans="1:9" x14ac:dyDescent="0.25">
      <c r="A4684" t="str">
        <f>_xll.BDP("FRQX6671 Mtge","ID_CUSIP")</f>
        <v>31426CMV3</v>
      </c>
      <c r="B4684" t="str">
        <f>_xll.BDP("FRQX6671 Mtge","SECURITY_NAME")</f>
        <v>FR QX6671</v>
      </c>
      <c r="C4684" t="str">
        <f>_xll.BDP("FRQX6671 Mtge","GENERIC_TICKER_VINTAGE")</f>
        <v>FNCL 6 2025</v>
      </c>
      <c r="D4684" t="str">
        <f>_xll.BDP("FRQX6671 Mtge","CRNCY")</f>
        <v>USD</v>
      </c>
      <c r="E4684">
        <v>3200630</v>
      </c>
      <c r="F4684">
        <f>_xll.BDP("FRQX6671 Mtge","CPN")</f>
        <v>6</v>
      </c>
      <c r="G4684">
        <f>_xll.BDP("FRQX6671 Mtge","MTG_FACTOR")</f>
        <v>0.92548896999999997</v>
      </c>
      <c r="H4684">
        <f>_xll.BDP("FRQX6671 Mtge","MTG_WAL")</f>
        <v>3.1598999999999999</v>
      </c>
      <c r="I4684" t="str">
        <f>_xll.BDP("FRQX6671 Mtge","MTG_ORIG_WAL")</f>
        <v>#N/A N/A</v>
      </c>
    </row>
    <row r="4685" spans="1:9" x14ac:dyDescent="0.25">
      <c r="A4685" t="str">
        <f>_xll.BDP("FRQX6686 Mtge","ID_CUSIP")</f>
        <v>31426CNC4</v>
      </c>
      <c r="B4685" t="str">
        <f>_xll.BDP("FRQX6686 Mtge","SECURITY_NAME")</f>
        <v>FR QX6686</v>
      </c>
      <c r="C4685" t="str">
        <f>_xll.BDP("FRQX6686 Mtge","GENERIC_TICKER_VINTAGE")</f>
        <v>FNCL 6 2025</v>
      </c>
      <c r="D4685" t="str">
        <f>_xll.BDP("FRQX6686 Mtge","CRNCY")</f>
        <v>USD</v>
      </c>
      <c r="E4685">
        <v>1476809</v>
      </c>
      <c r="F4685">
        <f>_xll.BDP("FRQX6686 Mtge","CPN")</f>
        <v>6</v>
      </c>
      <c r="G4685">
        <f>_xll.BDP("FRQX6686 Mtge","MTG_FACTOR")</f>
        <v>0.98823642</v>
      </c>
      <c r="H4685">
        <f>_xll.BDP("FRQX6686 Mtge","MTG_WAL")</f>
        <v>3.1585999999999999</v>
      </c>
      <c r="I4685" t="str">
        <f>_xll.BDP("FRQX6686 Mtge","MTG_ORIG_WAL")</f>
        <v>#N/A N/A</v>
      </c>
    </row>
    <row r="4686" spans="1:9" x14ac:dyDescent="0.25">
      <c r="A4686" t="str">
        <f>_xll.BDP("FRQX6687 Mtge","ID_CUSIP")</f>
        <v>31426CND2</v>
      </c>
      <c r="B4686" t="str">
        <f>_xll.BDP("FRQX6687 Mtge","SECURITY_NAME")</f>
        <v>FR QX6687</v>
      </c>
      <c r="C4686" t="str">
        <f>_xll.BDP("FRQX6687 Mtge","GENERIC_TICKER_VINTAGE")</f>
        <v>FNCL 6 2025</v>
      </c>
      <c r="D4686" t="str">
        <f>_xll.BDP("FRQX6687 Mtge","CRNCY")</f>
        <v>USD</v>
      </c>
      <c r="E4686">
        <v>2634322</v>
      </c>
      <c r="F4686">
        <f>_xll.BDP("FRQX6687 Mtge","CPN")</f>
        <v>6</v>
      </c>
      <c r="G4686">
        <f>_xll.BDP("FRQX6687 Mtge","MTG_FACTOR")</f>
        <v>0.84204396999999997</v>
      </c>
      <c r="H4686">
        <f>_xll.BDP("FRQX6687 Mtge","MTG_WAL")</f>
        <v>3.1598000000000002</v>
      </c>
      <c r="I4686" t="str">
        <f>_xll.BDP("FRQX6687 Mtge","MTG_ORIG_WAL")</f>
        <v>#N/A N/A</v>
      </c>
    </row>
    <row r="4687" spans="1:9" x14ac:dyDescent="0.25">
      <c r="A4687" t="str">
        <f>_xll.BDP("FRQX6714 Mtge","ID_CUSIP")</f>
        <v>31426CN83</v>
      </c>
      <c r="B4687" t="str">
        <f>_xll.BDP("FRQX6714 Mtge","SECURITY_NAME")</f>
        <v>FR QX6714</v>
      </c>
      <c r="C4687" t="str">
        <f>_xll.BDP("FRQX6714 Mtge","GENERIC_TICKER_VINTAGE")</f>
        <v>FNCL 6 2025</v>
      </c>
      <c r="D4687" t="str">
        <f>_xll.BDP("FRQX6714 Mtge","CRNCY")</f>
        <v>USD</v>
      </c>
      <c r="E4687">
        <v>11905960</v>
      </c>
      <c r="F4687">
        <f>_xll.BDP("FRQX6714 Mtge","CPN")</f>
        <v>6</v>
      </c>
      <c r="G4687">
        <f>_xll.BDP("FRQX6714 Mtge","MTG_FACTOR")</f>
        <v>0.70407635000000002</v>
      </c>
      <c r="H4687">
        <f>_xll.BDP("FRQX6714 Mtge","MTG_WAL")</f>
        <v>3.153</v>
      </c>
      <c r="I4687" t="str">
        <f>_xll.BDP("FRQX6714 Mtge","MTG_ORIG_WAL")</f>
        <v>#N/A N/A</v>
      </c>
    </row>
    <row r="4688" spans="1:9" x14ac:dyDescent="0.25">
      <c r="A4688" t="str">
        <f>_xll.BDP("FRQX6717 Mtge","ID_CUSIP")</f>
        <v>31426CPB4</v>
      </c>
      <c r="B4688" t="str">
        <f>_xll.BDP("FRQX6717 Mtge","SECURITY_NAME")</f>
        <v>FR QX6717</v>
      </c>
      <c r="C4688" t="str">
        <f>_xll.BDP("FRQX6717 Mtge","GENERIC_TICKER_VINTAGE")</f>
        <v>FNCL 6 2025</v>
      </c>
      <c r="D4688" t="str">
        <f>_xll.BDP("FRQX6717 Mtge","CRNCY")</f>
        <v>USD</v>
      </c>
      <c r="E4688">
        <v>10580540</v>
      </c>
      <c r="F4688">
        <f>_xll.BDP("FRQX6717 Mtge","CPN")</f>
        <v>6</v>
      </c>
      <c r="G4688">
        <f>_xll.BDP("FRQX6717 Mtge","MTG_FACTOR")</f>
        <v>0.83736586000000002</v>
      </c>
      <c r="H4688">
        <f>_xll.BDP("FRQX6717 Mtge","MTG_WAL")</f>
        <v>3.1513</v>
      </c>
      <c r="I4688" t="str">
        <f>_xll.BDP("FRQX6717 Mtge","MTG_ORIG_WAL")</f>
        <v>#N/A N/A</v>
      </c>
    </row>
    <row r="4689" spans="1:9" x14ac:dyDescent="0.25">
      <c r="A4689" t="str">
        <f>_xll.BDP("FRQX6719 Mtge","ID_CUSIP")</f>
        <v>31426CPD0</v>
      </c>
      <c r="B4689" t="str">
        <f>_xll.BDP("FRQX6719 Mtge","SECURITY_NAME")</f>
        <v>FR QX6719</v>
      </c>
      <c r="C4689" t="str">
        <f>_xll.BDP("FRQX6719 Mtge","GENERIC_TICKER_VINTAGE")</f>
        <v>FNCL 6 2025</v>
      </c>
      <c r="D4689" t="str">
        <f>_xll.BDP("FRQX6719 Mtge","CRNCY")</f>
        <v>USD</v>
      </c>
      <c r="E4689">
        <v>4909408</v>
      </c>
      <c r="F4689">
        <f>_xll.BDP("FRQX6719 Mtge","CPN")</f>
        <v>6</v>
      </c>
      <c r="G4689">
        <f>_xll.BDP("FRQX6719 Mtge","MTG_FACTOR")</f>
        <v>0.76468501</v>
      </c>
      <c r="H4689">
        <f>_xll.BDP("FRQX6719 Mtge","MTG_WAL")</f>
        <v>3.1551</v>
      </c>
      <c r="I4689" t="str">
        <f>_xll.BDP("FRQX6719 Mtge","MTG_ORIG_WAL")</f>
        <v>#N/A N/A</v>
      </c>
    </row>
    <row r="4690" spans="1:9" x14ac:dyDescent="0.25">
      <c r="A4690" t="str">
        <f>_xll.BDP("FRQX6726 Mtge","ID_CUSIP")</f>
        <v>31426CPL2</v>
      </c>
      <c r="B4690" t="str">
        <f>_xll.BDP("FRQX6726 Mtge","SECURITY_NAME")</f>
        <v>FR QX6726</v>
      </c>
      <c r="C4690" t="str">
        <f>_xll.BDP("FRQX6726 Mtge","GENERIC_TICKER_VINTAGE")</f>
        <v>FNCL 6 2025</v>
      </c>
      <c r="D4690" t="str">
        <f>_xll.BDP("FRQX6726 Mtge","CRNCY")</f>
        <v>USD</v>
      </c>
      <c r="E4690">
        <v>7080682</v>
      </c>
      <c r="F4690">
        <f>_xll.BDP("FRQX6726 Mtge","CPN")</f>
        <v>6</v>
      </c>
      <c r="G4690">
        <f>_xll.BDP("FRQX6726 Mtge","MTG_FACTOR")</f>
        <v>0.83012233000000002</v>
      </c>
      <c r="H4690">
        <f>_xll.BDP("FRQX6726 Mtge","MTG_WAL")</f>
        <v>3.1536</v>
      </c>
      <c r="I4690" t="str">
        <f>_xll.BDP("FRQX6726 Mtge","MTG_ORIG_WAL")</f>
        <v>#N/A N/A</v>
      </c>
    </row>
    <row r="4691" spans="1:9" x14ac:dyDescent="0.25">
      <c r="A4691" t="str">
        <f>_xll.BDP("FRQX6727 Mtge","ID_CUSIP")</f>
        <v>31426CPM0</v>
      </c>
      <c r="B4691" t="str">
        <f>_xll.BDP("FRQX6727 Mtge","SECURITY_NAME")</f>
        <v>FR QX6727</v>
      </c>
      <c r="C4691" t="str">
        <f>_xll.BDP("FRQX6727 Mtge","GENERIC_TICKER_VINTAGE")</f>
        <v>FNCL 6 2025</v>
      </c>
      <c r="D4691" t="str">
        <f>_xll.BDP("FRQX6727 Mtge","CRNCY")</f>
        <v>USD</v>
      </c>
      <c r="E4691">
        <v>4289923</v>
      </c>
      <c r="F4691">
        <f>_xll.BDP("FRQX6727 Mtge","CPN")</f>
        <v>6</v>
      </c>
      <c r="G4691">
        <f>_xll.BDP("FRQX6727 Mtge","MTG_FACTOR")</f>
        <v>0.88584129</v>
      </c>
      <c r="H4691">
        <f>_xll.BDP("FRQX6727 Mtge","MTG_WAL")</f>
        <v>3.1375999999999999</v>
      </c>
      <c r="I4691" t="str">
        <f>_xll.BDP("FRQX6727 Mtge","MTG_ORIG_WAL")</f>
        <v>#N/A N/A</v>
      </c>
    </row>
    <row r="4692" spans="1:9" x14ac:dyDescent="0.25">
      <c r="A4692" t="str">
        <f>_xll.BDP("FRQX6737 Mtge","ID_CUSIP")</f>
        <v>31426CPX6</v>
      </c>
      <c r="B4692" t="str">
        <f>_xll.BDP("FRQX6737 Mtge","SECURITY_NAME")</f>
        <v>FR QX6737</v>
      </c>
      <c r="C4692" t="str">
        <f>_xll.BDP("FRQX6737 Mtge","GENERIC_TICKER_VINTAGE")</f>
        <v>FNCL 6 2025</v>
      </c>
      <c r="D4692" t="str">
        <f>_xll.BDP("FRQX6737 Mtge","CRNCY")</f>
        <v>USD</v>
      </c>
      <c r="E4692">
        <v>34251989</v>
      </c>
      <c r="F4692">
        <f>_xll.BDP("FRQX6737 Mtge","CPN")</f>
        <v>6</v>
      </c>
      <c r="G4692">
        <f>_xll.BDP("FRQX6737 Mtge","MTG_FACTOR")</f>
        <v>0.84031982999999999</v>
      </c>
      <c r="H4692">
        <f>_xll.BDP("FRQX6737 Mtge","MTG_WAL")</f>
        <v>3.1537999999999999</v>
      </c>
      <c r="I4692" t="str">
        <f>_xll.BDP("FRQX6737 Mtge","MTG_ORIG_WAL")</f>
        <v>#N/A N/A</v>
      </c>
    </row>
    <row r="4693" spans="1:9" x14ac:dyDescent="0.25">
      <c r="A4693" t="str">
        <f>_xll.BDP("FRQX6741 Mtge","ID_CUSIP")</f>
        <v>31426CP32</v>
      </c>
      <c r="B4693" t="str">
        <f>_xll.BDP("FRQX6741 Mtge","SECURITY_NAME")</f>
        <v>FR QX6741</v>
      </c>
      <c r="C4693" t="str">
        <f>_xll.BDP("FRQX6741 Mtge","GENERIC_TICKER_VINTAGE")</f>
        <v>FNCL 6 2025</v>
      </c>
      <c r="D4693" t="str">
        <f>_xll.BDP("FRQX6741 Mtge","CRNCY")</f>
        <v>USD</v>
      </c>
      <c r="E4693">
        <v>5876201</v>
      </c>
      <c r="F4693">
        <f>_xll.BDP("FRQX6741 Mtge","CPN")</f>
        <v>6</v>
      </c>
      <c r="G4693">
        <f>_xll.BDP("FRQX6741 Mtge","MTG_FACTOR")</f>
        <v>0.82293320999999997</v>
      </c>
      <c r="H4693">
        <f>_xll.BDP("FRQX6741 Mtge","MTG_WAL")</f>
        <v>3.1554000000000002</v>
      </c>
      <c r="I4693" t="str">
        <f>_xll.BDP("FRQX6741 Mtge","MTG_ORIG_WAL")</f>
        <v>#N/A N/A</v>
      </c>
    </row>
    <row r="4694" spans="1:9" x14ac:dyDescent="0.25">
      <c r="A4694" t="str">
        <f>_xll.BDP("FRQX6742 Mtge","ID_CUSIP")</f>
        <v>31426CP40</v>
      </c>
      <c r="B4694" t="str">
        <f>_xll.BDP("FRQX6742 Mtge","SECURITY_NAME")</f>
        <v>FR QX6742</v>
      </c>
      <c r="C4694" t="str">
        <f>_xll.BDP("FRQX6742 Mtge","GENERIC_TICKER_VINTAGE")</f>
        <v>FNCL 6 2025</v>
      </c>
      <c r="D4694" t="str">
        <f>_xll.BDP("FRQX6742 Mtge","CRNCY")</f>
        <v>USD</v>
      </c>
      <c r="E4694">
        <v>4703887</v>
      </c>
      <c r="F4694">
        <f>_xll.BDP("FRQX6742 Mtge","CPN")</f>
        <v>6</v>
      </c>
      <c r="G4694">
        <f>_xll.BDP("FRQX6742 Mtge","MTG_FACTOR")</f>
        <v>0.67221167000000004</v>
      </c>
      <c r="H4694">
        <f>_xll.BDP("FRQX6742 Mtge","MTG_WAL")</f>
        <v>3.1579000000000002</v>
      </c>
      <c r="I4694" t="str">
        <f>_xll.BDP("FRQX6742 Mtge","MTG_ORIG_WAL")</f>
        <v>#N/A N/A</v>
      </c>
    </row>
    <row r="4695" spans="1:9" x14ac:dyDescent="0.25">
      <c r="A4695" t="str">
        <f>_xll.BDP("FRQX6745 Mtge","ID_CUSIP")</f>
        <v>31426CP73</v>
      </c>
      <c r="B4695" t="str">
        <f>_xll.BDP("FRQX6745 Mtge","SECURITY_NAME")</f>
        <v>FR QX6745</v>
      </c>
      <c r="C4695" t="str">
        <f>_xll.BDP("FRQX6745 Mtge","GENERIC_TICKER_VINTAGE")</f>
        <v>FNCL 6 2025</v>
      </c>
      <c r="D4695" t="str">
        <f>_xll.BDP("FRQX6745 Mtge","CRNCY")</f>
        <v>USD</v>
      </c>
      <c r="E4695">
        <v>3558426</v>
      </c>
      <c r="F4695">
        <f>_xll.BDP("FRQX6745 Mtge","CPN")</f>
        <v>6</v>
      </c>
      <c r="G4695">
        <f>_xll.BDP("FRQX6745 Mtge","MTG_FACTOR")</f>
        <v>0.85104612999999996</v>
      </c>
      <c r="H4695">
        <f>_xll.BDP("FRQX6745 Mtge","MTG_WAL")</f>
        <v>3.1503000000000001</v>
      </c>
      <c r="I4695" t="str">
        <f>_xll.BDP("FRQX6745 Mtge","MTG_ORIG_WAL")</f>
        <v>#N/A N/A</v>
      </c>
    </row>
    <row r="4696" spans="1:9" x14ac:dyDescent="0.25">
      <c r="A4696" t="str">
        <f>_xll.BDP("FRQX6746 Mtge","ID_CUSIP")</f>
        <v>31426CP81</v>
      </c>
      <c r="B4696" t="str">
        <f>_xll.BDP("FRQX6746 Mtge","SECURITY_NAME")</f>
        <v>FR QX6746</v>
      </c>
      <c r="C4696" t="str">
        <f>_xll.BDP("FRQX6746 Mtge","GENERIC_TICKER_VINTAGE")</f>
        <v>FNCL 6 2025</v>
      </c>
      <c r="D4696" t="str">
        <f>_xll.BDP("FRQX6746 Mtge","CRNCY")</f>
        <v>USD</v>
      </c>
      <c r="E4696">
        <v>11638185</v>
      </c>
      <c r="F4696">
        <f>_xll.BDP("FRQX6746 Mtge","CPN")</f>
        <v>6</v>
      </c>
      <c r="G4696">
        <f>_xll.BDP("FRQX6746 Mtge","MTG_FACTOR")</f>
        <v>0.82470107000000004</v>
      </c>
      <c r="H4696">
        <f>_xll.BDP("FRQX6746 Mtge","MTG_WAL")</f>
        <v>3.1568999999999998</v>
      </c>
      <c r="I4696" t="str">
        <f>_xll.BDP("FRQX6746 Mtge","MTG_ORIG_WAL")</f>
        <v>#N/A N/A</v>
      </c>
    </row>
    <row r="4697" spans="1:9" x14ac:dyDescent="0.25">
      <c r="A4697" t="str">
        <f>_xll.BDP("FRQX6761 Mtge","ID_CUSIP")</f>
        <v>31426CQP2</v>
      </c>
      <c r="B4697" t="str">
        <f>_xll.BDP("FRQX6761 Mtge","SECURITY_NAME")</f>
        <v>FR QX6761</v>
      </c>
      <c r="C4697" t="str">
        <f>_xll.BDP("FRQX6761 Mtge","GENERIC_TICKER_VINTAGE")</f>
        <v>FNCL 6 2025</v>
      </c>
      <c r="D4697" t="str">
        <f>_xll.BDP("FRQX6761 Mtge","CRNCY")</f>
        <v>USD</v>
      </c>
      <c r="E4697">
        <v>2820004</v>
      </c>
      <c r="F4697">
        <f>_xll.BDP("FRQX6761 Mtge","CPN")</f>
        <v>6</v>
      </c>
      <c r="G4697">
        <f>_xll.BDP("FRQX6761 Mtge","MTG_FACTOR")</f>
        <v>0.86332049</v>
      </c>
      <c r="H4697">
        <f>_xll.BDP("FRQX6761 Mtge","MTG_WAL")</f>
        <v>3.1366999999999998</v>
      </c>
      <c r="I4697" t="str">
        <f>_xll.BDP("FRQX6761 Mtge","MTG_ORIG_WAL")</f>
        <v>#N/A N/A</v>
      </c>
    </row>
    <row r="4698" spans="1:9" x14ac:dyDescent="0.25">
      <c r="A4698" t="str">
        <f>_xll.BDP("FRQX6762 Mtge","ID_CUSIP")</f>
        <v>31426CQQ0</v>
      </c>
      <c r="B4698" t="str">
        <f>_xll.BDP("FRQX6762 Mtge","SECURITY_NAME")</f>
        <v>FR QX6762</v>
      </c>
      <c r="C4698" t="str">
        <f>_xll.BDP("FRQX6762 Mtge","GENERIC_TICKER_VINTAGE")</f>
        <v>FNCL 6 2025</v>
      </c>
      <c r="D4698" t="str">
        <f>_xll.BDP("FRQX6762 Mtge","CRNCY")</f>
        <v>USD</v>
      </c>
      <c r="E4698">
        <v>17775086</v>
      </c>
      <c r="F4698">
        <f>_xll.BDP("FRQX6762 Mtge","CPN")</f>
        <v>6</v>
      </c>
      <c r="G4698">
        <f>_xll.BDP("FRQX6762 Mtge","MTG_FACTOR")</f>
        <v>0.77051139999999996</v>
      </c>
      <c r="H4698">
        <f>_xll.BDP("FRQX6762 Mtge","MTG_WAL")</f>
        <v>3.1560999999999999</v>
      </c>
      <c r="I4698" t="str">
        <f>_xll.BDP("FRQX6762 Mtge","MTG_ORIG_WAL")</f>
        <v>#N/A N/A</v>
      </c>
    </row>
    <row r="4699" spans="1:9" x14ac:dyDescent="0.25">
      <c r="A4699" t="str">
        <f>_xll.BDP("FRQX6774 Mtge","ID_CUSIP")</f>
        <v>31426CQ49</v>
      </c>
      <c r="B4699" t="str">
        <f>_xll.BDP("FRQX6774 Mtge","SECURITY_NAME")</f>
        <v>FR QX6774</v>
      </c>
      <c r="C4699" t="str">
        <f>_xll.BDP("FRQX6774 Mtge","GENERIC_TICKER_VINTAGE")</f>
        <v>FNCL 6 2025</v>
      </c>
      <c r="D4699" t="str">
        <f>_xll.BDP("FRQX6774 Mtge","CRNCY")</f>
        <v>USD</v>
      </c>
      <c r="E4699">
        <v>1318927</v>
      </c>
      <c r="F4699">
        <f>_xll.BDP("FRQX6774 Mtge","CPN")</f>
        <v>6</v>
      </c>
      <c r="G4699">
        <f>_xll.BDP("FRQX6774 Mtge","MTG_FACTOR")</f>
        <v>0.988622</v>
      </c>
      <c r="H4699">
        <f>_xll.BDP("FRQX6774 Mtge","MTG_WAL")</f>
        <v>3.1606999999999998</v>
      </c>
      <c r="I4699" t="str">
        <f>_xll.BDP("FRQX6774 Mtge","MTG_ORIG_WAL")</f>
        <v>#N/A N/A</v>
      </c>
    </row>
    <row r="4700" spans="1:9" x14ac:dyDescent="0.25">
      <c r="A4700" t="str">
        <f>_xll.BDP("FRQX6776 Mtge","ID_CUSIP")</f>
        <v>31426CQ64</v>
      </c>
      <c r="B4700" t="str">
        <f>_xll.BDP("FRQX6776 Mtge","SECURITY_NAME")</f>
        <v>FR QX6776</v>
      </c>
      <c r="C4700" t="str">
        <f>_xll.BDP("FRQX6776 Mtge","GENERIC_TICKER_VINTAGE")</f>
        <v>FNCL 6 2025</v>
      </c>
      <c r="D4700" t="str">
        <f>_xll.BDP("FRQX6776 Mtge","CRNCY")</f>
        <v>USD</v>
      </c>
      <c r="E4700">
        <v>1258453</v>
      </c>
      <c r="F4700">
        <f>_xll.BDP("FRQX6776 Mtge","CPN")</f>
        <v>6</v>
      </c>
      <c r="G4700">
        <f>_xll.BDP("FRQX6776 Mtge","MTG_FACTOR")</f>
        <v>0.98364125999999996</v>
      </c>
      <c r="H4700">
        <f>_xll.BDP("FRQX6776 Mtge","MTG_WAL")</f>
        <v>3.1568999999999998</v>
      </c>
      <c r="I4700" t="str">
        <f>_xll.BDP("FRQX6776 Mtge","MTG_ORIG_WAL")</f>
        <v>#N/A N/A</v>
      </c>
    </row>
    <row r="4701" spans="1:9" x14ac:dyDescent="0.25">
      <c r="A4701" t="str">
        <f>_xll.BDP("FRQX6778 Mtge","ID_CUSIP")</f>
        <v>31426CQ80</v>
      </c>
      <c r="B4701" t="str">
        <f>_xll.BDP("FRQX6778 Mtge","SECURITY_NAME")</f>
        <v>FR QX6778</v>
      </c>
      <c r="C4701" t="str">
        <f>_xll.BDP("FRQX6778 Mtge","GENERIC_TICKER_VINTAGE")</f>
        <v>FNCL 6 2025</v>
      </c>
      <c r="D4701" t="str">
        <f>_xll.BDP("FRQX6778 Mtge","CRNCY")</f>
        <v>USD</v>
      </c>
      <c r="E4701">
        <v>3290200</v>
      </c>
      <c r="F4701">
        <f>_xll.BDP("FRQX6778 Mtge","CPN")</f>
        <v>6</v>
      </c>
      <c r="G4701">
        <f>_xll.BDP("FRQX6778 Mtge","MTG_FACTOR")</f>
        <v>0.98662271999999995</v>
      </c>
      <c r="H4701">
        <f>_xll.BDP("FRQX6778 Mtge","MTG_WAL")</f>
        <v>3.1614</v>
      </c>
      <c r="I4701" t="str">
        <f>_xll.BDP("FRQX6778 Mtge","MTG_ORIG_WAL")</f>
        <v>#N/A N/A</v>
      </c>
    </row>
    <row r="4702" spans="1:9" x14ac:dyDescent="0.25">
      <c r="A4702" t="str">
        <f>_xll.BDP("FRQX6793 Mtge","ID_CUSIP")</f>
        <v>31426CRP1</v>
      </c>
      <c r="B4702" t="str">
        <f>_xll.BDP("FRQX6793 Mtge","SECURITY_NAME")</f>
        <v>FR QX6793</v>
      </c>
      <c r="C4702" t="str">
        <f>_xll.BDP("FRQX6793 Mtge","GENERIC_TICKER_VINTAGE")</f>
        <v>FNCL 6 2025</v>
      </c>
      <c r="D4702" t="str">
        <f>_xll.BDP("FRQX6793 Mtge","CRNCY")</f>
        <v>USD</v>
      </c>
      <c r="E4702">
        <v>1195587</v>
      </c>
      <c r="F4702">
        <f>_xll.BDP("FRQX6793 Mtge","CPN")</f>
        <v>6</v>
      </c>
      <c r="G4702">
        <f>_xll.BDP("FRQX6793 Mtge","MTG_FACTOR")</f>
        <v>0.80017366000000001</v>
      </c>
      <c r="H4702">
        <f>_xll.BDP("FRQX6793 Mtge","MTG_WAL")</f>
        <v>3.1617999999999999</v>
      </c>
      <c r="I4702" t="str">
        <f>_xll.BDP("FRQX6793 Mtge","MTG_ORIG_WAL")</f>
        <v>#N/A N/A</v>
      </c>
    </row>
    <row r="4703" spans="1:9" x14ac:dyDescent="0.25">
      <c r="A4703" t="str">
        <f>_xll.BDP("FRQX6797 Mtge","ID_CUSIP")</f>
        <v>31426CRT3</v>
      </c>
      <c r="B4703" t="str">
        <f>_xll.BDP("FRQX6797 Mtge","SECURITY_NAME")</f>
        <v>FR QX6797</v>
      </c>
      <c r="C4703" t="str">
        <f>_xll.BDP("FRQX6797 Mtge","GENERIC_TICKER_VINTAGE")</f>
        <v>FNCL 6 2025</v>
      </c>
      <c r="D4703" t="str">
        <f>_xll.BDP("FRQX6797 Mtge","CRNCY")</f>
        <v>USD</v>
      </c>
      <c r="E4703">
        <v>1347900</v>
      </c>
      <c r="F4703">
        <f>_xll.BDP("FRQX6797 Mtge","CPN")</f>
        <v>6</v>
      </c>
      <c r="G4703">
        <f>_xll.BDP("FRQX6797 Mtge","MTG_FACTOR")</f>
        <v>0.25253346999999998</v>
      </c>
      <c r="H4703">
        <f>_xll.BDP("FRQX6797 Mtge","MTG_WAL")</f>
        <v>3.1575000000000002</v>
      </c>
      <c r="I4703" t="str">
        <f>_xll.BDP("FRQX6797 Mtge","MTG_ORIG_WAL")</f>
        <v>#N/A N/A</v>
      </c>
    </row>
    <row r="4704" spans="1:9" x14ac:dyDescent="0.25">
      <c r="A4704" t="str">
        <f>_xll.BDP("FRQX6801 Mtge","ID_CUSIP")</f>
        <v>31426CRX4</v>
      </c>
      <c r="B4704" t="str">
        <f>_xll.BDP("FRQX6801 Mtge","SECURITY_NAME")</f>
        <v>FR QX6801</v>
      </c>
      <c r="C4704" t="str">
        <f>_xll.BDP("FRQX6801 Mtge","GENERIC_TICKER_VINTAGE")</f>
        <v>FNCL 6 2025</v>
      </c>
      <c r="D4704" t="str">
        <f>_xll.BDP("FRQX6801 Mtge","CRNCY")</f>
        <v>USD</v>
      </c>
      <c r="E4704">
        <v>1397564</v>
      </c>
      <c r="F4704">
        <f>_xll.BDP("FRQX6801 Mtge","CPN")</f>
        <v>6</v>
      </c>
      <c r="G4704">
        <f>_xll.BDP("FRQX6801 Mtge","MTG_FACTOR")</f>
        <v>0.63492247000000002</v>
      </c>
      <c r="H4704">
        <f>_xll.BDP("FRQX6801 Mtge","MTG_WAL")</f>
        <v>3.1627999999999998</v>
      </c>
      <c r="I4704" t="str">
        <f>_xll.BDP("FRQX6801 Mtge","MTG_ORIG_WAL")</f>
        <v>#N/A N/A</v>
      </c>
    </row>
    <row r="4705" spans="1:9" x14ac:dyDescent="0.25">
      <c r="A4705" t="str">
        <f>_xll.BDP("FRQX6803 Mtge","ID_CUSIP")</f>
        <v>31426CRZ9</v>
      </c>
      <c r="B4705" t="str">
        <f>_xll.BDP("FRQX6803 Mtge","SECURITY_NAME")</f>
        <v>FR QX6803</v>
      </c>
      <c r="C4705" t="str">
        <f>_xll.BDP("FRQX6803 Mtge","GENERIC_TICKER_VINTAGE")</f>
        <v>FNCL 6 2025</v>
      </c>
      <c r="D4705" t="str">
        <f>_xll.BDP("FRQX6803 Mtge","CRNCY")</f>
        <v>USD</v>
      </c>
      <c r="E4705">
        <v>2827956</v>
      </c>
      <c r="F4705">
        <f>_xll.BDP("FRQX6803 Mtge","CPN")</f>
        <v>6</v>
      </c>
      <c r="G4705">
        <f>_xll.BDP("FRQX6803 Mtge","MTG_FACTOR")</f>
        <v>0.81273854000000001</v>
      </c>
      <c r="H4705">
        <f>_xll.BDP("FRQX6803 Mtge","MTG_WAL")</f>
        <v>3.1621999999999999</v>
      </c>
      <c r="I4705" t="str">
        <f>_xll.BDP("FRQX6803 Mtge","MTG_ORIG_WAL")</f>
        <v>#N/A N/A</v>
      </c>
    </row>
    <row r="4706" spans="1:9" x14ac:dyDescent="0.25">
      <c r="A4706" t="str">
        <f>_xll.BDP("FRQX6817 Mtge","ID_CUSIP")</f>
        <v>31426CSF2</v>
      </c>
      <c r="B4706" t="str">
        <f>_xll.BDP("FRQX6817 Mtge","SECURITY_NAME")</f>
        <v>FR QX6817</v>
      </c>
      <c r="C4706" t="str">
        <f>_xll.BDP("FRQX6817 Mtge","GENERIC_TICKER_VINTAGE")</f>
        <v>FNCL 6 2025</v>
      </c>
      <c r="D4706" t="str">
        <f>_xll.BDP("FRQX6817 Mtge","CRNCY")</f>
        <v>USD</v>
      </c>
      <c r="E4706">
        <v>5467440</v>
      </c>
      <c r="F4706">
        <f>_xll.BDP("FRQX6817 Mtge","CPN")</f>
        <v>6</v>
      </c>
      <c r="G4706">
        <f>_xll.BDP("FRQX6817 Mtge","MTG_FACTOR")</f>
        <v>0.6966291</v>
      </c>
      <c r="H4706">
        <f>_xll.BDP("FRQX6817 Mtge","MTG_WAL")</f>
        <v>3.1522999999999999</v>
      </c>
      <c r="I4706" t="str">
        <f>_xll.BDP("FRQX6817 Mtge","MTG_ORIG_WAL")</f>
        <v>#N/A N/A</v>
      </c>
    </row>
    <row r="4707" spans="1:9" x14ac:dyDescent="0.25">
      <c r="A4707" t="str">
        <f>_xll.BDP("FRQX6826 Mtge","ID_CUSIP")</f>
        <v>31426CSQ8</v>
      </c>
      <c r="B4707" t="str">
        <f>_xll.BDP("FRQX6826 Mtge","SECURITY_NAME")</f>
        <v>FR QX6826</v>
      </c>
      <c r="C4707" t="str">
        <f>_xll.BDP("FRQX6826 Mtge","GENERIC_TICKER_VINTAGE")</f>
        <v>FNCL 6 2025</v>
      </c>
      <c r="D4707" t="str">
        <f>_xll.BDP("FRQX6826 Mtge","CRNCY")</f>
        <v>USD</v>
      </c>
      <c r="E4707">
        <v>5899700</v>
      </c>
      <c r="F4707">
        <f>_xll.BDP("FRQX6826 Mtge","CPN")</f>
        <v>6</v>
      </c>
      <c r="G4707">
        <f>_xll.BDP("FRQX6826 Mtge","MTG_FACTOR")</f>
        <v>0.8268432</v>
      </c>
      <c r="H4707">
        <f>_xll.BDP("FRQX6826 Mtge","MTG_WAL")</f>
        <v>3.1579000000000002</v>
      </c>
      <c r="I4707" t="str">
        <f>_xll.BDP("FRQX6826 Mtge","MTG_ORIG_WAL")</f>
        <v>#N/A N/A</v>
      </c>
    </row>
    <row r="4708" spans="1:9" x14ac:dyDescent="0.25">
      <c r="A4708" t="str">
        <f>_xll.BDP("FRQX6834 Mtge","ID_CUSIP")</f>
        <v>31426CSY1</v>
      </c>
      <c r="B4708" t="str">
        <f>_xll.BDP("FRQX6834 Mtge","SECURITY_NAME")</f>
        <v>FR QX6834</v>
      </c>
      <c r="C4708" t="str">
        <f>_xll.BDP("FRQX6834 Mtge","GENERIC_TICKER_VINTAGE")</f>
        <v>FNCL 6 2025</v>
      </c>
      <c r="D4708" t="str">
        <f>_xll.BDP("FRQX6834 Mtge","CRNCY")</f>
        <v>USD</v>
      </c>
      <c r="E4708">
        <v>1813384</v>
      </c>
      <c r="F4708">
        <f>_xll.BDP("FRQX6834 Mtge","CPN")</f>
        <v>6</v>
      </c>
      <c r="G4708">
        <f>_xll.BDP("FRQX6834 Mtge","MTG_FACTOR")</f>
        <v>0.97824339000000005</v>
      </c>
      <c r="H4708">
        <f>_xll.BDP("FRQX6834 Mtge","MTG_WAL")</f>
        <v>3.1537000000000002</v>
      </c>
      <c r="I4708" t="str">
        <f>_xll.BDP("FRQX6834 Mtge","MTG_ORIG_WAL")</f>
        <v>#N/A N/A</v>
      </c>
    </row>
    <row r="4709" spans="1:9" x14ac:dyDescent="0.25">
      <c r="A4709" t="str">
        <f>_xll.BDP("FRQX6836 Mtge","ID_CUSIP")</f>
        <v>31426CS21</v>
      </c>
      <c r="B4709" t="str">
        <f>_xll.BDP("FRQX6836 Mtge","SECURITY_NAME")</f>
        <v>FR QX6836</v>
      </c>
      <c r="C4709" t="str">
        <f>_xll.BDP("FRQX6836 Mtge","GENERIC_TICKER_VINTAGE")</f>
        <v>FNCL 6 2025</v>
      </c>
      <c r="D4709" t="str">
        <f>_xll.BDP("FRQX6836 Mtge","CRNCY")</f>
        <v>USD</v>
      </c>
      <c r="E4709">
        <v>6065245</v>
      </c>
      <c r="F4709">
        <f>_xll.BDP("FRQX6836 Mtge","CPN")</f>
        <v>6</v>
      </c>
      <c r="G4709">
        <f>_xll.BDP("FRQX6836 Mtge","MTG_FACTOR")</f>
        <v>0.77974756999999995</v>
      </c>
      <c r="H4709">
        <f>_xll.BDP("FRQX6836 Mtge","MTG_WAL")</f>
        <v>3.1415999999999999</v>
      </c>
      <c r="I4709" t="str">
        <f>_xll.BDP("FRQX6836 Mtge","MTG_ORIG_WAL")</f>
        <v>#N/A N/A</v>
      </c>
    </row>
    <row r="4710" spans="1:9" x14ac:dyDescent="0.25">
      <c r="A4710" t="str">
        <f>_xll.BDP("FRQX6842 Mtge","ID_CUSIP")</f>
        <v>31426CS88</v>
      </c>
      <c r="B4710" t="str">
        <f>_xll.BDP("FRQX6842 Mtge","SECURITY_NAME")</f>
        <v>FR QX6842</v>
      </c>
      <c r="C4710" t="str">
        <f>_xll.BDP("FRQX6842 Mtge","GENERIC_TICKER_VINTAGE")</f>
        <v>FNCL 6 2025</v>
      </c>
      <c r="D4710" t="str">
        <f>_xll.BDP("FRQX6842 Mtge","CRNCY")</f>
        <v>USD</v>
      </c>
      <c r="E4710">
        <v>1334614</v>
      </c>
      <c r="F4710">
        <f>_xll.BDP("FRQX6842 Mtge","CPN")</f>
        <v>6</v>
      </c>
      <c r="G4710">
        <f>_xll.BDP("FRQX6842 Mtge","MTG_FACTOR")</f>
        <v>0.98864565000000004</v>
      </c>
      <c r="H4710">
        <f>_xll.BDP("FRQX6842 Mtge","MTG_WAL")</f>
        <v>3.1608999999999998</v>
      </c>
      <c r="I4710" t="str">
        <f>_xll.BDP("FRQX6842 Mtge","MTG_ORIG_WAL")</f>
        <v>#N/A N/A</v>
      </c>
    </row>
    <row r="4711" spans="1:9" x14ac:dyDescent="0.25">
      <c r="A4711" t="str">
        <f>_xll.BDP("FRQX6843 Mtge","ID_CUSIP")</f>
        <v>31426CS96</v>
      </c>
      <c r="B4711" t="str">
        <f>_xll.BDP("FRQX6843 Mtge","SECURITY_NAME")</f>
        <v>FR QX6843</v>
      </c>
      <c r="C4711" t="str">
        <f>_xll.BDP("FRQX6843 Mtge","GENERIC_TICKER_VINTAGE")</f>
        <v>FNCL 6 2025</v>
      </c>
      <c r="D4711" t="str">
        <f>_xll.BDP("FRQX6843 Mtge","CRNCY")</f>
        <v>USD</v>
      </c>
      <c r="E4711">
        <v>1070500</v>
      </c>
      <c r="F4711">
        <f>_xll.BDP("FRQX6843 Mtge","CPN")</f>
        <v>6</v>
      </c>
      <c r="G4711">
        <f>_xll.BDP("FRQX6843 Mtge","MTG_FACTOR")</f>
        <v>0.73440706</v>
      </c>
      <c r="H4711">
        <f>_xll.BDP("FRQX6843 Mtge","MTG_WAL")</f>
        <v>3.1564000000000001</v>
      </c>
      <c r="I4711" t="str">
        <f>_xll.BDP("FRQX6843 Mtge","MTG_ORIG_WAL")</f>
        <v>#N/A N/A</v>
      </c>
    </row>
    <row r="4712" spans="1:9" x14ac:dyDescent="0.25">
      <c r="A4712" t="str">
        <f>_xll.BDP("FRQX6846 Mtge","ID_CUSIP")</f>
        <v>31426CTC8</v>
      </c>
      <c r="B4712" t="str">
        <f>_xll.BDP("FRQX6846 Mtge","SECURITY_NAME")</f>
        <v>FR QX6846</v>
      </c>
      <c r="C4712" t="str">
        <f>_xll.BDP("FRQX6846 Mtge","GENERIC_TICKER_VINTAGE")</f>
        <v>FNCL 6 2025</v>
      </c>
      <c r="D4712" t="str">
        <f>_xll.BDP("FRQX6846 Mtge","CRNCY")</f>
        <v>USD</v>
      </c>
      <c r="E4712">
        <v>5534843</v>
      </c>
      <c r="F4712">
        <f>_xll.BDP("FRQX6846 Mtge","CPN")</f>
        <v>6</v>
      </c>
      <c r="G4712">
        <f>_xll.BDP("FRQX6846 Mtge","MTG_FACTOR")</f>
        <v>0.84631761000000005</v>
      </c>
      <c r="H4712">
        <f>_xll.BDP("FRQX6846 Mtge","MTG_WAL")</f>
        <v>3.1564999999999999</v>
      </c>
      <c r="I4712" t="str">
        <f>_xll.BDP("FRQX6846 Mtge","MTG_ORIG_WAL")</f>
        <v>#N/A N/A</v>
      </c>
    </row>
    <row r="4713" spans="1:9" x14ac:dyDescent="0.25">
      <c r="A4713" t="str">
        <f>_xll.BDP("FRQX6851 Mtge","ID_CUSIP")</f>
        <v>31426CTH7</v>
      </c>
      <c r="B4713" t="str">
        <f>_xll.BDP("FRQX6851 Mtge","SECURITY_NAME")</f>
        <v>FR QX6851</v>
      </c>
      <c r="C4713" t="str">
        <f>_xll.BDP("FRQX6851 Mtge","GENERIC_TICKER_VINTAGE")</f>
        <v>FNCL 6 2025</v>
      </c>
      <c r="D4713" t="str">
        <f>_xll.BDP("FRQX6851 Mtge","CRNCY")</f>
        <v>USD</v>
      </c>
      <c r="E4713">
        <v>3466465</v>
      </c>
      <c r="F4713">
        <f>_xll.BDP("FRQX6851 Mtge","CPN")</f>
        <v>6</v>
      </c>
      <c r="G4713">
        <f>_xll.BDP("FRQX6851 Mtge","MTG_FACTOR")</f>
        <v>0.98767552999999997</v>
      </c>
      <c r="H4713">
        <f>_xll.BDP("FRQX6851 Mtge","MTG_WAL")</f>
        <v>3.1606000000000001</v>
      </c>
      <c r="I4713" t="str">
        <f>_xll.BDP("FRQX6851 Mtge","MTG_ORIG_WAL")</f>
        <v>#N/A N/A</v>
      </c>
    </row>
    <row r="4714" spans="1:9" x14ac:dyDescent="0.25">
      <c r="A4714" t="str">
        <f>_xll.BDP("FRQX6852 Mtge","ID_CUSIP")</f>
        <v>31426CTJ3</v>
      </c>
      <c r="B4714" t="str">
        <f>_xll.BDP("FRQX6852 Mtge","SECURITY_NAME")</f>
        <v>FR QX6852</v>
      </c>
      <c r="C4714" t="str">
        <f>_xll.BDP("FRQX6852 Mtge","GENERIC_TICKER_VINTAGE")</f>
        <v>FNCL 6 2025</v>
      </c>
      <c r="D4714" t="str">
        <f>_xll.BDP("FRQX6852 Mtge","CRNCY")</f>
        <v>USD</v>
      </c>
      <c r="E4714">
        <v>2700241</v>
      </c>
      <c r="F4714">
        <f>_xll.BDP("FRQX6852 Mtge","CPN")</f>
        <v>6</v>
      </c>
      <c r="G4714">
        <f>_xll.BDP("FRQX6852 Mtge","MTG_FACTOR")</f>
        <v>0.73653257000000005</v>
      </c>
      <c r="H4714">
        <f>_xll.BDP("FRQX6852 Mtge","MTG_WAL")</f>
        <v>3.1573000000000002</v>
      </c>
      <c r="I4714" t="str">
        <f>_xll.BDP("FRQX6852 Mtge","MTG_ORIG_WAL")</f>
        <v>#N/A N/A</v>
      </c>
    </row>
    <row r="4715" spans="1:9" x14ac:dyDescent="0.25">
      <c r="A4715" t="str">
        <f>_xll.BDP("FRQX6853 Mtge","ID_CUSIP")</f>
        <v>31426CTK0</v>
      </c>
      <c r="B4715" t="str">
        <f>_xll.BDP("FRQX6853 Mtge","SECURITY_NAME")</f>
        <v>FR QX6853</v>
      </c>
      <c r="C4715" t="str">
        <f>_xll.BDP("FRQX6853 Mtge","GENERIC_TICKER_VINTAGE")</f>
        <v>FNCL 6 2025</v>
      </c>
      <c r="D4715" t="str">
        <f>_xll.BDP("FRQX6853 Mtge","CRNCY")</f>
        <v>USD</v>
      </c>
      <c r="E4715">
        <v>3612700</v>
      </c>
      <c r="F4715">
        <f>_xll.BDP("FRQX6853 Mtge","CPN")</f>
        <v>6</v>
      </c>
      <c r="G4715">
        <f>_xll.BDP("FRQX6853 Mtge","MTG_FACTOR")</f>
        <v>0.98622463000000005</v>
      </c>
      <c r="H4715">
        <f>_xll.BDP("FRQX6853 Mtge","MTG_WAL")</f>
        <v>3.1591999999999998</v>
      </c>
      <c r="I4715" t="str">
        <f>_xll.BDP("FRQX6853 Mtge","MTG_ORIG_WAL")</f>
        <v>#N/A N/A</v>
      </c>
    </row>
    <row r="4716" spans="1:9" x14ac:dyDescent="0.25">
      <c r="A4716" t="str">
        <f>_xll.BDP("FRQX6862 Mtge","ID_CUSIP")</f>
        <v>31426CTU8</v>
      </c>
      <c r="B4716" t="str">
        <f>_xll.BDP("FRQX6862 Mtge","SECURITY_NAME")</f>
        <v>FR QX6862</v>
      </c>
      <c r="C4716" t="str">
        <f>_xll.BDP("FRQX6862 Mtge","GENERIC_TICKER_VINTAGE")</f>
        <v>FNCL 6 2025</v>
      </c>
      <c r="D4716" t="str">
        <f>_xll.BDP("FRQX6862 Mtge","CRNCY")</f>
        <v>USD</v>
      </c>
      <c r="E4716">
        <v>8081075</v>
      </c>
      <c r="F4716">
        <f>_xll.BDP("FRQX6862 Mtge","CPN")</f>
        <v>6</v>
      </c>
      <c r="G4716">
        <f>_xll.BDP("FRQX6862 Mtge","MTG_FACTOR")</f>
        <v>0.70984605000000001</v>
      </c>
      <c r="H4716">
        <f>_xll.BDP("FRQX6862 Mtge","MTG_WAL")</f>
        <v>3.1631</v>
      </c>
      <c r="I4716" t="str">
        <f>_xll.BDP("FRQX6862 Mtge","MTG_ORIG_WAL")</f>
        <v>#N/A N/A</v>
      </c>
    </row>
    <row r="4717" spans="1:9" x14ac:dyDescent="0.25">
      <c r="A4717" t="str">
        <f>_xll.BDP("FRQX6863 Mtge","ID_CUSIP")</f>
        <v>31426CTV6</v>
      </c>
      <c r="B4717" t="str">
        <f>_xll.BDP("FRQX6863 Mtge","SECURITY_NAME")</f>
        <v>FR QX6863</v>
      </c>
      <c r="C4717" t="str">
        <f>_xll.BDP("FRQX6863 Mtge","GENERIC_TICKER_VINTAGE")</f>
        <v>FNCL 6 2025</v>
      </c>
      <c r="D4717" t="str">
        <f>_xll.BDP("FRQX6863 Mtge","CRNCY")</f>
        <v>USD</v>
      </c>
      <c r="E4717">
        <v>15683597</v>
      </c>
      <c r="F4717">
        <f>_xll.BDP("FRQX6863 Mtge","CPN")</f>
        <v>6</v>
      </c>
      <c r="G4717">
        <f>_xll.BDP("FRQX6863 Mtge","MTG_FACTOR")</f>
        <v>0.68793733999999995</v>
      </c>
      <c r="H4717">
        <f>_xll.BDP("FRQX6863 Mtge","MTG_WAL")</f>
        <v>3.1623999999999999</v>
      </c>
      <c r="I4717" t="str">
        <f>_xll.BDP("FRQX6863 Mtge","MTG_ORIG_WAL")</f>
        <v>#N/A N/A</v>
      </c>
    </row>
    <row r="4718" spans="1:9" x14ac:dyDescent="0.25">
      <c r="A4718" t="str">
        <f>_xll.BDP("FRQX6865 Mtge","ID_CUSIP")</f>
        <v>31426CTX2</v>
      </c>
      <c r="B4718" t="str">
        <f>_xll.BDP("FRQX6865 Mtge","SECURITY_NAME")</f>
        <v>FR QX6865</v>
      </c>
      <c r="C4718" t="str">
        <f>_xll.BDP("FRQX6865 Mtge","GENERIC_TICKER_VINTAGE")</f>
        <v>FNCL 6 2025</v>
      </c>
      <c r="D4718" t="str">
        <f>_xll.BDP("FRQX6865 Mtge","CRNCY")</f>
        <v>USD</v>
      </c>
      <c r="E4718">
        <v>3504715</v>
      </c>
      <c r="F4718">
        <f>_xll.BDP("FRQX6865 Mtge","CPN")</f>
        <v>6</v>
      </c>
      <c r="G4718">
        <f>_xll.BDP("FRQX6865 Mtge","MTG_FACTOR")</f>
        <v>0.95681740000000004</v>
      </c>
      <c r="H4718">
        <f>_xll.BDP("FRQX6865 Mtge","MTG_WAL")</f>
        <v>3.1385000000000001</v>
      </c>
      <c r="I4718" t="str">
        <f>_xll.BDP("FRQX6865 Mtge","MTG_ORIG_WAL")</f>
        <v>#N/A N/A</v>
      </c>
    </row>
    <row r="4719" spans="1:9" x14ac:dyDescent="0.25">
      <c r="A4719" t="str">
        <f>_xll.BDP("FRQX6871 Mtge","ID_CUSIP")</f>
        <v>31426CT53</v>
      </c>
      <c r="B4719" t="str">
        <f>_xll.BDP("FRQX6871 Mtge","SECURITY_NAME")</f>
        <v>FR QX6871</v>
      </c>
      <c r="C4719" t="str">
        <f>_xll.BDP("FRQX6871 Mtge","GENERIC_TICKER_VINTAGE")</f>
        <v>FNCL 6 2025</v>
      </c>
      <c r="D4719" t="str">
        <f>_xll.BDP("FRQX6871 Mtge","CRNCY")</f>
        <v>USD</v>
      </c>
      <c r="E4719">
        <v>3446042</v>
      </c>
      <c r="F4719">
        <f>_xll.BDP("FRQX6871 Mtge","CPN")</f>
        <v>6</v>
      </c>
      <c r="G4719">
        <f>_xll.BDP("FRQX6871 Mtge","MTG_FACTOR")</f>
        <v>0.61234027999999996</v>
      </c>
      <c r="H4719">
        <f>_xll.BDP("FRQX6871 Mtge","MTG_WAL")</f>
        <v>3.1570999999999998</v>
      </c>
      <c r="I4719" t="str">
        <f>_xll.BDP("FRQX6871 Mtge","MTG_ORIG_WAL")</f>
        <v>#N/A N/A</v>
      </c>
    </row>
    <row r="4720" spans="1:9" x14ac:dyDescent="0.25">
      <c r="A4720" t="str">
        <f>_xll.BDP("FRQX6888 Mtge","ID_CUSIP")</f>
        <v>31426CUN2</v>
      </c>
      <c r="B4720" t="str">
        <f>_xll.BDP("FRQX6888 Mtge","SECURITY_NAME")</f>
        <v>FR QX6888</v>
      </c>
      <c r="C4720" t="str">
        <f>_xll.BDP("FRQX6888 Mtge","GENERIC_TICKER_VINTAGE")</f>
        <v>FNCL 6 2025</v>
      </c>
      <c r="D4720" t="str">
        <f>_xll.BDP("FRQX6888 Mtge","CRNCY")</f>
        <v>USD</v>
      </c>
      <c r="E4720">
        <v>215253</v>
      </c>
      <c r="F4720">
        <f>_xll.BDP("FRQX6888 Mtge","CPN")</f>
        <v>5.9050000000000002</v>
      </c>
      <c r="G4720">
        <f>_xll.BDP("FRQX6888 Mtge","MTG_FACTOR")</f>
        <v>0.98814265000000001</v>
      </c>
      <c r="H4720">
        <f>_xll.BDP("FRQX6888 Mtge","MTG_WAL")</f>
        <v>3.1564000000000001</v>
      </c>
      <c r="I4720" t="str">
        <f>_xll.BDP("FRQX6888 Mtge","MTG_ORIG_WAL")</f>
        <v>#N/A N/A</v>
      </c>
    </row>
    <row r="4721" spans="1:9" x14ac:dyDescent="0.25">
      <c r="A4721" t="str">
        <f>_xll.BDP("FRQX6889 Mtge","ID_CUSIP")</f>
        <v>31426CUP7</v>
      </c>
      <c r="B4721" t="str">
        <f>_xll.BDP("FRQX6889 Mtge","SECURITY_NAME")</f>
        <v>FR QX6889</v>
      </c>
      <c r="C4721" t="str">
        <f>_xll.BDP("FRQX6889 Mtge","GENERIC_TICKER_VINTAGE")</f>
        <v>FNCL 6 2025</v>
      </c>
      <c r="D4721" t="str">
        <f>_xll.BDP("FRQX6889 Mtge","CRNCY")</f>
        <v>USD</v>
      </c>
      <c r="E4721">
        <v>154230</v>
      </c>
      <c r="F4721">
        <f>_xll.BDP("FRQX6889 Mtge","CPN")</f>
        <v>6.03</v>
      </c>
      <c r="G4721">
        <f>_xll.BDP("FRQX6889 Mtge","MTG_FACTOR")</f>
        <v>0.98842189999999996</v>
      </c>
      <c r="H4721">
        <f>_xll.BDP("FRQX6889 Mtge","MTG_WAL")</f>
        <v>3.1589</v>
      </c>
      <c r="I4721" t="str">
        <f>_xll.BDP("FRQX6889 Mtge","MTG_ORIG_WAL")</f>
        <v>#N/A N/A</v>
      </c>
    </row>
    <row r="4722" spans="1:9" x14ac:dyDescent="0.25">
      <c r="A4722" t="str">
        <f>_xll.BDP("FRQX6901 Mtge","ID_CUSIP")</f>
        <v>31426CU36</v>
      </c>
      <c r="B4722" t="str">
        <f>_xll.BDP("FRQX6901 Mtge","SECURITY_NAME")</f>
        <v>FR QX6901</v>
      </c>
      <c r="C4722" t="str">
        <f>_xll.BDP("FRQX6901 Mtge","GENERIC_TICKER_VINTAGE")</f>
        <v>FNCL 6 2025</v>
      </c>
      <c r="D4722" t="str">
        <f>_xll.BDP("FRQX6901 Mtge","CRNCY")</f>
        <v>USD</v>
      </c>
      <c r="E4722">
        <v>1972820</v>
      </c>
      <c r="F4722">
        <f>_xll.BDP("FRQX6901 Mtge","CPN")</f>
        <v>6</v>
      </c>
      <c r="G4722">
        <f>_xll.BDP("FRQX6901 Mtge","MTG_FACTOR")</f>
        <v>0.75782079000000002</v>
      </c>
      <c r="H4722">
        <f>_xll.BDP("FRQX6901 Mtge","MTG_WAL")</f>
        <v>3.1579000000000002</v>
      </c>
      <c r="I4722" t="str">
        <f>_xll.BDP("FRQX6901 Mtge","MTG_ORIG_WAL")</f>
        <v>#N/A N/A</v>
      </c>
    </row>
    <row r="4723" spans="1:9" x14ac:dyDescent="0.25">
      <c r="A4723" t="str">
        <f>_xll.BDP("FRQX6902 Mtge","ID_CUSIP")</f>
        <v>31426CU44</v>
      </c>
      <c r="B4723" t="str">
        <f>_xll.BDP("FRQX6902 Mtge","SECURITY_NAME")</f>
        <v>FR QX6902</v>
      </c>
      <c r="C4723" t="str">
        <f>_xll.BDP("FRQX6902 Mtge","GENERIC_TICKER_VINTAGE")</f>
        <v>FNCL 6 2025</v>
      </c>
      <c r="D4723" t="str">
        <f>_xll.BDP("FRQX6902 Mtge","CRNCY")</f>
        <v>USD</v>
      </c>
      <c r="E4723">
        <v>1115820</v>
      </c>
      <c r="F4723">
        <f>_xll.BDP("FRQX6902 Mtge","CPN")</f>
        <v>6</v>
      </c>
      <c r="G4723">
        <f>_xll.BDP("FRQX6902 Mtge","MTG_FACTOR")</f>
        <v>0.84600611000000003</v>
      </c>
      <c r="H4723">
        <f>_xll.BDP("FRQX6902 Mtge","MTG_WAL")</f>
        <v>3.1566000000000001</v>
      </c>
      <c r="I4723" t="str">
        <f>_xll.BDP("FRQX6902 Mtge","MTG_ORIG_WAL")</f>
        <v>#N/A N/A</v>
      </c>
    </row>
    <row r="4724" spans="1:9" x14ac:dyDescent="0.25">
      <c r="A4724" t="str">
        <f>_xll.BDP("FRQX6903 Mtge","ID_CUSIP")</f>
        <v>31426CU51</v>
      </c>
      <c r="B4724" t="str">
        <f>_xll.BDP("FRQX6903 Mtge","SECURITY_NAME")</f>
        <v>FR QX6903</v>
      </c>
      <c r="C4724" t="str">
        <f>_xll.BDP("FRQX6903 Mtge","GENERIC_TICKER_VINTAGE")</f>
        <v>FNCL 6 2025</v>
      </c>
      <c r="D4724" t="str">
        <f>_xll.BDP("FRQX6903 Mtge","CRNCY")</f>
        <v>USD</v>
      </c>
      <c r="E4724">
        <v>1268340</v>
      </c>
      <c r="F4724">
        <f>_xll.BDP("FRQX6903 Mtge","CPN")</f>
        <v>6</v>
      </c>
      <c r="G4724">
        <f>_xll.BDP("FRQX6903 Mtge","MTG_FACTOR")</f>
        <v>0.98691689999999999</v>
      </c>
      <c r="H4724">
        <f>_xll.BDP("FRQX6903 Mtge","MTG_WAL")</f>
        <v>3.1596000000000002</v>
      </c>
      <c r="I4724" t="str">
        <f>_xll.BDP("FRQX6903 Mtge","MTG_ORIG_WAL")</f>
        <v>#N/A N/A</v>
      </c>
    </row>
    <row r="4725" spans="1:9" x14ac:dyDescent="0.25">
      <c r="A4725" t="str">
        <f>_xll.BDP("FRQX6904 Mtge","ID_CUSIP")</f>
        <v>31426CU69</v>
      </c>
      <c r="B4725" t="str">
        <f>_xll.BDP("FRQX6904 Mtge","SECURITY_NAME")</f>
        <v>FR QX6904</v>
      </c>
      <c r="C4725" t="str">
        <f>_xll.BDP("FRQX6904 Mtge","GENERIC_TICKER_VINTAGE")</f>
        <v>FNCL 6 2025</v>
      </c>
      <c r="D4725" t="str">
        <f>_xll.BDP("FRQX6904 Mtge","CRNCY")</f>
        <v>USD</v>
      </c>
      <c r="E4725">
        <v>2897403</v>
      </c>
      <c r="F4725">
        <f>_xll.BDP("FRQX6904 Mtge","CPN")</f>
        <v>6</v>
      </c>
      <c r="G4725">
        <f>_xll.BDP("FRQX6904 Mtge","MTG_FACTOR")</f>
        <v>0.98380710000000005</v>
      </c>
      <c r="H4725">
        <f>_xll.BDP("FRQX6904 Mtge","MTG_WAL")</f>
        <v>3.1551999999999998</v>
      </c>
      <c r="I4725" t="str">
        <f>_xll.BDP("FRQX6904 Mtge","MTG_ORIG_WAL")</f>
        <v>#N/A N/A</v>
      </c>
    </row>
    <row r="4726" spans="1:9" x14ac:dyDescent="0.25">
      <c r="A4726" t="str">
        <f>_xll.BDP("FRQX6914 Mtge","ID_CUSIP")</f>
        <v>31426CVG6</v>
      </c>
      <c r="B4726" t="str">
        <f>_xll.BDP("FRQX6914 Mtge","SECURITY_NAME")</f>
        <v>FR QX6914</v>
      </c>
      <c r="C4726" t="str">
        <f>_xll.BDP("FRQX6914 Mtge","GENERIC_TICKER_VINTAGE")</f>
        <v>FNCL 6 2025</v>
      </c>
      <c r="D4726" t="str">
        <f>_xll.BDP("FRQX6914 Mtge","CRNCY")</f>
        <v>USD</v>
      </c>
      <c r="E4726">
        <v>1676250</v>
      </c>
      <c r="F4726">
        <f>_xll.BDP("FRQX6914 Mtge","CPN")</f>
        <v>6</v>
      </c>
      <c r="G4726">
        <f>_xll.BDP("FRQX6914 Mtge","MTG_FACTOR")</f>
        <v>0.72550608999999999</v>
      </c>
      <c r="H4726">
        <f>_xll.BDP("FRQX6914 Mtge","MTG_WAL")</f>
        <v>3.1613000000000002</v>
      </c>
      <c r="I4726" t="str">
        <f>_xll.BDP("FRQX6914 Mtge","MTG_ORIG_WAL")</f>
        <v>#N/A N/A</v>
      </c>
    </row>
    <row r="4727" spans="1:9" x14ac:dyDescent="0.25">
      <c r="A4727" t="str">
        <f>_xll.BDP("FRQX6915 Mtge","ID_CUSIP")</f>
        <v>31426CVH4</v>
      </c>
      <c r="B4727" t="str">
        <f>_xll.BDP("FRQX6915 Mtge","SECURITY_NAME")</f>
        <v>FR QX6915</v>
      </c>
      <c r="C4727" t="str">
        <f>_xll.BDP("FRQX6915 Mtge","GENERIC_TICKER_VINTAGE")</f>
        <v>FNCL 6 2025</v>
      </c>
      <c r="D4727" t="str">
        <f>_xll.BDP("FRQX6915 Mtge","CRNCY")</f>
        <v>USD</v>
      </c>
      <c r="E4727">
        <v>1168200</v>
      </c>
      <c r="F4727">
        <f>_xll.BDP("FRQX6915 Mtge","CPN")</f>
        <v>6</v>
      </c>
      <c r="G4727">
        <f>_xll.BDP("FRQX6915 Mtge","MTG_FACTOR")</f>
        <v>0.98648362999999994</v>
      </c>
      <c r="H4727">
        <f>_xll.BDP("FRQX6915 Mtge","MTG_WAL")</f>
        <v>3.1614</v>
      </c>
      <c r="I4727" t="str">
        <f>_xll.BDP("FRQX6915 Mtge","MTG_ORIG_WAL")</f>
        <v>#N/A N/A</v>
      </c>
    </row>
    <row r="4728" spans="1:9" x14ac:dyDescent="0.25">
      <c r="A4728" t="str">
        <f>_xll.BDP("FRQX6916 Mtge","ID_CUSIP")</f>
        <v>31426CVJ0</v>
      </c>
      <c r="B4728" t="str">
        <f>_xll.BDP("FRQX6916 Mtge","SECURITY_NAME")</f>
        <v>FR QX6916</v>
      </c>
      <c r="C4728" t="str">
        <f>_xll.BDP("FRQX6916 Mtge","GENERIC_TICKER_VINTAGE")</f>
        <v>FNCL 6 2025</v>
      </c>
      <c r="D4728" t="str">
        <f>_xll.BDP("FRQX6916 Mtge","CRNCY")</f>
        <v>USD</v>
      </c>
      <c r="E4728">
        <v>1833211</v>
      </c>
      <c r="F4728">
        <f>_xll.BDP("FRQX6916 Mtge","CPN")</f>
        <v>6</v>
      </c>
      <c r="G4728">
        <f>_xll.BDP("FRQX6916 Mtge","MTG_FACTOR")</f>
        <v>0.98749933000000001</v>
      </c>
      <c r="H4728">
        <f>_xll.BDP("FRQX6916 Mtge","MTG_WAL")</f>
        <v>3.1606999999999998</v>
      </c>
      <c r="I4728" t="str">
        <f>_xll.BDP("FRQX6916 Mtge","MTG_ORIG_WAL")</f>
        <v>#N/A N/A</v>
      </c>
    </row>
    <row r="4729" spans="1:9" x14ac:dyDescent="0.25">
      <c r="A4729" t="str">
        <f>_xll.BDP("FRQX6921 Mtge","ID_CUSIP")</f>
        <v>31426CVP6</v>
      </c>
      <c r="B4729" t="str">
        <f>_xll.BDP("FRQX6921 Mtge","SECURITY_NAME")</f>
        <v>FR QX6921</v>
      </c>
      <c r="C4729" t="str">
        <f>_xll.BDP("FRQX6921 Mtge","GENERIC_TICKER_VINTAGE")</f>
        <v>FNCL 6 2025</v>
      </c>
      <c r="D4729" t="str">
        <f>_xll.BDP("FRQX6921 Mtge","CRNCY")</f>
        <v>USD</v>
      </c>
      <c r="E4729">
        <v>2874519</v>
      </c>
      <c r="F4729">
        <f>_xll.BDP("FRQX6921 Mtge","CPN")</f>
        <v>6</v>
      </c>
      <c r="G4729">
        <f>_xll.BDP("FRQX6921 Mtge","MTG_FACTOR")</f>
        <v>0.89355918000000001</v>
      </c>
      <c r="H4729">
        <f>_xll.BDP("FRQX6921 Mtge","MTG_WAL")</f>
        <v>3.1600999999999999</v>
      </c>
      <c r="I4729" t="str">
        <f>_xll.BDP("FRQX6921 Mtge","MTG_ORIG_WAL")</f>
        <v>#N/A N/A</v>
      </c>
    </row>
    <row r="4730" spans="1:9" x14ac:dyDescent="0.25">
      <c r="A4730" t="str">
        <f>_xll.BDP("FRQX6925 Mtge","ID_CUSIP")</f>
        <v>31426CVT8</v>
      </c>
      <c r="B4730" t="str">
        <f>_xll.BDP("FRQX6925 Mtge","SECURITY_NAME")</f>
        <v>FR QX6925</v>
      </c>
      <c r="C4730" t="str">
        <f>_xll.BDP("FRQX6925 Mtge","GENERIC_TICKER_VINTAGE")</f>
        <v>FNCL 6 2025</v>
      </c>
      <c r="D4730" t="str">
        <f>_xll.BDP("FRQX6925 Mtge","CRNCY")</f>
        <v>USD</v>
      </c>
      <c r="E4730">
        <v>1658418</v>
      </c>
      <c r="F4730">
        <f>_xll.BDP("FRQX6925 Mtge","CPN")</f>
        <v>6</v>
      </c>
      <c r="G4730">
        <f>_xll.BDP("FRQX6925 Mtge","MTG_FACTOR")</f>
        <v>0.90710383999999999</v>
      </c>
      <c r="H4730">
        <f>_xll.BDP("FRQX6925 Mtge","MTG_WAL")</f>
        <v>3.1598999999999999</v>
      </c>
      <c r="I4730" t="str">
        <f>_xll.BDP("FRQX6925 Mtge","MTG_ORIG_WAL")</f>
        <v>#N/A N/A</v>
      </c>
    </row>
    <row r="4731" spans="1:9" x14ac:dyDescent="0.25">
      <c r="A4731" t="str">
        <f>_xll.BDP("FRQX6926 Mtge","ID_CUSIP")</f>
        <v>31426CVU5</v>
      </c>
      <c r="B4731" t="str">
        <f>_xll.BDP("FRQX6926 Mtge","SECURITY_NAME")</f>
        <v>FR QX6926</v>
      </c>
      <c r="C4731" t="str">
        <f>_xll.BDP("FRQX6926 Mtge","GENERIC_TICKER_VINTAGE")</f>
        <v>FNCL 6 2025</v>
      </c>
      <c r="D4731" t="str">
        <f>_xll.BDP("FRQX6926 Mtge","CRNCY")</f>
        <v>USD</v>
      </c>
      <c r="E4731">
        <v>2115700</v>
      </c>
      <c r="F4731">
        <f>_xll.BDP("FRQX6926 Mtge","CPN")</f>
        <v>6</v>
      </c>
      <c r="G4731">
        <f>_xll.BDP("FRQX6926 Mtge","MTG_FACTOR")</f>
        <v>0.96232580999999995</v>
      </c>
      <c r="H4731">
        <f>_xll.BDP("FRQX6926 Mtge","MTG_WAL")</f>
        <v>3.1467000000000001</v>
      </c>
      <c r="I4731" t="str">
        <f>_xll.BDP("FRQX6926 Mtge","MTG_ORIG_WAL")</f>
        <v>#N/A N/A</v>
      </c>
    </row>
    <row r="4732" spans="1:9" x14ac:dyDescent="0.25">
      <c r="A4732" t="str">
        <f>_xll.BDP("FRQX6929 Mtge","ID_CUSIP")</f>
        <v>31426CVX9</v>
      </c>
      <c r="B4732" t="str">
        <f>_xll.BDP("FRQX6929 Mtge","SECURITY_NAME")</f>
        <v>FR QX6929</v>
      </c>
      <c r="C4732" t="str">
        <f>_xll.BDP("FRQX6929 Mtge","GENERIC_TICKER_VINTAGE")</f>
        <v>FNCL 6 2025</v>
      </c>
      <c r="D4732" t="str">
        <f>_xll.BDP("FRQX6929 Mtge","CRNCY")</f>
        <v>USD</v>
      </c>
      <c r="E4732">
        <v>5360829</v>
      </c>
      <c r="F4732">
        <f>_xll.BDP("FRQX6929 Mtge","CPN")</f>
        <v>6</v>
      </c>
      <c r="G4732">
        <f>_xll.BDP("FRQX6929 Mtge","MTG_FACTOR")</f>
        <v>0.76625794999999997</v>
      </c>
      <c r="H4732">
        <f>_xll.BDP("FRQX6929 Mtge","MTG_WAL")</f>
        <v>3.1597</v>
      </c>
      <c r="I4732" t="str">
        <f>_xll.BDP("FRQX6929 Mtge","MTG_ORIG_WAL")</f>
        <v>#N/A N/A</v>
      </c>
    </row>
    <row r="4733" spans="1:9" x14ac:dyDescent="0.25">
      <c r="A4733" t="str">
        <f>_xll.BDP("FRQX6930 Mtge","ID_CUSIP")</f>
        <v>31426CVY7</v>
      </c>
      <c r="B4733" t="str">
        <f>_xll.BDP("FRQX6930 Mtge","SECURITY_NAME")</f>
        <v>FR QX6930</v>
      </c>
      <c r="C4733" t="str">
        <f>_xll.BDP("FRQX6930 Mtge","GENERIC_TICKER_VINTAGE")</f>
        <v>FNCL 6 2025</v>
      </c>
      <c r="D4733" t="str">
        <f>_xll.BDP("FRQX6930 Mtge","CRNCY")</f>
        <v>USD</v>
      </c>
      <c r="E4733">
        <v>1720555</v>
      </c>
      <c r="F4733">
        <f>_xll.BDP("FRQX6930 Mtge","CPN")</f>
        <v>6</v>
      </c>
      <c r="G4733">
        <f>_xll.BDP("FRQX6930 Mtge","MTG_FACTOR")</f>
        <v>0.82300368999999995</v>
      </c>
      <c r="H4733">
        <f>_xll.BDP("FRQX6930 Mtge","MTG_WAL")</f>
        <v>3.1585000000000001</v>
      </c>
      <c r="I4733" t="str">
        <f>_xll.BDP("FRQX6930 Mtge","MTG_ORIG_WAL")</f>
        <v>#N/A N/A</v>
      </c>
    </row>
    <row r="4734" spans="1:9" x14ac:dyDescent="0.25">
      <c r="A4734" t="str">
        <f>_xll.BDP("FRQX6933 Mtge","ID_CUSIP")</f>
        <v>31426CV35</v>
      </c>
      <c r="B4734" t="str">
        <f>_xll.BDP("FRQX6933 Mtge","SECURITY_NAME")</f>
        <v>FR QX6933</v>
      </c>
      <c r="C4734" t="str">
        <f>_xll.BDP("FRQX6933 Mtge","GENERIC_TICKER_VINTAGE")</f>
        <v>FNCL 6 2025</v>
      </c>
      <c r="D4734" t="str">
        <f>_xll.BDP("FRQX6933 Mtge","CRNCY")</f>
        <v>USD</v>
      </c>
      <c r="E4734">
        <v>1879345</v>
      </c>
      <c r="F4734">
        <f>_xll.BDP("FRQX6933 Mtge","CPN")</f>
        <v>6</v>
      </c>
      <c r="G4734">
        <f>_xll.BDP("FRQX6933 Mtge","MTG_FACTOR")</f>
        <v>0.96446202999999997</v>
      </c>
      <c r="H4734">
        <f>_xll.BDP("FRQX6933 Mtge","MTG_WAL")</f>
        <v>3.1463000000000001</v>
      </c>
      <c r="I4734" t="str">
        <f>_xll.BDP("FRQX6933 Mtge","MTG_ORIG_WAL")</f>
        <v>#N/A N/A</v>
      </c>
    </row>
    <row r="4735" spans="1:9" x14ac:dyDescent="0.25">
      <c r="A4735" t="str">
        <f>_xll.BDP("FRQX6945 Mtge","ID_CUSIP")</f>
        <v>31426CWF7</v>
      </c>
      <c r="B4735" t="str">
        <f>_xll.BDP("FRQX6945 Mtge","SECURITY_NAME")</f>
        <v>FR QX6945</v>
      </c>
      <c r="C4735" t="str">
        <f>_xll.BDP("FRQX6945 Mtge","GENERIC_TICKER_VINTAGE")</f>
        <v>FNCL 6 2025</v>
      </c>
      <c r="D4735" t="str">
        <f>_xll.BDP("FRQX6945 Mtge","CRNCY")</f>
        <v>USD</v>
      </c>
      <c r="E4735">
        <v>3645078</v>
      </c>
      <c r="F4735">
        <f>_xll.BDP("FRQX6945 Mtge","CPN")</f>
        <v>6</v>
      </c>
      <c r="G4735">
        <f>_xll.BDP("FRQX6945 Mtge","MTG_FACTOR")</f>
        <v>0.69069625000000001</v>
      </c>
      <c r="H4735">
        <f>_xll.BDP("FRQX6945 Mtge","MTG_WAL")</f>
        <v>3.1615000000000002</v>
      </c>
      <c r="I4735" t="str">
        <f>_xll.BDP("FRQX6945 Mtge","MTG_ORIG_WAL")</f>
        <v>#N/A N/A</v>
      </c>
    </row>
    <row r="4736" spans="1:9" x14ac:dyDescent="0.25">
      <c r="A4736" t="str">
        <f>_xll.BDP("FRQX6946 Mtge","ID_CUSIP")</f>
        <v>31426CWG5</v>
      </c>
      <c r="B4736" t="str">
        <f>_xll.BDP("FRQX6946 Mtge","SECURITY_NAME")</f>
        <v>FR QX6946</v>
      </c>
      <c r="C4736" t="str">
        <f>_xll.BDP("FRQX6946 Mtge","GENERIC_TICKER_VINTAGE")</f>
        <v>FNCL 6 2025</v>
      </c>
      <c r="D4736" t="str">
        <f>_xll.BDP("FRQX6946 Mtge","CRNCY")</f>
        <v>USD</v>
      </c>
      <c r="E4736">
        <v>10489424</v>
      </c>
      <c r="F4736">
        <f>_xll.BDP("FRQX6946 Mtge","CPN")</f>
        <v>6</v>
      </c>
      <c r="G4736">
        <f>_xll.BDP("FRQX6946 Mtge","MTG_FACTOR")</f>
        <v>0.86665773999999995</v>
      </c>
      <c r="H4736">
        <f>_xll.BDP("FRQX6946 Mtge","MTG_WAL")</f>
        <v>3.1617000000000002</v>
      </c>
      <c r="I4736" t="str">
        <f>_xll.BDP("FRQX6946 Mtge","MTG_ORIG_WAL")</f>
        <v>#N/A N/A</v>
      </c>
    </row>
    <row r="4737" spans="1:9" x14ac:dyDescent="0.25">
      <c r="A4737" t="str">
        <f>_xll.BDP("FRQX6947 Mtge","ID_CUSIP")</f>
        <v>31426CWH3</v>
      </c>
      <c r="B4737" t="str">
        <f>_xll.BDP("FRQX6947 Mtge","SECURITY_NAME")</f>
        <v>FR QX6947</v>
      </c>
      <c r="C4737" t="str">
        <f>_xll.BDP("FRQX6947 Mtge","GENERIC_TICKER_VINTAGE")</f>
        <v>FNCL 6 2025</v>
      </c>
      <c r="D4737" t="str">
        <f>_xll.BDP("FRQX6947 Mtge","CRNCY")</f>
        <v>USD</v>
      </c>
      <c r="E4737">
        <v>9502249</v>
      </c>
      <c r="F4737">
        <f>_xll.BDP("FRQX6947 Mtge","CPN")</f>
        <v>6</v>
      </c>
      <c r="G4737">
        <f>_xll.BDP("FRQX6947 Mtge","MTG_FACTOR")</f>
        <v>0.87700776999999996</v>
      </c>
      <c r="H4737">
        <f>_xll.BDP("FRQX6947 Mtge","MTG_WAL")</f>
        <v>3.1631</v>
      </c>
      <c r="I4737" t="str">
        <f>_xll.BDP("FRQX6947 Mtge","MTG_ORIG_WAL")</f>
        <v>#N/A N/A</v>
      </c>
    </row>
    <row r="4738" spans="1:9" x14ac:dyDescent="0.25">
      <c r="A4738" t="str">
        <f>_xll.BDP("FRQX6954 Mtge","ID_CUSIP")</f>
        <v>31426CWQ3</v>
      </c>
      <c r="B4738" t="str">
        <f>_xll.BDP("FRQX6954 Mtge","SECURITY_NAME")</f>
        <v>FR QX6954</v>
      </c>
      <c r="C4738" t="str">
        <f>_xll.BDP("FRQX6954 Mtge","GENERIC_TICKER_VINTAGE")</f>
        <v>FNCL 6 2025</v>
      </c>
      <c r="D4738" t="str">
        <f>_xll.BDP("FRQX6954 Mtge","CRNCY")</f>
        <v>USD</v>
      </c>
      <c r="E4738">
        <v>7249710</v>
      </c>
      <c r="F4738">
        <f>_xll.BDP("FRQX6954 Mtge","CPN")</f>
        <v>6</v>
      </c>
      <c r="G4738">
        <f>_xll.BDP("FRQX6954 Mtge","MTG_FACTOR")</f>
        <v>0.86748062000000004</v>
      </c>
      <c r="H4738">
        <f>_xll.BDP("FRQX6954 Mtge","MTG_WAL")</f>
        <v>3.1532</v>
      </c>
      <c r="I4738" t="str">
        <f>_xll.BDP("FRQX6954 Mtge","MTG_ORIG_WAL")</f>
        <v>#N/A N/A</v>
      </c>
    </row>
    <row r="4739" spans="1:9" x14ac:dyDescent="0.25">
      <c r="A4739" t="str">
        <f>_xll.BDP("FRQX6968 Mtge","ID_CUSIP")</f>
        <v>31426CW67</v>
      </c>
      <c r="B4739" t="str">
        <f>_xll.BDP("FRQX6968 Mtge","SECURITY_NAME")</f>
        <v>FR QX6968</v>
      </c>
      <c r="C4739" t="str">
        <f>_xll.BDP("FRQX6968 Mtge","GENERIC_TICKER_VINTAGE")</f>
        <v>FNCL 6 2025</v>
      </c>
      <c r="D4739" t="str">
        <f>_xll.BDP("FRQX6968 Mtge","CRNCY")</f>
        <v>USD</v>
      </c>
      <c r="E4739">
        <v>4071856</v>
      </c>
      <c r="F4739">
        <f>_xll.BDP("FRQX6968 Mtge","CPN")</f>
        <v>6</v>
      </c>
      <c r="G4739">
        <f>_xll.BDP("FRQX6968 Mtge","MTG_FACTOR")</f>
        <v>0.83666152000000005</v>
      </c>
      <c r="H4739">
        <f>_xll.BDP("FRQX6968 Mtge","MTG_WAL")</f>
        <v>3.1524999999999999</v>
      </c>
      <c r="I4739" t="str">
        <f>_xll.BDP("FRQX6968 Mtge","MTG_ORIG_WAL")</f>
        <v>#N/A N/A</v>
      </c>
    </row>
    <row r="4740" spans="1:9" x14ac:dyDescent="0.25">
      <c r="A4740" t="str">
        <f>_xll.BDP("FRQX6970 Mtge","ID_CUSIP")</f>
        <v>31426CW83</v>
      </c>
      <c r="B4740" t="str">
        <f>_xll.BDP("FRQX6970 Mtge","SECURITY_NAME")</f>
        <v>FR QX6970</v>
      </c>
      <c r="C4740" t="str">
        <f>_xll.BDP("FRQX6970 Mtge","GENERIC_TICKER_VINTAGE")</f>
        <v>FNCL 6 2025</v>
      </c>
      <c r="D4740" t="str">
        <f>_xll.BDP("FRQX6970 Mtge","CRNCY")</f>
        <v>USD</v>
      </c>
      <c r="E4740">
        <v>2374190</v>
      </c>
      <c r="F4740">
        <f>_xll.BDP("FRQX6970 Mtge","CPN")</f>
        <v>6</v>
      </c>
      <c r="G4740">
        <f>_xll.BDP("FRQX6970 Mtge","MTG_FACTOR")</f>
        <v>0.98749407</v>
      </c>
      <c r="H4740">
        <f>_xll.BDP("FRQX6970 Mtge","MTG_WAL")</f>
        <v>3.1615000000000002</v>
      </c>
      <c r="I4740" t="str">
        <f>_xll.BDP("FRQX6970 Mtge","MTG_ORIG_WAL")</f>
        <v>#N/A N/A</v>
      </c>
    </row>
    <row r="4741" spans="1:9" x14ac:dyDescent="0.25">
      <c r="A4741" t="str">
        <f>_xll.BDP("FRQX6972 Mtge","ID_CUSIP")</f>
        <v>31426CXA7</v>
      </c>
      <c r="B4741" t="str">
        <f>_xll.BDP("FRQX6972 Mtge","SECURITY_NAME")</f>
        <v>FR QX6972</v>
      </c>
      <c r="C4741" t="str">
        <f>_xll.BDP("FRQX6972 Mtge","GENERIC_TICKER_VINTAGE")</f>
        <v>FNCL 6 2025</v>
      </c>
      <c r="D4741" t="str">
        <f>_xll.BDP("FRQX6972 Mtge","CRNCY")</f>
        <v>USD</v>
      </c>
      <c r="E4741">
        <v>7555169</v>
      </c>
      <c r="F4741">
        <f>_xll.BDP("FRQX6972 Mtge","CPN")</f>
        <v>6</v>
      </c>
      <c r="G4741">
        <f>_xll.BDP("FRQX6972 Mtge","MTG_FACTOR")</f>
        <v>0.96544202000000001</v>
      </c>
      <c r="H4741">
        <f>_xll.BDP("FRQX6972 Mtge","MTG_WAL")</f>
        <v>3.1608000000000001</v>
      </c>
      <c r="I4741" t="str">
        <f>_xll.BDP("FRQX6972 Mtge","MTG_ORIG_WAL")</f>
        <v>#N/A N/A</v>
      </c>
    </row>
    <row r="4742" spans="1:9" x14ac:dyDescent="0.25">
      <c r="A4742" t="str">
        <f>_xll.BDP("FRQX6974 Mtge","ID_CUSIP")</f>
        <v>31426CXC3</v>
      </c>
      <c r="B4742" t="str">
        <f>_xll.BDP("FRQX6974 Mtge","SECURITY_NAME")</f>
        <v>FR QX6974</v>
      </c>
      <c r="C4742" t="str">
        <f>_xll.BDP("FRQX6974 Mtge","GENERIC_TICKER_VINTAGE")</f>
        <v>FNCL 6 2025</v>
      </c>
      <c r="D4742" t="str">
        <f>_xll.BDP("FRQX6974 Mtge","CRNCY")</f>
        <v>USD</v>
      </c>
      <c r="E4742">
        <v>19651679</v>
      </c>
      <c r="F4742">
        <f>_xll.BDP("FRQX6974 Mtge","CPN")</f>
        <v>6</v>
      </c>
      <c r="G4742">
        <f>_xll.BDP("FRQX6974 Mtge","MTG_FACTOR")</f>
        <v>0.94192105000000004</v>
      </c>
      <c r="H4742">
        <f>_xll.BDP("FRQX6974 Mtge","MTG_WAL")</f>
        <v>3.1497999999999999</v>
      </c>
      <c r="I4742" t="str">
        <f>_xll.BDP("FRQX6974 Mtge","MTG_ORIG_WAL")</f>
        <v>#N/A N/A</v>
      </c>
    </row>
    <row r="4743" spans="1:9" x14ac:dyDescent="0.25">
      <c r="A4743" t="str">
        <f>_xll.BDP("FRQX6984 Mtge","ID_CUSIP")</f>
        <v>31426CXN9</v>
      </c>
      <c r="B4743" t="str">
        <f>_xll.BDP("FRQX6984 Mtge","SECURITY_NAME")</f>
        <v>FR QX6984</v>
      </c>
      <c r="C4743" t="str">
        <f>_xll.BDP("FRQX6984 Mtge","GENERIC_TICKER_VINTAGE")</f>
        <v>FNCL 6 2025</v>
      </c>
      <c r="D4743" t="str">
        <f>_xll.BDP("FRQX6984 Mtge","CRNCY")</f>
        <v>USD</v>
      </c>
      <c r="E4743">
        <v>3761200</v>
      </c>
      <c r="F4743">
        <f>_xll.BDP("FRQX6984 Mtge","CPN")</f>
        <v>6</v>
      </c>
      <c r="G4743">
        <f>_xll.BDP("FRQX6984 Mtge","MTG_FACTOR")</f>
        <v>0.87867530000000005</v>
      </c>
      <c r="H4743">
        <f>_xll.BDP("FRQX6984 Mtge","MTG_WAL")</f>
        <v>3.1539999999999999</v>
      </c>
      <c r="I4743" t="str">
        <f>_xll.BDP("FRQX6984 Mtge","MTG_ORIG_WAL")</f>
        <v>#N/A N/A</v>
      </c>
    </row>
    <row r="4744" spans="1:9" x14ac:dyDescent="0.25">
      <c r="A4744" t="str">
        <f>_xll.BDP("FRQX6985 Mtge","ID_CUSIP")</f>
        <v>31426CXP4</v>
      </c>
      <c r="B4744" t="str">
        <f>_xll.BDP("FRQX6985 Mtge","SECURITY_NAME")</f>
        <v>FR QX6985</v>
      </c>
      <c r="C4744" t="str">
        <f>_xll.BDP("FRQX6985 Mtge","GENERIC_TICKER_VINTAGE")</f>
        <v>FNCL 6 2025</v>
      </c>
      <c r="D4744" t="str">
        <f>_xll.BDP("FRQX6985 Mtge","CRNCY")</f>
        <v>USD</v>
      </c>
      <c r="E4744">
        <v>1322177</v>
      </c>
      <c r="F4744">
        <f>_xll.BDP("FRQX6985 Mtge","CPN")</f>
        <v>6</v>
      </c>
      <c r="G4744">
        <f>_xll.BDP("FRQX6985 Mtge","MTG_FACTOR")</f>
        <v>0.97743426</v>
      </c>
      <c r="H4744">
        <f>_xll.BDP("FRQX6985 Mtge","MTG_WAL")</f>
        <v>3.1541000000000001</v>
      </c>
      <c r="I4744" t="str">
        <f>_xll.BDP("FRQX6985 Mtge","MTG_ORIG_WAL")</f>
        <v>#N/A N/A</v>
      </c>
    </row>
    <row r="4745" spans="1:9" x14ac:dyDescent="0.25">
      <c r="A4745" t="str">
        <f>_xll.BDP("FRQX6990 Mtge","ID_CUSIP")</f>
        <v>31426CXU3</v>
      </c>
      <c r="B4745" t="str">
        <f>_xll.BDP("FRQX6990 Mtge","SECURITY_NAME")</f>
        <v>FR QX6990</v>
      </c>
      <c r="C4745" t="str">
        <f>_xll.BDP("FRQX6990 Mtge","GENERIC_TICKER_VINTAGE")</f>
        <v>FNCL 6 2025</v>
      </c>
      <c r="D4745" t="str">
        <f>_xll.BDP("FRQX6990 Mtge","CRNCY")</f>
        <v>USD</v>
      </c>
      <c r="E4745">
        <v>1249885</v>
      </c>
      <c r="F4745">
        <f>_xll.BDP("FRQX6990 Mtge","CPN")</f>
        <v>6</v>
      </c>
      <c r="G4745">
        <f>_xll.BDP("FRQX6990 Mtge","MTG_FACTOR")</f>
        <v>0.98896216999999997</v>
      </c>
      <c r="H4745">
        <f>_xll.BDP("FRQX6990 Mtge","MTG_WAL")</f>
        <v>3.1625000000000001</v>
      </c>
      <c r="I4745" t="str">
        <f>_xll.BDP("FRQX6990 Mtge","MTG_ORIG_WAL")</f>
        <v>#N/A N/A</v>
      </c>
    </row>
    <row r="4746" spans="1:9" x14ac:dyDescent="0.25">
      <c r="A4746" t="str">
        <f>_xll.BDP("FRQX6994 Mtge","ID_CUSIP")</f>
        <v>31426CXY5</v>
      </c>
      <c r="B4746" t="str">
        <f>_xll.BDP("FRQX6994 Mtge","SECURITY_NAME")</f>
        <v>FR QX6994</v>
      </c>
      <c r="C4746" t="str">
        <f>_xll.BDP("FRQX6994 Mtge","GENERIC_TICKER_VINTAGE")</f>
        <v>FNCL 6 2025</v>
      </c>
      <c r="D4746" t="str">
        <f>_xll.BDP("FRQX6994 Mtge","CRNCY")</f>
        <v>USD</v>
      </c>
      <c r="E4746">
        <v>2094750</v>
      </c>
      <c r="F4746">
        <f>_xll.BDP("FRQX6994 Mtge","CPN")</f>
        <v>6</v>
      </c>
      <c r="G4746">
        <f>_xll.BDP("FRQX6994 Mtge","MTG_FACTOR")</f>
        <v>0.98869624</v>
      </c>
      <c r="H4746">
        <f>_xll.BDP("FRQX6994 Mtge","MTG_WAL")</f>
        <v>3.1608000000000001</v>
      </c>
      <c r="I4746" t="str">
        <f>_xll.BDP("FRQX6994 Mtge","MTG_ORIG_WAL")</f>
        <v>#N/A N/A</v>
      </c>
    </row>
    <row r="4747" spans="1:9" x14ac:dyDescent="0.25">
      <c r="A4747" t="str">
        <f>_xll.BDP("FRQX6998 Mtge","ID_CUSIP")</f>
        <v>31426CX41</v>
      </c>
      <c r="B4747" t="str">
        <f>_xll.BDP("FRQX6998 Mtge","SECURITY_NAME")</f>
        <v>FR QX6998</v>
      </c>
      <c r="C4747" t="str">
        <f>_xll.BDP("FRQX6998 Mtge","GENERIC_TICKER_VINTAGE")</f>
        <v>FNCL 6 2025</v>
      </c>
      <c r="D4747" t="str">
        <f>_xll.BDP("FRQX6998 Mtge","CRNCY")</f>
        <v>USD</v>
      </c>
      <c r="E4747">
        <v>1201727</v>
      </c>
      <c r="F4747">
        <f>_xll.BDP("FRQX6998 Mtge","CPN")</f>
        <v>6</v>
      </c>
      <c r="G4747">
        <f>_xll.BDP("FRQX6998 Mtge","MTG_FACTOR")</f>
        <v>0.97273732999999996</v>
      </c>
      <c r="H4747">
        <f>_xll.BDP("FRQX6998 Mtge","MTG_WAL")</f>
        <v>3.1507999999999998</v>
      </c>
      <c r="I4747" t="str">
        <f>_xll.BDP("FRQX6998 Mtge","MTG_ORIG_WAL")</f>
        <v>#N/A N/A</v>
      </c>
    </row>
    <row r="4748" spans="1:9" x14ac:dyDescent="0.25">
      <c r="A4748" t="str">
        <f>_xll.BDP("FRQX7013 Mtge","ID_CUSIP")</f>
        <v>31426CYK4</v>
      </c>
      <c r="B4748" t="str">
        <f>_xll.BDP("FRQX7013 Mtge","SECURITY_NAME")</f>
        <v>FR QX7013</v>
      </c>
      <c r="C4748" t="str">
        <f>_xll.BDP("FRQX7013 Mtge","GENERIC_TICKER_VINTAGE")</f>
        <v>FNCL 6 2025</v>
      </c>
      <c r="D4748" t="str">
        <f>_xll.BDP("FRQX7013 Mtge","CRNCY")</f>
        <v>USD</v>
      </c>
      <c r="E4748">
        <v>8136965</v>
      </c>
      <c r="F4748">
        <f>_xll.BDP("FRQX7013 Mtge","CPN")</f>
        <v>6</v>
      </c>
      <c r="G4748">
        <f>_xll.BDP("FRQX7013 Mtge","MTG_FACTOR")</f>
        <v>0.87613821000000003</v>
      </c>
      <c r="H4748">
        <f>_xll.BDP("FRQX7013 Mtge","MTG_WAL")</f>
        <v>3.1581000000000001</v>
      </c>
      <c r="I4748" t="str">
        <f>_xll.BDP("FRQX7013 Mtge","MTG_ORIG_WAL")</f>
        <v>#N/A N/A</v>
      </c>
    </row>
    <row r="4749" spans="1:9" x14ac:dyDescent="0.25">
      <c r="A4749" t="str">
        <f>_xll.BDP("FRQX7014 Mtge","ID_CUSIP")</f>
        <v>31426CYL2</v>
      </c>
      <c r="B4749" t="str">
        <f>_xll.BDP("FRQX7014 Mtge","SECURITY_NAME")</f>
        <v>FR QX7014</v>
      </c>
      <c r="C4749" t="str">
        <f>_xll.BDP("FRQX7014 Mtge","GENERIC_TICKER_VINTAGE")</f>
        <v>FNCL 6 2025</v>
      </c>
      <c r="D4749" t="str">
        <f>_xll.BDP("FRQX7014 Mtge","CRNCY")</f>
        <v>USD</v>
      </c>
      <c r="E4749">
        <v>8238590</v>
      </c>
      <c r="F4749">
        <f>_xll.BDP("FRQX7014 Mtge","CPN")</f>
        <v>6</v>
      </c>
      <c r="G4749">
        <f>_xll.BDP("FRQX7014 Mtge","MTG_FACTOR")</f>
        <v>0.72240550999999997</v>
      </c>
      <c r="H4749">
        <f>_xll.BDP("FRQX7014 Mtge","MTG_WAL")</f>
        <v>3.1486000000000001</v>
      </c>
      <c r="I4749" t="str">
        <f>_xll.BDP("FRQX7014 Mtge","MTG_ORIG_WAL")</f>
        <v>#N/A N/A</v>
      </c>
    </row>
    <row r="4750" spans="1:9" x14ac:dyDescent="0.25">
      <c r="A4750" t="str">
        <f>_xll.BDP("FRQX7016 Mtge","ID_CUSIP")</f>
        <v>31426CYN8</v>
      </c>
      <c r="B4750" t="str">
        <f>_xll.BDP("FRQX7016 Mtge","SECURITY_NAME")</f>
        <v>FR QX7016</v>
      </c>
      <c r="C4750" t="str">
        <f>_xll.BDP("FRQX7016 Mtge","GENERIC_TICKER_VINTAGE")</f>
        <v>FNCL 6 2025</v>
      </c>
      <c r="D4750" t="str">
        <f>_xll.BDP("FRQX7016 Mtge","CRNCY")</f>
        <v>USD</v>
      </c>
      <c r="E4750">
        <v>4987177</v>
      </c>
      <c r="F4750">
        <f>_xll.BDP("FRQX7016 Mtge","CPN")</f>
        <v>6</v>
      </c>
      <c r="G4750">
        <f>_xll.BDP("FRQX7016 Mtge","MTG_FACTOR")</f>
        <v>0.74288560000000003</v>
      </c>
      <c r="H4750">
        <f>_xll.BDP("FRQX7016 Mtge","MTG_WAL")</f>
        <v>3.1606999999999998</v>
      </c>
      <c r="I4750" t="str">
        <f>_xll.BDP("FRQX7016 Mtge","MTG_ORIG_WAL")</f>
        <v>#N/A N/A</v>
      </c>
    </row>
    <row r="4751" spans="1:9" x14ac:dyDescent="0.25">
      <c r="A4751" t="str">
        <f>_xll.BDP("FRQX7029 Mtge","ID_CUSIP")</f>
        <v>31426CY32</v>
      </c>
      <c r="B4751" t="str">
        <f>_xll.BDP("FRQX7029 Mtge","SECURITY_NAME")</f>
        <v>FR QX7029</v>
      </c>
      <c r="C4751" t="str">
        <f>_xll.BDP("FRQX7029 Mtge","GENERIC_TICKER_VINTAGE")</f>
        <v>FNCL 6 2025</v>
      </c>
      <c r="D4751" t="str">
        <f>_xll.BDP("FRQX7029 Mtge","CRNCY")</f>
        <v>USD</v>
      </c>
      <c r="E4751">
        <v>2874739</v>
      </c>
      <c r="F4751">
        <f>_xll.BDP("FRQX7029 Mtge","CPN")</f>
        <v>6</v>
      </c>
      <c r="G4751">
        <f>_xll.BDP("FRQX7029 Mtge","MTG_FACTOR")</f>
        <v>0.89039798000000003</v>
      </c>
      <c r="H4751">
        <f>_xll.BDP("FRQX7029 Mtge","MTG_WAL")</f>
        <v>3.1541000000000001</v>
      </c>
      <c r="I4751" t="str">
        <f>_xll.BDP("FRQX7029 Mtge","MTG_ORIG_WAL")</f>
        <v>#N/A N/A</v>
      </c>
    </row>
    <row r="4752" spans="1:9" x14ac:dyDescent="0.25">
      <c r="A4752" t="str">
        <f>_xll.BDP("FRQX7030 Mtge","ID_CUSIP")</f>
        <v>31426CY40</v>
      </c>
      <c r="B4752" t="str">
        <f>_xll.BDP("FRQX7030 Mtge","SECURITY_NAME")</f>
        <v>FR QX7030</v>
      </c>
      <c r="C4752" t="str">
        <f>_xll.BDP("FRQX7030 Mtge","GENERIC_TICKER_VINTAGE")</f>
        <v>FNCL 6 2025</v>
      </c>
      <c r="D4752" t="str">
        <f>_xll.BDP("FRQX7030 Mtge","CRNCY")</f>
        <v>USD</v>
      </c>
      <c r="E4752">
        <v>1274413</v>
      </c>
      <c r="F4752">
        <f>_xll.BDP("FRQX7030 Mtge","CPN")</f>
        <v>6</v>
      </c>
      <c r="G4752">
        <f>_xll.BDP("FRQX7030 Mtge","MTG_FACTOR")</f>
        <v>0.88185212999999996</v>
      </c>
      <c r="H4752">
        <f>_xll.BDP("FRQX7030 Mtge","MTG_WAL")</f>
        <v>3.1524999999999999</v>
      </c>
      <c r="I4752" t="str">
        <f>_xll.BDP("FRQX7030 Mtge","MTG_ORIG_WAL")</f>
        <v>#N/A N/A</v>
      </c>
    </row>
    <row r="4753" spans="1:9" x14ac:dyDescent="0.25">
      <c r="A4753" t="str">
        <f>_xll.BDP("FRQX7031 Mtge","ID_CUSIP")</f>
        <v>31426CY57</v>
      </c>
      <c r="B4753" t="str">
        <f>_xll.BDP("FRQX7031 Mtge","SECURITY_NAME")</f>
        <v>FR QX7031</v>
      </c>
      <c r="C4753" t="str">
        <f>_xll.BDP("FRQX7031 Mtge","GENERIC_TICKER_VINTAGE")</f>
        <v>FNCL 6 2025</v>
      </c>
      <c r="D4753" t="str">
        <f>_xll.BDP("FRQX7031 Mtge","CRNCY")</f>
        <v>USD</v>
      </c>
      <c r="E4753">
        <v>1505900</v>
      </c>
      <c r="F4753">
        <f>_xll.BDP("FRQX7031 Mtge","CPN")</f>
        <v>6</v>
      </c>
      <c r="G4753">
        <f>_xll.BDP("FRQX7031 Mtge","MTG_FACTOR")</f>
        <v>0.77715964999999998</v>
      </c>
      <c r="H4753">
        <f>_xll.BDP("FRQX7031 Mtge","MTG_WAL")</f>
        <v>3.1518999999999999</v>
      </c>
      <c r="I4753" t="str">
        <f>_xll.BDP("FRQX7031 Mtge","MTG_ORIG_WAL")</f>
        <v>#N/A N/A</v>
      </c>
    </row>
    <row r="4754" spans="1:9" x14ac:dyDescent="0.25">
      <c r="A4754" t="str">
        <f>_xll.BDP("FRQX7032 Mtge","ID_CUSIP")</f>
        <v>31426CY65</v>
      </c>
      <c r="B4754" t="str">
        <f>_xll.BDP("FRQX7032 Mtge","SECURITY_NAME")</f>
        <v>FR QX7032</v>
      </c>
      <c r="C4754" t="str">
        <f>_xll.BDP("FRQX7032 Mtge","GENERIC_TICKER_VINTAGE")</f>
        <v>FNCL 6 2025</v>
      </c>
      <c r="D4754" t="str">
        <f>_xll.BDP("FRQX7032 Mtge","CRNCY")</f>
        <v>USD</v>
      </c>
      <c r="E4754">
        <v>4393065</v>
      </c>
      <c r="F4754">
        <f>_xll.BDP("FRQX7032 Mtge","CPN")</f>
        <v>6</v>
      </c>
      <c r="G4754">
        <f>_xll.BDP("FRQX7032 Mtge","MTG_FACTOR")</f>
        <v>0.87472501000000003</v>
      </c>
      <c r="H4754">
        <f>_xll.BDP("FRQX7032 Mtge","MTG_WAL")</f>
        <v>3.1556999999999999</v>
      </c>
      <c r="I4754" t="str">
        <f>_xll.BDP("FRQX7032 Mtge","MTG_ORIG_WAL")</f>
        <v>#N/A N/A</v>
      </c>
    </row>
    <row r="4755" spans="1:9" x14ac:dyDescent="0.25">
      <c r="A4755" t="str">
        <f>_xll.BDP("FRQX7044 Mtge","ID_CUSIP")</f>
        <v>31426CZJ6</v>
      </c>
      <c r="B4755" t="str">
        <f>_xll.BDP("FRQX7044 Mtge","SECURITY_NAME")</f>
        <v>FR QX7044</v>
      </c>
      <c r="C4755" t="str">
        <f>_xll.BDP("FRQX7044 Mtge","GENERIC_TICKER_VINTAGE")</f>
        <v>FNCL 6 2025</v>
      </c>
      <c r="D4755" t="str">
        <f>_xll.BDP("FRQX7044 Mtge","CRNCY")</f>
        <v>USD</v>
      </c>
      <c r="E4755">
        <v>7636701</v>
      </c>
      <c r="F4755">
        <f>_xll.BDP("FRQX7044 Mtge","CPN")</f>
        <v>6</v>
      </c>
      <c r="G4755">
        <f>_xll.BDP("FRQX7044 Mtge","MTG_FACTOR")</f>
        <v>0.73872117000000004</v>
      </c>
      <c r="H4755">
        <f>_xll.BDP("FRQX7044 Mtge","MTG_WAL")</f>
        <v>3.1553</v>
      </c>
      <c r="I4755" t="str">
        <f>_xll.BDP("FRQX7044 Mtge","MTG_ORIG_WAL")</f>
        <v>#N/A N/A</v>
      </c>
    </row>
    <row r="4756" spans="1:9" x14ac:dyDescent="0.25">
      <c r="A4756" t="str">
        <f>_xll.BDP("FRQX7047 Mtge","ID_CUSIP")</f>
        <v>31426CZM9</v>
      </c>
      <c r="B4756" t="str">
        <f>_xll.BDP("FRQX7047 Mtge","SECURITY_NAME")</f>
        <v>FR QX7047</v>
      </c>
      <c r="C4756" t="str">
        <f>_xll.BDP("FRQX7047 Mtge","GENERIC_TICKER_VINTAGE")</f>
        <v>FNCL 6 2025</v>
      </c>
      <c r="D4756" t="str">
        <f>_xll.BDP("FRQX7047 Mtge","CRNCY")</f>
        <v>USD</v>
      </c>
      <c r="E4756">
        <v>1801130</v>
      </c>
      <c r="F4756">
        <f>_xll.BDP("FRQX7047 Mtge","CPN")</f>
        <v>6</v>
      </c>
      <c r="G4756">
        <f>_xll.BDP("FRQX7047 Mtge","MTG_FACTOR")</f>
        <v>0.70594919</v>
      </c>
      <c r="H4756">
        <f>_xll.BDP("FRQX7047 Mtge","MTG_WAL")</f>
        <v>3.2027999999999999</v>
      </c>
      <c r="I4756" t="str">
        <f>_xll.BDP("FRQX7047 Mtge","MTG_ORIG_WAL")</f>
        <v>#N/A N/A</v>
      </c>
    </row>
    <row r="4757" spans="1:9" x14ac:dyDescent="0.25">
      <c r="A4757" t="str">
        <f>_xll.BDP("FRQX7079 Mtge","ID_CUSIP")</f>
        <v>31426C2M5</v>
      </c>
      <c r="B4757" t="str">
        <f>_xll.BDP("FRQX7079 Mtge","SECURITY_NAME")</f>
        <v>FR QX7079</v>
      </c>
      <c r="C4757" t="str">
        <f>_xll.BDP("FRQX7079 Mtge","GENERIC_TICKER_VINTAGE")</f>
        <v>FNCL 6 2025</v>
      </c>
      <c r="D4757" t="str">
        <f>_xll.BDP("FRQX7079 Mtge","CRNCY")</f>
        <v>USD</v>
      </c>
      <c r="E4757">
        <v>1097320</v>
      </c>
      <c r="F4757">
        <f>_xll.BDP("FRQX7079 Mtge","CPN")</f>
        <v>6</v>
      </c>
      <c r="G4757">
        <f>_xll.BDP("FRQX7079 Mtge","MTG_FACTOR")</f>
        <v>0.98302933999999997</v>
      </c>
      <c r="H4757">
        <f>_xll.BDP("FRQX7079 Mtge","MTG_WAL")</f>
        <v>3.1556000000000002</v>
      </c>
      <c r="I4757" t="str">
        <f>_xll.BDP("FRQX7079 Mtge","MTG_ORIG_WAL")</f>
        <v>#N/A N/A</v>
      </c>
    </row>
    <row r="4758" spans="1:9" x14ac:dyDescent="0.25">
      <c r="A4758" t="str">
        <f>_xll.BDP("FRQX7091 Mtge","ID_CUSIP")</f>
        <v>31426C2Z6</v>
      </c>
      <c r="B4758" t="str">
        <f>_xll.BDP("FRQX7091 Mtge","SECURITY_NAME")</f>
        <v>FR QX7091</v>
      </c>
      <c r="C4758" t="str">
        <f>_xll.BDP("FRQX7091 Mtge","GENERIC_TICKER_VINTAGE")</f>
        <v>FNCL 6 2025</v>
      </c>
      <c r="D4758" t="str">
        <f>_xll.BDP("FRQX7091 Mtge","CRNCY")</f>
        <v>USD</v>
      </c>
      <c r="E4758">
        <v>1921113</v>
      </c>
      <c r="F4758">
        <f>_xll.BDP("FRQX7091 Mtge","CPN")</f>
        <v>6</v>
      </c>
      <c r="G4758">
        <f>_xll.BDP("FRQX7091 Mtge","MTG_FACTOR")</f>
        <v>0.87476032999999997</v>
      </c>
      <c r="H4758">
        <f>_xll.BDP("FRQX7091 Mtge","MTG_WAL")</f>
        <v>3.1573000000000002</v>
      </c>
      <c r="I4758" t="str">
        <f>_xll.BDP("FRQX7091 Mtge","MTG_ORIG_WAL")</f>
        <v>#N/A N/A</v>
      </c>
    </row>
    <row r="4759" spans="1:9" x14ac:dyDescent="0.25">
      <c r="A4759" t="str">
        <f>_xll.BDP("FRQX7098 Mtge","ID_CUSIP")</f>
        <v>31426C3G7</v>
      </c>
      <c r="B4759" t="str">
        <f>_xll.BDP("FRQX7098 Mtge","SECURITY_NAME")</f>
        <v>FR QX7098</v>
      </c>
      <c r="C4759" t="str">
        <f>_xll.BDP("FRQX7098 Mtge","GENERIC_TICKER_VINTAGE")</f>
        <v>FNCL 6 2025</v>
      </c>
      <c r="D4759" t="str">
        <f>_xll.BDP("FRQX7098 Mtge","CRNCY")</f>
        <v>USD</v>
      </c>
      <c r="E4759">
        <v>2623340</v>
      </c>
      <c r="F4759">
        <f>_xll.BDP("FRQX7098 Mtge","CPN")</f>
        <v>6</v>
      </c>
      <c r="G4759">
        <f>_xll.BDP("FRQX7098 Mtge","MTG_FACTOR")</f>
        <v>0.96800688000000001</v>
      </c>
      <c r="H4759">
        <f>_xll.BDP("FRQX7098 Mtge","MTG_WAL")</f>
        <v>3.1604999999999999</v>
      </c>
      <c r="I4759" t="str">
        <f>_xll.BDP("FRQX7098 Mtge","MTG_ORIG_WAL")</f>
        <v>#N/A N/A</v>
      </c>
    </row>
    <row r="4760" spans="1:9" x14ac:dyDescent="0.25">
      <c r="A4760" t="str">
        <f>_xll.BDP("FRQX7099 Mtge","ID_CUSIP")</f>
        <v>31426C3H5</v>
      </c>
      <c r="B4760" t="str">
        <f>_xll.BDP("FRQX7099 Mtge","SECURITY_NAME")</f>
        <v>FR QX7099</v>
      </c>
      <c r="C4760" t="str">
        <f>_xll.BDP("FRQX7099 Mtge","GENERIC_TICKER_VINTAGE")</f>
        <v>FNCL 6 2025</v>
      </c>
      <c r="D4760" t="str">
        <f>_xll.BDP("FRQX7099 Mtge","CRNCY")</f>
        <v>USD</v>
      </c>
      <c r="E4760">
        <v>1840578</v>
      </c>
      <c r="F4760">
        <f>_xll.BDP("FRQX7099 Mtge","CPN")</f>
        <v>6</v>
      </c>
      <c r="G4760">
        <f>_xll.BDP("FRQX7099 Mtge","MTG_FACTOR")</f>
        <v>0.98830088000000005</v>
      </c>
      <c r="H4760">
        <f>_xll.BDP("FRQX7099 Mtge","MTG_WAL")</f>
        <v>3.1621000000000001</v>
      </c>
      <c r="I4760" t="str">
        <f>_xll.BDP("FRQX7099 Mtge","MTG_ORIG_WAL")</f>
        <v>#N/A N/A</v>
      </c>
    </row>
    <row r="4761" spans="1:9" x14ac:dyDescent="0.25">
      <c r="A4761" t="str">
        <f>_xll.BDP("FRQX7100 Mtge","ID_CUSIP")</f>
        <v>31426C3J1</v>
      </c>
      <c r="B4761" t="str">
        <f>_xll.BDP("FRQX7100 Mtge","SECURITY_NAME")</f>
        <v>FR QX7100</v>
      </c>
      <c r="C4761" t="str">
        <f>_xll.BDP("FRQX7100 Mtge","GENERIC_TICKER_VINTAGE")</f>
        <v>FNCL 6 2025</v>
      </c>
      <c r="D4761" t="str">
        <f>_xll.BDP("FRQX7100 Mtge","CRNCY")</f>
        <v>USD</v>
      </c>
      <c r="E4761">
        <v>5353650</v>
      </c>
      <c r="F4761">
        <f>_xll.BDP("FRQX7100 Mtge","CPN")</f>
        <v>6</v>
      </c>
      <c r="G4761">
        <f>_xll.BDP("FRQX7100 Mtge","MTG_FACTOR")</f>
        <v>0.84081417999999997</v>
      </c>
      <c r="H4761">
        <f>_xll.BDP("FRQX7100 Mtge","MTG_WAL")</f>
        <v>3.1606999999999998</v>
      </c>
      <c r="I4761" t="str">
        <f>_xll.BDP("FRQX7100 Mtge","MTG_ORIG_WAL")</f>
        <v>#N/A N/A</v>
      </c>
    </row>
    <row r="4762" spans="1:9" x14ac:dyDescent="0.25">
      <c r="A4762" t="str">
        <f>_xll.BDP("FRQX7124 Mtge","ID_CUSIP")</f>
        <v>31426C4J0</v>
      </c>
      <c r="B4762" t="str">
        <f>_xll.BDP("FRQX7124 Mtge","SECURITY_NAME")</f>
        <v>FR QX7124</v>
      </c>
      <c r="C4762" t="str">
        <f>_xll.BDP("FRQX7124 Mtge","GENERIC_TICKER_VINTAGE")</f>
        <v>FNCL 6 2025</v>
      </c>
      <c r="D4762" t="str">
        <f>_xll.BDP("FRQX7124 Mtge","CRNCY")</f>
        <v>USD</v>
      </c>
      <c r="E4762">
        <v>5477318</v>
      </c>
      <c r="F4762">
        <f>_xll.BDP("FRQX7124 Mtge","CPN")</f>
        <v>6</v>
      </c>
      <c r="G4762">
        <f>_xll.BDP("FRQX7124 Mtge","MTG_FACTOR")</f>
        <v>0.59765630999999997</v>
      </c>
      <c r="H4762">
        <f>_xll.BDP("FRQX7124 Mtge","MTG_WAL")</f>
        <v>3.1617000000000002</v>
      </c>
      <c r="I4762" t="str">
        <f>_xll.BDP("FRQX7124 Mtge","MTG_ORIG_WAL")</f>
        <v>#N/A N/A</v>
      </c>
    </row>
    <row r="4763" spans="1:9" x14ac:dyDescent="0.25">
      <c r="A4763" t="str">
        <f>_xll.BDP("FRQX7128 Mtge","ID_CUSIP")</f>
        <v>31426C4N1</v>
      </c>
      <c r="B4763" t="str">
        <f>_xll.BDP("FRQX7128 Mtge","SECURITY_NAME")</f>
        <v>FR QX7128</v>
      </c>
      <c r="C4763" t="str">
        <f>_xll.BDP("FRQX7128 Mtge","GENERIC_TICKER_VINTAGE")</f>
        <v>FNCL 6 2025</v>
      </c>
      <c r="D4763" t="str">
        <f>_xll.BDP("FRQX7128 Mtge","CRNCY")</f>
        <v>USD</v>
      </c>
      <c r="E4763">
        <v>1160594</v>
      </c>
      <c r="F4763">
        <f>_xll.BDP("FRQX7128 Mtge","CPN")</f>
        <v>6</v>
      </c>
      <c r="G4763">
        <f>_xll.BDP("FRQX7128 Mtge","MTG_FACTOR")</f>
        <v>0.84409621000000001</v>
      </c>
      <c r="H4763">
        <f>_xll.BDP("FRQX7128 Mtge","MTG_WAL")</f>
        <v>3.1547000000000001</v>
      </c>
      <c r="I4763" t="str">
        <f>_xll.BDP("FRQX7128 Mtge","MTG_ORIG_WAL")</f>
        <v>#N/A N/A</v>
      </c>
    </row>
    <row r="4764" spans="1:9" x14ac:dyDescent="0.25">
      <c r="A4764" t="str">
        <f>_xll.BDP("FRQX7129 Mtge","ID_CUSIP")</f>
        <v>31426C4P6</v>
      </c>
      <c r="B4764" t="str">
        <f>_xll.BDP("FRQX7129 Mtge","SECURITY_NAME")</f>
        <v>FR QX7129</v>
      </c>
      <c r="C4764" t="str">
        <f>_xll.BDP("FRQX7129 Mtge","GENERIC_TICKER_VINTAGE")</f>
        <v>FNCL 6 2025</v>
      </c>
      <c r="D4764" t="str">
        <f>_xll.BDP("FRQX7129 Mtge","CRNCY")</f>
        <v>USD</v>
      </c>
      <c r="E4764">
        <v>2123490</v>
      </c>
      <c r="F4764">
        <f>_xll.BDP("FRQX7129 Mtge","CPN")</f>
        <v>6</v>
      </c>
      <c r="G4764">
        <f>_xll.BDP("FRQX7129 Mtge","MTG_FACTOR")</f>
        <v>0.88169231999999997</v>
      </c>
      <c r="H4764">
        <f>_xll.BDP("FRQX7129 Mtge","MTG_WAL")</f>
        <v>3.1589999999999998</v>
      </c>
      <c r="I4764" t="str">
        <f>_xll.BDP("FRQX7129 Mtge","MTG_ORIG_WAL")</f>
        <v>#N/A N/A</v>
      </c>
    </row>
    <row r="4765" spans="1:9" x14ac:dyDescent="0.25">
      <c r="A4765" t="str">
        <f>_xll.BDP("FRQX7133 Mtge","ID_CUSIP")</f>
        <v>31426C4T8</v>
      </c>
      <c r="B4765" t="str">
        <f>_xll.BDP("FRQX7133 Mtge","SECURITY_NAME")</f>
        <v>FR QX7133</v>
      </c>
      <c r="C4765" t="str">
        <f>_xll.BDP("FRQX7133 Mtge","GENERIC_TICKER_VINTAGE")</f>
        <v>FNCL 6 2025</v>
      </c>
      <c r="D4765" t="str">
        <f>_xll.BDP("FRQX7133 Mtge","CRNCY")</f>
        <v>USD</v>
      </c>
      <c r="E4765">
        <v>4012031</v>
      </c>
      <c r="F4765">
        <f>_xll.BDP("FRQX7133 Mtge","CPN")</f>
        <v>6</v>
      </c>
      <c r="G4765">
        <f>_xll.BDP("FRQX7133 Mtge","MTG_FACTOR")</f>
        <v>0.98896108999999999</v>
      </c>
      <c r="H4765">
        <f>_xll.BDP("FRQX7133 Mtge","MTG_WAL")</f>
        <v>3.1640999999999999</v>
      </c>
      <c r="I4765" t="str">
        <f>_xll.BDP("FRQX7133 Mtge","MTG_ORIG_WAL")</f>
        <v>#N/A N/A</v>
      </c>
    </row>
    <row r="4766" spans="1:9" x14ac:dyDescent="0.25">
      <c r="A4766" t="str">
        <f>_xll.BDP("FRQX7134 Mtge","ID_CUSIP")</f>
        <v>31426C4U5</v>
      </c>
      <c r="B4766" t="str">
        <f>_xll.BDP("FRQX7134 Mtge","SECURITY_NAME")</f>
        <v>FR QX7134</v>
      </c>
      <c r="C4766" t="str">
        <f>_xll.BDP("FRQX7134 Mtge","GENERIC_TICKER_VINTAGE")</f>
        <v>FNCL 6 2025</v>
      </c>
      <c r="D4766" t="str">
        <f>_xll.BDP("FRQX7134 Mtge","CRNCY")</f>
        <v>USD</v>
      </c>
      <c r="E4766">
        <v>5477992</v>
      </c>
      <c r="F4766">
        <f>_xll.BDP("FRQX7134 Mtge","CPN")</f>
        <v>6</v>
      </c>
      <c r="G4766">
        <f>_xll.BDP("FRQX7134 Mtge","MTG_FACTOR")</f>
        <v>0.74326557999999998</v>
      </c>
      <c r="H4766">
        <f>_xll.BDP("FRQX7134 Mtge","MTG_WAL")</f>
        <v>3.1503000000000001</v>
      </c>
      <c r="I4766" t="str">
        <f>_xll.BDP("FRQX7134 Mtge","MTG_ORIG_WAL")</f>
        <v>#N/A N/A</v>
      </c>
    </row>
    <row r="4767" spans="1:9" x14ac:dyDescent="0.25">
      <c r="A4767" t="str">
        <f>_xll.BDP("FRQX7145 Mtge","ID_CUSIP")</f>
        <v>31426C5F7</v>
      </c>
      <c r="B4767" t="str">
        <f>_xll.BDP("FRQX7145 Mtge","SECURITY_NAME")</f>
        <v>FR QX7145</v>
      </c>
      <c r="C4767" t="str">
        <f>_xll.BDP("FRQX7145 Mtge","GENERIC_TICKER_VINTAGE")</f>
        <v>FNCL 6 2025</v>
      </c>
      <c r="D4767" t="str">
        <f>_xll.BDP("FRQX7145 Mtge","CRNCY")</f>
        <v>USD</v>
      </c>
      <c r="E4767">
        <v>1176154</v>
      </c>
      <c r="F4767">
        <f>_xll.BDP("FRQX7145 Mtge","CPN")</f>
        <v>6</v>
      </c>
      <c r="G4767">
        <f>_xll.BDP("FRQX7145 Mtge","MTG_FACTOR")</f>
        <v>0.98704592999999996</v>
      </c>
      <c r="H4767">
        <f>_xll.BDP("FRQX7145 Mtge","MTG_WAL")</f>
        <v>3.1520000000000001</v>
      </c>
      <c r="I4767" t="str">
        <f>_xll.BDP("FRQX7145 Mtge","MTG_ORIG_WAL")</f>
        <v>#N/A N/A</v>
      </c>
    </row>
    <row r="4768" spans="1:9" x14ac:dyDescent="0.25">
      <c r="A4768" t="str">
        <f>_xll.BDP("FRQX7151 Mtge","ID_CUSIP")</f>
        <v>31426C5M2</v>
      </c>
      <c r="B4768" t="str">
        <f>_xll.BDP("FRQX7151 Mtge","SECURITY_NAME")</f>
        <v>FR QX7151</v>
      </c>
      <c r="C4768" t="str">
        <f>_xll.BDP("FRQX7151 Mtge","GENERIC_TICKER_VINTAGE")</f>
        <v>FNCL 6 2025</v>
      </c>
      <c r="D4768" t="str">
        <f>_xll.BDP("FRQX7151 Mtge","CRNCY")</f>
        <v>USD</v>
      </c>
      <c r="E4768">
        <v>2199006</v>
      </c>
      <c r="F4768">
        <f>_xll.BDP("FRQX7151 Mtge","CPN")</f>
        <v>6</v>
      </c>
      <c r="G4768">
        <f>_xll.BDP("FRQX7151 Mtge","MTG_FACTOR")</f>
        <v>0.83827985000000005</v>
      </c>
      <c r="H4768">
        <f>_xll.BDP("FRQX7151 Mtge","MTG_WAL")</f>
        <v>3.1555</v>
      </c>
      <c r="I4768" t="str">
        <f>_xll.BDP("FRQX7151 Mtge","MTG_ORIG_WAL")</f>
        <v>#N/A N/A</v>
      </c>
    </row>
    <row r="4769" spans="1:9" x14ac:dyDescent="0.25">
      <c r="A4769" t="str">
        <f>_xll.BDP("FRQX7155 Mtge","ID_CUSIP")</f>
        <v>31426C5R1</v>
      </c>
      <c r="B4769" t="str">
        <f>_xll.BDP("FRQX7155 Mtge","SECURITY_NAME")</f>
        <v>FR QX7155</v>
      </c>
      <c r="C4769" t="str">
        <f>_xll.BDP("FRQX7155 Mtge","GENERIC_TICKER_VINTAGE")</f>
        <v>FNCL 6 2025</v>
      </c>
      <c r="D4769" t="str">
        <f>_xll.BDP("FRQX7155 Mtge","CRNCY")</f>
        <v>USD</v>
      </c>
      <c r="E4769">
        <v>2709279</v>
      </c>
      <c r="F4769">
        <f>_xll.BDP("FRQX7155 Mtge","CPN")</f>
        <v>6</v>
      </c>
      <c r="G4769">
        <f>_xll.BDP("FRQX7155 Mtge","MTG_FACTOR")</f>
        <v>0.98736243999999995</v>
      </c>
      <c r="H4769">
        <f>_xll.BDP("FRQX7155 Mtge","MTG_WAL")</f>
        <v>3.1591999999999998</v>
      </c>
      <c r="I4769" t="str">
        <f>_xll.BDP("FRQX7155 Mtge","MTG_ORIG_WAL")</f>
        <v>#N/A N/A</v>
      </c>
    </row>
    <row r="4770" spans="1:9" x14ac:dyDescent="0.25">
      <c r="A4770" t="str">
        <f>_xll.BDP("FRQX7160 Mtge","ID_CUSIP")</f>
        <v>31426C5W0</v>
      </c>
      <c r="B4770" t="str">
        <f>_xll.BDP("FRQX7160 Mtge","SECURITY_NAME")</f>
        <v>FR QX7160</v>
      </c>
      <c r="C4770" t="str">
        <f>_xll.BDP("FRQX7160 Mtge","GENERIC_TICKER_VINTAGE")</f>
        <v>FNCL 6 2025</v>
      </c>
      <c r="D4770" t="str">
        <f>_xll.BDP("FRQX7160 Mtge","CRNCY")</f>
        <v>USD</v>
      </c>
      <c r="E4770">
        <v>5334400</v>
      </c>
      <c r="F4770">
        <f>_xll.BDP("FRQX7160 Mtge","CPN")</f>
        <v>6</v>
      </c>
      <c r="G4770">
        <f>_xll.BDP("FRQX7160 Mtge","MTG_FACTOR")</f>
        <v>0.92373472000000001</v>
      </c>
      <c r="H4770">
        <f>_xll.BDP("FRQX7160 Mtge","MTG_WAL")</f>
        <v>3.1604000000000001</v>
      </c>
      <c r="I4770" t="str">
        <f>_xll.BDP("FRQX7160 Mtge","MTG_ORIG_WAL")</f>
        <v>#N/A N/A</v>
      </c>
    </row>
    <row r="4771" spans="1:9" x14ac:dyDescent="0.25">
      <c r="A4771" t="str">
        <f>_xll.BDP("FRQX7161 Mtge","ID_CUSIP")</f>
        <v>31426C5X8</v>
      </c>
      <c r="B4771" t="str">
        <f>_xll.BDP("FRQX7161 Mtge","SECURITY_NAME")</f>
        <v>FR QX7161</v>
      </c>
      <c r="C4771" t="str">
        <f>_xll.BDP("FRQX7161 Mtge","GENERIC_TICKER_VINTAGE")</f>
        <v>FNCL 6 2025</v>
      </c>
      <c r="D4771" t="str">
        <f>_xll.BDP("FRQX7161 Mtge","CRNCY")</f>
        <v>USD</v>
      </c>
      <c r="E4771">
        <v>1058147</v>
      </c>
      <c r="F4771">
        <f>_xll.BDP("FRQX7161 Mtge","CPN")</f>
        <v>6</v>
      </c>
      <c r="G4771">
        <f>_xll.BDP("FRQX7161 Mtge","MTG_FACTOR")</f>
        <v>0.60729982000000005</v>
      </c>
      <c r="H4771">
        <f>_xll.BDP("FRQX7161 Mtge","MTG_WAL")</f>
        <v>3.2025999999999999</v>
      </c>
      <c r="I4771" t="str">
        <f>_xll.BDP("FRQX7161 Mtge","MTG_ORIG_WAL")</f>
        <v>#N/A N/A</v>
      </c>
    </row>
    <row r="4772" spans="1:9" x14ac:dyDescent="0.25">
      <c r="A4772" t="str">
        <f>_xll.BDP("FRQX7162 Mtge","ID_CUSIP")</f>
        <v>31426C5Y6</v>
      </c>
      <c r="B4772" t="str">
        <f>_xll.BDP("FRQX7162 Mtge","SECURITY_NAME")</f>
        <v>FR QX7162</v>
      </c>
      <c r="C4772" t="str">
        <f>_xll.BDP("FRQX7162 Mtge","GENERIC_TICKER_VINTAGE")</f>
        <v>FNCL 6 2025</v>
      </c>
      <c r="D4772" t="str">
        <f>_xll.BDP("FRQX7162 Mtge","CRNCY")</f>
        <v>USD</v>
      </c>
      <c r="E4772">
        <v>1219650</v>
      </c>
      <c r="F4772">
        <f>_xll.BDP("FRQX7162 Mtge","CPN")</f>
        <v>6</v>
      </c>
      <c r="G4772">
        <f>_xll.BDP("FRQX7162 Mtge","MTG_FACTOR")</f>
        <v>0.90374504</v>
      </c>
      <c r="H4772">
        <f>_xll.BDP("FRQX7162 Mtge","MTG_WAL")</f>
        <v>3.1577000000000002</v>
      </c>
      <c r="I4772" t="str">
        <f>_xll.BDP("FRQX7162 Mtge","MTG_ORIG_WAL")</f>
        <v>#N/A N/A</v>
      </c>
    </row>
    <row r="4773" spans="1:9" x14ac:dyDescent="0.25">
      <c r="A4773" t="str">
        <f>_xll.BDP("FRQX7170 Mtge","ID_CUSIP")</f>
        <v>31426C6G4</v>
      </c>
      <c r="B4773" t="str">
        <f>_xll.BDP("FRQX7170 Mtge","SECURITY_NAME")</f>
        <v>FR QX7170</v>
      </c>
      <c r="C4773" t="str">
        <f>_xll.BDP("FRQX7170 Mtge","GENERIC_TICKER_VINTAGE")</f>
        <v>FNCL 6 2025</v>
      </c>
      <c r="D4773" t="str">
        <f>_xll.BDP("FRQX7170 Mtge","CRNCY")</f>
        <v>USD</v>
      </c>
      <c r="E4773">
        <v>5387872</v>
      </c>
      <c r="F4773">
        <f>_xll.BDP("FRQX7170 Mtge","CPN")</f>
        <v>6</v>
      </c>
      <c r="G4773">
        <f>_xll.BDP("FRQX7170 Mtge","MTG_FACTOR")</f>
        <v>0.73340163999999997</v>
      </c>
      <c r="H4773">
        <f>_xll.BDP("FRQX7170 Mtge","MTG_WAL")</f>
        <v>3.1572</v>
      </c>
      <c r="I4773" t="str">
        <f>_xll.BDP("FRQX7170 Mtge","MTG_ORIG_WAL")</f>
        <v>#N/A N/A</v>
      </c>
    </row>
    <row r="4774" spans="1:9" x14ac:dyDescent="0.25">
      <c r="A4774" t="str">
        <f>_xll.BDP("FRQX7200 Mtge","ID_CUSIP")</f>
        <v>31426DAA0</v>
      </c>
      <c r="B4774" t="str">
        <f>_xll.BDP("FRQX7200 Mtge","SECURITY_NAME")</f>
        <v>FR QX7200</v>
      </c>
      <c r="C4774" t="str">
        <f>_xll.BDP("FRQX7200 Mtge","GENERIC_TICKER_VINTAGE")</f>
        <v>FNCL 6 2025</v>
      </c>
      <c r="D4774" t="str">
        <f>_xll.BDP("FRQX7200 Mtge","CRNCY")</f>
        <v>USD</v>
      </c>
      <c r="E4774">
        <v>8036151</v>
      </c>
      <c r="F4774">
        <f>_xll.BDP("FRQX7200 Mtge","CPN")</f>
        <v>6</v>
      </c>
      <c r="G4774">
        <f>_xll.BDP("FRQX7200 Mtge","MTG_FACTOR")</f>
        <v>0.79721542000000001</v>
      </c>
      <c r="H4774">
        <f>_xll.BDP("FRQX7200 Mtge","MTG_WAL")</f>
        <v>3.1583000000000001</v>
      </c>
      <c r="I4774" t="str">
        <f>_xll.BDP("FRQX7200 Mtge","MTG_ORIG_WAL")</f>
        <v>#N/A N/A</v>
      </c>
    </row>
    <row r="4775" spans="1:9" x14ac:dyDescent="0.25">
      <c r="A4775" t="str">
        <f>_xll.BDP("FRQX7218 Mtge","ID_CUSIP")</f>
        <v>31426DAU6</v>
      </c>
      <c r="B4775" t="str">
        <f>_xll.BDP("FRQX7218 Mtge","SECURITY_NAME")</f>
        <v>FR QX7218</v>
      </c>
      <c r="C4775" t="str">
        <f>_xll.BDP("FRQX7218 Mtge","GENERIC_TICKER_VINTAGE")</f>
        <v>FNCL 6 2025</v>
      </c>
      <c r="D4775" t="str">
        <f>_xll.BDP("FRQX7218 Mtge","CRNCY")</f>
        <v>USD</v>
      </c>
      <c r="E4775">
        <v>5469084</v>
      </c>
      <c r="F4775">
        <f>_xll.BDP("FRQX7218 Mtge","CPN")</f>
        <v>6</v>
      </c>
      <c r="G4775">
        <f>_xll.BDP("FRQX7218 Mtge","MTG_FACTOR")</f>
        <v>0.98777208000000005</v>
      </c>
      <c r="H4775">
        <f>_xll.BDP("FRQX7218 Mtge","MTG_WAL")</f>
        <v>3.1619999999999999</v>
      </c>
      <c r="I4775" t="str">
        <f>_xll.BDP("FRQX7218 Mtge","MTG_ORIG_WAL")</f>
        <v>#N/A N/A</v>
      </c>
    </row>
    <row r="4776" spans="1:9" x14ac:dyDescent="0.25">
      <c r="A4776" t="str">
        <f>_xll.BDP("FRQX7228 Mtge","ID_CUSIP")</f>
        <v>31426DA69</v>
      </c>
      <c r="B4776" t="str">
        <f>_xll.BDP("FRQX7228 Mtge","SECURITY_NAME")</f>
        <v>FR QX7228</v>
      </c>
      <c r="C4776" t="str">
        <f>_xll.BDP("FRQX7228 Mtge","GENERIC_TICKER_VINTAGE")</f>
        <v>FNCL 6 2025</v>
      </c>
      <c r="D4776" t="str">
        <f>_xll.BDP("FRQX7228 Mtge","CRNCY")</f>
        <v>USD</v>
      </c>
      <c r="E4776">
        <v>18772208</v>
      </c>
      <c r="F4776">
        <f>_xll.BDP("FRQX7228 Mtge","CPN")</f>
        <v>6</v>
      </c>
      <c r="G4776">
        <f>_xll.BDP("FRQX7228 Mtge","MTG_FACTOR")</f>
        <v>0.81662265999999994</v>
      </c>
      <c r="H4776">
        <f>_xll.BDP("FRQX7228 Mtge","MTG_WAL")</f>
        <v>3.1589999999999998</v>
      </c>
      <c r="I4776" t="str">
        <f>_xll.BDP("FRQX7228 Mtge","MTG_ORIG_WAL")</f>
        <v>#N/A N/A</v>
      </c>
    </row>
    <row r="4777" spans="1:9" x14ac:dyDescent="0.25">
      <c r="A4777" t="str">
        <f>_xll.BDP("FRQX7256 Mtge","ID_CUSIP")</f>
        <v>31426DB27</v>
      </c>
      <c r="B4777" t="str">
        <f>_xll.BDP("FRQX7256 Mtge","SECURITY_NAME")</f>
        <v>FR QX7256</v>
      </c>
      <c r="C4777" t="str">
        <f>_xll.BDP("FRQX7256 Mtge","GENERIC_TICKER_VINTAGE")</f>
        <v>FNCL 6 2025</v>
      </c>
      <c r="D4777" t="str">
        <f>_xll.BDP("FRQX7256 Mtge","CRNCY")</f>
        <v>USD</v>
      </c>
      <c r="E4777">
        <v>1267050</v>
      </c>
      <c r="F4777">
        <f>_xll.BDP("FRQX7256 Mtge","CPN")</f>
        <v>6</v>
      </c>
      <c r="G4777">
        <f>_xll.BDP("FRQX7256 Mtge","MTG_FACTOR")</f>
        <v>0.81687335000000005</v>
      </c>
      <c r="H4777">
        <f>_xll.BDP("FRQX7256 Mtge","MTG_WAL")</f>
        <v>3.1627000000000001</v>
      </c>
      <c r="I4777" t="str">
        <f>_xll.BDP("FRQX7256 Mtge","MTG_ORIG_WAL")</f>
        <v>#N/A N/A</v>
      </c>
    </row>
    <row r="4778" spans="1:9" x14ac:dyDescent="0.25">
      <c r="A4778" t="str">
        <f>_xll.BDP("FRQX7259 Mtge","ID_CUSIP")</f>
        <v>31426DB50</v>
      </c>
      <c r="B4778" t="str">
        <f>_xll.BDP("FRQX7259 Mtge","SECURITY_NAME")</f>
        <v>FR QX7259</v>
      </c>
      <c r="C4778" t="str">
        <f>_xll.BDP("FRQX7259 Mtge","GENERIC_TICKER_VINTAGE")</f>
        <v>FNCL 6 2025</v>
      </c>
      <c r="D4778" t="str">
        <f>_xll.BDP("FRQX7259 Mtge","CRNCY")</f>
        <v>USD</v>
      </c>
      <c r="E4778">
        <v>4207500</v>
      </c>
      <c r="F4778">
        <f>_xll.BDP("FRQX7259 Mtge","CPN")</f>
        <v>6</v>
      </c>
      <c r="G4778">
        <f>_xll.BDP("FRQX7259 Mtge","MTG_FACTOR")</f>
        <v>0.66268115000000005</v>
      </c>
      <c r="H4778">
        <f>_xll.BDP("FRQX7259 Mtge","MTG_WAL")</f>
        <v>3.1619000000000002</v>
      </c>
      <c r="I4778" t="str">
        <f>_xll.BDP("FRQX7259 Mtge","MTG_ORIG_WAL")</f>
        <v>#N/A N/A</v>
      </c>
    </row>
    <row r="4779" spans="1:9" x14ac:dyDescent="0.25">
      <c r="A4779" t="str">
        <f>_xll.BDP("FRQX7298 Mtge","ID_CUSIP")</f>
        <v>31426DDC3</v>
      </c>
      <c r="B4779" t="str">
        <f>_xll.BDP("FRQX7298 Mtge","SECURITY_NAME")</f>
        <v>FR QX7298</v>
      </c>
      <c r="C4779" t="str">
        <f>_xll.BDP("FRQX7298 Mtge","GENERIC_TICKER_VINTAGE")</f>
        <v>FNCL 6 2025</v>
      </c>
      <c r="D4779" t="str">
        <f>_xll.BDP("FRQX7298 Mtge","CRNCY")</f>
        <v>USD</v>
      </c>
      <c r="E4779">
        <v>3383838</v>
      </c>
      <c r="F4779">
        <f>_xll.BDP("FRQX7298 Mtge","CPN")</f>
        <v>6</v>
      </c>
      <c r="G4779">
        <f>_xll.BDP("FRQX7298 Mtge","MTG_FACTOR")</f>
        <v>0.98749894999999999</v>
      </c>
      <c r="H4779">
        <f>_xll.BDP("FRQX7298 Mtge","MTG_WAL")</f>
        <v>3.2039</v>
      </c>
      <c r="I4779" t="str">
        <f>_xll.BDP("FRQX7298 Mtge","MTG_ORIG_WAL")</f>
        <v>#N/A N/A</v>
      </c>
    </row>
    <row r="4780" spans="1:9" x14ac:dyDescent="0.25">
      <c r="A4780" t="str">
        <f>_xll.BDP("FRQX7301 Mtge","ID_CUSIP")</f>
        <v>31426DDF6</v>
      </c>
      <c r="B4780" t="str">
        <f>_xll.BDP("FRQX7301 Mtge","SECURITY_NAME")</f>
        <v>FR QX7301</v>
      </c>
      <c r="C4780" t="str">
        <f>_xll.BDP("FRQX7301 Mtge","GENERIC_TICKER_VINTAGE")</f>
        <v>FNCL 6 2025</v>
      </c>
      <c r="D4780" t="str">
        <f>_xll.BDP("FRQX7301 Mtge","CRNCY")</f>
        <v>USD</v>
      </c>
      <c r="E4780">
        <v>1573270</v>
      </c>
      <c r="F4780">
        <f>_xll.BDP("FRQX7301 Mtge","CPN")</f>
        <v>6</v>
      </c>
      <c r="G4780">
        <f>_xll.BDP("FRQX7301 Mtge","MTG_FACTOR")</f>
        <v>0.94477528</v>
      </c>
      <c r="H4780">
        <f>_xll.BDP("FRQX7301 Mtge","MTG_WAL")</f>
        <v>3.2008999999999999</v>
      </c>
      <c r="I4780" t="str">
        <f>_xll.BDP("FRQX7301 Mtge","MTG_ORIG_WAL")</f>
        <v>#N/A N/A</v>
      </c>
    </row>
    <row r="4781" spans="1:9" x14ac:dyDescent="0.25">
      <c r="A4781" t="str">
        <f>_xll.BDP("FRQX7312 Mtge","ID_CUSIP")</f>
        <v>31426DDS8</v>
      </c>
      <c r="B4781" t="str">
        <f>_xll.BDP("FRQX7312 Mtge","SECURITY_NAME")</f>
        <v>FR QX7312</v>
      </c>
      <c r="C4781" t="str">
        <f>_xll.BDP("FRQX7312 Mtge","GENERIC_TICKER_VINTAGE")</f>
        <v>FNCL 6 2025</v>
      </c>
      <c r="D4781" t="str">
        <f>_xll.BDP("FRQX7312 Mtge","CRNCY")</f>
        <v>USD</v>
      </c>
      <c r="E4781">
        <v>3374045</v>
      </c>
      <c r="F4781">
        <f>_xll.BDP("FRQX7312 Mtge","CPN")</f>
        <v>6</v>
      </c>
      <c r="G4781">
        <f>_xll.BDP("FRQX7312 Mtge","MTG_FACTOR")</f>
        <v>0.77229572000000002</v>
      </c>
      <c r="H4781">
        <f>_xll.BDP("FRQX7312 Mtge","MTG_WAL")</f>
        <v>3.1562999999999999</v>
      </c>
      <c r="I4781" t="str">
        <f>_xll.BDP("FRQX7312 Mtge","MTG_ORIG_WAL")</f>
        <v>#N/A N/A</v>
      </c>
    </row>
    <row r="4782" spans="1:9" x14ac:dyDescent="0.25">
      <c r="A4782" t="str">
        <f>_xll.BDP("FRQX7313 Mtge","ID_CUSIP")</f>
        <v>31426DDT6</v>
      </c>
      <c r="B4782" t="str">
        <f>_xll.BDP("FRQX7313 Mtge","SECURITY_NAME")</f>
        <v>FR QX7313</v>
      </c>
      <c r="C4782" t="str">
        <f>_xll.BDP("FRQX7313 Mtge","GENERIC_TICKER_VINTAGE")</f>
        <v>FNCL 6 2025</v>
      </c>
      <c r="D4782" t="str">
        <f>_xll.BDP("FRQX7313 Mtge","CRNCY")</f>
        <v>USD</v>
      </c>
      <c r="E4782">
        <v>1085785</v>
      </c>
      <c r="F4782">
        <f>_xll.BDP("FRQX7313 Mtge","CPN")</f>
        <v>6</v>
      </c>
      <c r="G4782">
        <f>_xll.BDP("FRQX7313 Mtge","MTG_FACTOR")</f>
        <v>0.9682809</v>
      </c>
      <c r="H4782">
        <f>_xll.BDP("FRQX7313 Mtge","MTG_WAL")</f>
        <v>3.1859000000000002</v>
      </c>
      <c r="I4782" t="str">
        <f>_xll.BDP("FRQX7313 Mtge","MTG_ORIG_WAL")</f>
        <v>#N/A N/A</v>
      </c>
    </row>
    <row r="4783" spans="1:9" x14ac:dyDescent="0.25">
      <c r="A4783" t="str">
        <f>_xll.BDP("FRQX7327 Mtge","ID_CUSIP")</f>
        <v>31426DD90</v>
      </c>
      <c r="B4783" t="str">
        <f>_xll.BDP("FRQX7327 Mtge","SECURITY_NAME")</f>
        <v>FR QX7327</v>
      </c>
      <c r="C4783" t="str">
        <f>_xll.BDP("FRQX7327 Mtge","GENERIC_TICKER_VINTAGE")</f>
        <v>FNCL 6 2025</v>
      </c>
      <c r="D4783" t="str">
        <f>_xll.BDP("FRQX7327 Mtge","CRNCY")</f>
        <v>USD</v>
      </c>
      <c r="E4783">
        <v>3427055</v>
      </c>
      <c r="F4783">
        <f>_xll.BDP("FRQX7327 Mtge","CPN")</f>
        <v>6</v>
      </c>
      <c r="G4783">
        <f>_xll.BDP("FRQX7327 Mtge","MTG_FACTOR")</f>
        <v>0.91413889999999998</v>
      </c>
      <c r="H4783">
        <f>_xll.BDP("FRQX7327 Mtge","MTG_WAL")</f>
        <v>3.2046000000000001</v>
      </c>
      <c r="I4783" t="str">
        <f>_xll.BDP("FRQX7327 Mtge","MTG_ORIG_WAL")</f>
        <v>#N/A N/A</v>
      </c>
    </row>
    <row r="4784" spans="1:9" x14ac:dyDescent="0.25">
      <c r="A4784" t="str">
        <f>_xll.BDP("FRQX7332 Mtge","ID_CUSIP")</f>
        <v>31426DEE8</v>
      </c>
      <c r="B4784" t="str">
        <f>_xll.BDP("FRQX7332 Mtge","SECURITY_NAME")</f>
        <v>FR QX7332</v>
      </c>
      <c r="C4784" t="str">
        <f>_xll.BDP("FRQX7332 Mtge","GENERIC_TICKER_VINTAGE")</f>
        <v>FNCL 6 2025</v>
      </c>
      <c r="D4784" t="str">
        <f>_xll.BDP("FRQX7332 Mtge","CRNCY")</f>
        <v>USD</v>
      </c>
      <c r="E4784">
        <v>3580316</v>
      </c>
      <c r="F4784">
        <f>_xll.BDP("FRQX7332 Mtge","CPN")</f>
        <v>6</v>
      </c>
      <c r="G4784">
        <f>_xll.BDP("FRQX7332 Mtge","MTG_FACTOR")</f>
        <v>0.81144715000000001</v>
      </c>
      <c r="H4784">
        <f>_xll.BDP("FRQX7332 Mtge","MTG_WAL")</f>
        <v>3.2048999999999999</v>
      </c>
      <c r="I4784" t="str">
        <f>_xll.BDP("FRQX7332 Mtge","MTG_ORIG_WAL")</f>
        <v>#N/A N/A</v>
      </c>
    </row>
    <row r="4785" spans="1:9" x14ac:dyDescent="0.25">
      <c r="A4785" t="str">
        <f>_xll.BDP("FRQX7336 Mtge","ID_CUSIP")</f>
        <v>31426DEJ7</v>
      </c>
      <c r="B4785" t="str">
        <f>_xll.BDP("FRQX7336 Mtge","SECURITY_NAME")</f>
        <v>FR QX7336</v>
      </c>
      <c r="C4785" t="str">
        <f>_xll.BDP("FRQX7336 Mtge","GENERIC_TICKER_VINTAGE")</f>
        <v>FNCL 6 2025</v>
      </c>
      <c r="D4785" t="str">
        <f>_xll.BDP("FRQX7336 Mtge","CRNCY")</f>
        <v>USD</v>
      </c>
      <c r="E4785">
        <v>2620983</v>
      </c>
      <c r="F4785">
        <f>_xll.BDP("FRQX7336 Mtge","CPN")</f>
        <v>6</v>
      </c>
      <c r="G4785">
        <f>_xll.BDP("FRQX7336 Mtge","MTG_FACTOR")</f>
        <v>0.78659444000000001</v>
      </c>
      <c r="H4785">
        <f>_xll.BDP("FRQX7336 Mtge","MTG_WAL")</f>
        <v>3.1604000000000001</v>
      </c>
      <c r="I4785" t="str">
        <f>_xll.BDP("FRQX7336 Mtge","MTG_ORIG_WAL")</f>
        <v>#N/A N/A</v>
      </c>
    </row>
    <row r="4786" spans="1:9" x14ac:dyDescent="0.25">
      <c r="A4786" t="str">
        <f>_xll.BDP("FRQX7341 Mtge","ID_CUSIP")</f>
        <v>31426DEP3</v>
      </c>
      <c r="B4786" t="str">
        <f>_xll.BDP("FRQX7341 Mtge","SECURITY_NAME")</f>
        <v>FR QX7341</v>
      </c>
      <c r="C4786" t="str">
        <f>_xll.BDP("FRQX7341 Mtge","GENERIC_TICKER_VINTAGE")</f>
        <v>FNCL 6 2025</v>
      </c>
      <c r="D4786" t="str">
        <f>_xll.BDP("FRQX7341 Mtge","CRNCY")</f>
        <v>USD</v>
      </c>
      <c r="E4786">
        <v>3133650</v>
      </c>
      <c r="F4786">
        <f>_xll.BDP("FRQX7341 Mtge","CPN")</f>
        <v>6</v>
      </c>
      <c r="G4786">
        <f>_xll.BDP("FRQX7341 Mtge","MTG_FACTOR")</f>
        <v>0.78980401</v>
      </c>
      <c r="H4786">
        <f>_xll.BDP("FRQX7341 Mtge","MTG_WAL")</f>
        <v>3.1608000000000001</v>
      </c>
      <c r="I4786" t="str">
        <f>_xll.BDP("FRQX7341 Mtge","MTG_ORIG_WAL")</f>
        <v>#N/A N/A</v>
      </c>
    </row>
    <row r="4787" spans="1:9" x14ac:dyDescent="0.25">
      <c r="A4787" t="str">
        <f>_xll.BDP("FRQX7342 Mtge","ID_CUSIP")</f>
        <v>31426DEQ1</v>
      </c>
      <c r="B4787" t="str">
        <f>_xll.BDP("FRQX7342 Mtge","SECURITY_NAME")</f>
        <v>FR QX7342</v>
      </c>
      <c r="C4787" t="str">
        <f>_xll.BDP("FRQX7342 Mtge","GENERIC_TICKER_VINTAGE")</f>
        <v>FNCL 6 2025</v>
      </c>
      <c r="D4787" t="str">
        <f>_xll.BDP("FRQX7342 Mtge","CRNCY")</f>
        <v>USD</v>
      </c>
      <c r="E4787">
        <v>1656910</v>
      </c>
      <c r="F4787">
        <f>_xll.BDP("FRQX7342 Mtge","CPN")</f>
        <v>6</v>
      </c>
      <c r="G4787">
        <f>_xll.BDP("FRQX7342 Mtge","MTG_FACTOR")</f>
        <v>0.98900387000000001</v>
      </c>
      <c r="H4787">
        <f>_xll.BDP("FRQX7342 Mtge","MTG_WAL")</f>
        <v>3.1642999999999999</v>
      </c>
      <c r="I4787" t="str">
        <f>_xll.BDP("FRQX7342 Mtge","MTG_ORIG_WAL")</f>
        <v>#N/A N/A</v>
      </c>
    </row>
    <row r="4788" spans="1:9" x14ac:dyDescent="0.25">
      <c r="A4788" t="str">
        <f>_xll.BDP("FRQX7344 Mtge","ID_CUSIP")</f>
        <v>31426DES7</v>
      </c>
      <c r="B4788" t="str">
        <f>_xll.BDP("FRQX7344 Mtge","SECURITY_NAME")</f>
        <v>FR QX7344</v>
      </c>
      <c r="C4788" t="str">
        <f>_xll.BDP("FRQX7344 Mtge","GENERIC_TICKER_VINTAGE")</f>
        <v>FNCL 6 2025</v>
      </c>
      <c r="D4788" t="str">
        <f>_xll.BDP("FRQX7344 Mtge","CRNCY")</f>
        <v>USD</v>
      </c>
      <c r="E4788">
        <v>4396500</v>
      </c>
      <c r="F4788">
        <f>_xll.BDP("FRQX7344 Mtge","CPN")</f>
        <v>6</v>
      </c>
      <c r="G4788">
        <f>_xll.BDP("FRQX7344 Mtge","MTG_FACTOR")</f>
        <v>0.97900810999999999</v>
      </c>
      <c r="H4788">
        <f>_xll.BDP("FRQX7344 Mtge","MTG_WAL")</f>
        <v>3.1536</v>
      </c>
      <c r="I4788" t="str">
        <f>_xll.BDP("FRQX7344 Mtge","MTG_ORIG_WAL")</f>
        <v>#N/A N/A</v>
      </c>
    </row>
    <row r="4789" spans="1:9" x14ac:dyDescent="0.25">
      <c r="A4789" t="str">
        <f>_xll.BDP("FRQX7347 Mtge","ID_CUSIP")</f>
        <v>31426DEV0</v>
      </c>
      <c r="B4789" t="str">
        <f>_xll.BDP("FRQX7347 Mtge","SECURITY_NAME")</f>
        <v>FR QX7347</v>
      </c>
      <c r="C4789" t="str">
        <f>_xll.BDP("FRQX7347 Mtge","GENERIC_TICKER_VINTAGE")</f>
        <v>FNCL 6 2025</v>
      </c>
      <c r="D4789" t="str">
        <f>_xll.BDP("FRQX7347 Mtge","CRNCY")</f>
        <v>USD</v>
      </c>
      <c r="E4789">
        <v>7438462</v>
      </c>
      <c r="F4789">
        <f>_xll.BDP("FRQX7347 Mtge","CPN")</f>
        <v>6</v>
      </c>
      <c r="G4789">
        <f>_xll.BDP("FRQX7347 Mtge","MTG_FACTOR")</f>
        <v>0.90549563</v>
      </c>
      <c r="H4789">
        <f>_xll.BDP("FRQX7347 Mtge","MTG_WAL")</f>
        <v>3.1636000000000002</v>
      </c>
      <c r="I4789" t="str">
        <f>_xll.BDP("FRQX7347 Mtge","MTG_ORIG_WAL")</f>
        <v>#N/A N/A</v>
      </c>
    </row>
    <row r="4790" spans="1:9" x14ac:dyDescent="0.25">
      <c r="A4790" t="str">
        <f>_xll.BDP("FRQX7361 Mtge","ID_CUSIP")</f>
        <v>31426DFB3</v>
      </c>
      <c r="B4790" t="str">
        <f>_xll.BDP("FRQX7361 Mtge","SECURITY_NAME")</f>
        <v>FR QX7361</v>
      </c>
      <c r="C4790" t="str">
        <f>_xll.BDP("FRQX7361 Mtge","GENERIC_TICKER_VINTAGE")</f>
        <v>FNCL 6 2025</v>
      </c>
      <c r="D4790" t="str">
        <f>_xll.BDP("FRQX7361 Mtge","CRNCY")</f>
        <v>USD</v>
      </c>
      <c r="E4790">
        <v>2247000</v>
      </c>
      <c r="F4790">
        <f>_xll.BDP("FRQX7361 Mtge","CPN")</f>
        <v>6</v>
      </c>
      <c r="G4790">
        <f>_xll.BDP("FRQX7361 Mtge","MTG_FACTOR")</f>
        <v>0.68549779</v>
      </c>
      <c r="H4790">
        <f>_xll.BDP("FRQX7361 Mtge","MTG_WAL")</f>
        <v>3.1248999999999998</v>
      </c>
      <c r="I4790" t="str">
        <f>_xll.BDP("FRQX7361 Mtge","MTG_ORIG_WAL")</f>
        <v>#N/A N/A</v>
      </c>
    </row>
    <row r="4791" spans="1:9" x14ac:dyDescent="0.25">
      <c r="A4791" t="str">
        <f>_xll.BDP("FRQX7372 Mtge","ID_CUSIP")</f>
        <v>31426DFN7</v>
      </c>
      <c r="B4791" t="str">
        <f>_xll.BDP("FRQX7372 Mtge","SECURITY_NAME")</f>
        <v>FR QX7372</v>
      </c>
      <c r="C4791" t="str">
        <f>_xll.BDP("FRQX7372 Mtge","GENERIC_TICKER_VINTAGE")</f>
        <v>FNCL 6 2025</v>
      </c>
      <c r="D4791" t="str">
        <f>_xll.BDP("FRQX7372 Mtge","CRNCY")</f>
        <v>USD</v>
      </c>
      <c r="E4791">
        <v>1049250</v>
      </c>
      <c r="F4791">
        <f>_xll.BDP("FRQX7372 Mtge","CPN")</f>
        <v>6</v>
      </c>
      <c r="G4791">
        <f>_xll.BDP("FRQX7372 Mtge","MTG_FACTOR")</f>
        <v>0.80884977000000002</v>
      </c>
      <c r="H4791">
        <f>_xll.BDP("FRQX7372 Mtge","MTG_WAL")</f>
        <v>3.1322999999999999</v>
      </c>
      <c r="I4791" t="str">
        <f>_xll.BDP("FRQX7372 Mtge","MTG_ORIG_WAL")</f>
        <v>#N/A N/A</v>
      </c>
    </row>
    <row r="4792" spans="1:9" x14ac:dyDescent="0.25">
      <c r="A4792" t="str">
        <f>_xll.BDP("FRQX7373 Mtge","ID_CUSIP")</f>
        <v>31426DFP2</v>
      </c>
      <c r="B4792" t="str">
        <f>_xll.BDP("FRQX7373 Mtge","SECURITY_NAME")</f>
        <v>FR QX7373</v>
      </c>
      <c r="C4792" t="str">
        <f>_xll.BDP("FRQX7373 Mtge","GENERIC_TICKER_VINTAGE")</f>
        <v>FNCL 6 2025</v>
      </c>
      <c r="D4792" t="str">
        <f>_xll.BDP("FRQX7373 Mtge","CRNCY")</f>
        <v>USD</v>
      </c>
      <c r="E4792">
        <v>3730868</v>
      </c>
      <c r="F4792">
        <f>_xll.BDP("FRQX7373 Mtge","CPN")</f>
        <v>6</v>
      </c>
      <c r="G4792">
        <f>_xll.BDP("FRQX7373 Mtge","MTG_FACTOR")</f>
        <v>0.98850579999999999</v>
      </c>
      <c r="H4792">
        <f>_xll.BDP("FRQX7373 Mtge","MTG_WAL")</f>
        <v>3.1606000000000001</v>
      </c>
      <c r="I4792" t="str">
        <f>_xll.BDP("FRQX7373 Mtge","MTG_ORIG_WAL")</f>
        <v>#N/A N/A</v>
      </c>
    </row>
    <row r="4793" spans="1:9" x14ac:dyDescent="0.25">
      <c r="A4793" t="str">
        <f>_xll.BDP("FRQX7380 Mtge","ID_CUSIP")</f>
        <v>31426DFW7</v>
      </c>
      <c r="B4793" t="str">
        <f>_xll.BDP("FRQX7380 Mtge","SECURITY_NAME")</f>
        <v>FR QX7380</v>
      </c>
      <c r="C4793" t="str">
        <f>_xll.BDP("FRQX7380 Mtge","GENERIC_TICKER_VINTAGE")</f>
        <v>FNCL 6 2025</v>
      </c>
      <c r="D4793" t="str">
        <f>_xll.BDP("FRQX7380 Mtge","CRNCY")</f>
        <v>USD</v>
      </c>
      <c r="E4793">
        <v>10782072</v>
      </c>
      <c r="F4793">
        <f>_xll.BDP("FRQX7380 Mtge","CPN")</f>
        <v>6</v>
      </c>
      <c r="G4793">
        <f>_xll.BDP("FRQX7380 Mtge","MTG_FACTOR")</f>
        <v>0.76197362999999996</v>
      </c>
      <c r="H4793">
        <f>_xll.BDP("FRQX7380 Mtge","MTG_WAL")</f>
        <v>3.1556999999999999</v>
      </c>
      <c r="I4793" t="str">
        <f>_xll.BDP("FRQX7380 Mtge","MTG_ORIG_WAL")</f>
        <v>#N/A N/A</v>
      </c>
    </row>
    <row r="4794" spans="1:9" x14ac:dyDescent="0.25">
      <c r="A4794" t="str">
        <f>_xll.BDP("FRQX7381 Mtge","ID_CUSIP")</f>
        <v>31426DFX5</v>
      </c>
      <c r="B4794" t="str">
        <f>_xll.BDP("FRQX7381 Mtge","SECURITY_NAME")</f>
        <v>FR QX7381</v>
      </c>
      <c r="C4794" t="str">
        <f>_xll.BDP("FRQX7381 Mtge","GENERIC_TICKER_VINTAGE")</f>
        <v>FNCL 6 2025</v>
      </c>
      <c r="D4794" t="str">
        <f>_xll.BDP("FRQX7381 Mtge","CRNCY")</f>
        <v>USD</v>
      </c>
      <c r="E4794">
        <v>9381988</v>
      </c>
      <c r="F4794">
        <f>_xll.BDP("FRQX7381 Mtge","CPN")</f>
        <v>6</v>
      </c>
      <c r="G4794">
        <f>_xll.BDP("FRQX7381 Mtge","MTG_FACTOR")</f>
        <v>0.78804405</v>
      </c>
      <c r="H4794">
        <f>_xll.BDP("FRQX7381 Mtge","MTG_WAL")</f>
        <v>3.1585999999999999</v>
      </c>
      <c r="I4794" t="str">
        <f>_xll.BDP("FRQX7381 Mtge","MTG_ORIG_WAL")</f>
        <v>#N/A N/A</v>
      </c>
    </row>
    <row r="4795" spans="1:9" x14ac:dyDescent="0.25">
      <c r="A4795" t="str">
        <f>_xll.BDP("FRQX7382 Mtge","ID_CUSIP")</f>
        <v>31426DFY3</v>
      </c>
      <c r="B4795" t="str">
        <f>_xll.BDP("FRQX7382 Mtge","SECURITY_NAME")</f>
        <v>FR QX7382</v>
      </c>
      <c r="C4795" t="str">
        <f>_xll.BDP("FRQX7382 Mtge","GENERIC_TICKER_VINTAGE")</f>
        <v>FNCL 6 2025</v>
      </c>
      <c r="D4795" t="str">
        <f>_xll.BDP("FRQX7382 Mtge","CRNCY")</f>
        <v>USD</v>
      </c>
      <c r="E4795">
        <v>15220329</v>
      </c>
      <c r="F4795">
        <f>_xll.BDP("FRQX7382 Mtge","CPN")</f>
        <v>6</v>
      </c>
      <c r="G4795">
        <f>_xll.BDP("FRQX7382 Mtge","MTG_FACTOR")</f>
        <v>0.86307445000000005</v>
      </c>
      <c r="H4795">
        <f>_xll.BDP("FRQX7382 Mtge","MTG_WAL")</f>
        <v>3.1532</v>
      </c>
      <c r="I4795" t="str">
        <f>_xll.BDP("FRQX7382 Mtge","MTG_ORIG_WAL")</f>
        <v>#N/A N/A</v>
      </c>
    </row>
    <row r="4796" spans="1:9" x14ac:dyDescent="0.25">
      <c r="A4796" t="str">
        <f>_xll.BDP("FRQX7383 Mtge","ID_CUSIP")</f>
        <v>31426DFZ0</v>
      </c>
      <c r="B4796" t="str">
        <f>_xll.BDP("FRQX7383 Mtge","SECURITY_NAME")</f>
        <v>FR QX7383</v>
      </c>
      <c r="C4796" t="str">
        <f>_xll.BDP("FRQX7383 Mtge","GENERIC_TICKER_VINTAGE")</f>
        <v>FNCL 6 2025</v>
      </c>
      <c r="D4796" t="str">
        <f>_xll.BDP("FRQX7383 Mtge","CRNCY")</f>
        <v>USD</v>
      </c>
      <c r="E4796">
        <v>25210307</v>
      </c>
      <c r="F4796">
        <f>_xll.BDP("FRQX7383 Mtge","CPN")</f>
        <v>6</v>
      </c>
      <c r="G4796">
        <f>_xll.BDP("FRQX7383 Mtge","MTG_FACTOR")</f>
        <v>0.87304912000000001</v>
      </c>
      <c r="H4796">
        <f>_xll.BDP("FRQX7383 Mtge","MTG_WAL")</f>
        <v>3.1573000000000002</v>
      </c>
      <c r="I4796" t="str">
        <f>_xll.BDP("FRQX7383 Mtge","MTG_ORIG_WAL")</f>
        <v>#N/A N/A</v>
      </c>
    </row>
    <row r="4797" spans="1:9" x14ac:dyDescent="0.25">
      <c r="A4797" t="str">
        <f>_xll.BDP("FRQX7391 Mtge","ID_CUSIP")</f>
        <v>31426DF98</v>
      </c>
      <c r="B4797" t="str">
        <f>_xll.BDP("FRQX7391 Mtge","SECURITY_NAME")</f>
        <v>FR QX7391</v>
      </c>
      <c r="C4797" t="str">
        <f>_xll.BDP("FRQX7391 Mtge","GENERIC_TICKER_VINTAGE")</f>
        <v>FNCL 6 2025</v>
      </c>
      <c r="D4797" t="str">
        <f>_xll.BDP("FRQX7391 Mtge","CRNCY")</f>
        <v>USD</v>
      </c>
      <c r="E4797">
        <v>1470072</v>
      </c>
      <c r="F4797">
        <f>_xll.BDP("FRQX7391 Mtge","CPN")</f>
        <v>6</v>
      </c>
      <c r="G4797">
        <f>_xll.BDP("FRQX7391 Mtge","MTG_FACTOR")</f>
        <v>0.77058044999999997</v>
      </c>
      <c r="H4797">
        <f>_xll.BDP("FRQX7391 Mtge","MTG_WAL")</f>
        <v>3.1629</v>
      </c>
      <c r="I4797" t="str">
        <f>_xll.BDP("FRQX7391 Mtge","MTG_ORIG_WAL")</f>
        <v>#N/A N/A</v>
      </c>
    </row>
    <row r="4798" spans="1:9" x14ac:dyDescent="0.25">
      <c r="A4798" t="str">
        <f>_xll.BDP("FRQX7395 Mtge","ID_CUSIP")</f>
        <v>31426DGD8</v>
      </c>
      <c r="B4798" t="str">
        <f>_xll.BDP("FRQX7395 Mtge","SECURITY_NAME")</f>
        <v>FR QX7395</v>
      </c>
      <c r="C4798" t="str">
        <f>_xll.BDP("FRQX7395 Mtge","GENERIC_TICKER_VINTAGE")</f>
        <v>FNCL 6 2025</v>
      </c>
      <c r="D4798" t="str">
        <f>_xll.BDP("FRQX7395 Mtge","CRNCY")</f>
        <v>USD</v>
      </c>
      <c r="E4798">
        <v>3940458</v>
      </c>
      <c r="F4798">
        <f>_xll.BDP("FRQX7395 Mtge","CPN")</f>
        <v>6</v>
      </c>
      <c r="G4798">
        <f>_xll.BDP("FRQX7395 Mtge","MTG_FACTOR")</f>
        <v>0.8459139</v>
      </c>
      <c r="H4798">
        <f>_xll.BDP("FRQX7395 Mtge","MTG_WAL")</f>
        <v>3.2044999999999999</v>
      </c>
      <c r="I4798" t="str">
        <f>_xll.BDP("FRQX7395 Mtge","MTG_ORIG_WAL")</f>
        <v>#N/A N/A</v>
      </c>
    </row>
    <row r="4799" spans="1:9" x14ac:dyDescent="0.25">
      <c r="A4799" t="str">
        <f>_xll.BDP("FRQX7403 Mtge","ID_CUSIP")</f>
        <v>31426DGM8</v>
      </c>
      <c r="B4799" t="str">
        <f>_xll.BDP("FRQX7403 Mtge","SECURITY_NAME")</f>
        <v>FR QX7403</v>
      </c>
      <c r="C4799" t="str">
        <f>_xll.BDP("FRQX7403 Mtge","GENERIC_TICKER_VINTAGE")</f>
        <v>FNCL 6 2025</v>
      </c>
      <c r="D4799" t="str">
        <f>_xll.BDP("FRQX7403 Mtge","CRNCY")</f>
        <v>USD</v>
      </c>
      <c r="E4799">
        <v>1066801</v>
      </c>
      <c r="F4799">
        <f>_xll.BDP("FRQX7403 Mtge","CPN")</f>
        <v>6</v>
      </c>
      <c r="G4799">
        <f>_xll.BDP("FRQX7403 Mtge","MTG_FACTOR")</f>
        <v>0.98582722</v>
      </c>
      <c r="H4799">
        <f>_xll.BDP("FRQX7403 Mtge","MTG_WAL")</f>
        <v>3.2018</v>
      </c>
      <c r="I4799" t="str">
        <f>_xll.BDP("FRQX7403 Mtge","MTG_ORIG_WAL")</f>
        <v>#N/A N/A</v>
      </c>
    </row>
    <row r="4800" spans="1:9" x14ac:dyDescent="0.25">
      <c r="A4800" t="str">
        <f>_xll.BDP("FRQX7405 Mtge","ID_CUSIP")</f>
        <v>31426DGP1</v>
      </c>
      <c r="B4800" t="str">
        <f>_xll.BDP("FRQX7405 Mtge","SECURITY_NAME")</f>
        <v>FR QX7405</v>
      </c>
      <c r="C4800" t="str">
        <f>_xll.BDP("FRQX7405 Mtge","GENERIC_TICKER_VINTAGE")</f>
        <v>FNCL 6 2025</v>
      </c>
      <c r="D4800" t="str">
        <f>_xll.BDP("FRQX7405 Mtge","CRNCY")</f>
        <v>USD</v>
      </c>
      <c r="E4800">
        <v>1146040</v>
      </c>
      <c r="F4800">
        <f>_xll.BDP("FRQX7405 Mtge","CPN")</f>
        <v>6</v>
      </c>
      <c r="G4800">
        <f>_xll.BDP("FRQX7405 Mtge","MTG_FACTOR")</f>
        <v>0.98772656000000003</v>
      </c>
      <c r="H4800">
        <f>_xll.BDP("FRQX7405 Mtge","MTG_WAL")</f>
        <v>3.1600999999999999</v>
      </c>
      <c r="I4800" t="str">
        <f>_xll.BDP("FRQX7405 Mtge","MTG_ORIG_WAL")</f>
        <v>#N/A N/A</v>
      </c>
    </row>
    <row r="4801" spans="1:9" x14ac:dyDescent="0.25">
      <c r="A4801" t="str">
        <f>_xll.BDP("FRQX7406 Mtge","ID_CUSIP")</f>
        <v>31426DGQ9</v>
      </c>
      <c r="B4801" t="str">
        <f>_xll.BDP("FRQX7406 Mtge","SECURITY_NAME")</f>
        <v>FR QX7406</v>
      </c>
      <c r="C4801" t="str">
        <f>_xll.BDP("FRQX7406 Mtge","GENERIC_TICKER_VINTAGE")</f>
        <v>FNCL 6 2025</v>
      </c>
      <c r="D4801" t="str">
        <f>_xll.BDP("FRQX7406 Mtge","CRNCY")</f>
        <v>USD</v>
      </c>
      <c r="E4801">
        <v>2517864</v>
      </c>
      <c r="F4801">
        <f>_xll.BDP("FRQX7406 Mtge","CPN")</f>
        <v>6</v>
      </c>
      <c r="G4801">
        <f>_xll.BDP("FRQX7406 Mtge","MTG_FACTOR")</f>
        <v>0.98347834999999995</v>
      </c>
      <c r="H4801">
        <f>_xll.BDP("FRQX7406 Mtge","MTG_WAL")</f>
        <v>3.1528999999999998</v>
      </c>
      <c r="I4801" t="str">
        <f>_xll.BDP("FRQX7406 Mtge","MTG_ORIG_WAL")</f>
        <v>#N/A N/A</v>
      </c>
    </row>
    <row r="4802" spans="1:9" x14ac:dyDescent="0.25">
      <c r="A4802" t="str">
        <f>_xll.BDP("FRQX7413 Mtge","ID_CUSIP")</f>
        <v>31426DGX4</v>
      </c>
      <c r="B4802" t="str">
        <f>_xll.BDP("FRQX7413 Mtge","SECURITY_NAME")</f>
        <v>FR QX7413</v>
      </c>
      <c r="C4802" t="str">
        <f>_xll.BDP("FRQX7413 Mtge","GENERIC_TICKER_VINTAGE")</f>
        <v>FNCL 6 2025</v>
      </c>
      <c r="D4802" t="str">
        <f>_xll.BDP("FRQX7413 Mtge","CRNCY")</f>
        <v>USD</v>
      </c>
      <c r="E4802">
        <v>3475875</v>
      </c>
      <c r="F4802">
        <f>_xll.BDP("FRQX7413 Mtge","CPN")</f>
        <v>6</v>
      </c>
      <c r="G4802">
        <f>_xll.BDP("FRQX7413 Mtge","MTG_FACTOR")</f>
        <v>0.84359181999999999</v>
      </c>
      <c r="H4802">
        <f>_xll.BDP("FRQX7413 Mtge","MTG_WAL")</f>
        <v>3.1585999999999999</v>
      </c>
      <c r="I4802" t="str">
        <f>_xll.BDP("FRQX7413 Mtge","MTG_ORIG_WAL")</f>
        <v>#N/A N/A</v>
      </c>
    </row>
    <row r="4803" spans="1:9" x14ac:dyDescent="0.25">
      <c r="A4803" t="str">
        <f>_xll.BDP("FRQX7421 Mtge","ID_CUSIP")</f>
        <v>31426DG71</v>
      </c>
      <c r="B4803" t="str">
        <f>_xll.BDP("FRQX7421 Mtge","SECURITY_NAME")</f>
        <v>FR QX7421</v>
      </c>
      <c r="C4803" t="str">
        <f>_xll.BDP("FRQX7421 Mtge","GENERIC_TICKER_VINTAGE")</f>
        <v>FNCL 6 2025</v>
      </c>
      <c r="D4803" t="str">
        <f>_xll.BDP("FRQX7421 Mtge","CRNCY")</f>
        <v>USD</v>
      </c>
      <c r="E4803">
        <v>13499892</v>
      </c>
      <c r="F4803">
        <f>_xll.BDP("FRQX7421 Mtge","CPN")</f>
        <v>6</v>
      </c>
      <c r="G4803">
        <f>_xll.BDP("FRQX7421 Mtge","MTG_FACTOR")</f>
        <v>0.66269666999999999</v>
      </c>
      <c r="H4803">
        <f>_xll.BDP("FRQX7421 Mtge","MTG_WAL")</f>
        <v>3.1608000000000001</v>
      </c>
      <c r="I4803" t="str">
        <f>_xll.BDP("FRQX7421 Mtge","MTG_ORIG_WAL")</f>
        <v>#N/A N/A</v>
      </c>
    </row>
    <row r="4804" spans="1:9" x14ac:dyDescent="0.25">
      <c r="A4804" t="str">
        <f>_xll.BDP("FRQX7432 Mtge","ID_CUSIP")</f>
        <v>31426DHJ4</v>
      </c>
      <c r="B4804" t="str">
        <f>_xll.BDP("FRQX7432 Mtge","SECURITY_NAME")</f>
        <v>FR QX7432</v>
      </c>
      <c r="C4804" t="str">
        <f>_xll.BDP("FRQX7432 Mtge","GENERIC_TICKER_VINTAGE")</f>
        <v>FNCL 6 2025</v>
      </c>
      <c r="D4804" t="str">
        <f>_xll.BDP("FRQX7432 Mtge","CRNCY")</f>
        <v>USD</v>
      </c>
      <c r="E4804">
        <v>2166311</v>
      </c>
      <c r="F4804">
        <f>_xll.BDP("FRQX7432 Mtge","CPN")</f>
        <v>6</v>
      </c>
      <c r="G4804">
        <f>_xll.BDP("FRQX7432 Mtge","MTG_FACTOR")</f>
        <v>0.85934785999999996</v>
      </c>
      <c r="H4804">
        <f>_xll.BDP("FRQX7432 Mtge","MTG_WAL")</f>
        <v>3.1528999999999998</v>
      </c>
      <c r="I4804" t="str">
        <f>_xll.BDP("FRQX7432 Mtge","MTG_ORIG_WAL")</f>
        <v>#N/A N/A</v>
      </c>
    </row>
    <row r="4805" spans="1:9" x14ac:dyDescent="0.25">
      <c r="A4805" t="str">
        <f>_xll.BDP("FRQX7433 Mtge","ID_CUSIP")</f>
        <v>31426DHK1</v>
      </c>
      <c r="B4805" t="str">
        <f>_xll.BDP("FRQX7433 Mtge","SECURITY_NAME")</f>
        <v>FR QX7433</v>
      </c>
      <c r="C4805" t="str">
        <f>_xll.BDP("FRQX7433 Mtge","GENERIC_TICKER_VINTAGE")</f>
        <v>FNCL 6 2025</v>
      </c>
      <c r="D4805" t="str">
        <f>_xll.BDP("FRQX7433 Mtge","CRNCY")</f>
        <v>USD</v>
      </c>
      <c r="E4805">
        <v>1698224</v>
      </c>
      <c r="F4805">
        <f>_xll.BDP("FRQX7433 Mtge","CPN")</f>
        <v>6</v>
      </c>
      <c r="G4805">
        <f>_xll.BDP("FRQX7433 Mtge","MTG_FACTOR")</f>
        <v>0.76455569000000001</v>
      </c>
      <c r="H4805">
        <f>_xll.BDP("FRQX7433 Mtge","MTG_WAL")</f>
        <v>3.1560999999999999</v>
      </c>
      <c r="I4805" t="str">
        <f>_xll.BDP("FRQX7433 Mtge","MTG_ORIG_WAL")</f>
        <v>#N/A N/A</v>
      </c>
    </row>
    <row r="4806" spans="1:9" x14ac:dyDescent="0.25">
      <c r="A4806" t="str">
        <f>_xll.BDP("FRQX7434 Mtge","ID_CUSIP")</f>
        <v>31426DHL9</v>
      </c>
      <c r="B4806" t="str">
        <f>_xll.BDP("FRQX7434 Mtge","SECURITY_NAME")</f>
        <v>FR QX7434</v>
      </c>
      <c r="C4806" t="str">
        <f>_xll.BDP("FRQX7434 Mtge","GENERIC_TICKER_VINTAGE")</f>
        <v>FNCL 6 2025</v>
      </c>
      <c r="D4806" t="str">
        <f>_xll.BDP("FRQX7434 Mtge","CRNCY")</f>
        <v>USD</v>
      </c>
      <c r="E4806">
        <v>1224000</v>
      </c>
      <c r="F4806">
        <f>_xll.BDP("FRQX7434 Mtge","CPN")</f>
        <v>6</v>
      </c>
      <c r="G4806">
        <f>_xll.BDP("FRQX7434 Mtge","MTG_FACTOR")</f>
        <v>0.70678764999999999</v>
      </c>
      <c r="H4806">
        <f>_xll.BDP("FRQX7434 Mtge","MTG_WAL")</f>
        <v>3.1613000000000002</v>
      </c>
      <c r="I4806" t="str">
        <f>_xll.BDP("FRQX7434 Mtge","MTG_ORIG_WAL")</f>
        <v>#N/A N/A</v>
      </c>
    </row>
    <row r="4807" spans="1:9" x14ac:dyDescent="0.25">
      <c r="A4807" t="str">
        <f>_xll.BDP("FRQX7435 Mtge","ID_CUSIP")</f>
        <v>31426DHM7</v>
      </c>
      <c r="B4807" t="str">
        <f>_xll.BDP("FRQX7435 Mtge","SECURITY_NAME")</f>
        <v>FR QX7435</v>
      </c>
      <c r="C4807" t="str">
        <f>_xll.BDP("FRQX7435 Mtge","GENERIC_TICKER_VINTAGE")</f>
        <v>FNCL 6 2025</v>
      </c>
      <c r="D4807" t="str">
        <f>_xll.BDP("FRQX7435 Mtge","CRNCY")</f>
        <v>USD</v>
      </c>
      <c r="E4807">
        <v>2860654</v>
      </c>
      <c r="F4807">
        <f>_xll.BDP("FRQX7435 Mtge","CPN")</f>
        <v>6</v>
      </c>
      <c r="G4807">
        <f>_xll.BDP("FRQX7435 Mtge","MTG_FACTOR")</f>
        <v>0.93374986000000004</v>
      </c>
      <c r="H4807">
        <f>_xll.BDP("FRQX7435 Mtge","MTG_WAL")</f>
        <v>3.1581000000000001</v>
      </c>
      <c r="I4807" t="str">
        <f>_xll.BDP("FRQX7435 Mtge","MTG_ORIG_WAL")</f>
        <v>#N/A N/A</v>
      </c>
    </row>
    <row r="4808" spans="1:9" x14ac:dyDescent="0.25">
      <c r="A4808" t="str">
        <f>_xll.BDP("FRQX7438 Mtge","ID_CUSIP")</f>
        <v>31426DHQ8</v>
      </c>
      <c r="B4808" t="str">
        <f>_xll.BDP("FRQX7438 Mtge","SECURITY_NAME")</f>
        <v>FR QX7438</v>
      </c>
      <c r="C4808" t="str">
        <f>_xll.BDP("FRQX7438 Mtge","GENERIC_TICKER_VINTAGE")</f>
        <v>FNCL 6 2025</v>
      </c>
      <c r="D4808" t="str">
        <f>_xll.BDP("FRQX7438 Mtge","CRNCY")</f>
        <v>USD</v>
      </c>
      <c r="E4808">
        <v>8859230</v>
      </c>
      <c r="F4808">
        <f>_xll.BDP("FRQX7438 Mtge","CPN")</f>
        <v>6</v>
      </c>
      <c r="G4808">
        <f>_xll.BDP("FRQX7438 Mtge","MTG_FACTOR")</f>
        <v>0.59653378000000001</v>
      </c>
      <c r="H4808">
        <f>_xll.BDP("FRQX7438 Mtge","MTG_WAL")</f>
        <v>3.1585999999999999</v>
      </c>
      <c r="I4808" t="str">
        <f>_xll.BDP("FRQX7438 Mtge","MTG_ORIG_WAL")</f>
        <v>#N/A N/A</v>
      </c>
    </row>
    <row r="4809" spans="1:9" x14ac:dyDescent="0.25">
      <c r="A4809" t="str">
        <f>_xll.BDP("FRQX7440 Mtge","ID_CUSIP")</f>
        <v>31426DHS4</v>
      </c>
      <c r="B4809" t="str">
        <f>_xll.BDP("FRQX7440 Mtge","SECURITY_NAME")</f>
        <v>FR QX7440</v>
      </c>
      <c r="C4809" t="str">
        <f>_xll.BDP("FRQX7440 Mtge","GENERIC_TICKER_VINTAGE")</f>
        <v>FNCL 6 2025</v>
      </c>
      <c r="D4809" t="str">
        <f>_xll.BDP("FRQX7440 Mtge","CRNCY")</f>
        <v>USD</v>
      </c>
      <c r="E4809">
        <v>11196887</v>
      </c>
      <c r="F4809">
        <f>_xll.BDP("FRQX7440 Mtge","CPN")</f>
        <v>6</v>
      </c>
      <c r="G4809">
        <f>_xll.BDP("FRQX7440 Mtge","MTG_FACTOR")</f>
        <v>0.76721561999999999</v>
      </c>
      <c r="H4809">
        <f>_xll.BDP("FRQX7440 Mtge","MTG_WAL")</f>
        <v>3.1539999999999999</v>
      </c>
      <c r="I4809" t="str">
        <f>_xll.BDP("FRQX7440 Mtge","MTG_ORIG_WAL")</f>
        <v>#N/A N/A</v>
      </c>
    </row>
    <row r="4810" spans="1:9" x14ac:dyDescent="0.25">
      <c r="A4810" t="str">
        <f>_xll.BDP("FRQX7443 Mtge","ID_CUSIP")</f>
        <v>31426DHV7</v>
      </c>
      <c r="B4810" t="str">
        <f>_xll.BDP("FRQX7443 Mtge","SECURITY_NAME")</f>
        <v>FR QX7443</v>
      </c>
      <c r="C4810" t="str">
        <f>_xll.BDP("FRQX7443 Mtge","GENERIC_TICKER_VINTAGE")</f>
        <v>FNCL 6 2025</v>
      </c>
      <c r="D4810" t="str">
        <f>_xll.BDP("FRQX7443 Mtge","CRNCY")</f>
        <v>USD</v>
      </c>
      <c r="E4810">
        <v>5666746</v>
      </c>
      <c r="F4810">
        <f>_xll.BDP("FRQX7443 Mtge","CPN")</f>
        <v>6</v>
      </c>
      <c r="G4810">
        <f>_xll.BDP("FRQX7443 Mtge","MTG_FACTOR")</f>
        <v>0.75011821000000001</v>
      </c>
      <c r="H4810">
        <f>_xll.BDP("FRQX7443 Mtge","MTG_WAL")</f>
        <v>3.1589999999999998</v>
      </c>
      <c r="I4810" t="str">
        <f>_xll.BDP("FRQX7443 Mtge","MTG_ORIG_WAL")</f>
        <v>#N/A N/A</v>
      </c>
    </row>
    <row r="4811" spans="1:9" x14ac:dyDescent="0.25">
      <c r="A4811" t="str">
        <f>_xll.BDP("FRQX7444 Mtge","ID_CUSIP")</f>
        <v>31426DHW5</v>
      </c>
      <c r="B4811" t="str">
        <f>_xll.BDP("FRQX7444 Mtge","SECURITY_NAME")</f>
        <v>FR QX7444</v>
      </c>
      <c r="C4811" t="str">
        <f>_xll.BDP("FRQX7444 Mtge","GENERIC_TICKER_VINTAGE")</f>
        <v>FNCL 6 2025</v>
      </c>
      <c r="D4811" t="str">
        <f>_xll.BDP("FRQX7444 Mtge","CRNCY")</f>
        <v>USD</v>
      </c>
      <c r="E4811">
        <v>4079707</v>
      </c>
      <c r="F4811">
        <f>_xll.BDP("FRQX7444 Mtge","CPN")</f>
        <v>6</v>
      </c>
      <c r="G4811">
        <f>_xll.BDP("FRQX7444 Mtge","MTG_FACTOR")</f>
        <v>0.80289396999999996</v>
      </c>
      <c r="H4811">
        <f>_xll.BDP("FRQX7444 Mtge","MTG_WAL")</f>
        <v>3.1469999999999998</v>
      </c>
      <c r="I4811" t="str">
        <f>_xll.BDP("FRQX7444 Mtge","MTG_ORIG_WAL")</f>
        <v>#N/A N/A</v>
      </c>
    </row>
    <row r="4812" spans="1:9" x14ac:dyDescent="0.25">
      <c r="A4812" t="str">
        <f>_xll.BDP("FRQX7458 Mtge","ID_CUSIP")</f>
        <v>31426DJC7</v>
      </c>
      <c r="B4812" t="str">
        <f>_xll.BDP("FRQX7458 Mtge","SECURITY_NAME")</f>
        <v>FR QX7458</v>
      </c>
      <c r="C4812" t="str">
        <f>_xll.BDP("FRQX7458 Mtge","GENERIC_TICKER_VINTAGE")</f>
        <v>FNCL 6 2025</v>
      </c>
      <c r="D4812" t="str">
        <f>_xll.BDP("FRQX7458 Mtge","CRNCY")</f>
        <v>USD</v>
      </c>
      <c r="E4812">
        <v>1110055</v>
      </c>
      <c r="F4812">
        <f>_xll.BDP("FRQX7458 Mtge","CPN")</f>
        <v>6</v>
      </c>
      <c r="G4812">
        <f>_xll.BDP("FRQX7458 Mtge","MTG_FACTOR")</f>
        <v>0.75033247000000003</v>
      </c>
      <c r="H4812">
        <f>_xll.BDP("FRQX7458 Mtge","MTG_WAL")</f>
        <v>3.1533000000000002</v>
      </c>
      <c r="I4812" t="str">
        <f>_xll.BDP("FRQX7458 Mtge","MTG_ORIG_WAL")</f>
        <v>#N/A N/A</v>
      </c>
    </row>
    <row r="4813" spans="1:9" x14ac:dyDescent="0.25">
      <c r="A4813" t="str">
        <f>_xll.BDP("FRQX7460 Mtge","ID_CUSIP")</f>
        <v>31426DJE3</v>
      </c>
      <c r="B4813" t="str">
        <f>_xll.BDP("FRQX7460 Mtge","SECURITY_NAME")</f>
        <v>FR QX7460</v>
      </c>
      <c r="C4813" t="str">
        <f>_xll.BDP("FRQX7460 Mtge","GENERIC_TICKER_VINTAGE")</f>
        <v>FNCL 6 2025</v>
      </c>
      <c r="D4813" t="str">
        <f>_xll.BDP("FRQX7460 Mtge","CRNCY")</f>
        <v>USD</v>
      </c>
      <c r="E4813">
        <v>4921618</v>
      </c>
      <c r="F4813">
        <f>_xll.BDP("FRQX7460 Mtge","CPN")</f>
        <v>6</v>
      </c>
      <c r="G4813">
        <f>_xll.BDP("FRQX7460 Mtge","MTG_FACTOR")</f>
        <v>0.81689708999999999</v>
      </c>
      <c r="H4813">
        <f>_xll.BDP("FRQX7460 Mtge","MTG_WAL")</f>
        <v>3.1612</v>
      </c>
      <c r="I4813" t="str">
        <f>_xll.BDP("FRQX7460 Mtge","MTG_ORIG_WAL")</f>
        <v>#N/A N/A</v>
      </c>
    </row>
    <row r="4814" spans="1:9" x14ac:dyDescent="0.25">
      <c r="A4814" t="str">
        <f>_xll.BDP("FRQX7478 Mtge","ID_CUSIP")</f>
        <v>31426DJY9</v>
      </c>
      <c r="B4814" t="str">
        <f>_xll.BDP("FRQX7478 Mtge","SECURITY_NAME")</f>
        <v>FR QX7478</v>
      </c>
      <c r="C4814" t="str">
        <f>_xll.BDP("FRQX7478 Mtge","GENERIC_TICKER_VINTAGE")</f>
        <v>FNCL 6 2025</v>
      </c>
      <c r="D4814" t="str">
        <f>_xll.BDP("FRQX7478 Mtge","CRNCY")</f>
        <v>USD</v>
      </c>
      <c r="E4814">
        <v>1717825</v>
      </c>
      <c r="F4814">
        <f>_xll.BDP("FRQX7478 Mtge","CPN")</f>
        <v>6</v>
      </c>
      <c r="G4814">
        <f>_xll.BDP("FRQX7478 Mtge","MTG_FACTOR")</f>
        <v>0.98836029999999997</v>
      </c>
      <c r="H4814">
        <f>_xll.BDP("FRQX7478 Mtge","MTG_WAL")</f>
        <v>3.1591999999999998</v>
      </c>
      <c r="I4814" t="str">
        <f>_xll.BDP("FRQX7478 Mtge","MTG_ORIG_WAL")</f>
        <v>#N/A N/A</v>
      </c>
    </row>
    <row r="4815" spans="1:9" x14ac:dyDescent="0.25">
      <c r="A4815" t="str">
        <f>_xll.BDP("FRQX7509 Mtge","ID_CUSIP")</f>
        <v>31426DKX9</v>
      </c>
      <c r="B4815" t="str">
        <f>_xll.BDP("FRQX7509 Mtge","SECURITY_NAME")</f>
        <v>FR QX7509</v>
      </c>
      <c r="C4815" t="str">
        <f>_xll.BDP("FRQX7509 Mtge","GENERIC_TICKER_VINTAGE")</f>
        <v>FNCL 6 2025</v>
      </c>
      <c r="D4815" t="str">
        <f>_xll.BDP("FRQX7509 Mtge","CRNCY")</f>
        <v>USD</v>
      </c>
      <c r="E4815">
        <v>9195790</v>
      </c>
      <c r="F4815">
        <f>_xll.BDP("FRQX7509 Mtge","CPN")</f>
        <v>6</v>
      </c>
      <c r="G4815">
        <f>_xll.BDP("FRQX7509 Mtge","MTG_FACTOR")</f>
        <v>0.74978588999999995</v>
      </c>
      <c r="H4815">
        <f>_xll.BDP("FRQX7509 Mtge","MTG_WAL")</f>
        <v>3.1574</v>
      </c>
      <c r="I4815" t="str">
        <f>_xll.BDP("FRQX7509 Mtge","MTG_ORIG_WAL")</f>
        <v>#N/A N/A</v>
      </c>
    </row>
    <row r="4816" spans="1:9" x14ac:dyDescent="0.25">
      <c r="A4816" t="str">
        <f>_xll.BDP("FRQX7510 Mtge","ID_CUSIP")</f>
        <v>31426DKY7</v>
      </c>
      <c r="B4816" t="str">
        <f>_xll.BDP("FRQX7510 Mtge","SECURITY_NAME")</f>
        <v>FR QX7510</v>
      </c>
      <c r="C4816" t="str">
        <f>_xll.BDP("FRQX7510 Mtge","GENERIC_TICKER_VINTAGE")</f>
        <v>FNCL 6 2025</v>
      </c>
      <c r="D4816" t="str">
        <f>_xll.BDP("FRQX7510 Mtge","CRNCY")</f>
        <v>USD</v>
      </c>
      <c r="E4816">
        <v>27912008</v>
      </c>
      <c r="F4816">
        <f>_xll.BDP("FRQX7510 Mtge","CPN")</f>
        <v>6</v>
      </c>
      <c r="G4816">
        <f>_xll.BDP("FRQX7510 Mtge","MTG_FACTOR")</f>
        <v>0.81096862000000003</v>
      </c>
      <c r="H4816">
        <f>_xll.BDP("FRQX7510 Mtge","MTG_WAL")</f>
        <v>3.1587999999999998</v>
      </c>
      <c r="I4816" t="str">
        <f>_xll.BDP("FRQX7510 Mtge","MTG_ORIG_WAL")</f>
        <v>#N/A N/A</v>
      </c>
    </row>
    <row r="4817" spans="1:9" x14ac:dyDescent="0.25">
      <c r="A4817" t="str">
        <f>_xll.BDP("FRQX7512 Mtge","ID_CUSIP")</f>
        <v>31426DK27</v>
      </c>
      <c r="B4817" t="str">
        <f>_xll.BDP("FRQX7512 Mtge","SECURITY_NAME")</f>
        <v>FR QX7512</v>
      </c>
      <c r="C4817" t="str">
        <f>_xll.BDP("FRQX7512 Mtge","GENERIC_TICKER_VINTAGE")</f>
        <v>FNCL 6 2025</v>
      </c>
      <c r="D4817" t="str">
        <f>_xll.BDP("FRQX7512 Mtge","CRNCY")</f>
        <v>USD</v>
      </c>
      <c r="E4817">
        <v>10790103</v>
      </c>
      <c r="F4817">
        <f>_xll.BDP("FRQX7512 Mtge","CPN")</f>
        <v>6</v>
      </c>
      <c r="G4817">
        <f>_xll.BDP("FRQX7512 Mtge","MTG_FACTOR")</f>
        <v>0.72664892000000003</v>
      </c>
      <c r="H4817">
        <f>_xll.BDP("FRQX7512 Mtge","MTG_WAL")</f>
        <v>3.161</v>
      </c>
      <c r="I4817" t="str">
        <f>_xll.BDP("FRQX7512 Mtge","MTG_ORIG_WAL")</f>
        <v>#N/A N/A</v>
      </c>
    </row>
    <row r="4818" spans="1:9" x14ac:dyDescent="0.25">
      <c r="A4818" t="str">
        <f>_xll.BDP("FRQX7513 Mtge","ID_CUSIP")</f>
        <v>31426DK35</v>
      </c>
      <c r="B4818" t="str">
        <f>_xll.BDP("FRQX7513 Mtge","SECURITY_NAME")</f>
        <v>FR QX7513</v>
      </c>
      <c r="C4818" t="str">
        <f>_xll.BDP("FRQX7513 Mtge","GENERIC_TICKER_VINTAGE")</f>
        <v>FNCL 6 2025</v>
      </c>
      <c r="D4818" t="str">
        <f>_xll.BDP("FRQX7513 Mtge","CRNCY")</f>
        <v>USD</v>
      </c>
      <c r="E4818">
        <v>4051840</v>
      </c>
      <c r="F4818">
        <f>_xll.BDP("FRQX7513 Mtge","CPN")</f>
        <v>6</v>
      </c>
      <c r="G4818">
        <f>_xll.BDP("FRQX7513 Mtge","MTG_FACTOR")</f>
        <v>0.98739564999999996</v>
      </c>
      <c r="H4818">
        <f>_xll.BDP("FRQX7513 Mtge","MTG_WAL")</f>
        <v>3.1587000000000001</v>
      </c>
      <c r="I4818" t="str">
        <f>_xll.BDP("FRQX7513 Mtge","MTG_ORIG_WAL")</f>
        <v>#N/A N/A</v>
      </c>
    </row>
    <row r="4819" spans="1:9" x14ac:dyDescent="0.25">
      <c r="A4819" t="str">
        <f>_xll.BDP("FRQX7514 Mtge","ID_CUSIP")</f>
        <v>31426DK43</v>
      </c>
      <c r="B4819" t="str">
        <f>_xll.BDP("FRQX7514 Mtge","SECURITY_NAME")</f>
        <v>FR QX7514</v>
      </c>
      <c r="C4819" t="str">
        <f>_xll.BDP("FRQX7514 Mtge","GENERIC_TICKER_VINTAGE")</f>
        <v>FNCL 6 2025</v>
      </c>
      <c r="D4819" t="str">
        <f>_xll.BDP("FRQX7514 Mtge","CRNCY")</f>
        <v>USD</v>
      </c>
      <c r="E4819">
        <v>3052449</v>
      </c>
      <c r="F4819">
        <f>_xll.BDP("FRQX7514 Mtge","CPN")</f>
        <v>6</v>
      </c>
      <c r="G4819">
        <f>_xll.BDP("FRQX7514 Mtge","MTG_FACTOR")</f>
        <v>0.98666646000000002</v>
      </c>
      <c r="H4819">
        <f>_xll.BDP("FRQX7514 Mtge","MTG_WAL")</f>
        <v>3.1597</v>
      </c>
      <c r="I4819" t="str">
        <f>_xll.BDP("FRQX7514 Mtge","MTG_ORIG_WAL")</f>
        <v>#N/A N/A</v>
      </c>
    </row>
    <row r="4820" spans="1:9" x14ac:dyDescent="0.25">
      <c r="A4820" t="str">
        <f>_xll.BDP("FRQX7576 Mtge","ID_CUSIP")</f>
        <v>31426DM25</v>
      </c>
      <c r="B4820" t="str">
        <f>_xll.BDP("FRQX7576 Mtge","SECURITY_NAME")</f>
        <v>FR QX7576</v>
      </c>
      <c r="C4820" t="str">
        <f>_xll.BDP("FRQX7576 Mtge","GENERIC_TICKER_VINTAGE")</f>
        <v>FNCL 6 2025</v>
      </c>
      <c r="D4820" t="str">
        <f>_xll.BDP("FRQX7576 Mtge","CRNCY")</f>
        <v>USD</v>
      </c>
      <c r="E4820">
        <v>24128101</v>
      </c>
      <c r="F4820">
        <f>_xll.BDP("FRQX7576 Mtge","CPN")</f>
        <v>6</v>
      </c>
      <c r="G4820">
        <f>_xll.BDP("FRQX7576 Mtge","MTG_FACTOR")</f>
        <v>0.80927937000000005</v>
      </c>
      <c r="H4820">
        <f>_xll.BDP("FRQX7576 Mtge","MTG_WAL")</f>
        <v>3.1448</v>
      </c>
      <c r="I4820" t="str">
        <f>_xll.BDP("FRQX7576 Mtge","MTG_ORIG_WAL")</f>
        <v>#N/A N/A</v>
      </c>
    </row>
    <row r="4821" spans="1:9" x14ac:dyDescent="0.25">
      <c r="A4821" t="str">
        <f>_xll.BDP("FRQX7587 Mtge","ID_CUSIP")</f>
        <v>31426DND0</v>
      </c>
      <c r="B4821" t="str">
        <f>_xll.BDP("FRQX7587 Mtge","SECURITY_NAME")</f>
        <v>FR QX7587</v>
      </c>
      <c r="C4821" t="str">
        <f>_xll.BDP("FRQX7587 Mtge","GENERIC_TICKER_VINTAGE")</f>
        <v>FNCL 6 2025</v>
      </c>
      <c r="D4821" t="str">
        <f>_xll.BDP("FRQX7587 Mtge","CRNCY")</f>
        <v>USD</v>
      </c>
      <c r="E4821">
        <v>1587225</v>
      </c>
      <c r="F4821">
        <f>_xll.BDP("FRQX7587 Mtge","CPN")</f>
        <v>6</v>
      </c>
      <c r="G4821">
        <f>_xll.BDP("FRQX7587 Mtge","MTG_FACTOR")</f>
        <v>0.78850246000000002</v>
      </c>
      <c r="H4821">
        <f>_xll.BDP("FRQX7587 Mtge","MTG_WAL")</f>
        <v>3.2044999999999999</v>
      </c>
      <c r="I4821" t="str">
        <f>_xll.BDP("FRQX7587 Mtge","MTG_ORIG_WAL")</f>
        <v>#N/A N/A</v>
      </c>
    </row>
    <row r="4822" spans="1:9" x14ac:dyDescent="0.25">
      <c r="A4822" t="str">
        <f>_xll.BDP("FRQX7594 Mtge","ID_CUSIP")</f>
        <v>31426DNL2</v>
      </c>
      <c r="B4822" t="str">
        <f>_xll.BDP("FRQX7594 Mtge","SECURITY_NAME")</f>
        <v>FR QX7594</v>
      </c>
      <c r="C4822" t="str">
        <f>_xll.BDP("FRQX7594 Mtge","GENERIC_TICKER_VINTAGE")</f>
        <v>FNCL 6 2025</v>
      </c>
      <c r="D4822" t="str">
        <f>_xll.BDP("FRQX7594 Mtge","CRNCY")</f>
        <v>USD</v>
      </c>
      <c r="E4822">
        <v>18405569</v>
      </c>
      <c r="F4822">
        <f>_xll.BDP("FRQX7594 Mtge","CPN")</f>
        <v>6</v>
      </c>
      <c r="G4822">
        <f>_xll.BDP("FRQX7594 Mtge","MTG_FACTOR")</f>
        <v>0.74129047000000003</v>
      </c>
      <c r="H4822">
        <f>_xll.BDP("FRQX7594 Mtge","MTG_WAL")</f>
        <v>3.1604000000000001</v>
      </c>
      <c r="I4822" t="str">
        <f>_xll.BDP("FRQX7594 Mtge","MTG_ORIG_WAL")</f>
        <v>#N/A N/A</v>
      </c>
    </row>
    <row r="4823" spans="1:9" x14ac:dyDescent="0.25">
      <c r="A4823" t="str">
        <f>_xll.BDP("FRQX7595 Mtge","ID_CUSIP")</f>
        <v>31426DNM0</v>
      </c>
      <c r="B4823" t="str">
        <f>_xll.BDP("FRQX7595 Mtge","SECURITY_NAME")</f>
        <v>FR QX7595</v>
      </c>
      <c r="C4823" t="str">
        <f>_xll.BDP("FRQX7595 Mtge","GENERIC_TICKER_VINTAGE")</f>
        <v>FNCL 6 2025</v>
      </c>
      <c r="D4823" t="str">
        <f>_xll.BDP("FRQX7595 Mtge","CRNCY")</f>
        <v>USD</v>
      </c>
      <c r="E4823">
        <v>1150250</v>
      </c>
      <c r="F4823">
        <f>_xll.BDP("FRQX7595 Mtge","CPN")</f>
        <v>6</v>
      </c>
      <c r="G4823">
        <f>_xll.BDP("FRQX7595 Mtge","MTG_FACTOR")</f>
        <v>0.98749028000000005</v>
      </c>
      <c r="H4823">
        <f>_xll.BDP("FRQX7595 Mtge","MTG_WAL")</f>
        <v>3.1534</v>
      </c>
      <c r="I4823" t="str">
        <f>_xll.BDP("FRQX7595 Mtge","MTG_ORIG_WAL")</f>
        <v>#N/A N/A</v>
      </c>
    </row>
    <row r="4824" spans="1:9" x14ac:dyDescent="0.25">
      <c r="A4824" t="str">
        <f>_xll.BDP("FRQX7607 Mtge","ID_CUSIP")</f>
        <v>31426DNZ1</v>
      </c>
      <c r="B4824" t="str">
        <f>_xll.BDP("FRQX7607 Mtge","SECURITY_NAME")</f>
        <v>FR QX7607</v>
      </c>
      <c r="C4824" t="str">
        <f>_xll.BDP("FRQX7607 Mtge","GENERIC_TICKER_VINTAGE")</f>
        <v>FNCL 6 2025</v>
      </c>
      <c r="D4824" t="str">
        <f>_xll.BDP("FRQX7607 Mtge","CRNCY")</f>
        <v>USD</v>
      </c>
      <c r="E4824">
        <v>1223655</v>
      </c>
      <c r="F4824">
        <f>_xll.BDP("FRQX7607 Mtge","CPN")</f>
        <v>6</v>
      </c>
      <c r="G4824">
        <f>_xll.BDP("FRQX7607 Mtge","MTG_FACTOR")</f>
        <v>0.96021462000000002</v>
      </c>
      <c r="H4824">
        <f>_xll.BDP("FRQX7607 Mtge","MTG_WAL")</f>
        <v>3.1878000000000002</v>
      </c>
      <c r="I4824" t="str">
        <f>_xll.BDP("FRQX7607 Mtge","MTG_ORIG_WAL")</f>
        <v>#N/A N/A</v>
      </c>
    </row>
    <row r="4825" spans="1:9" x14ac:dyDescent="0.25">
      <c r="A4825" t="str">
        <f>_xll.BDP("FRQX7617 Mtge","ID_CUSIP")</f>
        <v>31426DPB2</v>
      </c>
      <c r="B4825" t="str">
        <f>_xll.BDP("FRQX7617 Mtge","SECURITY_NAME")</f>
        <v>FR QX7617</v>
      </c>
      <c r="C4825" t="str">
        <f>_xll.BDP("FRQX7617 Mtge","GENERIC_TICKER_VINTAGE")</f>
        <v>FNCL 6 2025</v>
      </c>
      <c r="D4825" t="str">
        <f>_xll.BDP("FRQX7617 Mtge","CRNCY")</f>
        <v>USD</v>
      </c>
      <c r="E4825">
        <v>35356975</v>
      </c>
      <c r="F4825">
        <f>_xll.BDP("FRQX7617 Mtge","CPN")</f>
        <v>6</v>
      </c>
      <c r="G4825">
        <f>_xll.BDP("FRQX7617 Mtge","MTG_FACTOR")</f>
        <v>0.88037975999999996</v>
      </c>
      <c r="H4825">
        <f>_xll.BDP("FRQX7617 Mtge","MTG_WAL")</f>
        <v>3.1591</v>
      </c>
      <c r="I4825" t="str">
        <f>_xll.BDP("FRQX7617 Mtge","MTG_ORIG_WAL")</f>
        <v>#N/A N/A</v>
      </c>
    </row>
    <row r="4826" spans="1:9" x14ac:dyDescent="0.25">
      <c r="A4826" t="str">
        <f>_xll.BDP("FRQX7618 Mtge","ID_CUSIP")</f>
        <v>31426DPC0</v>
      </c>
      <c r="B4826" t="str">
        <f>_xll.BDP("FRQX7618 Mtge","SECURITY_NAME")</f>
        <v>FR QX7618</v>
      </c>
      <c r="C4826" t="str">
        <f>_xll.BDP("FRQX7618 Mtge","GENERIC_TICKER_VINTAGE")</f>
        <v>FNCL 6 2025</v>
      </c>
      <c r="D4826" t="str">
        <f>_xll.BDP("FRQX7618 Mtge","CRNCY")</f>
        <v>USD</v>
      </c>
      <c r="E4826">
        <v>20203627</v>
      </c>
      <c r="F4826">
        <f>_xll.BDP("FRQX7618 Mtge","CPN")</f>
        <v>6</v>
      </c>
      <c r="G4826">
        <f>_xll.BDP("FRQX7618 Mtge","MTG_FACTOR")</f>
        <v>0.86039997999999995</v>
      </c>
      <c r="H4826">
        <f>_xll.BDP("FRQX7618 Mtge","MTG_WAL")</f>
        <v>3.1577000000000002</v>
      </c>
      <c r="I4826" t="str">
        <f>_xll.BDP("FRQX7618 Mtge","MTG_ORIG_WAL")</f>
        <v>#N/A N/A</v>
      </c>
    </row>
    <row r="4827" spans="1:9" x14ac:dyDescent="0.25">
      <c r="A4827" t="str">
        <f>_xll.BDP("FRQX7620 Mtge","ID_CUSIP")</f>
        <v>31426DPE6</v>
      </c>
      <c r="B4827" t="str">
        <f>_xll.BDP("FRQX7620 Mtge","SECURITY_NAME")</f>
        <v>FR QX7620</v>
      </c>
      <c r="C4827" t="str">
        <f>_xll.BDP("FRQX7620 Mtge","GENERIC_TICKER_VINTAGE")</f>
        <v>FNCL 6 2025</v>
      </c>
      <c r="D4827" t="str">
        <f>_xll.BDP("FRQX7620 Mtge","CRNCY")</f>
        <v>USD</v>
      </c>
      <c r="E4827">
        <v>2338102</v>
      </c>
      <c r="F4827">
        <f>_xll.BDP("FRQX7620 Mtge","CPN")</f>
        <v>6</v>
      </c>
      <c r="G4827">
        <f>_xll.BDP("FRQX7620 Mtge","MTG_FACTOR")</f>
        <v>0.85526546999999997</v>
      </c>
      <c r="H4827">
        <f>_xll.BDP("FRQX7620 Mtge","MTG_WAL")</f>
        <v>3.1953999999999998</v>
      </c>
      <c r="I4827" t="str">
        <f>_xll.BDP("FRQX7620 Mtge","MTG_ORIG_WAL")</f>
        <v>#N/A N/A</v>
      </c>
    </row>
    <row r="4828" spans="1:9" x14ac:dyDescent="0.25">
      <c r="A4828" t="str">
        <f>_xll.BDP("FRQX7628 Mtge","ID_CUSIP")</f>
        <v>31426DPN6</v>
      </c>
      <c r="B4828" t="str">
        <f>_xll.BDP("FRQX7628 Mtge","SECURITY_NAME")</f>
        <v>FR QX7628</v>
      </c>
      <c r="C4828" t="str">
        <f>_xll.BDP("FRQX7628 Mtge","GENERIC_TICKER_VINTAGE")</f>
        <v>FNCL 6 2025</v>
      </c>
      <c r="D4828" t="str">
        <f>_xll.BDP("FRQX7628 Mtge","CRNCY")</f>
        <v>USD</v>
      </c>
      <c r="E4828">
        <v>2264250</v>
      </c>
      <c r="F4828">
        <f>_xll.BDP("FRQX7628 Mtge","CPN")</f>
        <v>6</v>
      </c>
      <c r="G4828">
        <f>_xll.BDP("FRQX7628 Mtge","MTG_FACTOR")</f>
        <v>0.90459761000000005</v>
      </c>
      <c r="H4828">
        <f>_xll.BDP("FRQX7628 Mtge","MTG_WAL")</f>
        <v>3.1532</v>
      </c>
      <c r="I4828" t="str">
        <f>_xll.BDP("FRQX7628 Mtge","MTG_ORIG_WAL")</f>
        <v>#N/A N/A</v>
      </c>
    </row>
    <row r="4829" spans="1:9" x14ac:dyDescent="0.25">
      <c r="A4829" t="str">
        <f>_xll.BDP("FRQX7629 Mtge","ID_CUSIP")</f>
        <v>31426DPP1</v>
      </c>
      <c r="B4829" t="str">
        <f>_xll.BDP("FRQX7629 Mtge","SECURITY_NAME")</f>
        <v>FR QX7629</v>
      </c>
      <c r="C4829" t="str">
        <f>_xll.BDP("FRQX7629 Mtge","GENERIC_TICKER_VINTAGE")</f>
        <v>FNCL 6 2025</v>
      </c>
      <c r="D4829" t="str">
        <f>_xll.BDP("FRQX7629 Mtge","CRNCY")</f>
        <v>USD</v>
      </c>
      <c r="E4829">
        <v>1501083</v>
      </c>
      <c r="F4829">
        <f>_xll.BDP("FRQX7629 Mtge","CPN")</f>
        <v>6</v>
      </c>
      <c r="G4829">
        <f>_xll.BDP("FRQX7629 Mtge","MTG_FACTOR")</f>
        <v>0.83630541000000003</v>
      </c>
      <c r="H4829">
        <f>_xll.BDP("FRQX7629 Mtge","MTG_WAL")</f>
        <v>3.1520999999999999</v>
      </c>
      <c r="I4829" t="str">
        <f>_xll.BDP("FRQX7629 Mtge","MTG_ORIG_WAL")</f>
        <v>#N/A N/A</v>
      </c>
    </row>
    <row r="4830" spans="1:9" x14ac:dyDescent="0.25">
      <c r="A4830" t="str">
        <f>_xll.BDP("FRQX7630 Mtge","ID_CUSIP")</f>
        <v>31426DPQ9</v>
      </c>
      <c r="B4830" t="str">
        <f>_xll.BDP("FRQX7630 Mtge","SECURITY_NAME")</f>
        <v>FR QX7630</v>
      </c>
      <c r="C4830" t="str">
        <f>_xll.BDP("FRQX7630 Mtge","GENERIC_TICKER_VINTAGE")</f>
        <v>FNCL 6 2025</v>
      </c>
      <c r="D4830" t="str">
        <f>_xll.BDP("FRQX7630 Mtge","CRNCY")</f>
        <v>USD</v>
      </c>
      <c r="E4830">
        <v>1008889</v>
      </c>
      <c r="F4830">
        <f>_xll.BDP("FRQX7630 Mtge","CPN")</f>
        <v>6</v>
      </c>
      <c r="G4830">
        <f>_xll.BDP("FRQX7630 Mtge","MTG_FACTOR")</f>
        <v>0.89046972999999996</v>
      </c>
      <c r="H4830">
        <f>_xll.BDP("FRQX7630 Mtge","MTG_WAL")</f>
        <v>3.1585000000000001</v>
      </c>
      <c r="I4830" t="str">
        <f>_xll.BDP("FRQX7630 Mtge","MTG_ORIG_WAL")</f>
        <v>#N/A N/A</v>
      </c>
    </row>
    <row r="4831" spans="1:9" x14ac:dyDescent="0.25">
      <c r="A4831" t="str">
        <f>_xll.BDP("FRQX7631 Mtge","ID_CUSIP")</f>
        <v>31426DPR7</v>
      </c>
      <c r="B4831" t="str">
        <f>_xll.BDP("FRQX7631 Mtge","SECURITY_NAME")</f>
        <v>FR QX7631</v>
      </c>
      <c r="C4831" t="str">
        <f>_xll.BDP("FRQX7631 Mtge","GENERIC_TICKER_VINTAGE")</f>
        <v>FNCL 6 2025</v>
      </c>
      <c r="D4831" t="str">
        <f>_xll.BDP("FRQX7631 Mtge","CRNCY")</f>
        <v>USD</v>
      </c>
      <c r="E4831">
        <v>1097771</v>
      </c>
      <c r="F4831">
        <f>_xll.BDP("FRQX7631 Mtge","CPN")</f>
        <v>6</v>
      </c>
      <c r="G4831">
        <f>_xll.BDP("FRQX7631 Mtge","MTG_FACTOR")</f>
        <v>0.83399151999999999</v>
      </c>
      <c r="H4831">
        <f>_xll.BDP("FRQX7631 Mtge","MTG_WAL")</f>
        <v>3.1497999999999999</v>
      </c>
      <c r="I4831" t="str">
        <f>_xll.BDP("FRQX7631 Mtge","MTG_ORIG_WAL")</f>
        <v>#N/A N/A</v>
      </c>
    </row>
    <row r="4832" spans="1:9" x14ac:dyDescent="0.25">
      <c r="A4832" t="str">
        <f>_xll.BDP("FRQX7653 Mtge","ID_CUSIP")</f>
        <v>31426DQF2</v>
      </c>
      <c r="B4832" t="str">
        <f>_xll.BDP("FRQX7653 Mtge","SECURITY_NAME")</f>
        <v>FR QX7653</v>
      </c>
      <c r="C4832" t="str">
        <f>_xll.BDP("FRQX7653 Mtge","GENERIC_TICKER_VINTAGE")</f>
        <v>FNCL 6 2025</v>
      </c>
      <c r="D4832" t="str">
        <f>_xll.BDP("FRQX7653 Mtge","CRNCY")</f>
        <v>USD</v>
      </c>
      <c r="E4832">
        <v>1026200</v>
      </c>
      <c r="F4832">
        <f>_xll.BDP("FRQX7653 Mtge","CPN")</f>
        <v>6</v>
      </c>
      <c r="G4832">
        <f>_xll.BDP("FRQX7653 Mtge","MTG_FACTOR")</f>
        <v>0.65739599999999998</v>
      </c>
      <c r="H4832">
        <f>_xll.BDP("FRQX7653 Mtge","MTG_WAL")</f>
        <v>3.1962000000000002</v>
      </c>
      <c r="I4832" t="str">
        <f>_xll.BDP("FRQX7653 Mtge","MTG_ORIG_WAL")</f>
        <v>#N/A N/A</v>
      </c>
    </row>
    <row r="4833" spans="1:9" x14ac:dyDescent="0.25">
      <c r="A4833" t="str">
        <f>_xll.BDP("FRQX7654 Mtge","ID_CUSIP")</f>
        <v>31426DQG0</v>
      </c>
      <c r="B4833" t="str">
        <f>_xll.BDP("FRQX7654 Mtge","SECURITY_NAME")</f>
        <v>FR QX7654</v>
      </c>
      <c r="C4833" t="str">
        <f>_xll.BDP("FRQX7654 Mtge","GENERIC_TICKER_VINTAGE")</f>
        <v>FNCL 6 2025</v>
      </c>
      <c r="D4833" t="str">
        <f>_xll.BDP("FRQX7654 Mtge","CRNCY")</f>
        <v>USD</v>
      </c>
      <c r="E4833">
        <v>1893800</v>
      </c>
      <c r="F4833">
        <f>_xll.BDP("FRQX7654 Mtge","CPN")</f>
        <v>6</v>
      </c>
      <c r="G4833">
        <f>_xll.BDP("FRQX7654 Mtge","MTG_FACTOR")</f>
        <v>0.98872612999999998</v>
      </c>
      <c r="H4833">
        <f>_xll.BDP("FRQX7654 Mtge","MTG_WAL")</f>
        <v>3.2023000000000001</v>
      </c>
      <c r="I4833" t="str">
        <f>_xll.BDP("FRQX7654 Mtge","MTG_ORIG_WAL")</f>
        <v>#N/A N/A</v>
      </c>
    </row>
    <row r="4834" spans="1:9" x14ac:dyDescent="0.25">
      <c r="A4834" t="str">
        <f>_xll.BDP("FRQX7669 Mtge","ID_CUSIP")</f>
        <v>31426DQX3</v>
      </c>
      <c r="B4834" t="str">
        <f>_xll.BDP("FRQX7669 Mtge","SECURITY_NAME")</f>
        <v>FR QX7669</v>
      </c>
      <c r="C4834" t="str">
        <f>_xll.BDP("FRQX7669 Mtge","GENERIC_TICKER_VINTAGE")</f>
        <v>FNCL 6 2025</v>
      </c>
      <c r="D4834" t="str">
        <f>_xll.BDP("FRQX7669 Mtge","CRNCY")</f>
        <v>USD</v>
      </c>
      <c r="E4834">
        <v>2239136</v>
      </c>
      <c r="F4834">
        <f>_xll.BDP("FRQX7669 Mtge","CPN")</f>
        <v>6</v>
      </c>
      <c r="G4834">
        <f>_xll.BDP("FRQX7669 Mtge","MTG_FACTOR")</f>
        <v>0.81186773999999995</v>
      </c>
      <c r="H4834">
        <f>_xll.BDP("FRQX7669 Mtge","MTG_WAL")</f>
        <v>3.1537000000000002</v>
      </c>
      <c r="I4834" t="str">
        <f>_xll.BDP("FRQX7669 Mtge","MTG_ORIG_WAL")</f>
        <v>#N/A N/A</v>
      </c>
    </row>
    <row r="4835" spans="1:9" x14ac:dyDescent="0.25">
      <c r="A4835" t="str">
        <f>_xll.BDP("FRQX7671 Mtge","ID_CUSIP")</f>
        <v>31426DQZ8</v>
      </c>
      <c r="B4835" t="str">
        <f>_xll.BDP("FRQX7671 Mtge","SECURITY_NAME")</f>
        <v>FR QX7671</v>
      </c>
      <c r="C4835" t="str">
        <f>_xll.BDP("FRQX7671 Mtge","GENERIC_TICKER_VINTAGE")</f>
        <v>FNCL 6 2025</v>
      </c>
      <c r="D4835" t="str">
        <f>_xll.BDP("FRQX7671 Mtge","CRNCY")</f>
        <v>USD</v>
      </c>
      <c r="E4835">
        <v>7822262</v>
      </c>
      <c r="F4835">
        <f>_xll.BDP("FRQX7671 Mtge","CPN")</f>
        <v>6</v>
      </c>
      <c r="G4835">
        <f>_xll.BDP("FRQX7671 Mtge","MTG_FACTOR")</f>
        <v>0.76538967000000002</v>
      </c>
      <c r="H4835">
        <f>_xll.BDP("FRQX7671 Mtge","MTG_WAL")</f>
        <v>3.2042000000000002</v>
      </c>
      <c r="I4835" t="str">
        <f>_xll.BDP("FRQX7671 Mtge","MTG_ORIG_WAL")</f>
        <v>#N/A N/A</v>
      </c>
    </row>
    <row r="4836" spans="1:9" x14ac:dyDescent="0.25">
      <c r="A4836" t="str">
        <f>_xll.BDP("FRQX7673 Mtge","ID_CUSIP")</f>
        <v>31426DQ39</v>
      </c>
      <c r="B4836" t="str">
        <f>_xll.BDP("FRQX7673 Mtge","SECURITY_NAME")</f>
        <v>FR QX7673</v>
      </c>
      <c r="C4836" t="str">
        <f>_xll.BDP("FRQX7673 Mtge","GENERIC_TICKER_VINTAGE")</f>
        <v>FNCL 6 2025</v>
      </c>
      <c r="D4836" t="str">
        <f>_xll.BDP("FRQX7673 Mtge","CRNCY")</f>
        <v>USD</v>
      </c>
      <c r="E4836">
        <v>3653615</v>
      </c>
      <c r="F4836">
        <f>_xll.BDP("FRQX7673 Mtge","CPN")</f>
        <v>6</v>
      </c>
      <c r="G4836">
        <f>_xll.BDP("FRQX7673 Mtge","MTG_FACTOR")</f>
        <v>0.73771483999999998</v>
      </c>
      <c r="H4836">
        <f>_xll.BDP("FRQX7673 Mtge","MTG_WAL")</f>
        <v>3.1945999999999999</v>
      </c>
      <c r="I4836" t="str">
        <f>_xll.BDP("FRQX7673 Mtge","MTG_ORIG_WAL")</f>
        <v>#N/A N/A</v>
      </c>
    </row>
    <row r="4837" spans="1:9" x14ac:dyDescent="0.25">
      <c r="A4837" t="str">
        <f>_xll.BDP("FRQX7678 Mtge","ID_CUSIP")</f>
        <v>31426DQ88</v>
      </c>
      <c r="B4837" t="str">
        <f>_xll.BDP("FRQX7678 Mtge","SECURITY_NAME")</f>
        <v>FR QX7678</v>
      </c>
      <c r="C4837" t="str">
        <f>_xll.BDP("FRQX7678 Mtge","GENERIC_TICKER_VINTAGE")</f>
        <v>FNCL 6 2025</v>
      </c>
      <c r="D4837" t="str">
        <f>_xll.BDP("FRQX7678 Mtge","CRNCY")</f>
        <v>USD</v>
      </c>
      <c r="E4837">
        <v>11666543</v>
      </c>
      <c r="F4837">
        <f>_xll.BDP("FRQX7678 Mtge","CPN")</f>
        <v>6</v>
      </c>
      <c r="G4837">
        <f>_xll.BDP("FRQX7678 Mtge","MTG_FACTOR")</f>
        <v>0.71534028000000005</v>
      </c>
      <c r="H4837">
        <f>_xll.BDP("FRQX7678 Mtge","MTG_WAL")</f>
        <v>3.1615000000000002</v>
      </c>
      <c r="I4837" t="str">
        <f>_xll.BDP("FRQX7678 Mtge","MTG_ORIG_WAL")</f>
        <v>#N/A N/A</v>
      </c>
    </row>
    <row r="4838" spans="1:9" x14ac:dyDescent="0.25">
      <c r="A4838" t="str">
        <f>_xll.BDP("FRQX7679 Mtge","ID_CUSIP")</f>
        <v>31426DQ96</v>
      </c>
      <c r="B4838" t="str">
        <f>_xll.BDP("FRQX7679 Mtge","SECURITY_NAME")</f>
        <v>FR QX7679</v>
      </c>
      <c r="C4838" t="str">
        <f>_xll.BDP("FRQX7679 Mtge","GENERIC_TICKER_VINTAGE")</f>
        <v>FNCL 6 2025</v>
      </c>
      <c r="D4838" t="str">
        <f>_xll.BDP("FRQX7679 Mtge","CRNCY")</f>
        <v>USD</v>
      </c>
      <c r="E4838">
        <v>1196910</v>
      </c>
      <c r="F4838">
        <f>_xll.BDP("FRQX7679 Mtge","CPN")</f>
        <v>6</v>
      </c>
      <c r="G4838">
        <f>_xll.BDP("FRQX7679 Mtge","MTG_FACTOR")</f>
        <v>0.98747602999999995</v>
      </c>
      <c r="H4838">
        <f>_xll.BDP("FRQX7679 Mtge","MTG_WAL")</f>
        <v>3.2004000000000001</v>
      </c>
      <c r="I4838" t="str">
        <f>_xll.BDP("FRQX7679 Mtge","MTG_ORIG_WAL")</f>
        <v>#N/A N/A</v>
      </c>
    </row>
    <row r="4839" spans="1:9" x14ac:dyDescent="0.25">
      <c r="A4839" t="str">
        <f>_xll.BDP("FRQX7680 Mtge","ID_CUSIP")</f>
        <v>31426DRA2</v>
      </c>
      <c r="B4839" t="str">
        <f>_xll.BDP("FRQX7680 Mtge","SECURITY_NAME")</f>
        <v>FR QX7680</v>
      </c>
      <c r="C4839" t="str">
        <f>_xll.BDP("FRQX7680 Mtge","GENERIC_TICKER_VINTAGE")</f>
        <v>FNCL 6 2025</v>
      </c>
      <c r="D4839" t="str">
        <f>_xll.BDP("FRQX7680 Mtge","CRNCY")</f>
        <v>USD</v>
      </c>
      <c r="E4839">
        <v>1160490</v>
      </c>
      <c r="F4839">
        <f>_xll.BDP("FRQX7680 Mtge","CPN")</f>
        <v>6</v>
      </c>
      <c r="G4839">
        <f>_xll.BDP("FRQX7680 Mtge","MTG_FACTOR")</f>
        <v>0.98307984999999998</v>
      </c>
      <c r="H4839">
        <f>_xll.BDP("FRQX7680 Mtge","MTG_WAL")</f>
        <v>3.1976</v>
      </c>
      <c r="I4839" t="str">
        <f>_xll.BDP("FRQX7680 Mtge","MTG_ORIG_WAL")</f>
        <v>#N/A N/A</v>
      </c>
    </row>
    <row r="4840" spans="1:9" x14ac:dyDescent="0.25">
      <c r="A4840" t="str">
        <f>_xll.BDP("FRQX7681 Mtge","ID_CUSIP")</f>
        <v>31426DRB0</v>
      </c>
      <c r="B4840" t="str">
        <f>_xll.BDP("FRQX7681 Mtge","SECURITY_NAME")</f>
        <v>FR QX7681</v>
      </c>
      <c r="C4840" t="str">
        <f>_xll.BDP("FRQX7681 Mtge","GENERIC_TICKER_VINTAGE")</f>
        <v>FNCL 6 2025</v>
      </c>
      <c r="D4840" t="str">
        <f>_xll.BDP("FRQX7681 Mtge","CRNCY")</f>
        <v>USD</v>
      </c>
      <c r="E4840">
        <v>1258150</v>
      </c>
      <c r="F4840">
        <f>_xll.BDP("FRQX7681 Mtge","CPN")</f>
        <v>6</v>
      </c>
      <c r="G4840">
        <f>_xll.BDP("FRQX7681 Mtge","MTG_FACTOR")</f>
        <v>0.77174562999999996</v>
      </c>
      <c r="H4840">
        <f>_xll.BDP("FRQX7681 Mtge","MTG_WAL")</f>
        <v>3.2002999999999999</v>
      </c>
      <c r="I4840" t="str">
        <f>_xll.BDP("FRQX7681 Mtge","MTG_ORIG_WAL")</f>
        <v>#N/A N/A</v>
      </c>
    </row>
    <row r="4841" spans="1:9" x14ac:dyDescent="0.25">
      <c r="A4841" t="str">
        <f>_xll.BDP("FRQX7682 Mtge","ID_CUSIP")</f>
        <v>31426DRC8</v>
      </c>
      <c r="B4841" t="str">
        <f>_xll.BDP("FRQX7682 Mtge","SECURITY_NAME")</f>
        <v>FR QX7682</v>
      </c>
      <c r="C4841" t="str">
        <f>_xll.BDP("FRQX7682 Mtge","GENERIC_TICKER_VINTAGE")</f>
        <v>FNCL 6 2025</v>
      </c>
      <c r="D4841" t="str">
        <f>_xll.BDP("FRQX7682 Mtge","CRNCY")</f>
        <v>USD</v>
      </c>
      <c r="E4841">
        <v>1000499</v>
      </c>
      <c r="F4841">
        <f>_xll.BDP("FRQX7682 Mtge","CPN")</f>
        <v>6</v>
      </c>
      <c r="G4841">
        <f>_xll.BDP("FRQX7682 Mtge","MTG_FACTOR")</f>
        <v>0.98494108999999996</v>
      </c>
      <c r="H4841">
        <f>_xll.BDP("FRQX7682 Mtge","MTG_WAL")</f>
        <v>3.2002999999999999</v>
      </c>
      <c r="I4841" t="str">
        <f>_xll.BDP("FRQX7682 Mtge","MTG_ORIG_WAL")</f>
        <v>#N/A N/A</v>
      </c>
    </row>
    <row r="4842" spans="1:9" x14ac:dyDescent="0.25">
      <c r="A4842" t="str">
        <f>_xll.BDP("FRQX7686 Mtge","ID_CUSIP")</f>
        <v>31426DRG9</v>
      </c>
      <c r="B4842" t="str">
        <f>_xll.BDP("FRQX7686 Mtge","SECURITY_NAME")</f>
        <v>FR QX7686</v>
      </c>
      <c r="C4842" t="str">
        <f>_xll.BDP("FRQX7686 Mtge","GENERIC_TICKER_VINTAGE")</f>
        <v>FNCL 6 2025</v>
      </c>
      <c r="D4842" t="str">
        <f>_xll.BDP("FRQX7686 Mtge","CRNCY")</f>
        <v>USD</v>
      </c>
      <c r="E4842">
        <v>25244640</v>
      </c>
      <c r="F4842">
        <f>_xll.BDP("FRQX7686 Mtge","CPN")</f>
        <v>6</v>
      </c>
      <c r="G4842">
        <f>_xll.BDP("FRQX7686 Mtge","MTG_FACTOR")</f>
        <v>0.92023458999999996</v>
      </c>
      <c r="H4842">
        <f>_xll.BDP("FRQX7686 Mtge","MTG_WAL")</f>
        <v>3.1570999999999998</v>
      </c>
      <c r="I4842" t="str">
        <f>_xll.BDP("FRQX7686 Mtge","MTG_ORIG_WAL")</f>
        <v>#N/A N/A</v>
      </c>
    </row>
    <row r="4843" spans="1:9" x14ac:dyDescent="0.25">
      <c r="A4843" t="str">
        <f>_xll.BDP("FRQX7693 Mtge","ID_CUSIP")</f>
        <v>31426DRP9</v>
      </c>
      <c r="B4843" t="str">
        <f>_xll.BDP("FRQX7693 Mtge","SECURITY_NAME")</f>
        <v>FR QX7693</v>
      </c>
      <c r="C4843" t="str">
        <f>_xll.BDP("FRQX7693 Mtge","GENERIC_TICKER_VINTAGE")</f>
        <v>FNCL 6 2025</v>
      </c>
      <c r="D4843" t="str">
        <f>_xll.BDP("FRQX7693 Mtge","CRNCY")</f>
        <v>USD</v>
      </c>
      <c r="E4843">
        <v>3665298</v>
      </c>
      <c r="F4843">
        <f>_xll.BDP("FRQX7693 Mtge","CPN")</f>
        <v>6</v>
      </c>
      <c r="G4843">
        <f>_xll.BDP("FRQX7693 Mtge","MTG_FACTOR")</f>
        <v>0.92728025999999997</v>
      </c>
      <c r="H4843">
        <f>_xll.BDP("FRQX7693 Mtge","MTG_WAL")</f>
        <v>3.1568999999999998</v>
      </c>
      <c r="I4843" t="str">
        <f>_xll.BDP("FRQX7693 Mtge","MTG_ORIG_WAL")</f>
        <v>#N/A N/A</v>
      </c>
    </row>
    <row r="4844" spans="1:9" x14ac:dyDescent="0.25">
      <c r="A4844" t="str">
        <f>_xll.BDP("FRQX7694 Mtge","ID_CUSIP")</f>
        <v>31426DRQ7</v>
      </c>
      <c r="B4844" t="str">
        <f>_xll.BDP("FRQX7694 Mtge","SECURITY_NAME")</f>
        <v>FR QX7694</v>
      </c>
      <c r="C4844" t="str">
        <f>_xll.BDP("FRQX7694 Mtge","GENERIC_TICKER_VINTAGE")</f>
        <v>FNCL 6 2025</v>
      </c>
      <c r="D4844" t="str">
        <f>_xll.BDP("FRQX7694 Mtge","CRNCY")</f>
        <v>USD</v>
      </c>
      <c r="E4844">
        <v>6548147</v>
      </c>
      <c r="F4844">
        <f>_xll.BDP("FRQX7694 Mtge","CPN")</f>
        <v>6</v>
      </c>
      <c r="G4844">
        <f>_xll.BDP("FRQX7694 Mtge","MTG_FACTOR")</f>
        <v>0.90640827999999996</v>
      </c>
      <c r="H4844">
        <f>_xll.BDP("FRQX7694 Mtge","MTG_WAL")</f>
        <v>3.1585000000000001</v>
      </c>
      <c r="I4844" t="str">
        <f>_xll.BDP("FRQX7694 Mtge","MTG_ORIG_WAL")</f>
        <v>#N/A N/A</v>
      </c>
    </row>
    <row r="4845" spans="1:9" x14ac:dyDescent="0.25">
      <c r="A4845" t="str">
        <f>_xll.BDP("FRQX7696 Mtge","ID_CUSIP")</f>
        <v>31426DRS3</v>
      </c>
      <c r="B4845" t="str">
        <f>_xll.BDP("FRQX7696 Mtge","SECURITY_NAME")</f>
        <v>FR QX7696</v>
      </c>
      <c r="C4845" t="str">
        <f>_xll.BDP("FRQX7696 Mtge","GENERIC_TICKER_VINTAGE")</f>
        <v>FNCL 6 2025</v>
      </c>
      <c r="D4845" t="str">
        <f>_xll.BDP("FRQX7696 Mtge","CRNCY")</f>
        <v>USD</v>
      </c>
      <c r="E4845">
        <v>11176087</v>
      </c>
      <c r="F4845">
        <f>_xll.BDP("FRQX7696 Mtge","CPN")</f>
        <v>6</v>
      </c>
      <c r="G4845">
        <f>_xll.BDP("FRQX7696 Mtge","MTG_FACTOR")</f>
        <v>0.78165600000000002</v>
      </c>
      <c r="H4845">
        <f>_xll.BDP("FRQX7696 Mtge","MTG_WAL")</f>
        <v>3.1573000000000002</v>
      </c>
      <c r="I4845" t="str">
        <f>_xll.BDP("FRQX7696 Mtge","MTG_ORIG_WAL")</f>
        <v>#N/A N/A</v>
      </c>
    </row>
    <row r="4846" spans="1:9" x14ac:dyDescent="0.25">
      <c r="A4846" t="str">
        <f>_xll.BDP("FRQX7706 Mtge","ID_CUSIP")</f>
        <v>31426DR46</v>
      </c>
      <c r="B4846" t="str">
        <f>_xll.BDP("FRQX7706 Mtge","SECURITY_NAME")</f>
        <v>FR QX7706</v>
      </c>
      <c r="C4846" t="str">
        <f>_xll.BDP("FRQX7706 Mtge","GENERIC_TICKER_VINTAGE")</f>
        <v>FNCL 6 2025</v>
      </c>
      <c r="D4846" t="str">
        <f>_xll.BDP("FRQX7706 Mtge","CRNCY")</f>
        <v>USD</v>
      </c>
      <c r="E4846">
        <v>9171655</v>
      </c>
      <c r="F4846">
        <f>_xll.BDP("FRQX7706 Mtge","CPN")</f>
        <v>6</v>
      </c>
      <c r="G4846">
        <f>_xll.BDP("FRQX7706 Mtge","MTG_FACTOR")</f>
        <v>0.98771518999999997</v>
      </c>
      <c r="H4846">
        <f>_xll.BDP("FRQX7706 Mtge","MTG_WAL")</f>
        <v>3.2025000000000001</v>
      </c>
      <c r="I4846" t="str">
        <f>_xll.BDP("FRQX7706 Mtge","MTG_ORIG_WAL")</f>
        <v>#N/A N/A</v>
      </c>
    </row>
    <row r="4847" spans="1:9" x14ac:dyDescent="0.25">
      <c r="A4847" t="str">
        <f>_xll.BDP("FRQX7709 Mtge","ID_CUSIP")</f>
        <v>31426DR79</v>
      </c>
      <c r="B4847" t="str">
        <f>_xll.BDP("FRQX7709 Mtge","SECURITY_NAME")</f>
        <v>FR QX7709</v>
      </c>
      <c r="C4847" t="str">
        <f>_xll.BDP("FRQX7709 Mtge","GENERIC_TICKER_VINTAGE")</f>
        <v>FNCL 6 2025</v>
      </c>
      <c r="D4847" t="str">
        <f>_xll.BDP("FRQX7709 Mtge","CRNCY")</f>
        <v>USD</v>
      </c>
      <c r="E4847">
        <v>4531470</v>
      </c>
      <c r="F4847">
        <f>_xll.BDP("FRQX7709 Mtge","CPN")</f>
        <v>6</v>
      </c>
      <c r="G4847">
        <f>_xll.BDP("FRQX7709 Mtge","MTG_FACTOR")</f>
        <v>0.87978107000000005</v>
      </c>
      <c r="H4847">
        <f>_xll.BDP("FRQX7709 Mtge","MTG_WAL")</f>
        <v>3.1993</v>
      </c>
      <c r="I4847" t="str">
        <f>_xll.BDP("FRQX7709 Mtge","MTG_ORIG_WAL")</f>
        <v>#N/A N/A</v>
      </c>
    </row>
    <row r="4848" spans="1:9" x14ac:dyDescent="0.25">
      <c r="A4848" t="str">
        <f>_xll.BDP("FRQX7714 Mtge","ID_CUSIP")</f>
        <v>31426DSC7</v>
      </c>
      <c r="B4848" t="str">
        <f>_xll.BDP("FRQX7714 Mtge","SECURITY_NAME")</f>
        <v>FR QX7714</v>
      </c>
      <c r="C4848" t="str">
        <f>_xll.BDP("FRQX7714 Mtge","GENERIC_TICKER_VINTAGE")</f>
        <v>FNCL 6 2025</v>
      </c>
      <c r="D4848" t="str">
        <f>_xll.BDP("FRQX7714 Mtge","CRNCY")</f>
        <v>USD</v>
      </c>
      <c r="E4848">
        <v>1551076</v>
      </c>
      <c r="F4848">
        <f>_xll.BDP("FRQX7714 Mtge","CPN")</f>
        <v>6</v>
      </c>
      <c r="G4848">
        <f>_xll.BDP("FRQX7714 Mtge","MTG_FACTOR")</f>
        <v>0.64330703</v>
      </c>
      <c r="H4848">
        <f>_xll.BDP("FRQX7714 Mtge","MTG_WAL")</f>
        <v>3.1480999999999999</v>
      </c>
      <c r="I4848" t="str">
        <f>_xll.BDP("FRQX7714 Mtge","MTG_ORIG_WAL")</f>
        <v>#N/A N/A</v>
      </c>
    </row>
    <row r="4849" spans="1:9" x14ac:dyDescent="0.25">
      <c r="A4849" t="str">
        <f>_xll.BDP("FRQX7715 Mtge","ID_CUSIP")</f>
        <v>31426DSD5</v>
      </c>
      <c r="B4849" t="str">
        <f>_xll.BDP("FRQX7715 Mtge","SECURITY_NAME")</f>
        <v>FR QX7715</v>
      </c>
      <c r="C4849" t="str">
        <f>_xll.BDP("FRQX7715 Mtge","GENERIC_TICKER_VINTAGE")</f>
        <v>FNCL 6 2025</v>
      </c>
      <c r="D4849" t="str">
        <f>_xll.BDP("FRQX7715 Mtge","CRNCY")</f>
        <v>USD</v>
      </c>
      <c r="E4849">
        <v>379680</v>
      </c>
      <c r="F4849">
        <f>_xll.BDP("FRQX7715 Mtge","CPN")</f>
        <v>6</v>
      </c>
      <c r="G4849">
        <f>_xll.BDP("FRQX7715 Mtge","MTG_FACTOR")</f>
        <v>0.98952817999999998</v>
      </c>
      <c r="H4849">
        <f>_xll.BDP("FRQX7715 Mtge","MTG_WAL")</f>
        <v>3.1613000000000002</v>
      </c>
      <c r="I4849" t="str">
        <f>_xll.BDP("FRQX7715 Mtge","MTG_ORIG_WAL")</f>
        <v>#N/A N/A</v>
      </c>
    </row>
    <row r="4850" spans="1:9" x14ac:dyDescent="0.25">
      <c r="A4850" t="str">
        <f>_xll.BDP("FRQX7727 Mtge","ID_CUSIP")</f>
        <v>31426DSR4</v>
      </c>
      <c r="B4850" t="str">
        <f>_xll.BDP("FRQX7727 Mtge","SECURITY_NAME")</f>
        <v>FR QX7727</v>
      </c>
      <c r="C4850" t="str">
        <f>_xll.BDP("FRQX7727 Mtge","GENERIC_TICKER_VINTAGE")</f>
        <v>FNCL 6 2025</v>
      </c>
      <c r="D4850" t="str">
        <f>_xll.BDP("FRQX7727 Mtge","CRNCY")</f>
        <v>USD</v>
      </c>
      <c r="E4850">
        <v>2051837</v>
      </c>
      <c r="F4850">
        <f>_xll.BDP("FRQX7727 Mtge","CPN")</f>
        <v>6</v>
      </c>
      <c r="G4850">
        <f>_xll.BDP("FRQX7727 Mtge","MTG_FACTOR")</f>
        <v>0.64913396999999995</v>
      </c>
      <c r="H4850">
        <f>_xll.BDP("FRQX7727 Mtge","MTG_WAL")</f>
        <v>3.1629999999999998</v>
      </c>
      <c r="I4850" t="str">
        <f>_xll.BDP("FRQX7727 Mtge","MTG_ORIG_WAL")</f>
        <v>#N/A N/A</v>
      </c>
    </row>
    <row r="4851" spans="1:9" x14ac:dyDescent="0.25">
      <c r="A4851" t="str">
        <f>_xll.BDP("FRQX7729 Mtge","ID_CUSIP")</f>
        <v>31426DST0</v>
      </c>
      <c r="B4851" t="str">
        <f>_xll.BDP("FRQX7729 Mtge","SECURITY_NAME")</f>
        <v>FR QX7729</v>
      </c>
      <c r="C4851" t="str">
        <f>_xll.BDP("FRQX7729 Mtge","GENERIC_TICKER_VINTAGE")</f>
        <v>FNCL 6 2025</v>
      </c>
      <c r="D4851" t="str">
        <f>_xll.BDP("FRQX7729 Mtge","CRNCY")</f>
        <v>USD</v>
      </c>
      <c r="E4851">
        <v>1037155</v>
      </c>
      <c r="F4851">
        <f>_xll.BDP("FRQX7729 Mtge","CPN")</f>
        <v>6</v>
      </c>
      <c r="G4851">
        <f>_xll.BDP("FRQX7729 Mtge","MTG_FACTOR")</f>
        <v>0.74573679999999998</v>
      </c>
      <c r="H4851">
        <f>_xll.BDP("FRQX7729 Mtge","MTG_WAL")</f>
        <v>3.1606000000000001</v>
      </c>
      <c r="I4851" t="str">
        <f>_xll.BDP("FRQX7729 Mtge","MTG_ORIG_WAL")</f>
        <v>#N/A N/A</v>
      </c>
    </row>
    <row r="4852" spans="1:9" x14ac:dyDescent="0.25">
      <c r="A4852" t="str">
        <f>_xll.BDP("FRQX7730 Mtge","ID_CUSIP")</f>
        <v>31426DSU7</v>
      </c>
      <c r="B4852" t="str">
        <f>_xll.BDP("FRQX7730 Mtge","SECURITY_NAME")</f>
        <v>FR QX7730</v>
      </c>
      <c r="C4852" t="str">
        <f>_xll.BDP("FRQX7730 Mtge","GENERIC_TICKER_VINTAGE")</f>
        <v>FNCL 6 2025</v>
      </c>
      <c r="D4852" t="str">
        <f>_xll.BDP("FRQX7730 Mtge","CRNCY")</f>
        <v>USD</v>
      </c>
      <c r="E4852">
        <v>9597055</v>
      </c>
      <c r="F4852">
        <f>_xll.BDP("FRQX7730 Mtge","CPN")</f>
        <v>6</v>
      </c>
      <c r="G4852">
        <f>_xll.BDP("FRQX7730 Mtge","MTG_FACTOR")</f>
        <v>0.9140682</v>
      </c>
      <c r="H4852">
        <f>_xll.BDP("FRQX7730 Mtge","MTG_WAL")</f>
        <v>3.1573000000000002</v>
      </c>
      <c r="I4852" t="str">
        <f>_xll.BDP("FRQX7730 Mtge","MTG_ORIG_WAL")</f>
        <v>#N/A N/A</v>
      </c>
    </row>
    <row r="4853" spans="1:9" x14ac:dyDescent="0.25">
      <c r="A4853" t="str">
        <f>_xll.BDP("FRQX7731 Mtge","ID_CUSIP")</f>
        <v>31426DSV5</v>
      </c>
      <c r="B4853" t="str">
        <f>_xll.BDP("FRQX7731 Mtge","SECURITY_NAME")</f>
        <v>FR QX7731</v>
      </c>
      <c r="C4853" t="str">
        <f>_xll.BDP("FRQX7731 Mtge","GENERIC_TICKER_VINTAGE")</f>
        <v>FNCL 6 2025</v>
      </c>
      <c r="D4853" t="str">
        <f>_xll.BDP("FRQX7731 Mtge","CRNCY")</f>
        <v>USD</v>
      </c>
      <c r="E4853">
        <v>10335320</v>
      </c>
      <c r="F4853">
        <f>_xll.BDP("FRQX7731 Mtge","CPN")</f>
        <v>6</v>
      </c>
      <c r="G4853">
        <f>_xll.BDP("FRQX7731 Mtge","MTG_FACTOR")</f>
        <v>0.77939568000000004</v>
      </c>
      <c r="H4853">
        <f>_xll.BDP("FRQX7731 Mtge","MTG_WAL")</f>
        <v>3.1574</v>
      </c>
      <c r="I4853" t="str">
        <f>_xll.BDP("FRQX7731 Mtge","MTG_ORIG_WAL")</f>
        <v>#N/A N/A</v>
      </c>
    </row>
    <row r="4854" spans="1:9" x14ac:dyDescent="0.25">
      <c r="A4854" t="str">
        <f>_xll.BDP("FRQX7737 Mtge","ID_CUSIP")</f>
        <v>31426DS37</v>
      </c>
      <c r="B4854" t="str">
        <f>_xll.BDP("FRQX7737 Mtge","SECURITY_NAME")</f>
        <v>FR QX7737</v>
      </c>
      <c r="C4854" t="str">
        <f>_xll.BDP("FRQX7737 Mtge","GENERIC_TICKER_VINTAGE")</f>
        <v>FNCL 6 2025</v>
      </c>
      <c r="D4854" t="str">
        <f>_xll.BDP("FRQX7737 Mtge","CRNCY")</f>
        <v>USD</v>
      </c>
      <c r="E4854">
        <v>2701685</v>
      </c>
      <c r="F4854">
        <f>_xll.BDP("FRQX7737 Mtge","CPN")</f>
        <v>6</v>
      </c>
      <c r="G4854">
        <f>_xll.BDP("FRQX7737 Mtge","MTG_FACTOR")</f>
        <v>0.86610893</v>
      </c>
      <c r="H4854">
        <f>_xll.BDP("FRQX7737 Mtge","MTG_WAL")</f>
        <v>3.1646000000000001</v>
      </c>
      <c r="I4854" t="str">
        <f>_xll.BDP("FRQX7737 Mtge","MTG_ORIG_WAL")</f>
        <v>#N/A N/A</v>
      </c>
    </row>
    <row r="4855" spans="1:9" x14ac:dyDescent="0.25">
      <c r="A4855" t="str">
        <f>_xll.BDP("FRQX7742 Mtge","ID_CUSIP")</f>
        <v>31426DS86</v>
      </c>
      <c r="B4855" t="str">
        <f>_xll.BDP("FRQX7742 Mtge","SECURITY_NAME")</f>
        <v>FR QX7742</v>
      </c>
      <c r="C4855" t="str">
        <f>_xll.BDP("FRQX7742 Mtge","GENERIC_TICKER_VINTAGE")</f>
        <v>FNCL 6 2025</v>
      </c>
      <c r="D4855" t="str">
        <f>_xll.BDP("FRQX7742 Mtge","CRNCY")</f>
        <v>USD</v>
      </c>
      <c r="E4855">
        <v>1201106</v>
      </c>
      <c r="F4855">
        <f>_xll.BDP("FRQX7742 Mtge","CPN")</f>
        <v>6</v>
      </c>
      <c r="G4855">
        <f>_xll.BDP("FRQX7742 Mtge","MTG_FACTOR")</f>
        <v>0.78325816999999998</v>
      </c>
      <c r="H4855">
        <f>_xll.BDP("FRQX7742 Mtge","MTG_WAL")</f>
        <v>3.2008000000000001</v>
      </c>
      <c r="I4855" t="str">
        <f>_xll.BDP("FRQX7742 Mtge","MTG_ORIG_WAL")</f>
        <v>#N/A N/A</v>
      </c>
    </row>
    <row r="4856" spans="1:9" x14ac:dyDescent="0.25">
      <c r="A4856" t="str">
        <f>_xll.BDP("FRQX7743 Mtge","ID_CUSIP")</f>
        <v>31426DS94</v>
      </c>
      <c r="B4856" t="str">
        <f>_xll.BDP("FRQX7743 Mtge","SECURITY_NAME")</f>
        <v>FR QX7743</v>
      </c>
      <c r="C4856" t="str">
        <f>_xll.BDP("FRQX7743 Mtge","GENERIC_TICKER_VINTAGE")</f>
        <v>FNCL 6 2025</v>
      </c>
      <c r="D4856" t="str">
        <f>_xll.BDP("FRQX7743 Mtge","CRNCY")</f>
        <v>USD</v>
      </c>
      <c r="E4856">
        <v>1428912</v>
      </c>
      <c r="F4856">
        <f>_xll.BDP("FRQX7743 Mtge","CPN")</f>
        <v>6</v>
      </c>
      <c r="G4856">
        <f>_xll.BDP("FRQX7743 Mtge","MTG_FACTOR")</f>
        <v>0.98943798000000005</v>
      </c>
      <c r="H4856">
        <f>_xll.BDP("FRQX7743 Mtge","MTG_WAL")</f>
        <v>3.2021000000000002</v>
      </c>
      <c r="I4856" t="str">
        <f>_xll.BDP("FRQX7743 Mtge","MTG_ORIG_WAL")</f>
        <v>#N/A N/A</v>
      </c>
    </row>
    <row r="4857" spans="1:9" x14ac:dyDescent="0.25">
      <c r="A4857" t="str">
        <f>_xll.BDP("FRQX7747 Mtge","ID_CUSIP")</f>
        <v>31426DTD4</v>
      </c>
      <c r="B4857" t="str">
        <f>_xll.BDP("FRQX7747 Mtge","SECURITY_NAME")</f>
        <v>FR QX7747</v>
      </c>
      <c r="C4857" t="str">
        <f>_xll.BDP("FRQX7747 Mtge","GENERIC_TICKER_VINTAGE")</f>
        <v>FNCL 6 2025</v>
      </c>
      <c r="D4857" t="str">
        <f>_xll.BDP("FRQX7747 Mtge","CRNCY")</f>
        <v>USD</v>
      </c>
      <c r="E4857">
        <v>3800780</v>
      </c>
      <c r="F4857">
        <f>_xll.BDP("FRQX7747 Mtge","CPN")</f>
        <v>6</v>
      </c>
      <c r="G4857">
        <f>_xll.BDP("FRQX7747 Mtge","MTG_FACTOR")</f>
        <v>0.98718793999999999</v>
      </c>
      <c r="H4857">
        <f>_xll.BDP("FRQX7747 Mtge","MTG_WAL")</f>
        <v>3.2010000000000001</v>
      </c>
      <c r="I4857" t="str">
        <f>_xll.BDP("FRQX7747 Mtge","MTG_ORIG_WAL")</f>
        <v>#N/A N/A</v>
      </c>
    </row>
    <row r="4858" spans="1:9" x14ac:dyDescent="0.25">
      <c r="A4858" t="str">
        <f>_xll.BDP("FRQX7752 Mtge","ID_CUSIP")</f>
        <v>31426DTJ1</v>
      </c>
      <c r="B4858" t="str">
        <f>_xll.BDP("FRQX7752 Mtge","SECURITY_NAME")</f>
        <v>FR QX7752</v>
      </c>
      <c r="C4858" t="str">
        <f>_xll.BDP("FRQX7752 Mtge","GENERIC_TICKER_VINTAGE")</f>
        <v>FNCL 6 2025</v>
      </c>
      <c r="D4858" t="str">
        <f>_xll.BDP("FRQX7752 Mtge","CRNCY")</f>
        <v>USD</v>
      </c>
      <c r="E4858">
        <v>1880596</v>
      </c>
      <c r="F4858">
        <f>_xll.BDP("FRQX7752 Mtge","CPN")</f>
        <v>6</v>
      </c>
      <c r="G4858">
        <f>_xll.BDP("FRQX7752 Mtge","MTG_FACTOR")</f>
        <v>0.98597018000000003</v>
      </c>
      <c r="H4858">
        <f>_xll.BDP("FRQX7752 Mtge","MTG_WAL")</f>
        <v>3.1415999999999999</v>
      </c>
      <c r="I4858" t="str">
        <f>_xll.BDP("FRQX7752 Mtge","MTG_ORIG_WAL")</f>
        <v>#N/A N/A</v>
      </c>
    </row>
    <row r="4859" spans="1:9" x14ac:dyDescent="0.25">
      <c r="A4859" t="str">
        <f>_xll.BDP("FRQX7753 Mtge","ID_CUSIP")</f>
        <v>31426DTK8</v>
      </c>
      <c r="B4859" t="str">
        <f>_xll.BDP("FRQX7753 Mtge","SECURITY_NAME")</f>
        <v>FR QX7753</v>
      </c>
      <c r="C4859" t="str">
        <f>_xll.BDP("FRQX7753 Mtge","GENERIC_TICKER_VINTAGE")</f>
        <v>FNCL 6 2025</v>
      </c>
      <c r="D4859" t="str">
        <f>_xll.BDP("FRQX7753 Mtge","CRNCY")</f>
        <v>USD</v>
      </c>
      <c r="E4859">
        <v>11238418</v>
      </c>
      <c r="F4859">
        <f>_xll.BDP("FRQX7753 Mtge","CPN")</f>
        <v>6</v>
      </c>
      <c r="G4859">
        <f>_xll.BDP("FRQX7753 Mtge","MTG_FACTOR")</f>
        <v>0.93614896000000003</v>
      </c>
      <c r="H4859">
        <f>_xll.BDP("FRQX7753 Mtge","MTG_WAL")</f>
        <v>3.1581000000000001</v>
      </c>
      <c r="I4859" t="str">
        <f>_xll.BDP("FRQX7753 Mtge","MTG_ORIG_WAL")</f>
        <v>#N/A N/A</v>
      </c>
    </row>
    <row r="4860" spans="1:9" x14ac:dyDescent="0.25">
      <c r="A4860" t="str">
        <f>_xll.BDP("FRQX7756 Mtge","ID_CUSIP")</f>
        <v>31426DTN2</v>
      </c>
      <c r="B4860" t="str">
        <f>_xll.BDP("FRQX7756 Mtge","SECURITY_NAME")</f>
        <v>FR QX7756</v>
      </c>
      <c r="C4860" t="str">
        <f>_xll.BDP("FRQX7756 Mtge","GENERIC_TICKER_VINTAGE")</f>
        <v>FNCL 6 2025</v>
      </c>
      <c r="D4860" t="str">
        <f>_xll.BDP("FRQX7756 Mtge","CRNCY")</f>
        <v>USD</v>
      </c>
      <c r="E4860">
        <v>1527383</v>
      </c>
      <c r="F4860">
        <f>_xll.BDP("FRQX7756 Mtge","CPN")</f>
        <v>6</v>
      </c>
      <c r="G4860">
        <f>_xll.BDP("FRQX7756 Mtge","MTG_FACTOR")</f>
        <v>0.59899515999999997</v>
      </c>
      <c r="H4860">
        <f>_xll.BDP("FRQX7756 Mtge","MTG_WAL")</f>
        <v>3.1589</v>
      </c>
      <c r="I4860" t="str">
        <f>_xll.BDP("FRQX7756 Mtge","MTG_ORIG_WAL")</f>
        <v>#N/A N/A</v>
      </c>
    </row>
    <row r="4861" spans="1:9" x14ac:dyDescent="0.25">
      <c r="A4861" t="str">
        <f>_xll.BDP("FRQX7771 Mtge","ID_CUSIP")</f>
        <v>31426DT51</v>
      </c>
      <c r="B4861" t="str">
        <f>_xll.BDP("FRQX7771 Mtge","SECURITY_NAME")</f>
        <v>FR QX7771</v>
      </c>
      <c r="C4861" t="str">
        <f>_xll.BDP("FRQX7771 Mtge","GENERIC_TICKER_VINTAGE")</f>
        <v>FNCL 6 2025</v>
      </c>
      <c r="D4861" t="str">
        <f>_xll.BDP("FRQX7771 Mtge","CRNCY")</f>
        <v>USD</v>
      </c>
      <c r="E4861">
        <v>1010928</v>
      </c>
      <c r="F4861">
        <f>_xll.BDP("FRQX7771 Mtge","CPN")</f>
        <v>6</v>
      </c>
      <c r="G4861">
        <f>_xll.BDP("FRQX7771 Mtge","MTG_FACTOR")</f>
        <v>0.83032041999999995</v>
      </c>
      <c r="H4861">
        <f>_xll.BDP("FRQX7771 Mtge","MTG_WAL")</f>
        <v>3.0939000000000001</v>
      </c>
      <c r="I4861" t="str">
        <f>_xll.BDP("FRQX7771 Mtge","MTG_ORIG_WAL")</f>
        <v>#N/A N/A</v>
      </c>
    </row>
    <row r="4862" spans="1:9" x14ac:dyDescent="0.25">
      <c r="A4862" t="str">
        <f>_xll.BDP("FRQX7774 Mtge","ID_CUSIP")</f>
        <v>31426DT85</v>
      </c>
      <c r="B4862" t="str">
        <f>_xll.BDP("FRQX7774 Mtge","SECURITY_NAME")</f>
        <v>FR QX7774</v>
      </c>
      <c r="C4862" t="str">
        <f>_xll.BDP("FRQX7774 Mtge","GENERIC_TICKER_VINTAGE")</f>
        <v>FNCL 6 2025</v>
      </c>
      <c r="D4862" t="str">
        <f>_xll.BDP("FRQX7774 Mtge","CRNCY")</f>
        <v>USD</v>
      </c>
      <c r="E4862">
        <v>3650685</v>
      </c>
      <c r="F4862">
        <f>_xll.BDP("FRQX7774 Mtge","CPN")</f>
        <v>6</v>
      </c>
      <c r="G4862">
        <f>_xll.BDP("FRQX7774 Mtge","MTG_FACTOR")</f>
        <v>0.89599344999999997</v>
      </c>
      <c r="H4862">
        <f>_xll.BDP("FRQX7774 Mtge","MTG_WAL")</f>
        <v>3.1583999999999999</v>
      </c>
      <c r="I4862" t="str">
        <f>_xll.BDP("FRQX7774 Mtge","MTG_ORIG_WAL")</f>
        <v>#N/A N/A</v>
      </c>
    </row>
    <row r="4863" spans="1:9" x14ac:dyDescent="0.25">
      <c r="A4863" t="str">
        <f>_xll.BDP("FRQX7775 Mtge","ID_CUSIP")</f>
        <v>31426DT93</v>
      </c>
      <c r="B4863" t="str">
        <f>_xll.BDP("FRQX7775 Mtge","SECURITY_NAME")</f>
        <v>FR QX7775</v>
      </c>
      <c r="C4863" t="str">
        <f>_xll.BDP("FRQX7775 Mtge","GENERIC_TICKER_VINTAGE")</f>
        <v>FNCL 6 2025</v>
      </c>
      <c r="D4863" t="str">
        <f>_xll.BDP("FRQX7775 Mtge","CRNCY")</f>
        <v>USD</v>
      </c>
      <c r="E4863">
        <v>2039888</v>
      </c>
      <c r="F4863">
        <f>_xll.BDP("FRQX7775 Mtge","CPN")</f>
        <v>6</v>
      </c>
      <c r="G4863">
        <f>_xll.BDP("FRQX7775 Mtge","MTG_FACTOR")</f>
        <v>0.90478734999999999</v>
      </c>
      <c r="H4863">
        <f>_xll.BDP("FRQX7775 Mtge","MTG_WAL")</f>
        <v>3.1869999999999998</v>
      </c>
      <c r="I4863" t="str">
        <f>_xll.BDP("FRQX7775 Mtge","MTG_ORIG_WAL")</f>
        <v>#N/A N/A</v>
      </c>
    </row>
    <row r="4864" spans="1:9" x14ac:dyDescent="0.25">
      <c r="A4864" t="str">
        <f>_xll.BDP("FRQX7779 Mtge","ID_CUSIP")</f>
        <v>31426DUD2</v>
      </c>
      <c r="B4864" t="str">
        <f>_xll.BDP("FRQX7779 Mtge","SECURITY_NAME")</f>
        <v>FR QX7779</v>
      </c>
      <c r="C4864" t="str">
        <f>_xll.BDP("FRQX7779 Mtge","GENERIC_TICKER_VINTAGE")</f>
        <v>FNCL 6 2025</v>
      </c>
      <c r="D4864" t="str">
        <f>_xll.BDP("FRQX7779 Mtge","CRNCY")</f>
        <v>USD</v>
      </c>
      <c r="E4864">
        <v>28355559</v>
      </c>
      <c r="F4864">
        <f>_xll.BDP("FRQX7779 Mtge","CPN")</f>
        <v>6</v>
      </c>
      <c r="G4864">
        <f>_xll.BDP("FRQX7779 Mtge","MTG_FACTOR")</f>
        <v>0.77501854000000003</v>
      </c>
      <c r="H4864">
        <f>_xll.BDP("FRQX7779 Mtge","MTG_WAL")</f>
        <v>3.1585999999999999</v>
      </c>
      <c r="I4864" t="str">
        <f>_xll.BDP("FRQX7779 Mtge","MTG_ORIG_WAL")</f>
        <v>#N/A N/A</v>
      </c>
    </row>
    <row r="4865" spans="1:9" x14ac:dyDescent="0.25">
      <c r="A4865" t="str">
        <f>_xll.BDP("FRQX7780 Mtge","ID_CUSIP")</f>
        <v>31426DUE0</v>
      </c>
      <c r="B4865" t="str">
        <f>_xll.BDP("FRQX7780 Mtge","SECURITY_NAME")</f>
        <v>FR QX7780</v>
      </c>
      <c r="C4865" t="str">
        <f>_xll.BDP("FRQX7780 Mtge","GENERIC_TICKER_VINTAGE")</f>
        <v>FNCL 6 2025</v>
      </c>
      <c r="D4865" t="str">
        <f>_xll.BDP("FRQX7780 Mtge","CRNCY")</f>
        <v>USD</v>
      </c>
      <c r="E4865">
        <v>8798187</v>
      </c>
      <c r="F4865">
        <f>_xll.BDP("FRQX7780 Mtge","CPN")</f>
        <v>6</v>
      </c>
      <c r="G4865">
        <f>_xll.BDP("FRQX7780 Mtge","MTG_FACTOR")</f>
        <v>0.88338384000000003</v>
      </c>
      <c r="H4865">
        <f>_xll.BDP("FRQX7780 Mtge","MTG_WAL")</f>
        <v>3.1541000000000001</v>
      </c>
      <c r="I4865" t="str">
        <f>_xll.BDP("FRQX7780 Mtge","MTG_ORIG_WAL")</f>
        <v>#N/A N/A</v>
      </c>
    </row>
    <row r="4866" spans="1:9" x14ac:dyDescent="0.25">
      <c r="A4866" t="str">
        <f>_xll.BDP("FRQX7781 Mtge","ID_CUSIP")</f>
        <v>31426DUF7</v>
      </c>
      <c r="B4866" t="str">
        <f>_xll.BDP("FRQX7781 Mtge","SECURITY_NAME")</f>
        <v>FR QX7781</v>
      </c>
      <c r="C4866" t="str">
        <f>_xll.BDP("FRQX7781 Mtge","GENERIC_TICKER_VINTAGE")</f>
        <v>FNCL 6 2025</v>
      </c>
      <c r="D4866" t="str">
        <f>_xll.BDP("FRQX7781 Mtge","CRNCY")</f>
        <v>USD</v>
      </c>
      <c r="E4866">
        <v>1536250</v>
      </c>
      <c r="F4866">
        <f>_xll.BDP("FRQX7781 Mtge","CPN")</f>
        <v>6</v>
      </c>
      <c r="G4866">
        <f>_xll.BDP("FRQX7781 Mtge","MTG_FACTOR")</f>
        <v>0.84148042000000001</v>
      </c>
      <c r="H4866">
        <f>_xll.BDP("FRQX7781 Mtge","MTG_WAL")</f>
        <v>3.1606000000000001</v>
      </c>
      <c r="I4866" t="str">
        <f>_xll.BDP("FRQX7781 Mtge","MTG_ORIG_WAL")</f>
        <v>#N/A N/A</v>
      </c>
    </row>
    <row r="4867" spans="1:9" x14ac:dyDescent="0.25">
      <c r="A4867" t="str">
        <f>_xll.BDP("FRQX7782 Mtge","ID_CUSIP")</f>
        <v>31426DUG5</v>
      </c>
      <c r="B4867" t="str">
        <f>_xll.BDP("FRQX7782 Mtge","SECURITY_NAME")</f>
        <v>FR QX7782</v>
      </c>
      <c r="C4867" t="str">
        <f>_xll.BDP("FRQX7782 Mtge","GENERIC_TICKER_VINTAGE")</f>
        <v>FNCL 6 2025</v>
      </c>
      <c r="D4867" t="str">
        <f>_xll.BDP("FRQX7782 Mtge","CRNCY")</f>
        <v>USD</v>
      </c>
      <c r="E4867">
        <v>7471285</v>
      </c>
      <c r="F4867">
        <f>_xll.BDP("FRQX7782 Mtge","CPN")</f>
        <v>6</v>
      </c>
      <c r="G4867">
        <f>_xll.BDP("FRQX7782 Mtge","MTG_FACTOR")</f>
        <v>0.83795315000000004</v>
      </c>
      <c r="H4867">
        <f>_xll.BDP("FRQX7782 Mtge","MTG_WAL")</f>
        <v>3.1511</v>
      </c>
      <c r="I4867" t="str">
        <f>_xll.BDP("FRQX7782 Mtge","MTG_ORIG_WAL")</f>
        <v>#N/A N/A</v>
      </c>
    </row>
    <row r="4868" spans="1:9" x14ac:dyDescent="0.25">
      <c r="A4868" t="str">
        <f>_xll.BDP("FRQX7783 Mtge","ID_CUSIP")</f>
        <v>31426DUH3</v>
      </c>
      <c r="B4868" t="str">
        <f>_xll.BDP("FRQX7783 Mtge","SECURITY_NAME")</f>
        <v>FR QX7783</v>
      </c>
      <c r="C4868" t="str">
        <f>_xll.BDP("FRQX7783 Mtge","GENERIC_TICKER_VINTAGE")</f>
        <v>FNCL 6 2025</v>
      </c>
      <c r="D4868" t="str">
        <f>_xll.BDP("FRQX7783 Mtge","CRNCY")</f>
        <v>USD</v>
      </c>
      <c r="E4868">
        <v>6718903</v>
      </c>
      <c r="F4868">
        <f>_xll.BDP("FRQX7783 Mtge","CPN")</f>
        <v>6</v>
      </c>
      <c r="G4868">
        <f>_xll.BDP("FRQX7783 Mtge","MTG_FACTOR")</f>
        <v>0.81689001999999999</v>
      </c>
      <c r="H4868">
        <f>_xll.BDP("FRQX7783 Mtge","MTG_WAL")</f>
        <v>3.1972</v>
      </c>
      <c r="I4868" t="str">
        <f>_xll.BDP("FRQX7783 Mtge","MTG_ORIG_WAL")</f>
        <v>#N/A N/A</v>
      </c>
    </row>
    <row r="4869" spans="1:9" x14ac:dyDescent="0.25">
      <c r="A4869" t="str">
        <f>_xll.BDP("FRQX7785 Mtge","ID_CUSIP")</f>
        <v>31426DUK6</v>
      </c>
      <c r="B4869" t="str">
        <f>_xll.BDP("FRQX7785 Mtge","SECURITY_NAME")</f>
        <v>FR QX7785</v>
      </c>
      <c r="C4869" t="str">
        <f>_xll.BDP("FRQX7785 Mtge","GENERIC_TICKER_VINTAGE")</f>
        <v>FNCL 6 2025</v>
      </c>
      <c r="D4869" t="str">
        <f>_xll.BDP("FRQX7785 Mtge","CRNCY")</f>
        <v>USD</v>
      </c>
      <c r="E4869">
        <v>11540073</v>
      </c>
      <c r="F4869">
        <f>_xll.BDP("FRQX7785 Mtge","CPN")</f>
        <v>6</v>
      </c>
      <c r="G4869">
        <f>_xll.BDP("FRQX7785 Mtge","MTG_FACTOR")</f>
        <v>0.63707155999999998</v>
      </c>
      <c r="H4869">
        <f>_xll.BDP("FRQX7785 Mtge","MTG_WAL")</f>
        <v>3.1562999999999999</v>
      </c>
      <c r="I4869" t="str">
        <f>_xll.BDP("FRQX7785 Mtge","MTG_ORIG_WAL")</f>
        <v>#N/A N/A</v>
      </c>
    </row>
    <row r="4870" spans="1:9" x14ac:dyDescent="0.25">
      <c r="A4870" t="str">
        <f>_xll.BDP("FRQX7786 Mtge","ID_CUSIP")</f>
        <v>31426DUL4</v>
      </c>
      <c r="B4870" t="str">
        <f>_xll.BDP("FRQX7786 Mtge","SECURITY_NAME")</f>
        <v>FR QX7786</v>
      </c>
      <c r="C4870" t="str">
        <f>_xll.BDP("FRQX7786 Mtge","GENERIC_TICKER_VINTAGE")</f>
        <v>FNCL 6 2025</v>
      </c>
      <c r="D4870" t="str">
        <f>_xll.BDP("FRQX7786 Mtge","CRNCY")</f>
        <v>USD</v>
      </c>
      <c r="E4870">
        <v>1045319</v>
      </c>
      <c r="F4870">
        <f>_xll.BDP("FRQX7786 Mtge","CPN")</f>
        <v>6</v>
      </c>
      <c r="G4870">
        <f>_xll.BDP("FRQX7786 Mtge","MTG_FACTOR")</f>
        <v>0.96189727000000003</v>
      </c>
      <c r="H4870">
        <f>_xll.BDP("FRQX7786 Mtge","MTG_WAL")</f>
        <v>3.1444999999999999</v>
      </c>
      <c r="I4870" t="str">
        <f>_xll.BDP("FRQX7786 Mtge","MTG_ORIG_WAL")</f>
        <v>#N/A N/A</v>
      </c>
    </row>
    <row r="4871" spans="1:9" x14ac:dyDescent="0.25">
      <c r="A4871" t="str">
        <f>_xll.BDP("FRQX7787 Mtge","ID_CUSIP")</f>
        <v>31426DUM2</v>
      </c>
      <c r="B4871" t="str">
        <f>_xll.BDP("FRQX7787 Mtge","SECURITY_NAME")</f>
        <v>FR QX7787</v>
      </c>
      <c r="C4871" t="str">
        <f>_xll.BDP("FRQX7787 Mtge","GENERIC_TICKER_VINTAGE")</f>
        <v>FNCL 6 2025</v>
      </c>
      <c r="D4871" t="str">
        <f>_xll.BDP("FRQX7787 Mtge","CRNCY")</f>
        <v>USD</v>
      </c>
      <c r="E4871">
        <v>1508076</v>
      </c>
      <c r="F4871">
        <f>_xll.BDP("FRQX7787 Mtge","CPN")</f>
        <v>6</v>
      </c>
      <c r="G4871">
        <f>_xll.BDP("FRQX7787 Mtge","MTG_FACTOR")</f>
        <v>0.87401499999999999</v>
      </c>
      <c r="H4871">
        <f>_xll.BDP("FRQX7787 Mtge","MTG_WAL")</f>
        <v>3.1469</v>
      </c>
      <c r="I4871" t="str">
        <f>_xll.BDP("FRQX7787 Mtge","MTG_ORIG_WAL")</f>
        <v>#N/A N/A</v>
      </c>
    </row>
    <row r="4872" spans="1:9" x14ac:dyDescent="0.25">
      <c r="A4872" t="str">
        <f>_xll.BDP("FRQX7788 Mtge","ID_CUSIP")</f>
        <v>31426DUN0</v>
      </c>
      <c r="B4872" t="str">
        <f>_xll.BDP("FRQX7788 Mtge","SECURITY_NAME")</f>
        <v>FR QX7788</v>
      </c>
      <c r="C4872" t="str">
        <f>_xll.BDP("FRQX7788 Mtge","GENERIC_TICKER_VINTAGE")</f>
        <v>FNCL 6 2025</v>
      </c>
      <c r="D4872" t="str">
        <f>_xll.BDP("FRQX7788 Mtge","CRNCY")</f>
        <v>USD</v>
      </c>
      <c r="E4872">
        <v>1461800</v>
      </c>
      <c r="F4872">
        <f>_xll.BDP("FRQX7788 Mtge","CPN")</f>
        <v>6</v>
      </c>
      <c r="G4872">
        <f>_xll.BDP("FRQX7788 Mtge","MTG_FACTOR")</f>
        <v>0.88407539000000002</v>
      </c>
      <c r="H4872">
        <f>_xll.BDP("FRQX7788 Mtge","MTG_WAL")</f>
        <v>3.2031999999999998</v>
      </c>
      <c r="I4872" t="str">
        <f>_xll.BDP("FRQX7788 Mtge","MTG_ORIG_WAL")</f>
        <v>#N/A N/A</v>
      </c>
    </row>
    <row r="4873" spans="1:9" x14ac:dyDescent="0.25">
      <c r="A4873" t="str">
        <f>_xll.BDP("FRQX7789 Mtge","ID_CUSIP")</f>
        <v>31426DUP5</v>
      </c>
      <c r="B4873" t="str">
        <f>_xll.BDP("FRQX7789 Mtge","SECURITY_NAME")</f>
        <v>FR QX7789</v>
      </c>
      <c r="C4873" t="str">
        <f>_xll.BDP("FRQX7789 Mtge","GENERIC_TICKER_VINTAGE")</f>
        <v>FNCL 6 2025</v>
      </c>
      <c r="D4873" t="str">
        <f>_xll.BDP("FRQX7789 Mtge","CRNCY")</f>
        <v>USD</v>
      </c>
      <c r="E4873">
        <v>2344180</v>
      </c>
      <c r="F4873">
        <f>_xll.BDP("FRQX7789 Mtge","CPN")</f>
        <v>6</v>
      </c>
      <c r="G4873">
        <f>_xll.BDP("FRQX7789 Mtge","MTG_FACTOR")</f>
        <v>0.98372132000000001</v>
      </c>
      <c r="H4873">
        <f>_xll.BDP("FRQX7789 Mtge","MTG_WAL")</f>
        <v>3.1989999999999998</v>
      </c>
      <c r="I4873" t="str">
        <f>_xll.BDP("FRQX7789 Mtge","MTG_ORIG_WAL")</f>
        <v>#N/A N/A</v>
      </c>
    </row>
    <row r="4874" spans="1:9" x14ac:dyDescent="0.25">
      <c r="A4874" t="str">
        <f>_xll.BDP("FRQX7817 Mtge","ID_CUSIP")</f>
        <v>31426DVK5</v>
      </c>
      <c r="B4874" t="str">
        <f>_xll.BDP("FRQX7817 Mtge","SECURITY_NAME")</f>
        <v>FR QX7817</v>
      </c>
      <c r="C4874" t="str">
        <f>_xll.BDP("FRQX7817 Mtge","GENERIC_TICKER_VINTAGE")</f>
        <v>FNCL 6 2025</v>
      </c>
      <c r="D4874" t="str">
        <f>_xll.BDP("FRQX7817 Mtge","CRNCY")</f>
        <v>USD</v>
      </c>
      <c r="E4874">
        <v>3939070</v>
      </c>
      <c r="F4874">
        <f>_xll.BDP("FRQX7817 Mtge","CPN")</f>
        <v>6</v>
      </c>
      <c r="G4874">
        <f>_xll.BDP("FRQX7817 Mtge","MTG_FACTOR")</f>
        <v>0.78461071999999998</v>
      </c>
      <c r="H4874">
        <f>_xll.BDP("FRQX7817 Mtge","MTG_WAL")</f>
        <v>3.2057000000000002</v>
      </c>
      <c r="I4874" t="str">
        <f>_xll.BDP("FRQX7817 Mtge","MTG_ORIG_WAL")</f>
        <v>#N/A N/A</v>
      </c>
    </row>
    <row r="4875" spans="1:9" x14ac:dyDescent="0.25">
      <c r="A4875" t="str">
        <f>_xll.BDP("FRQX7830 Mtge","ID_CUSIP")</f>
        <v>31426DVY5</v>
      </c>
      <c r="B4875" t="str">
        <f>_xll.BDP("FRQX7830 Mtge","SECURITY_NAME")</f>
        <v>FR QX7830</v>
      </c>
      <c r="C4875" t="str">
        <f>_xll.BDP("FRQX7830 Mtge","GENERIC_TICKER_VINTAGE")</f>
        <v>FNCL 6 2025</v>
      </c>
      <c r="D4875" t="str">
        <f>_xll.BDP("FRQX7830 Mtge","CRNCY")</f>
        <v>USD</v>
      </c>
      <c r="E4875">
        <v>250589</v>
      </c>
      <c r="F4875">
        <f>_xll.BDP("FRQX7830 Mtge","CPN")</f>
        <v>6</v>
      </c>
      <c r="G4875">
        <f>_xll.BDP("FRQX7830 Mtge","MTG_FACTOR")</f>
        <v>0.98176399999999997</v>
      </c>
      <c r="H4875">
        <f>_xll.BDP("FRQX7830 Mtge","MTG_WAL")</f>
        <v>3.1543000000000001</v>
      </c>
      <c r="I4875" t="str">
        <f>_xll.BDP("FRQX7830 Mtge","MTG_ORIG_WAL")</f>
        <v>#N/A N/A</v>
      </c>
    </row>
    <row r="4876" spans="1:9" x14ac:dyDescent="0.25">
      <c r="A4876" t="str">
        <f>_xll.BDP("FRQX7853 Mtge","ID_CUSIP")</f>
        <v>31426DWP3</v>
      </c>
      <c r="B4876" t="str">
        <f>_xll.BDP("FRQX7853 Mtge","SECURITY_NAME")</f>
        <v>FR QX7853</v>
      </c>
      <c r="C4876" t="str">
        <f>_xll.BDP("FRQX7853 Mtge","GENERIC_TICKER_VINTAGE")</f>
        <v>FNCL 6 2025</v>
      </c>
      <c r="D4876" t="str">
        <f>_xll.BDP("FRQX7853 Mtge","CRNCY")</f>
        <v>USD</v>
      </c>
      <c r="E4876">
        <v>2649358</v>
      </c>
      <c r="F4876">
        <f>_xll.BDP("FRQX7853 Mtge","CPN")</f>
        <v>6</v>
      </c>
      <c r="G4876">
        <f>_xll.BDP("FRQX7853 Mtge","MTG_FACTOR")</f>
        <v>0.71159735999999996</v>
      </c>
      <c r="H4876">
        <f>_xll.BDP("FRQX7853 Mtge","MTG_WAL")</f>
        <v>3.1597</v>
      </c>
      <c r="I4876" t="str">
        <f>_xll.BDP("FRQX7853 Mtge","MTG_ORIG_WAL")</f>
        <v>#N/A N/A</v>
      </c>
    </row>
    <row r="4877" spans="1:9" x14ac:dyDescent="0.25">
      <c r="A4877" t="str">
        <f>_xll.BDP("FRQX7856 Mtge","ID_CUSIP")</f>
        <v>31426DWS7</v>
      </c>
      <c r="B4877" t="str">
        <f>_xll.BDP("FRQX7856 Mtge","SECURITY_NAME")</f>
        <v>FR QX7856</v>
      </c>
      <c r="C4877" t="str">
        <f>_xll.BDP("FRQX7856 Mtge","GENERIC_TICKER_VINTAGE")</f>
        <v>FNCL 6 2025</v>
      </c>
      <c r="D4877" t="str">
        <f>_xll.BDP("FRQX7856 Mtge","CRNCY")</f>
        <v>USD</v>
      </c>
      <c r="E4877">
        <v>11748701</v>
      </c>
      <c r="F4877">
        <f>_xll.BDP("FRQX7856 Mtge","CPN")</f>
        <v>6</v>
      </c>
      <c r="G4877">
        <f>_xll.BDP("FRQX7856 Mtge","MTG_FACTOR")</f>
        <v>0.76574931000000002</v>
      </c>
      <c r="H4877">
        <f>_xll.BDP("FRQX7856 Mtge","MTG_WAL")</f>
        <v>3.1953999999999998</v>
      </c>
      <c r="I4877" t="str">
        <f>_xll.BDP("FRQX7856 Mtge","MTG_ORIG_WAL")</f>
        <v>#N/A N/A</v>
      </c>
    </row>
    <row r="4878" spans="1:9" x14ac:dyDescent="0.25">
      <c r="A4878" t="str">
        <f>_xll.BDP("FRQX7858 Mtge","ID_CUSIP")</f>
        <v>31426DWU2</v>
      </c>
      <c r="B4878" t="str">
        <f>_xll.BDP("FRQX7858 Mtge","SECURITY_NAME")</f>
        <v>FR QX7858</v>
      </c>
      <c r="C4878" t="str">
        <f>_xll.BDP("FRQX7858 Mtge","GENERIC_TICKER_VINTAGE")</f>
        <v>FNCL 6 2025</v>
      </c>
      <c r="D4878" t="str">
        <f>_xll.BDP("FRQX7858 Mtge","CRNCY")</f>
        <v>USD</v>
      </c>
      <c r="E4878">
        <v>10098701</v>
      </c>
      <c r="F4878">
        <f>_xll.BDP("FRQX7858 Mtge","CPN")</f>
        <v>6</v>
      </c>
      <c r="G4878">
        <f>_xll.BDP("FRQX7858 Mtge","MTG_FACTOR")</f>
        <v>0.66497161999999999</v>
      </c>
      <c r="H4878">
        <f>_xll.BDP("FRQX7858 Mtge","MTG_WAL")</f>
        <v>3.2012</v>
      </c>
      <c r="I4878" t="str">
        <f>_xll.BDP("FRQX7858 Mtge","MTG_ORIG_WAL")</f>
        <v>#N/A N/A</v>
      </c>
    </row>
    <row r="4879" spans="1:9" x14ac:dyDescent="0.25">
      <c r="A4879" t="str">
        <f>_xll.BDP("FRQX7861 Mtge","ID_CUSIP")</f>
        <v>31426DWX6</v>
      </c>
      <c r="B4879" t="str">
        <f>_xll.BDP("FRQX7861 Mtge","SECURITY_NAME")</f>
        <v>FR QX7861</v>
      </c>
      <c r="C4879" t="str">
        <f>_xll.BDP("FRQX7861 Mtge","GENERIC_TICKER_VINTAGE")</f>
        <v>FNCL 6 2025</v>
      </c>
      <c r="D4879" t="str">
        <f>_xll.BDP("FRQX7861 Mtge","CRNCY")</f>
        <v>USD</v>
      </c>
      <c r="E4879">
        <v>8313981</v>
      </c>
      <c r="F4879">
        <f>_xll.BDP("FRQX7861 Mtge","CPN")</f>
        <v>6</v>
      </c>
      <c r="G4879">
        <f>_xll.BDP("FRQX7861 Mtge","MTG_FACTOR")</f>
        <v>0.82711299999999999</v>
      </c>
      <c r="H4879">
        <f>_xll.BDP("FRQX7861 Mtge","MTG_WAL")</f>
        <v>3.1528999999999998</v>
      </c>
      <c r="I4879" t="str">
        <f>_xll.BDP("FRQX7861 Mtge","MTG_ORIG_WAL")</f>
        <v>#N/A N/A</v>
      </c>
    </row>
    <row r="4880" spans="1:9" x14ac:dyDescent="0.25">
      <c r="A4880" t="str">
        <f>_xll.BDP("FRQX7868 Mtge","ID_CUSIP")</f>
        <v>31426DW65</v>
      </c>
      <c r="B4880" t="str">
        <f>_xll.BDP("FRQX7868 Mtge","SECURITY_NAME")</f>
        <v>FR QX7868</v>
      </c>
      <c r="C4880" t="str">
        <f>_xll.BDP("FRQX7868 Mtge","GENERIC_TICKER_VINTAGE")</f>
        <v>FNCL 6 2025</v>
      </c>
      <c r="D4880" t="str">
        <f>_xll.BDP("FRQX7868 Mtge","CRNCY")</f>
        <v>USD</v>
      </c>
      <c r="E4880">
        <v>10260512</v>
      </c>
      <c r="F4880">
        <f>_xll.BDP("FRQX7868 Mtge","CPN")</f>
        <v>6</v>
      </c>
      <c r="G4880">
        <f>_xll.BDP("FRQX7868 Mtge","MTG_FACTOR")</f>
        <v>0.83459541000000004</v>
      </c>
      <c r="H4880">
        <f>_xll.BDP("FRQX7868 Mtge","MTG_WAL")</f>
        <v>3.1436000000000002</v>
      </c>
      <c r="I4880" t="str">
        <f>_xll.BDP("FRQX7868 Mtge","MTG_ORIG_WAL")</f>
        <v>#N/A N/A</v>
      </c>
    </row>
    <row r="4881" spans="1:9" x14ac:dyDescent="0.25">
      <c r="A4881" t="str">
        <f>_xll.BDP("FRQX7870 Mtge","ID_CUSIP")</f>
        <v>31426DW81</v>
      </c>
      <c r="B4881" t="str">
        <f>_xll.BDP("FRQX7870 Mtge","SECURITY_NAME")</f>
        <v>FR QX7870</v>
      </c>
      <c r="C4881" t="str">
        <f>_xll.BDP("FRQX7870 Mtge","GENERIC_TICKER_VINTAGE")</f>
        <v>FNCL 6 2025</v>
      </c>
      <c r="D4881" t="str">
        <f>_xll.BDP("FRQX7870 Mtge","CRNCY")</f>
        <v>USD</v>
      </c>
      <c r="E4881">
        <v>1225584</v>
      </c>
      <c r="F4881">
        <f>_xll.BDP("FRQX7870 Mtge","CPN")</f>
        <v>6</v>
      </c>
      <c r="G4881">
        <f>_xll.BDP("FRQX7870 Mtge","MTG_FACTOR")</f>
        <v>0.98935777999999996</v>
      </c>
      <c r="H4881">
        <f>_xll.BDP("FRQX7870 Mtge","MTG_WAL")</f>
        <v>3.1619999999999999</v>
      </c>
      <c r="I4881" t="str">
        <f>_xll.BDP("FRQX7870 Mtge","MTG_ORIG_WAL")</f>
        <v>#N/A N/A</v>
      </c>
    </row>
    <row r="4882" spans="1:9" x14ac:dyDescent="0.25">
      <c r="A4882" t="str">
        <f>_xll.BDP("FRQX7873 Mtge","ID_CUSIP")</f>
        <v>31426DXB3</v>
      </c>
      <c r="B4882" t="str">
        <f>_xll.BDP("FRQX7873 Mtge","SECURITY_NAME")</f>
        <v>FR QX7873</v>
      </c>
      <c r="C4882" t="str">
        <f>_xll.BDP("FRQX7873 Mtge","GENERIC_TICKER_VINTAGE")</f>
        <v>FNCL 6 2025</v>
      </c>
      <c r="D4882" t="str">
        <f>_xll.BDP("FRQX7873 Mtge","CRNCY")</f>
        <v>USD</v>
      </c>
      <c r="E4882">
        <v>1728296</v>
      </c>
      <c r="F4882">
        <f>_xll.BDP("FRQX7873 Mtge","CPN")</f>
        <v>6</v>
      </c>
      <c r="G4882">
        <f>_xll.BDP("FRQX7873 Mtge","MTG_FACTOR")</f>
        <v>0.98717615999999997</v>
      </c>
      <c r="H4882">
        <f>_xll.BDP("FRQX7873 Mtge","MTG_WAL")</f>
        <v>3.2012999999999998</v>
      </c>
      <c r="I4882" t="str">
        <f>_xll.BDP("FRQX7873 Mtge","MTG_ORIG_WAL")</f>
        <v>#N/A N/A</v>
      </c>
    </row>
    <row r="4883" spans="1:9" x14ac:dyDescent="0.25">
      <c r="A4883" t="str">
        <f>_xll.BDP("FRQX7888 Mtge","ID_CUSIP")</f>
        <v>31426DXS6</v>
      </c>
      <c r="B4883" t="str">
        <f>_xll.BDP("FRQX7888 Mtge","SECURITY_NAME")</f>
        <v>FR QX7888</v>
      </c>
      <c r="C4883" t="str">
        <f>_xll.BDP("FRQX7888 Mtge","GENERIC_TICKER_VINTAGE")</f>
        <v>FNCL 6 2025</v>
      </c>
      <c r="D4883" t="str">
        <f>_xll.BDP("FRQX7888 Mtge","CRNCY")</f>
        <v>USD</v>
      </c>
      <c r="E4883">
        <v>24948822</v>
      </c>
      <c r="F4883">
        <f>_xll.BDP("FRQX7888 Mtge","CPN")</f>
        <v>6</v>
      </c>
      <c r="G4883">
        <f>_xll.BDP("FRQX7888 Mtge","MTG_FACTOR")</f>
        <v>0.79726472999999998</v>
      </c>
      <c r="H4883">
        <f>_xll.BDP("FRQX7888 Mtge","MTG_WAL")</f>
        <v>3.2014999999999998</v>
      </c>
      <c r="I4883" t="str">
        <f>_xll.BDP("FRQX7888 Mtge","MTG_ORIG_WAL")</f>
        <v>#N/A N/A</v>
      </c>
    </row>
    <row r="4884" spans="1:9" x14ac:dyDescent="0.25">
      <c r="A4884" t="str">
        <f>_xll.BDP("FRQX7889 Mtge","ID_CUSIP")</f>
        <v>31426DXT4</v>
      </c>
      <c r="B4884" t="str">
        <f>_xll.BDP("FRQX7889 Mtge","SECURITY_NAME")</f>
        <v>FR QX7889</v>
      </c>
      <c r="C4884" t="str">
        <f>_xll.BDP("FRQX7889 Mtge","GENERIC_TICKER_VINTAGE")</f>
        <v>FNCL 6 2025</v>
      </c>
      <c r="D4884" t="str">
        <f>_xll.BDP("FRQX7889 Mtge","CRNCY")</f>
        <v>USD</v>
      </c>
      <c r="E4884">
        <v>1072825</v>
      </c>
      <c r="F4884">
        <f>_xll.BDP("FRQX7889 Mtge","CPN")</f>
        <v>6</v>
      </c>
      <c r="G4884">
        <f>_xll.BDP("FRQX7889 Mtge","MTG_FACTOR")</f>
        <v>0.84826535999999997</v>
      </c>
      <c r="H4884">
        <f>_xll.BDP("FRQX7889 Mtge","MTG_WAL")</f>
        <v>3.1886000000000001</v>
      </c>
      <c r="I4884" t="str">
        <f>_xll.BDP("FRQX7889 Mtge","MTG_ORIG_WAL")</f>
        <v>#N/A N/A</v>
      </c>
    </row>
    <row r="4885" spans="1:9" x14ac:dyDescent="0.25">
      <c r="A4885" t="str">
        <f>_xll.BDP("FRQX7893 Mtge","ID_CUSIP")</f>
        <v>31426DXX5</v>
      </c>
      <c r="B4885" t="str">
        <f>_xll.BDP("FRQX7893 Mtge","SECURITY_NAME")</f>
        <v>FR QX7893</v>
      </c>
      <c r="C4885" t="str">
        <f>_xll.BDP("FRQX7893 Mtge","GENERIC_TICKER_VINTAGE")</f>
        <v>FNCL 6 2025</v>
      </c>
      <c r="D4885" t="str">
        <f>_xll.BDP("FRQX7893 Mtge","CRNCY")</f>
        <v>USD</v>
      </c>
      <c r="E4885">
        <v>22133672</v>
      </c>
      <c r="F4885">
        <f>_xll.BDP("FRQX7893 Mtge","CPN")</f>
        <v>6</v>
      </c>
      <c r="G4885">
        <f>_xll.BDP("FRQX7893 Mtge","MTG_FACTOR")</f>
        <v>0.71070681000000002</v>
      </c>
      <c r="H4885">
        <f>_xll.BDP("FRQX7893 Mtge","MTG_WAL")</f>
        <v>3.1621999999999999</v>
      </c>
      <c r="I4885" t="str">
        <f>_xll.BDP("FRQX7893 Mtge","MTG_ORIG_WAL")</f>
        <v>#N/A N/A</v>
      </c>
    </row>
    <row r="4886" spans="1:9" x14ac:dyDescent="0.25">
      <c r="A4886" t="str">
        <f>_xll.BDP("FRQX7899 Mtge","ID_CUSIP")</f>
        <v>31426DX56</v>
      </c>
      <c r="B4886" t="str">
        <f>_xll.BDP("FRQX7899 Mtge","SECURITY_NAME")</f>
        <v>FR QX7899</v>
      </c>
      <c r="C4886" t="str">
        <f>_xll.BDP("FRQX7899 Mtge","GENERIC_TICKER_VINTAGE")</f>
        <v>FNCL 6 2025</v>
      </c>
      <c r="D4886" t="str">
        <f>_xll.BDP("FRQX7899 Mtge","CRNCY")</f>
        <v>USD</v>
      </c>
      <c r="E4886">
        <v>19800017</v>
      </c>
      <c r="F4886">
        <f>_xll.BDP("FRQX7899 Mtge","CPN")</f>
        <v>6</v>
      </c>
      <c r="G4886">
        <f>_xll.BDP("FRQX7899 Mtge","MTG_FACTOR")</f>
        <v>0.94444265999999999</v>
      </c>
      <c r="H4886">
        <f>_xll.BDP("FRQX7899 Mtge","MTG_WAL")</f>
        <v>3.1617999999999999</v>
      </c>
      <c r="I4886" t="str">
        <f>_xll.BDP("FRQX7899 Mtge","MTG_ORIG_WAL")</f>
        <v>#N/A N/A</v>
      </c>
    </row>
    <row r="4887" spans="1:9" x14ac:dyDescent="0.25">
      <c r="A4887" t="str">
        <f>_xll.BDP("FRQX7903 Mtge","ID_CUSIP")</f>
        <v>31426DX98</v>
      </c>
      <c r="B4887" t="str">
        <f>_xll.BDP("FRQX7903 Mtge","SECURITY_NAME")</f>
        <v>FR QX7903</v>
      </c>
      <c r="C4887" t="str">
        <f>_xll.BDP("FRQX7903 Mtge","GENERIC_TICKER_VINTAGE")</f>
        <v>FNCL 6 2025</v>
      </c>
      <c r="D4887" t="str">
        <f>_xll.BDP("FRQX7903 Mtge","CRNCY")</f>
        <v>USD</v>
      </c>
      <c r="E4887">
        <v>1404727</v>
      </c>
      <c r="F4887">
        <f>_xll.BDP("FRQX7903 Mtge","CPN")</f>
        <v>6</v>
      </c>
      <c r="G4887">
        <f>_xll.BDP("FRQX7903 Mtge","MTG_FACTOR")</f>
        <v>0.98375789000000002</v>
      </c>
      <c r="H4887">
        <f>_xll.BDP("FRQX7903 Mtge","MTG_WAL")</f>
        <v>3.1996000000000002</v>
      </c>
      <c r="I4887" t="str">
        <f>_xll.BDP("FRQX7903 Mtge","MTG_ORIG_WAL")</f>
        <v>#N/A N/A</v>
      </c>
    </row>
    <row r="4888" spans="1:9" x14ac:dyDescent="0.25">
      <c r="A4888" t="str">
        <f>_xll.BDP("FRQX7904 Mtge","ID_CUSIP")</f>
        <v>31426DYA4</v>
      </c>
      <c r="B4888" t="str">
        <f>_xll.BDP("FRQX7904 Mtge","SECURITY_NAME")</f>
        <v>FR QX7904</v>
      </c>
      <c r="C4888" t="str">
        <f>_xll.BDP("FRQX7904 Mtge","GENERIC_TICKER_VINTAGE")</f>
        <v>FNCL 6 2025</v>
      </c>
      <c r="D4888" t="str">
        <f>_xll.BDP("FRQX7904 Mtge","CRNCY")</f>
        <v>USD</v>
      </c>
      <c r="E4888">
        <v>14824446</v>
      </c>
      <c r="F4888">
        <f>_xll.BDP("FRQX7904 Mtge","CPN")</f>
        <v>6</v>
      </c>
      <c r="G4888">
        <f>_xll.BDP("FRQX7904 Mtge","MTG_FACTOR")</f>
        <v>0.84583721999999995</v>
      </c>
      <c r="H4888">
        <f>_xll.BDP("FRQX7904 Mtge","MTG_WAL")</f>
        <v>3.2019000000000002</v>
      </c>
      <c r="I4888" t="str">
        <f>_xll.BDP("FRQX7904 Mtge","MTG_ORIG_WAL")</f>
        <v>#N/A N/A</v>
      </c>
    </row>
    <row r="4889" spans="1:9" x14ac:dyDescent="0.25">
      <c r="A4889" t="str">
        <f>_xll.BDP("FRQX7905 Mtge","ID_CUSIP")</f>
        <v>31426DYB2</v>
      </c>
      <c r="B4889" t="str">
        <f>_xll.BDP("FRQX7905 Mtge","SECURITY_NAME")</f>
        <v>FR QX7905</v>
      </c>
      <c r="C4889" t="str">
        <f>_xll.BDP("FRQX7905 Mtge","GENERIC_TICKER_VINTAGE")</f>
        <v>FNCL 6 2025</v>
      </c>
      <c r="D4889" t="str">
        <f>_xll.BDP("FRQX7905 Mtge","CRNCY")</f>
        <v>USD</v>
      </c>
      <c r="E4889">
        <v>24996140</v>
      </c>
      <c r="F4889">
        <f>_xll.BDP("FRQX7905 Mtge","CPN")</f>
        <v>6</v>
      </c>
      <c r="G4889">
        <f>_xll.BDP("FRQX7905 Mtge","MTG_FACTOR")</f>
        <v>0.79586804</v>
      </c>
      <c r="H4889">
        <f>_xll.BDP("FRQX7905 Mtge","MTG_WAL")</f>
        <v>3.1989999999999998</v>
      </c>
      <c r="I4889" t="str">
        <f>_xll.BDP("FRQX7905 Mtge","MTG_ORIG_WAL")</f>
        <v>#N/A N/A</v>
      </c>
    </row>
    <row r="4890" spans="1:9" x14ac:dyDescent="0.25">
      <c r="A4890" t="str">
        <f>_xll.BDP("FRQX7919 Mtge","ID_CUSIP")</f>
        <v>31426DYR7</v>
      </c>
      <c r="B4890" t="str">
        <f>_xll.BDP("FRQX7919 Mtge","SECURITY_NAME")</f>
        <v>FR QX7919</v>
      </c>
      <c r="C4890" t="str">
        <f>_xll.BDP("FRQX7919 Mtge","GENERIC_TICKER_VINTAGE")</f>
        <v>FNCL 6 2025</v>
      </c>
      <c r="D4890" t="str">
        <f>_xll.BDP("FRQX7919 Mtge","CRNCY")</f>
        <v>USD</v>
      </c>
      <c r="E4890">
        <v>18107717</v>
      </c>
      <c r="F4890">
        <f>_xll.BDP("FRQX7919 Mtge","CPN")</f>
        <v>6</v>
      </c>
      <c r="G4890">
        <f>_xll.BDP("FRQX7919 Mtge","MTG_FACTOR")</f>
        <v>0.76895318000000001</v>
      </c>
      <c r="H4890">
        <f>_xll.BDP("FRQX7919 Mtge","MTG_WAL")</f>
        <v>3.1616</v>
      </c>
      <c r="I4890" t="str">
        <f>_xll.BDP("FRQX7919 Mtge","MTG_ORIG_WAL")</f>
        <v>#N/A N/A</v>
      </c>
    </row>
    <row r="4891" spans="1:9" x14ac:dyDescent="0.25">
      <c r="A4891" t="str">
        <f>_xll.BDP("FRQX7920 Mtge","ID_CUSIP")</f>
        <v>31426DYS5</v>
      </c>
      <c r="B4891" t="str">
        <f>_xll.BDP("FRQX7920 Mtge","SECURITY_NAME")</f>
        <v>FR QX7920</v>
      </c>
      <c r="C4891" t="str">
        <f>_xll.BDP("FRQX7920 Mtge","GENERIC_TICKER_VINTAGE")</f>
        <v>FNCL 6 2025</v>
      </c>
      <c r="D4891" t="str">
        <f>_xll.BDP("FRQX7920 Mtge","CRNCY")</f>
        <v>USD</v>
      </c>
      <c r="E4891">
        <v>9193280</v>
      </c>
      <c r="F4891">
        <f>_xll.BDP("FRQX7920 Mtge","CPN")</f>
        <v>6</v>
      </c>
      <c r="G4891">
        <f>_xll.BDP("FRQX7920 Mtge","MTG_FACTOR")</f>
        <v>0.74531992999999996</v>
      </c>
      <c r="H4891">
        <f>_xll.BDP("FRQX7920 Mtge","MTG_WAL")</f>
        <v>3.1619999999999999</v>
      </c>
      <c r="I4891" t="str">
        <f>_xll.BDP("FRQX7920 Mtge","MTG_ORIG_WAL")</f>
        <v>#N/A N/A</v>
      </c>
    </row>
    <row r="4892" spans="1:9" x14ac:dyDescent="0.25">
      <c r="A4892" t="str">
        <f>_xll.BDP("FRQX7924 Mtge","ID_CUSIP")</f>
        <v>31426DYW6</v>
      </c>
      <c r="B4892" t="str">
        <f>_xll.BDP("FRQX7924 Mtge","SECURITY_NAME")</f>
        <v>FR QX7924</v>
      </c>
      <c r="C4892" t="str">
        <f>_xll.BDP("FRQX7924 Mtge","GENERIC_TICKER_VINTAGE")</f>
        <v>FNCL 6 2025</v>
      </c>
      <c r="D4892" t="str">
        <f>_xll.BDP("FRQX7924 Mtge","CRNCY")</f>
        <v>USD</v>
      </c>
      <c r="E4892">
        <v>4852060</v>
      </c>
      <c r="F4892">
        <f>_xll.BDP("FRQX7924 Mtge","CPN")</f>
        <v>6</v>
      </c>
      <c r="G4892">
        <f>_xll.BDP("FRQX7924 Mtge","MTG_FACTOR")</f>
        <v>0.84026641000000002</v>
      </c>
      <c r="H4892">
        <f>_xll.BDP("FRQX7924 Mtge","MTG_WAL")</f>
        <v>3.1591999999999998</v>
      </c>
      <c r="I4892" t="str">
        <f>_xll.BDP("FRQX7924 Mtge","MTG_ORIG_WAL")</f>
        <v>#N/A N/A</v>
      </c>
    </row>
    <row r="4893" spans="1:9" x14ac:dyDescent="0.25">
      <c r="A4893" t="str">
        <f>_xll.BDP("FRQX7925 Mtge","ID_CUSIP")</f>
        <v>31426DYX4</v>
      </c>
      <c r="B4893" t="str">
        <f>_xll.BDP("FRQX7925 Mtge","SECURITY_NAME")</f>
        <v>FR QX7925</v>
      </c>
      <c r="C4893" t="str">
        <f>_xll.BDP("FRQX7925 Mtge","GENERIC_TICKER_VINTAGE")</f>
        <v>FNCL 6 2025</v>
      </c>
      <c r="D4893" t="str">
        <f>_xll.BDP("FRQX7925 Mtge","CRNCY")</f>
        <v>USD</v>
      </c>
      <c r="E4893">
        <v>3589409</v>
      </c>
      <c r="F4893">
        <f>_xll.BDP("FRQX7925 Mtge","CPN")</f>
        <v>6</v>
      </c>
      <c r="G4893">
        <f>_xll.BDP("FRQX7925 Mtge","MTG_FACTOR")</f>
        <v>0.27871119999999999</v>
      </c>
      <c r="H4893">
        <f>_xll.BDP("FRQX7925 Mtge","MTG_WAL")</f>
        <v>3.2014999999999998</v>
      </c>
      <c r="I4893" t="str">
        <f>_xll.BDP("FRQX7925 Mtge","MTG_ORIG_WAL")</f>
        <v>#N/A N/A</v>
      </c>
    </row>
    <row r="4894" spans="1:9" x14ac:dyDescent="0.25">
      <c r="A4894" t="str">
        <f>_xll.BDP("FRQX7927 Mtge","ID_CUSIP")</f>
        <v>31426DYZ9</v>
      </c>
      <c r="B4894" t="str">
        <f>_xll.BDP("FRQX7927 Mtge","SECURITY_NAME")</f>
        <v>FR QX7927</v>
      </c>
      <c r="C4894" t="str">
        <f>_xll.BDP("FRQX7927 Mtge","GENERIC_TICKER_VINTAGE")</f>
        <v>FNCL 6 2025</v>
      </c>
      <c r="D4894" t="str">
        <f>_xll.BDP("FRQX7927 Mtge","CRNCY")</f>
        <v>USD</v>
      </c>
      <c r="E4894">
        <v>2619869</v>
      </c>
      <c r="F4894">
        <f>_xll.BDP("FRQX7927 Mtge","CPN")</f>
        <v>6</v>
      </c>
      <c r="G4894">
        <f>_xll.BDP("FRQX7927 Mtge","MTG_FACTOR")</f>
        <v>0.98832162999999995</v>
      </c>
      <c r="H4894">
        <f>_xll.BDP("FRQX7927 Mtge","MTG_WAL")</f>
        <v>3.1547000000000001</v>
      </c>
      <c r="I4894" t="str">
        <f>_xll.BDP("FRQX7927 Mtge","MTG_ORIG_WAL")</f>
        <v>#N/A N/A</v>
      </c>
    </row>
    <row r="4895" spans="1:9" x14ac:dyDescent="0.25">
      <c r="A4895" t="str">
        <f>_xll.BDP("FRQX7936 Mtge","ID_CUSIP")</f>
        <v>31426DZA3</v>
      </c>
      <c r="B4895" t="str">
        <f>_xll.BDP("FRQX7936 Mtge","SECURITY_NAME")</f>
        <v>FR QX7936</v>
      </c>
      <c r="C4895" t="str">
        <f>_xll.BDP("FRQX7936 Mtge","GENERIC_TICKER_VINTAGE")</f>
        <v>FNCL 6 2025</v>
      </c>
      <c r="D4895" t="str">
        <f>_xll.BDP("FRQX7936 Mtge","CRNCY")</f>
        <v>USD</v>
      </c>
      <c r="E4895">
        <v>1001622</v>
      </c>
      <c r="F4895">
        <f>_xll.BDP("FRQX7936 Mtge","CPN")</f>
        <v>6</v>
      </c>
      <c r="G4895">
        <f>_xll.BDP("FRQX7936 Mtge","MTG_FACTOR")</f>
        <v>0.90669224000000004</v>
      </c>
      <c r="H4895">
        <f>_xll.BDP("FRQX7936 Mtge","MTG_WAL")</f>
        <v>3.1415000000000002</v>
      </c>
      <c r="I4895" t="str">
        <f>_xll.BDP("FRQX7936 Mtge","MTG_ORIG_WAL")</f>
        <v>#N/A N/A</v>
      </c>
    </row>
    <row r="4896" spans="1:9" x14ac:dyDescent="0.25">
      <c r="A4896" t="str">
        <f>_xll.BDP("FRQX7937 Mtge","ID_CUSIP")</f>
        <v>31426DZB1</v>
      </c>
      <c r="B4896" t="str">
        <f>_xll.BDP("FRQX7937 Mtge","SECURITY_NAME")</f>
        <v>FR QX7937</v>
      </c>
      <c r="C4896" t="str">
        <f>_xll.BDP("FRQX7937 Mtge","GENERIC_TICKER_VINTAGE")</f>
        <v>FNCL 6 2025</v>
      </c>
      <c r="D4896" t="str">
        <f>_xll.BDP("FRQX7937 Mtge","CRNCY")</f>
        <v>USD</v>
      </c>
      <c r="E4896">
        <v>149870</v>
      </c>
      <c r="F4896">
        <f>_xll.BDP("FRQX7937 Mtge","CPN")</f>
        <v>6</v>
      </c>
      <c r="G4896">
        <f>_xll.BDP("FRQX7937 Mtge","MTG_FACTOR")</f>
        <v>0.96766370999999995</v>
      </c>
      <c r="H4896">
        <f>_xll.BDP("FRQX7937 Mtge","MTG_WAL")</f>
        <v>3.1393</v>
      </c>
      <c r="I4896" t="str">
        <f>_xll.BDP("FRQX7937 Mtge","MTG_ORIG_WAL")</f>
        <v>#N/A N/A</v>
      </c>
    </row>
    <row r="4897" spans="1:9" x14ac:dyDescent="0.25">
      <c r="A4897" t="str">
        <f>_xll.BDP("FRQX7941 Mtge","ID_CUSIP")</f>
        <v>31426DZF2</v>
      </c>
      <c r="B4897" t="str">
        <f>_xll.BDP("FRQX7941 Mtge","SECURITY_NAME")</f>
        <v>FR QX7941</v>
      </c>
      <c r="C4897" t="str">
        <f>_xll.BDP("FRQX7941 Mtge","GENERIC_TICKER_VINTAGE")</f>
        <v>FNCL 6 2025</v>
      </c>
      <c r="D4897" t="str">
        <f>_xll.BDP("FRQX7941 Mtge","CRNCY")</f>
        <v>USD</v>
      </c>
      <c r="E4897">
        <v>475300</v>
      </c>
      <c r="F4897">
        <f>_xll.BDP("FRQX7941 Mtge","CPN")</f>
        <v>6</v>
      </c>
      <c r="G4897">
        <f>_xll.BDP("FRQX7941 Mtge","MTG_FACTOR")</f>
        <v>0.98803686000000002</v>
      </c>
      <c r="H4897">
        <f>_xll.BDP("FRQX7941 Mtge","MTG_WAL")</f>
        <v>3.2002000000000002</v>
      </c>
      <c r="I4897" t="str">
        <f>_xll.BDP("FRQX7941 Mtge","MTG_ORIG_WAL")</f>
        <v>#N/A N/A</v>
      </c>
    </row>
    <row r="4898" spans="1:9" x14ac:dyDescent="0.25">
      <c r="A4898" t="str">
        <f>_xll.BDP("FRQX7944 Mtge","ID_CUSIP")</f>
        <v>31426DZJ4</v>
      </c>
      <c r="B4898" t="str">
        <f>_xll.BDP("FRQX7944 Mtge","SECURITY_NAME")</f>
        <v>FR QX7944</v>
      </c>
      <c r="C4898" t="str">
        <f>_xll.BDP("FRQX7944 Mtge","GENERIC_TICKER_VINTAGE")</f>
        <v>FNCL 6 2025</v>
      </c>
      <c r="D4898" t="str">
        <f>_xll.BDP("FRQX7944 Mtge","CRNCY")</f>
        <v>USD</v>
      </c>
      <c r="E4898">
        <v>7494312</v>
      </c>
      <c r="F4898">
        <f>_xll.BDP("FRQX7944 Mtge","CPN")</f>
        <v>6</v>
      </c>
      <c r="G4898">
        <f>_xll.BDP("FRQX7944 Mtge","MTG_FACTOR")</f>
        <v>0.93054680999999995</v>
      </c>
      <c r="H4898">
        <f>_xll.BDP("FRQX7944 Mtge","MTG_WAL")</f>
        <v>3.1614</v>
      </c>
      <c r="I4898" t="str">
        <f>_xll.BDP("FRQX7944 Mtge","MTG_ORIG_WAL")</f>
        <v>#N/A N/A</v>
      </c>
    </row>
    <row r="4899" spans="1:9" x14ac:dyDescent="0.25">
      <c r="A4899" t="str">
        <f>_xll.BDP("FRQX7946 Mtge","ID_CUSIP")</f>
        <v>31426DZL9</v>
      </c>
      <c r="B4899" t="str">
        <f>_xll.BDP("FRQX7946 Mtge","SECURITY_NAME")</f>
        <v>FR QX7946</v>
      </c>
      <c r="C4899" t="str">
        <f>_xll.BDP("FRQX7946 Mtge","GENERIC_TICKER_VINTAGE")</f>
        <v>FNCL 6 2025</v>
      </c>
      <c r="D4899" t="str">
        <f>_xll.BDP("FRQX7946 Mtge","CRNCY")</f>
        <v>USD</v>
      </c>
      <c r="E4899">
        <v>3354800</v>
      </c>
      <c r="F4899">
        <f>_xll.BDP("FRQX7946 Mtge","CPN")</f>
        <v>6</v>
      </c>
      <c r="G4899">
        <f>_xll.BDP("FRQX7946 Mtge","MTG_FACTOR")</f>
        <v>0.9839869</v>
      </c>
      <c r="H4899">
        <f>_xll.BDP("FRQX7946 Mtge","MTG_WAL")</f>
        <v>3.1943000000000001</v>
      </c>
      <c r="I4899" t="str">
        <f>_xll.BDP("FRQX7946 Mtge","MTG_ORIG_WAL")</f>
        <v>#N/A N/A</v>
      </c>
    </row>
    <row r="4900" spans="1:9" x14ac:dyDescent="0.25">
      <c r="A4900" t="str">
        <f>_xll.BDP("FRQX7966 Mtge","ID_CUSIP")</f>
        <v>31426DZ88</v>
      </c>
      <c r="B4900" t="str">
        <f>_xll.BDP("FRQX7966 Mtge","SECURITY_NAME")</f>
        <v>FR QX7966</v>
      </c>
      <c r="C4900" t="str">
        <f>_xll.BDP("FRQX7966 Mtge","GENERIC_TICKER_VINTAGE")</f>
        <v>FNCL 6 2025</v>
      </c>
      <c r="D4900" t="str">
        <f>_xll.BDP("FRQX7966 Mtge","CRNCY")</f>
        <v>USD</v>
      </c>
      <c r="E4900">
        <v>1351900</v>
      </c>
      <c r="F4900">
        <f>_xll.BDP("FRQX7966 Mtge","CPN")</f>
        <v>6</v>
      </c>
      <c r="G4900">
        <f>_xll.BDP("FRQX7966 Mtge","MTG_FACTOR")</f>
        <v>0.60336025999999998</v>
      </c>
      <c r="H4900">
        <f>_xll.BDP("FRQX7966 Mtge","MTG_WAL")</f>
        <v>3.1686000000000001</v>
      </c>
      <c r="I4900" t="str">
        <f>_xll.BDP("FRQX7966 Mtge","MTG_ORIG_WAL")</f>
        <v>#N/A N/A</v>
      </c>
    </row>
    <row r="4901" spans="1:9" x14ac:dyDescent="0.25">
      <c r="A4901" t="str">
        <f>_xll.BDP("FRQX7967 Mtge","ID_CUSIP")</f>
        <v>31426DZ96</v>
      </c>
      <c r="B4901" t="str">
        <f>_xll.BDP("FRQX7967 Mtge","SECURITY_NAME")</f>
        <v>FR QX7967</v>
      </c>
      <c r="C4901" t="str">
        <f>_xll.BDP("FRQX7967 Mtge","GENERIC_TICKER_VINTAGE")</f>
        <v>FNCL 6 2025</v>
      </c>
      <c r="D4901" t="str">
        <f>_xll.BDP("FRQX7967 Mtge","CRNCY")</f>
        <v>USD</v>
      </c>
      <c r="E4901">
        <v>1019450</v>
      </c>
      <c r="F4901">
        <f>_xll.BDP("FRQX7967 Mtge","CPN")</f>
        <v>6</v>
      </c>
      <c r="G4901">
        <f>_xll.BDP("FRQX7967 Mtge","MTG_FACTOR")</f>
        <v>0.98922167999999999</v>
      </c>
      <c r="H4901">
        <f>_xll.BDP("FRQX7967 Mtge","MTG_WAL")</f>
        <v>3.2040000000000002</v>
      </c>
      <c r="I4901" t="str">
        <f>_xll.BDP("FRQX7967 Mtge","MTG_ORIG_WAL")</f>
        <v>#N/A N/A</v>
      </c>
    </row>
    <row r="4902" spans="1:9" x14ac:dyDescent="0.25">
      <c r="A4902" t="str">
        <f>_xll.BDP("FRQX7972 Mtge","ID_CUSIP")</f>
        <v>31426D2E1</v>
      </c>
      <c r="B4902" t="str">
        <f>_xll.BDP("FRQX7972 Mtge","SECURITY_NAME")</f>
        <v>FR QX7972</v>
      </c>
      <c r="C4902" t="str">
        <f>_xll.BDP("FRQX7972 Mtge","GENERIC_TICKER_VINTAGE")</f>
        <v>FNCL 6 2025</v>
      </c>
      <c r="D4902" t="str">
        <f>_xll.BDP("FRQX7972 Mtge","CRNCY")</f>
        <v>USD</v>
      </c>
      <c r="E4902">
        <v>2871922</v>
      </c>
      <c r="F4902">
        <f>_xll.BDP("FRQX7972 Mtge","CPN")</f>
        <v>6</v>
      </c>
      <c r="G4902">
        <f>_xll.BDP("FRQX7972 Mtge","MTG_FACTOR")</f>
        <v>0.60388231000000003</v>
      </c>
      <c r="H4902">
        <f>_xll.BDP("FRQX7972 Mtge","MTG_WAL")</f>
        <v>3.1608000000000001</v>
      </c>
      <c r="I4902" t="str">
        <f>_xll.BDP("FRQX7972 Mtge","MTG_ORIG_WAL")</f>
        <v>#N/A N/A</v>
      </c>
    </row>
    <row r="4903" spans="1:9" x14ac:dyDescent="0.25">
      <c r="A4903" t="str">
        <f>_xll.BDP("FRQX7974 Mtge","ID_CUSIP")</f>
        <v>31426D2G6</v>
      </c>
      <c r="B4903" t="str">
        <f>_xll.BDP("FRQX7974 Mtge","SECURITY_NAME")</f>
        <v>FR QX7974</v>
      </c>
      <c r="C4903" t="str">
        <f>_xll.BDP("FRQX7974 Mtge","GENERIC_TICKER_VINTAGE")</f>
        <v>FNCL 6 2025</v>
      </c>
      <c r="D4903" t="str">
        <f>_xll.BDP("FRQX7974 Mtge","CRNCY")</f>
        <v>USD</v>
      </c>
      <c r="E4903">
        <v>2648040</v>
      </c>
      <c r="F4903">
        <f>_xll.BDP("FRQX7974 Mtge","CPN")</f>
        <v>6</v>
      </c>
      <c r="G4903">
        <f>_xll.BDP("FRQX7974 Mtge","MTG_FACTOR")</f>
        <v>0.98726623000000002</v>
      </c>
      <c r="H4903">
        <f>_xll.BDP("FRQX7974 Mtge","MTG_WAL")</f>
        <v>3.1535000000000002</v>
      </c>
      <c r="I4903" t="str">
        <f>_xll.BDP("FRQX7974 Mtge","MTG_ORIG_WAL")</f>
        <v>#N/A N/A</v>
      </c>
    </row>
    <row r="4904" spans="1:9" x14ac:dyDescent="0.25">
      <c r="A4904" t="str">
        <f>_xll.BDP("FRQX7975 Mtge","ID_CUSIP")</f>
        <v>31426D2H4</v>
      </c>
      <c r="B4904" t="str">
        <f>_xll.BDP("FRQX7975 Mtge","SECURITY_NAME")</f>
        <v>FR QX7975</v>
      </c>
      <c r="C4904" t="str">
        <f>_xll.BDP("FRQX7975 Mtge","GENERIC_TICKER_VINTAGE")</f>
        <v>FNCL 6 2025</v>
      </c>
      <c r="D4904" t="str">
        <f>_xll.BDP("FRQX7975 Mtge","CRNCY")</f>
        <v>USD</v>
      </c>
      <c r="E4904">
        <v>1227662</v>
      </c>
      <c r="F4904">
        <f>_xll.BDP("FRQX7975 Mtge","CPN")</f>
        <v>6</v>
      </c>
      <c r="G4904">
        <f>_xll.BDP("FRQX7975 Mtge","MTG_FACTOR")</f>
        <v>0.98925264000000002</v>
      </c>
      <c r="H4904">
        <f>_xll.BDP("FRQX7975 Mtge","MTG_WAL")</f>
        <v>3.1589</v>
      </c>
      <c r="I4904" t="str">
        <f>_xll.BDP("FRQX7975 Mtge","MTG_ORIG_WAL")</f>
        <v>#N/A N/A</v>
      </c>
    </row>
    <row r="4905" spans="1:9" x14ac:dyDescent="0.25">
      <c r="A4905" t="str">
        <f>_xll.BDP("FRQX7984 Mtge","ID_CUSIP")</f>
        <v>31426D2S0</v>
      </c>
      <c r="B4905" t="str">
        <f>_xll.BDP("FRQX7984 Mtge","SECURITY_NAME")</f>
        <v>FR QX7984</v>
      </c>
      <c r="C4905" t="str">
        <f>_xll.BDP("FRQX7984 Mtge","GENERIC_TICKER_VINTAGE")</f>
        <v>FNCL 6 2025</v>
      </c>
      <c r="D4905" t="str">
        <f>_xll.BDP("FRQX7984 Mtge","CRNCY")</f>
        <v>USD</v>
      </c>
      <c r="E4905">
        <v>1103424</v>
      </c>
      <c r="F4905">
        <f>_xll.BDP("FRQX7984 Mtge","CPN")</f>
        <v>6</v>
      </c>
      <c r="G4905">
        <f>_xll.BDP("FRQX7984 Mtge","MTG_FACTOR")</f>
        <v>0.98723899000000004</v>
      </c>
      <c r="H4905">
        <f>_xll.BDP("FRQX7984 Mtge","MTG_WAL")</f>
        <v>3.1598999999999999</v>
      </c>
      <c r="I4905" t="str">
        <f>_xll.BDP("FRQX7984 Mtge","MTG_ORIG_WAL")</f>
        <v>#N/A N/A</v>
      </c>
    </row>
    <row r="4906" spans="1:9" x14ac:dyDescent="0.25">
      <c r="A4906" t="str">
        <f>_xll.BDP("FRQX7992 Mtge","ID_CUSIP")</f>
        <v>31426D3A8</v>
      </c>
      <c r="B4906" t="str">
        <f>_xll.BDP("FRQX7992 Mtge","SECURITY_NAME")</f>
        <v>FR QX7992</v>
      </c>
      <c r="C4906" t="str">
        <f>_xll.BDP("FRQX7992 Mtge","GENERIC_TICKER_VINTAGE")</f>
        <v>FNCL 6 2025</v>
      </c>
      <c r="D4906" t="str">
        <f>_xll.BDP("FRQX7992 Mtge","CRNCY")</f>
        <v>USD</v>
      </c>
      <c r="E4906">
        <v>4294230</v>
      </c>
      <c r="F4906">
        <f>_xll.BDP("FRQX7992 Mtge","CPN")</f>
        <v>6</v>
      </c>
      <c r="G4906">
        <f>_xll.BDP("FRQX7992 Mtge","MTG_FACTOR")</f>
        <v>0.58018906000000003</v>
      </c>
      <c r="H4906">
        <f>_xll.BDP("FRQX7992 Mtge","MTG_WAL")</f>
        <v>3.1587999999999998</v>
      </c>
      <c r="I4906" t="str">
        <f>_xll.BDP("FRQX7992 Mtge","MTG_ORIG_WAL")</f>
        <v>#N/A N/A</v>
      </c>
    </row>
    <row r="4907" spans="1:9" x14ac:dyDescent="0.25">
      <c r="A4907" t="str">
        <f>_xll.BDP("FRQX8001 Mtge","ID_CUSIP")</f>
        <v>31426D3K6</v>
      </c>
      <c r="B4907" t="str">
        <f>_xll.BDP("FRQX8001 Mtge","SECURITY_NAME")</f>
        <v>FR QX8001</v>
      </c>
      <c r="C4907" t="str">
        <f>_xll.BDP("FRQX8001 Mtge","GENERIC_TICKER_VINTAGE")</f>
        <v>FNCL 6 2025</v>
      </c>
      <c r="D4907" t="str">
        <f>_xll.BDP("FRQX8001 Mtge","CRNCY")</f>
        <v>USD</v>
      </c>
      <c r="E4907">
        <v>1934293</v>
      </c>
      <c r="F4907">
        <f>_xll.BDP("FRQX8001 Mtge","CPN")</f>
        <v>6</v>
      </c>
      <c r="G4907">
        <f>_xll.BDP("FRQX8001 Mtge","MTG_FACTOR")</f>
        <v>0.98703748000000002</v>
      </c>
      <c r="H4907">
        <f>_xll.BDP("FRQX8001 Mtge","MTG_WAL")</f>
        <v>3.1564000000000001</v>
      </c>
      <c r="I4907" t="str">
        <f>_xll.BDP("FRQX8001 Mtge","MTG_ORIG_WAL")</f>
        <v>#N/A N/A</v>
      </c>
    </row>
    <row r="4908" spans="1:9" x14ac:dyDescent="0.25">
      <c r="A4908" t="str">
        <f>_xll.BDP("FRQX8002 Mtge","ID_CUSIP")</f>
        <v>31426D3L4</v>
      </c>
      <c r="B4908" t="str">
        <f>_xll.BDP("FRQX8002 Mtge","SECURITY_NAME")</f>
        <v>FR QX8002</v>
      </c>
      <c r="C4908" t="str">
        <f>_xll.BDP("FRQX8002 Mtge","GENERIC_TICKER_VINTAGE")</f>
        <v>FNCL 6 2025</v>
      </c>
      <c r="D4908" t="str">
        <f>_xll.BDP("FRQX8002 Mtge","CRNCY")</f>
        <v>USD</v>
      </c>
      <c r="E4908">
        <v>8061775</v>
      </c>
      <c r="F4908">
        <f>_xll.BDP("FRQX8002 Mtge","CPN")</f>
        <v>6</v>
      </c>
      <c r="G4908">
        <f>_xll.BDP("FRQX8002 Mtge","MTG_FACTOR")</f>
        <v>0.83166812000000001</v>
      </c>
      <c r="H4908">
        <f>_xll.BDP("FRQX8002 Mtge","MTG_WAL")</f>
        <v>3.153</v>
      </c>
      <c r="I4908" t="str">
        <f>_xll.BDP("FRQX8002 Mtge","MTG_ORIG_WAL")</f>
        <v>#N/A N/A</v>
      </c>
    </row>
    <row r="4909" spans="1:9" x14ac:dyDescent="0.25">
      <c r="A4909" t="str">
        <f>_xll.BDP("FRQX8015 Mtge","ID_CUSIP")</f>
        <v>31426D3Z3</v>
      </c>
      <c r="B4909" t="str">
        <f>_xll.BDP("FRQX8015 Mtge","SECURITY_NAME")</f>
        <v>FR QX8015</v>
      </c>
      <c r="C4909" t="str">
        <f>_xll.BDP("FRQX8015 Mtge","GENERIC_TICKER_VINTAGE")</f>
        <v>FNCL 6 2025</v>
      </c>
      <c r="D4909" t="str">
        <f>_xll.BDP("FRQX8015 Mtge","CRNCY")</f>
        <v>USD</v>
      </c>
      <c r="E4909">
        <v>1197708</v>
      </c>
      <c r="F4909">
        <f>_xll.BDP("FRQX8015 Mtge","CPN")</f>
        <v>6</v>
      </c>
      <c r="G4909">
        <f>_xll.BDP("FRQX8015 Mtge","MTG_FACTOR")</f>
        <v>0.98925852999999997</v>
      </c>
      <c r="H4909">
        <f>_xll.BDP("FRQX8015 Mtge","MTG_WAL")</f>
        <v>3.2010999999999998</v>
      </c>
      <c r="I4909" t="str">
        <f>_xll.BDP("FRQX8015 Mtge","MTG_ORIG_WAL")</f>
        <v>#N/A N/A</v>
      </c>
    </row>
    <row r="4910" spans="1:9" x14ac:dyDescent="0.25">
      <c r="A4910" t="str">
        <f>_xll.BDP("FRQX8019 Mtge","ID_CUSIP")</f>
        <v>31426D4D1</v>
      </c>
      <c r="B4910" t="str">
        <f>_xll.BDP("FRQX8019 Mtge","SECURITY_NAME")</f>
        <v>FR QX8019</v>
      </c>
      <c r="C4910" t="str">
        <f>_xll.BDP("FRQX8019 Mtge","GENERIC_TICKER_VINTAGE")</f>
        <v>FNCL 6 2025</v>
      </c>
      <c r="D4910" t="str">
        <f>_xll.BDP("FRQX8019 Mtge","CRNCY")</f>
        <v>USD</v>
      </c>
      <c r="E4910">
        <v>9800490</v>
      </c>
      <c r="F4910">
        <f>_xll.BDP("FRQX8019 Mtge","CPN")</f>
        <v>6</v>
      </c>
      <c r="G4910">
        <f>_xll.BDP("FRQX8019 Mtge","MTG_FACTOR")</f>
        <v>0.69362846</v>
      </c>
      <c r="H4910">
        <f>_xll.BDP("FRQX8019 Mtge","MTG_WAL")</f>
        <v>3.2021000000000002</v>
      </c>
      <c r="I4910" t="str">
        <f>_xll.BDP("FRQX8019 Mtge","MTG_ORIG_WAL")</f>
        <v>#N/A N/A</v>
      </c>
    </row>
    <row r="4911" spans="1:9" x14ac:dyDescent="0.25">
      <c r="A4911" t="str">
        <f>_xll.BDP("FRQX8031 Mtge","ID_CUSIP")</f>
        <v>31426D4R0</v>
      </c>
      <c r="B4911" t="str">
        <f>_xll.BDP("FRQX8031 Mtge","SECURITY_NAME")</f>
        <v>FR QX8031</v>
      </c>
      <c r="C4911" t="str">
        <f>_xll.BDP("FRQX8031 Mtge","GENERIC_TICKER_VINTAGE")</f>
        <v>FNCL 6 2025</v>
      </c>
      <c r="D4911" t="str">
        <f>_xll.BDP("FRQX8031 Mtge","CRNCY")</f>
        <v>USD</v>
      </c>
      <c r="E4911">
        <v>115695</v>
      </c>
      <c r="F4911">
        <f>_xll.BDP("FRQX8031 Mtge","CPN")</f>
        <v>6</v>
      </c>
      <c r="G4911">
        <f>_xll.BDP("FRQX8031 Mtge","MTG_FACTOR")</f>
        <v>0.98875508999999995</v>
      </c>
      <c r="H4911">
        <f>_xll.BDP("FRQX8031 Mtge","MTG_WAL")</f>
        <v>3.1537999999999999</v>
      </c>
      <c r="I4911" t="str">
        <f>_xll.BDP("FRQX8031 Mtge","MTG_ORIG_WAL")</f>
        <v>#N/A N/A</v>
      </c>
    </row>
    <row r="4912" spans="1:9" x14ac:dyDescent="0.25">
      <c r="A4912" t="str">
        <f>_xll.BDP("FRQX8035 Mtge","ID_CUSIP")</f>
        <v>31426D4V1</v>
      </c>
      <c r="B4912" t="str">
        <f>_xll.BDP("FRQX8035 Mtge","SECURITY_NAME")</f>
        <v>FR QX8035</v>
      </c>
      <c r="C4912" t="str">
        <f>_xll.BDP("FRQX8035 Mtge","GENERIC_TICKER_VINTAGE")</f>
        <v>FNCL 6 2025</v>
      </c>
      <c r="D4912" t="str">
        <f>_xll.BDP("FRQX8035 Mtge","CRNCY")</f>
        <v>USD</v>
      </c>
      <c r="E4912">
        <v>2845177</v>
      </c>
      <c r="F4912">
        <f>_xll.BDP("FRQX8035 Mtge","CPN")</f>
        <v>6</v>
      </c>
      <c r="G4912">
        <f>_xll.BDP("FRQX8035 Mtge","MTG_FACTOR")</f>
        <v>0.68331646000000001</v>
      </c>
      <c r="H4912">
        <f>_xll.BDP("FRQX8035 Mtge","MTG_WAL")</f>
        <v>3.2046999999999999</v>
      </c>
      <c r="I4912" t="str">
        <f>_xll.BDP("FRQX8035 Mtge","MTG_ORIG_WAL")</f>
        <v>#N/A N/A</v>
      </c>
    </row>
    <row r="4913" spans="1:9" x14ac:dyDescent="0.25">
      <c r="A4913" t="str">
        <f>_xll.BDP("FRQX8044 Mtge","ID_CUSIP")</f>
        <v>31426D5E8</v>
      </c>
      <c r="B4913" t="str">
        <f>_xll.BDP("FRQX8044 Mtge","SECURITY_NAME")</f>
        <v>FR QX8044</v>
      </c>
      <c r="C4913" t="str">
        <f>_xll.BDP("FRQX8044 Mtge","GENERIC_TICKER_VINTAGE")</f>
        <v>FNCL 6 2025</v>
      </c>
      <c r="D4913" t="str">
        <f>_xll.BDP("FRQX8044 Mtge","CRNCY")</f>
        <v>USD</v>
      </c>
      <c r="E4913">
        <v>370188</v>
      </c>
      <c r="F4913">
        <f>_xll.BDP("FRQX8044 Mtge","CPN")</f>
        <v>6</v>
      </c>
      <c r="G4913">
        <f>_xll.BDP("FRQX8044 Mtge","MTG_FACTOR")</f>
        <v>0.98952834999999995</v>
      </c>
      <c r="H4913">
        <f>_xll.BDP("FRQX8044 Mtge","MTG_WAL")</f>
        <v>3.1613000000000002</v>
      </c>
      <c r="I4913" t="str">
        <f>_xll.BDP("FRQX8044 Mtge","MTG_ORIG_WAL")</f>
        <v>#N/A N/A</v>
      </c>
    </row>
    <row r="4914" spans="1:9" x14ac:dyDescent="0.25">
      <c r="A4914" t="str">
        <f>_xll.BDP("FRQX8050 Mtge","ID_CUSIP")</f>
        <v>31426D5L2</v>
      </c>
      <c r="B4914" t="str">
        <f>_xll.BDP("FRQX8050 Mtge","SECURITY_NAME")</f>
        <v>FR QX8050</v>
      </c>
      <c r="C4914" t="str">
        <f>_xll.BDP("FRQX8050 Mtge","GENERIC_TICKER_VINTAGE")</f>
        <v>FNCL 6 2025</v>
      </c>
      <c r="D4914" t="str">
        <f>_xll.BDP("FRQX8050 Mtge","CRNCY")</f>
        <v>USD</v>
      </c>
      <c r="E4914">
        <v>25091315</v>
      </c>
      <c r="F4914">
        <f>_xll.BDP("FRQX8050 Mtge","CPN")</f>
        <v>6</v>
      </c>
      <c r="G4914">
        <f>_xll.BDP("FRQX8050 Mtge","MTG_FACTOR")</f>
        <v>0.81260878000000003</v>
      </c>
      <c r="H4914">
        <f>_xll.BDP("FRQX8050 Mtge","MTG_WAL")</f>
        <v>3.1612</v>
      </c>
      <c r="I4914" t="str">
        <f>_xll.BDP("FRQX8050 Mtge","MTG_ORIG_WAL")</f>
        <v>#N/A N/A</v>
      </c>
    </row>
    <row r="4915" spans="1:9" x14ac:dyDescent="0.25">
      <c r="A4915" t="str">
        <f>_xll.BDP("FRQX8054 Mtge","ID_CUSIP")</f>
        <v>31426D5Q1</v>
      </c>
      <c r="B4915" t="str">
        <f>_xll.BDP("FRQX8054 Mtge","SECURITY_NAME")</f>
        <v>FR QX8054</v>
      </c>
      <c r="C4915" t="str">
        <f>_xll.BDP("FRQX8054 Mtge","GENERIC_TICKER_VINTAGE")</f>
        <v>FNCL 6 2025</v>
      </c>
      <c r="D4915" t="str">
        <f>_xll.BDP("FRQX8054 Mtge","CRNCY")</f>
        <v>USD</v>
      </c>
      <c r="E4915">
        <v>10605131</v>
      </c>
      <c r="F4915">
        <f>_xll.BDP("FRQX8054 Mtge","CPN")</f>
        <v>6</v>
      </c>
      <c r="G4915">
        <f>_xll.BDP("FRQX8054 Mtge","MTG_FACTOR")</f>
        <v>0.90617548000000003</v>
      </c>
      <c r="H4915">
        <f>_xll.BDP("FRQX8054 Mtge","MTG_WAL")</f>
        <v>3.2029999999999998</v>
      </c>
      <c r="I4915" t="str">
        <f>_xll.BDP("FRQX8054 Mtge","MTG_ORIG_WAL")</f>
        <v>#N/A N/A</v>
      </c>
    </row>
    <row r="4916" spans="1:9" x14ac:dyDescent="0.25">
      <c r="A4916" t="str">
        <f>_xll.BDP("FRQX8071 Mtge","ID_CUSIP")</f>
        <v>31426D6H0</v>
      </c>
      <c r="B4916" t="str">
        <f>_xll.BDP("FRQX8071 Mtge","SECURITY_NAME")</f>
        <v>FR QX8071</v>
      </c>
      <c r="C4916" t="str">
        <f>_xll.BDP("FRQX8071 Mtge","GENERIC_TICKER_VINTAGE")</f>
        <v>FNCL 6 2025</v>
      </c>
      <c r="D4916" t="str">
        <f>_xll.BDP("FRQX8071 Mtge","CRNCY")</f>
        <v>USD</v>
      </c>
      <c r="E4916">
        <v>2300664</v>
      </c>
      <c r="F4916">
        <f>_xll.BDP("FRQX8071 Mtge","CPN")</f>
        <v>6</v>
      </c>
      <c r="G4916">
        <f>_xll.BDP("FRQX8071 Mtge","MTG_FACTOR")</f>
        <v>0.92092675000000002</v>
      </c>
      <c r="H4916">
        <f>_xll.BDP("FRQX8071 Mtge","MTG_WAL")</f>
        <v>3.2027000000000001</v>
      </c>
      <c r="I4916" t="str">
        <f>_xll.BDP("FRQX8071 Mtge","MTG_ORIG_WAL")</f>
        <v>#N/A N/A</v>
      </c>
    </row>
    <row r="4917" spans="1:9" x14ac:dyDescent="0.25">
      <c r="A4917" t="str">
        <f>_xll.BDP("FRQX8073 Mtge","ID_CUSIP")</f>
        <v>31426D6K3</v>
      </c>
      <c r="B4917" t="str">
        <f>_xll.BDP("FRQX8073 Mtge","SECURITY_NAME")</f>
        <v>FR QX8073</v>
      </c>
      <c r="C4917" t="str">
        <f>_xll.BDP("FRQX8073 Mtge","GENERIC_TICKER_VINTAGE")</f>
        <v>FNCL 6 2025</v>
      </c>
      <c r="D4917" t="str">
        <f>_xll.BDP("FRQX8073 Mtge","CRNCY")</f>
        <v>USD</v>
      </c>
      <c r="E4917">
        <v>4279463</v>
      </c>
      <c r="F4917">
        <f>_xll.BDP("FRQX8073 Mtge","CPN")</f>
        <v>6</v>
      </c>
      <c r="G4917">
        <f>_xll.BDP("FRQX8073 Mtge","MTG_FACTOR")</f>
        <v>0.91537950000000001</v>
      </c>
      <c r="H4917">
        <f>_xll.BDP("FRQX8073 Mtge","MTG_WAL")</f>
        <v>3.1922000000000001</v>
      </c>
      <c r="I4917" t="str">
        <f>_xll.BDP("FRQX8073 Mtge","MTG_ORIG_WAL")</f>
        <v>#N/A N/A</v>
      </c>
    </row>
    <row r="4918" spans="1:9" x14ac:dyDescent="0.25">
      <c r="A4918" t="str">
        <f>_xll.BDP("FRQX8074 Mtge","ID_CUSIP")</f>
        <v>31426D6L1</v>
      </c>
      <c r="B4918" t="str">
        <f>_xll.BDP("FRQX8074 Mtge","SECURITY_NAME")</f>
        <v>FR QX8074</v>
      </c>
      <c r="C4918" t="str">
        <f>_xll.BDP("FRQX8074 Mtge","GENERIC_TICKER_VINTAGE")</f>
        <v>FNCL 6 2025</v>
      </c>
      <c r="D4918" t="str">
        <f>_xll.BDP("FRQX8074 Mtge","CRNCY")</f>
        <v>USD</v>
      </c>
      <c r="E4918">
        <v>5006408</v>
      </c>
      <c r="F4918">
        <f>_xll.BDP("FRQX8074 Mtge","CPN")</f>
        <v>6</v>
      </c>
      <c r="G4918">
        <f>_xll.BDP("FRQX8074 Mtge","MTG_FACTOR")</f>
        <v>0.88557423999999996</v>
      </c>
      <c r="H4918">
        <f>_xll.BDP("FRQX8074 Mtge","MTG_WAL")</f>
        <v>3.2039</v>
      </c>
      <c r="I4918" t="str">
        <f>_xll.BDP("FRQX8074 Mtge","MTG_ORIG_WAL")</f>
        <v>#N/A N/A</v>
      </c>
    </row>
    <row r="4919" spans="1:9" x14ac:dyDescent="0.25">
      <c r="A4919" t="str">
        <f>_xll.BDP("FRQX8075 Mtge","ID_CUSIP")</f>
        <v>31426D6M9</v>
      </c>
      <c r="B4919" t="str">
        <f>_xll.BDP("FRQX8075 Mtge","SECURITY_NAME")</f>
        <v>FR QX8075</v>
      </c>
      <c r="C4919" t="str">
        <f>_xll.BDP("FRQX8075 Mtge","GENERIC_TICKER_VINTAGE")</f>
        <v>FNCL 6 2025</v>
      </c>
      <c r="D4919" t="str">
        <f>_xll.BDP("FRQX8075 Mtge","CRNCY")</f>
        <v>USD</v>
      </c>
      <c r="E4919">
        <v>9522970</v>
      </c>
      <c r="F4919">
        <f>_xll.BDP("FRQX8075 Mtge","CPN")</f>
        <v>6</v>
      </c>
      <c r="G4919">
        <f>_xll.BDP("FRQX8075 Mtge","MTG_FACTOR")</f>
        <v>0.82119268999999995</v>
      </c>
      <c r="H4919">
        <f>_xll.BDP("FRQX8075 Mtge","MTG_WAL")</f>
        <v>3.1983000000000001</v>
      </c>
      <c r="I4919" t="str">
        <f>_xll.BDP("FRQX8075 Mtge","MTG_ORIG_WAL")</f>
        <v>#N/A N/A</v>
      </c>
    </row>
    <row r="4920" spans="1:9" x14ac:dyDescent="0.25">
      <c r="A4920" t="str">
        <f>_xll.BDP("FRQX8076 Mtge","ID_CUSIP")</f>
        <v>31426D6N7</v>
      </c>
      <c r="B4920" t="str">
        <f>_xll.BDP("FRQX8076 Mtge","SECURITY_NAME")</f>
        <v>FR QX8076</v>
      </c>
      <c r="C4920" t="str">
        <f>_xll.BDP("FRQX8076 Mtge","GENERIC_TICKER_VINTAGE")</f>
        <v>FNCL 6 2025</v>
      </c>
      <c r="D4920" t="str">
        <f>_xll.BDP("FRQX8076 Mtge","CRNCY")</f>
        <v>USD</v>
      </c>
      <c r="E4920">
        <v>4375519</v>
      </c>
      <c r="F4920">
        <f>_xll.BDP("FRQX8076 Mtge","CPN")</f>
        <v>6</v>
      </c>
      <c r="G4920">
        <f>_xll.BDP("FRQX8076 Mtge","MTG_FACTOR")</f>
        <v>0.84618278999999996</v>
      </c>
      <c r="H4920">
        <f>_xll.BDP("FRQX8076 Mtge","MTG_WAL")</f>
        <v>3.2025000000000001</v>
      </c>
      <c r="I4920" t="str">
        <f>_xll.BDP("FRQX8076 Mtge","MTG_ORIG_WAL")</f>
        <v>#N/A N/A</v>
      </c>
    </row>
    <row r="4921" spans="1:9" x14ac:dyDescent="0.25">
      <c r="A4921" t="str">
        <f>_xll.BDP("FRQX8077 Mtge","ID_CUSIP")</f>
        <v>31426D6P2</v>
      </c>
      <c r="B4921" t="str">
        <f>_xll.BDP("FRQX8077 Mtge","SECURITY_NAME")</f>
        <v>FR QX8077</v>
      </c>
      <c r="C4921" t="str">
        <f>_xll.BDP("FRQX8077 Mtge","GENERIC_TICKER_VINTAGE")</f>
        <v>FNCL 6 2025</v>
      </c>
      <c r="D4921" t="str">
        <f>_xll.BDP("FRQX8077 Mtge","CRNCY")</f>
        <v>USD</v>
      </c>
      <c r="E4921">
        <v>3044776</v>
      </c>
      <c r="F4921">
        <f>_xll.BDP("FRQX8077 Mtge","CPN")</f>
        <v>6</v>
      </c>
      <c r="G4921">
        <f>_xll.BDP("FRQX8077 Mtge","MTG_FACTOR")</f>
        <v>0.82589842999999996</v>
      </c>
      <c r="H4921">
        <f>_xll.BDP("FRQX8077 Mtge","MTG_WAL")</f>
        <v>3.1894999999999998</v>
      </c>
      <c r="I4921" t="str">
        <f>_xll.BDP("FRQX8077 Mtge","MTG_ORIG_WAL")</f>
        <v>#N/A N/A</v>
      </c>
    </row>
    <row r="4922" spans="1:9" x14ac:dyDescent="0.25">
      <c r="A4922" t="str">
        <f>_xll.BDP("FRQX8078 Mtge","ID_CUSIP")</f>
        <v>31426D6Q0</v>
      </c>
      <c r="B4922" t="str">
        <f>_xll.BDP("FRQX8078 Mtge","SECURITY_NAME")</f>
        <v>FR QX8078</v>
      </c>
      <c r="C4922" t="str">
        <f>_xll.BDP("FRQX8078 Mtge","GENERIC_TICKER_VINTAGE")</f>
        <v>FNCL 6 2025</v>
      </c>
      <c r="D4922" t="str">
        <f>_xll.BDP("FRQX8078 Mtge","CRNCY")</f>
        <v>USD</v>
      </c>
      <c r="E4922">
        <v>8653204</v>
      </c>
      <c r="F4922">
        <f>_xll.BDP("FRQX8078 Mtge","CPN")</f>
        <v>6</v>
      </c>
      <c r="G4922">
        <f>_xll.BDP("FRQX8078 Mtge","MTG_FACTOR")</f>
        <v>0.77860706000000002</v>
      </c>
      <c r="H4922">
        <f>_xll.BDP("FRQX8078 Mtge","MTG_WAL")</f>
        <v>3.202</v>
      </c>
      <c r="I4922" t="str">
        <f>_xll.BDP("FRQX8078 Mtge","MTG_ORIG_WAL")</f>
        <v>#N/A N/A</v>
      </c>
    </row>
    <row r="4923" spans="1:9" x14ac:dyDescent="0.25">
      <c r="A4923" t="str">
        <f>_xll.BDP("FRQX8079 Mtge","ID_CUSIP")</f>
        <v>31426D6R8</v>
      </c>
      <c r="B4923" t="str">
        <f>_xll.BDP("FRQX8079 Mtge","SECURITY_NAME")</f>
        <v>FR QX8079</v>
      </c>
      <c r="C4923" t="str">
        <f>_xll.BDP("FRQX8079 Mtge","GENERIC_TICKER_VINTAGE")</f>
        <v>FNCL 6 2025</v>
      </c>
      <c r="D4923" t="str">
        <f>_xll.BDP("FRQX8079 Mtge","CRNCY")</f>
        <v>USD</v>
      </c>
      <c r="E4923">
        <v>7032489</v>
      </c>
      <c r="F4923">
        <f>_xll.BDP("FRQX8079 Mtge","CPN")</f>
        <v>6</v>
      </c>
      <c r="G4923">
        <f>_xll.BDP("FRQX8079 Mtge","MTG_FACTOR")</f>
        <v>0.69230738999999997</v>
      </c>
      <c r="H4923">
        <f>_xll.BDP("FRQX8079 Mtge","MTG_WAL")</f>
        <v>3.2019000000000002</v>
      </c>
      <c r="I4923" t="str">
        <f>_xll.BDP("FRQX8079 Mtge","MTG_ORIG_WAL")</f>
        <v>#N/A N/A</v>
      </c>
    </row>
    <row r="4924" spans="1:9" x14ac:dyDescent="0.25">
      <c r="A4924" t="str">
        <f>_xll.BDP("FRQX8080 Mtge","ID_CUSIP")</f>
        <v>31426D6S6</v>
      </c>
      <c r="B4924" t="str">
        <f>_xll.BDP("FRQX8080 Mtge","SECURITY_NAME")</f>
        <v>FR QX8080</v>
      </c>
      <c r="C4924" t="str">
        <f>_xll.BDP("FRQX8080 Mtge","GENERIC_TICKER_VINTAGE")</f>
        <v>FNCL 6 2025</v>
      </c>
      <c r="D4924" t="str">
        <f>_xll.BDP("FRQX8080 Mtge","CRNCY")</f>
        <v>USD</v>
      </c>
      <c r="E4924">
        <v>7205944</v>
      </c>
      <c r="F4924">
        <f>_xll.BDP("FRQX8080 Mtge","CPN")</f>
        <v>6</v>
      </c>
      <c r="G4924">
        <f>_xll.BDP("FRQX8080 Mtge","MTG_FACTOR")</f>
        <v>0.89213450000000005</v>
      </c>
      <c r="H4924">
        <f>_xll.BDP("FRQX8080 Mtge","MTG_WAL")</f>
        <v>3.2025000000000001</v>
      </c>
      <c r="I4924" t="str">
        <f>_xll.BDP("FRQX8080 Mtge","MTG_ORIG_WAL")</f>
        <v>#N/A N/A</v>
      </c>
    </row>
    <row r="4925" spans="1:9" x14ac:dyDescent="0.25">
      <c r="A4925" t="str">
        <f>_xll.BDP("FRQX8081 Mtge","ID_CUSIP")</f>
        <v>31426D6T4</v>
      </c>
      <c r="B4925" t="str">
        <f>_xll.BDP("FRQX8081 Mtge","SECURITY_NAME")</f>
        <v>FR QX8081</v>
      </c>
      <c r="C4925" t="str">
        <f>_xll.BDP("FRQX8081 Mtge","GENERIC_TICKER_VINTAGE")</f>
        <v>FNCL 6 2025</v>
      </c>
      <c r="D4925" t="str">
        <f>_xll.BDP("FRQX8081 Mtge","CRNCY")</f>
        <v>USD</v>
      </c>
      <c r="E4925">
        <v>11978441</v>
      </c>
      <c r="F4925">
        <f>_xll.BDP("FRQX8081 Mtge","CPN")</f>
        <v>6</v>
      </c>
      <c r="G4925">
        <f>_xll.BDP("FRQX8081 Mtge","MTG_FACTOR")</f>
        <v>0.54434558</v>
      </c>
      <c r="H4925">
        <f>_xll.BDP("FRQX8081 Mtge","MTG_WAL")</f>
        <v>3.1960000000000002</v>
      </c>
      <c r="I4925" t="str">
        <f>_xll.BDP("FRQX8081 Mtge","MTG_ORIG_WAL")</f>
        <v>#N/A N/A</v>
      </c>
    </row>
    <row r="4926" spans="1:9" x14ac:dyDescent="0.25">
      <c r="A4926" t="str">
        <f>_xll.BDP("FRQX8093 Mtge","ID_CUSIP")</f>
        <v>31426D7F3</v>
      </c>
      <c r="B4926" t="str">
        <f>_xll.BDP("FRQX8093 Mtge","SECURITY_NAME")</f>
        <v>FR QX8093</v>
      </c>
      <c r="C4926" t="str">
        <f>_xll.BDP("FRQX8093 Mtge","GENERIC_TICKER_VINTAGE")</f>
        <v>FNCL 6 2025</v>
      </c>
      <c r="D4926" t="str">
        <f>_xll.BDP("FRQX8093 Mtge","CRNCY")</f>
        <v>USD</v>
      </c>
      <c r="E4926">
        <v>20110469</v>
      </c>
      <c r="F4926">
        <f>_xll.BDP("FRQX8093 Mtge","CPN")</f>
        <v>6</v>
      </c>
      <c r="G4926">
        <f>_xll.BDP("FRQX8093 Mtge","MTG_FACTOR")</f>
        <v>0.86048729999999995</v>
      </c>
      <c r="H4926">
        <f>_xll.BDP("FRQX8093 Mtge","MTG_WAL")</f>
        <v>3.1564999999999999</v>
      </c>
      <c r="I4926" t="str">
        <f>_xll.BDP("FRQX8093 Mtge","MTG_ORIG_WAL")</f>
        <v>#N/A N/A</v>
      </c>
    </row>
    <row r="4927" spans="1:9" x14ac:dyDescent="0.25">
      <c r="A4927" t="str">
        <f>_xll.BDP("FRQX8100 Mtge","ID_CUSIP")</f>
        <v>31426FAA5</v>
      </c>
      <c r="B4927" t="str">
        <f>_xll.BDP("FRQX8100 Mtge","SECURITY_NAME")</f>
        <v>FR QX8100</v>
      </c>
      <c r="C4927" t="str">
        <f>_xll.BDP("FRQX8100 Mtge","GENERIC_TICKER_VINTAGE")</f>
        <v>FNCL 6 2025</v>
      </c>
      <c r="D4927" t="str">
        <f>_xll.BDP("FRQX8100 Mtge","CRNCY")</f>
        <v>USD</v>
      </c>
      <c r="E4927">
        <v>1645254</v>
      </c>
      <c r="F4927">
        <f>_xll.BDP("FRQX8100 Mtge","CPN")</f>
        <v>6</v>
      </c>
      <c r="G4927">
        <f>_xll.BDP("FRQX8100 Mtge","MTG_FACTOR")</f>
        <v>0.77389467000000001</v>
      </c>
      <c r="H4927">
        <f>_xll.BDP("FRQX8100 Mtge","MTG_WAL")</f>
        <v>3.1562000000000001</v>
      </c>
      <c r="I4927" t="str">
        <f>_xll.BDP("FRQX8100 Mtge","MTG_ORIG_WAL")</f>
        <v>#N/A N/A</v>
      </c>
    </row>
    <row r="4928" spans="1:9" x14ac:dyDescent="0.25">
      <c r="A4928" t="str">
        <f>_xll.BDP("FRQX8103 Mtge","ID_CUSIP")</f>
        <v>31426FAD9</v>
      </c>
      <c r="B4928" t="str">
        <f>_xll.BDP("FRQX8103 Mtge","SECURITY_NAME")</f>
        <v>FR QX8103</v>
      </c>
      <c r="C4928" t="str">
        <f>_xll.BDP("FRQX8103 Mtge","GENERIC_TICKER_VINTAGE")</f>
        <v>FNCL 6 2025</v>
      </c>
      <c r="D4928" t="str">
        <f>_xll.BDP("FRQX8103 Mtge","CRNCY")</f>
        <v>USD</v>
      </c>
      <c r="E4928">
        <v>4902757</v>
      </c>
      <c r="F4928">
        <f>_xll.BDP("FRQX8103 Mtge","CPN")</f>
        <v>6</v>
      </c>
      <c r="G4928">
        <f>_xll.BDP("FRQX8103 Mtge","MTG_FACTOR")</f>
        <v>0.79265733000000005</v>
      </c>
      <c r="H4928">
        <f>_xll.BDP("FRQX8103 Mtge","MTG_WAL")</f>
        <v>3.15</v>
      </c>
      <c r="I4928" t="str">
        <f>_xll.BDP("FRQX8103 Mtge","MTG_ORIG_WAL")</f>
        <v>#N/A N/A</v>
      </c>
    </row>
    <row r="4929" spans="1:9" x14ac:dyDescent="0.25">
      <c r="A4929" t="str">
        <f>_xll.BDP("FRQX8109 Mtge","ID_CUSIP")</f>
        <v>31426FAK3</v>
      </c>
      <c r="B4929" t="str">
        <f>_xll.BDP("FRQX8109 Mtge","SECURITY_NAME")</f>
        <v>FR QX8109</v>
      </c>
      <c r="C4929" t="str">
        <f>_xll.BDP("FRQX8109 Mtge","GENERIC_TICKER_VINTAGE")</f>
        <v>FNCL 6 2025</v>
      </c>
      <c r="D4929" t="str">
        <f>_xll.BDP("FRQX8109 Mtge","CRNCY")</f>
        <v>USD</v>
      </c>
      <c r="E4929">
        <v>15629923</v>
      </c>
      <c r="F4929">
        <f>_xll.BDP("FRQX8109 Mtge","CPN")</f>
        <v>6</v>
      </c>
      <c r="G4929">
        <f>_xll.BDP("FRQX8109 Mtge","MTG_FACTOR")</f>
        <v>0.85427238999999999</v>
      </c>
      <c r="H4929">
        <f>_xll.BDP("FRQX8109 Mtge","MTG_WAL")</f>
        <v>3.1524000000000001</v>
      </c>
      <c r="I4929" t="str">
        <f>_xll.BDP("FRQX8109 Mtge","MTG_ORIG_WAL")</f>
        <v>#N/A N/A</v>
      </c>
    </row>
    <row r="4930" spans="1:9" x14ac:dyDescent="0.25">
      <c r="A4930" t="str">
        <f>_xll.BDP("FRQX8112 Mtge","ID_CUSIP")</f>
        <v>31426FAN7</v>
      </c>
      <c r="B4930" t="str">
        <f>_xll.BDP("FRQX8112 Mtge","SECURITY_NAME")</f>
        <v>FR QX8112</v>
      </c>
      <c r="C4930" t="str">
        <f>_xll.BDP("FRQX8112 Mtge","GENERIC_TICKER_VINTAGE")</f>
        <v>FNCL 6 2025</v>
      </c>
      <c r="D4930" t="str">
        <f>_xll.BDP("FRQX8112 Mtge","CRNCY")</f>
        <v>USD</v>
      </c>
      <c r="E4930">
        <v>4443826</v>
      </c>
      <c r="F4930">
        <f>_xll.BDP("FRQX8112 Mtge","CPN")</f>
        <v>6</v>
      </c>
      <c r="G4930">
        <f>_xll.BDP("FRQX8112 Mtge","MTG_FACTOR")</f>
        <v>0.97892084000000001</v>
      </c>
      <c r="H4930">
        <f>_xll.BDP("FRQX8112 Mtge","MTG_WAL")</f>
        <v>3.1545999999999998</v>
      </c>
      <c r="I4930" t="str">
        <f>_xll.BDP("FRQX8112 Mtge","MTG_ORIG_WAL")</f>
        <v>#N/A N/A</v>
      </c>
    </row>
    <row r="4931" spans="1:9" x14ac:dyDescent="0.25">
      <c r="A4931" t="str">
        <f>_xll.BDP("FRQX8113 Mtge","ID_CUSIP")</f>
        <v>31426FAP2</v>
      </c>
      <c r="B4931" t="str">
        <f>_xll.BDP("FRQX8113 Mtge","SECURITY_NAME")</f>
        <v>FR QX8113</v>
      </c>
      <c r="C4931" t="str">
        <f>_xll.BDP("FRQX8113 Mtge","GENERIC_TICKER_VINTAGE")</f>
        <v>FNCL 6 2025</v>
      </c>
      <c r="D4931" t="str">
        <f>_xll.BDP("FRQX8113 Mtge","CRNCY")</f>
        <v>USD</v>
      </c>
      <c r="E4931">
        <v>1046874</v>
      </c>
      <c r="F4931">
        <f>_xll.BDP("FRQX8113 Mtge","CPN")</f>
        <v>6</v>
      </c>
      <c r="G4931">
        <f>_xll.BDP("FRQX8113 Mtge","MTG_FACTOR")</f>
        <v>0.97452470999999996</v>
      </c>
      <c r="H4931">
        <f>_xll.BDP("FRQX8113 Mtge","MTG_WAL")</f>
        <v>3.1484000000000001</v>
      </c>
      <c r="I4931" t="str">
        <f>_xll.BDP("FRQX8113 Mtge","MTG_ORIG_WAL")</f>
        <v>#N/A N/A</v>
      </c>
    </row>
    <row r="4932" spans="1:9" x14ac:dyDescent="0.25">
      <c r="A4932" t="str">
        <f>_xll.BDP("FRQX8116 Mtge","ID_CUSIP")</f>
        <v>31426FAS6</v>
      </c>
      <c r="B4932" t="str">
        <f>_xll.BDP("FRQX8116 Mtge","SECURITY_NAME")</f>
        <v>FR QX8116</v>
      </c>
      <c r="C4932" t="str">
        <f>_xll.BDP("FRQX8116 Mtge","GENERIC_TICKER_VINTAGE")</f>
        <v>FNCL 6 2025</v>
      </c>
      <c r="D4932" t="str">
        <f>_xll.BDP("FRQX8116 Mtge","CRNCY")</f>
        <v>USD</v>
      </c>
      <c r="E4932">
        <v>1120907</v>
      </c>
      <c r="F4932">
        <f>_xll.BDP("FRQX8116 Mtge","CPN")</f>
        <v>6</v>
      </c>
      <c r="G4932">
        <f>_xll.BDP("FRQX8116 Mtge","MTG_FACTOR")</f>
        <v>0.98797108</v>
      </c>
      <c r="H4932">
        <f>_xll.BDP("FRQX8116 Mtge","MTG_WAL")</f>
        <v>3.2031999999999998</v>
      </c>
      <c r="I4932" t="str">
        <f>_xll.BDP("FRQX8116 Mtge","MTG_ORIG_WAL")</f>
        <v>#N/A N/A</v>
      </c>
    </row>
    <row r="4933" spans="1:9" x14ac:dyDescent="0.25">
      <c r="A4933" t="str">
        <f>_xll.BDP("FRQX8117 Mtge","ID_CUSIP")</f>
        <v>31426FAT4</v>
      </c>
      <c r="B4933" t="str">
        <f>_xll.BDP("FRQX8117 Mtge","SECURITY_NAME")</f>
        <v>FR QX8117</v>
      </c>
      <c r="C4933" t="str">
        <f>_xll.BDP("FRQX8117 Mtge","GENERIC_TICKER_VINTAGE")</f>
        <v>FNCL 6 2025</v>
      </c>
      <c r="D4933" t="str">
        <f>_xll.BDP("FRQX8117 Mtge","CRNCY")</f>
        <v>USD</v>
      </c>
      <c r="E4933">
        <v>1031000</v>
      </c>
      <c r="F4933">
        <f>_xll.BDP("FRQX8117 Mtge","CPN")</f>
        <v>6</v>
      </c>
      <c r="G4933">
        <f>_xll.BDP("FRQX8117 Mtge","MTG_FACTOR")</f>
        <v>0.98959355000000004</v>
      </c>
      <c r="H4933">
        <f>_xll.BDP("FRQX8117 Mtge","MTG_WAL")</f>
        <v>3.2035999999999998</v>
      </c>
      <c r="I4933" t="str">
        <f>_xll.BDP("FRQX8117 Mtge","MTG_ORIG_WAL")</f>
        <v>#N/A N/A</v>
      </c>
    </row>
    <row r="4934" spans="1:9" x14ac:dyDescent="0.25">
      <c r="A4934" t="str">
        <f>_xll.BDP("FRQX8121 Mtge","ID_CUSIP")</f>
        <v>31426FAX5</v>
      </c>
      <c r="B4934" t="str">
        <f>_xll.BDP("FRQX8121 Mtge","SECURITY_NAME")</f>
        <v>FR QX8121</v>
      </c>
      <c r="C4934" t="str">
        <f>_xll.BDP("FRQX8121 Mtge","GENERIC_TICKER_VINTAGE")</f>
        <v>FNCL 6 2025</v>
      </c>
      <c r="D4934" t="str">
        <f>_xll.BDP("FRQX8121 Mtge","CRNCY")</f>
        <v>USD</v>
      </c>
      <c r="E4934">
        <v>1362311</v>
      </c>
      <c r="F4934">
        <f>_xll.BDP("FRQX8121 Mtge","CPN")</f>
        <v>6</v>
      </c>
      <c r="G4934">
        <f>_xll.BDP("FRQX8121 Mtge","MTG_FACTOR")</f>
        <v>0.98957636999999998</v>
      </c>
      <c r="H4934">
        <f>_xll.BDP("FRQX8121 Mtge","MTG_WAL")</f>
        <v>3.2035999999999998</v>
      </c>
      <c r="I4934" t="str">
        <f>_xll.BDP("FRQX8121 Mtge","MTG_ORIG_WAL")</f>
        <v>#N/A N/A</v>
      </c>
    </row>
    <row r="4935" spans="1:9" x14ac:dyDescent="0.25">
      <c r="A4935" t="str">
        <f>_xll.BDP("FRQX8122 Mtge","ID_CUSIP")</f>
        <v>31426FAY3</v>
      </c>
      <c r="B4935" t="str">
        <f>_xll.BDP("FRQX8122 Mtge","SECURITY_NAME")</f>
        <v>FR QX8122</v>
      </c>
      <c r="C4935" t="str">
        <f>_xll.BDP("FRQX8122 Mtge","GENERIC_TICKER_VINTAGE")</f>
        <v>FNCL 6 2025</v>
      </c>
      <c r="D4935" t="str">
        <f>_xll.BDP("FRQX8122 Mtge","CRNCY")</f>
        <v>USD</v>
      </c>
      <c r="E4935">
        <v>1037432</v>
      </c>
      <c r="F4935">
        <f>_xll.BDP("FRQX8122 Mtge","CPN")</f>
        <v>6</v>
      </c>
      <c r="G4935">
        <f>_xll.BDP("FRQX8122 Mtge","MTG_FACTOR")</f>
        <v>0.70090790999999997</v>
      </c>
      <c r="H4935">
        <f>_xll.BDP("FRQX8122 Mtge","MTG_WAL")</f>
        <v>3.1993999999999998</v>
      </c>
      <c r="I4935" t="str">
        <f>_xll.BDP("FRQX8122 Mtge","MTG_ORIG_WAL")</f>
        <v>#N/A N/A</v>
      </c>
    </row>
    <row r="4936" spans="1:9" x14ac:dyDescent="0.25">
      <c r="A4936" t="str">
        <f>_xll.BDP("FRQX8123 Mtge","ID_CUSIP")</f>
        <v>31426FAZ0</v>
      </c>
      <c r="B4936" t="str">
        <f>_xll.BDP("FRQX8123 Mtge","SECURITY_NAME")</f>
        <v>FR QX8123</v>
      </c>
      <c r="C4936" t="str">
        <f>_xll.BDP("FRQX8123 Mtge","GENERIC_TICKER_VINTAGE")</f>
        <v>FNCL 6 2025</v>
      </c>
      <c r="D4936" t="str">
        <f>_xll.BDP("FRQX8123 Mtge","CRNCY")</f>
        <v>USD</v>
      </c>
      <c r="E4936">
        <v>1797406</v>
      </c>
      <c r="F4936">
        <f>_xll.BDP("FRQX8123 Mtge","CPN")</f>
        <v>6</v>
      </c>
      <c r="G4936">
        <f>_xll.BDP("FRQX8123 Mtge","MTG_FACTOR")</f>
        <v>0.94494761000000005</v>
      </c>
      <c r="H4936">
        <f>_xll.BDP("FRQX8123 Mtge","MTG_WAL")</f>
        <v>3.1684000000000001</v>
      </c>
      <c r="I4936" t="str">
        <f>_xll.BDP("FRQX8123 Mtge","MTG_ORIG_WAL")</f>
        <v>#N/A N/A</v>
      </c>
    </row>
    <row r="4937" spans="1:9" x14ac:dyDescent="0.25">
      <c r="A4937" t="str">
        <f>_xll.BDP("FRQX8127 Mtge","ID_CUSIP")</f>
        <v>31426FA56</v>
      </c>
      <c r="B4937" t="str">
        <f>_xll.BDP("FRQX8127 Mtge","SECURITY_NAME")</f>
        <v>FR QX8127</v>
      </c>
      <c r="C4937" t="str">
        <f>_xll.BDP("FRQX8127 Mtge","GENERIC_TICKER_VINTAGE")</f>
        <v>FNCL 6 2025</v>
      </c>
      <c r="D4937" t="str">
        <f>_xll.BDP("FRQX8127 Mtge","CRNCY")</f>
        <v>USD</v>
      </c>
      <c r="E4937">
        <v>242790</v>
      </c>
      <c r="F4937">
        <f>_xll.BDP("FRQX8127 Mtge","CPN")</f>
        <v>6.03</v>
      </c>
      <c r="G4937">
        <f>_xll.BDP("FRQX8127 Mtge","MTG_FACTOR")</f>
        <v>0.98927666000000003</v>
      </c>
      <c r="H4937">
        <f>_xll.BDP("FRQX8127 Mtge","MTG_WAL")</f>
        <v>3.1589</v>
      </c>
      <c r="I4937" t="str">
        <f>_xll.BDP("FRQX8127 Mtge","MTG_ORIG_WAL")</f>
        <v>#N/A N/A</v>
      </c>
    </row>
    <row r="4938" spans="1:9" x14ac:dyDescent="0.25">
      <c r="A4938" t="str">
        <f>_xll.BDP("FRQX8155 Mtge","ID_CUSIP")</f>
        <v>31426FBZ9</v>
      </c>
      <c r="B4938" t="str">
        <f>_xll.BDP("FRQX8155 Mtge","SECURITY_NAME")</f>
        <v>FR QX8155</v>
      </c>
      <c r="C4938" t="str">
        <f>_xll.BDP("FRQX8155 Mtge","GENERIC_TICKER_VINTAGE")</f>
        <v>FNCL 6 2025</v>
      </c>
      <c r="D4938" t="str">
        <f>_xll.BDP("FRQX8155 Mtge","CRNCY")</f>
        <v>USD</v>
      </c>
      <c r="E4938">
        <v>4734108</v>
      </c>
      <c r="F4938">
        <f>_xll.BDP("FRQX8155 Mtge","CPN")</f>
        <v>6</v>
      </c>
      <c r="G4938">
        <f>_xll.BDP("FRQX8155 Mtge","MTG_FACTOR")</f>
        <v>0.91187450000000003</v>
      </c>
      <c r="H4938">
        <f>_xll.BDP("FRQX8155 Mtge","MTG_WAL")</f>
        <v>3.2042999999999999</v>
      </c>
      <c r="I4938" t="str">
        <f>_xll.BDP("FRQX8155 Mtge","MTG_ORIG_WAL")</f>
        <v>#N/A N/A</v>
      </c>
    </row>
    <row r="4939" spans="1:9" x14ac:dyDescent="0.25">
      <c r="A4939" t="str">
        <f>_xll.BDP("FRQX8165 Mtge","ID_CUSIP")</f>
        <v>31426FCB1</v>
      </c>
      <c r="B4939" t="str">
        <f>_xll.BDP("FRQX8165 Mtge","SECURITY_NAME")</f>
        <v>FR QX8165</v>
      </c>
      <c r="C4939" t="str">
        <f>_xll.BDP("FRQX8165 Mtge","GENERIC_TICKER_VINTAGE")</f>
        <v>FNCL 6 2025</v>
      </c>
      <c r="D4939" t="str">
        <f>_xll.BDP("FRQX8165 Mtge","CRNCY")</f>
        <v>USD</v>
      </c>
      <c r="E4939">
        <v>1808600</v>
      </c>
      <c r="F4939">
        <f>_xll.BDP("FRQX8165 Mtge","CPN")</f>
        <v>6</v>
      </c>
      <c r="G4939">
        <f>_xll.BDP("FRQX8165 Mtge","MTG_FACTOR")</f>
        <v>0.98953975000000005</v>
      </c>
      <c r="H4939">
        <f>_xll.BDP("FRQX8165 Mtge","MTG_WAL")</f>
        <v>3.2031000000000001</v>
      </c>
      <c r="I4939" t="str">
        <f>_xll.BDP("FRQX8165 Mtge","MTG_ORIG_WAL")</f>
        <v>#N/A N/A</v>
      </c>
    </row>
    <row r="4940" spans="1:9" x14ac:dyDescent="0.25">
      <c r="A4940" t="str">
        <f>_xll.BDP("FRQX8166 Mtge","ID_CUSIP")</f>
        <v>31426FCC9</v>
      </c>
      <c r="B4940" t="str">
        <f>_xll.BDP("FRQX8166 Mtge","SECURITY_NAME")</f>
        <v>FR QX8166</v>
      </c>
      <c r="C4940" t="str">
        <f>_xll.BDP("FRQX8166 Mtge","GENERIC_TICKER_VINTAGE")</f>
        <v>FNCL 6 2025</v>
      </c>
      <c r="D4940" t="str">
        <f>_xll.BDP("FRQX8166 Mtge","CRNCY")</f>
        <v>USD</v>
      </c>
      <c r="E4940">
        <v>6718304</v>
      </c>
      <c r="F4940">
        <f>_xll.BDP("FRQX8166 Mtge","CPN")</f>
        <v>6</v>
      </c>
      <c r="G4940">
        <f>_xll.BDP("FRQX8166 Mtge","MTG_FACTOR")</f>
        <v>0.88558086999999996</v>
      </c>
      <c r="H4940">
        <f>_xll.BDP("FRQX8166 Mtge","MTG_WAL")</f>
        <v>3.2029999999999998</v>
      </c>
      <c r="I4940" t="str">
        <f>_xll.BDP("FRQX8166 Mtge","MTG_ORIG_WAL")</f>
        <v>#N/A N/A</v>
      </c>
    </row>
    <row r="4941" spans="1:9" x14ac:dyDescent="0.25">
      <c r="A4941" t="str">
        <f>_xll.BDP("FRQX8169 Mtge","ID_CUSIP")</f>
        <v>31426FCF2</v>
      </c>
      <c r="B4941" t="str">
        <f>_xll.BDP("FRQX8169 Mtge","SECURITY_NAME")</f>
        <v>FR QX8169</v>
      </c>
      <c r="C4941" t="str">
        <f>_xll.BDP("FRQX8169 Mtge","GENERIC_TICKER_VINTAGE")</f>
        <v>FNCL 6 2025</v>
      </c>
      <c r="D4941" t="str">
        <f>_xll.BDP("FRQX8169 Mtge","CRNCY")</f>
        <v>USD</v>
      </c>
      <c r="E4941">
        <v>5212728</v>
      </c>
      <c r="F4941">
        <f>_xll.BDP("FRQX8169 Mtge","CPN")</f>
        <v>6</v>
      </c>
      <c r="G4941">
        <f>_xll.BDP("FRQX8169 Mtge","MTG_FACTOR")</f>
        <v>0.89025721000000002</v>
      </c>
      <c r="H4941">
        <f>_xll.BDP("FRQX8169 Mtge","MTG_WAL")</f>
        <v>3.1974999999999998</v>
      </c>
      <c r="I4941" t="str">
        <f>_xll.BDP("FRQX8169 Mtge","MTG_ORIG_WAL")</f>
        <v>#N/A N/A</v>
      </c>
    </row>
    <row r="4942" spans="1:9" x14ac:dyDescent="0.25">
      <c r="A4942" t="str">
        <f>_xll.BDP("FRQX8176 Mtge","ID_CUSIP")</f>
        <v>31426FCN5</v>
      </c>
      <c r="B4942" t="str">
        <f>_xll.BDP("FRQX8176 Mtge","SECURITY_NAME")</f>
        <v>FR QX8176</v>
      </c>
      <c r="C4942" t="str">
        <f>_xll.BDP("FRQX8176 Mtge","GENERIC_TICKER_VINTAGE")</f>
        <v>FNCL 6 2025</v>
      </c>
      <c r="D4942" t="str">
        <f>_xll.BDP("FRQX8176 Mtge","CRNCY")</f>
        <v>USD</v>
      </c>
      <c r="E4942">
        <v>1933304</v>
      </c>
      <c r="F4942">
        <f>_xll.BDP("FRQX8176 Mtge","CPN")</f>
        <v>6</v>
      </c>
      <c r="G4942">
        <f>_xll.BDP("FRQX8176 Mtge","MTG_FACTOR")</f>
        <v>0.98890880000000003</v>
      </c>
      <c r="H4942">
        <f>_xll.BDP("FRQX8176 Mtge","MTG_WAL")</f>
        <v>3.1617000000000002</v>
      </c>
      <c r="I4942" t="str">
        <f>_xll.BDP("FRQX8176 Mtge","MTG_ORIG_WAL")</f>
        <v>#N/A N/A</v>
      </c>
    </row>
    <row r="4943" spans="1:9" x14ac:dyDescent="0.25">
      <c r="A4943" t="str">
        <f>_xll.BDP("FRQX8178 Mtge","ID_CUSIP")</f>
        <v>31426FCQ8</v>
      </c>
      <c r="B4943" t="str">
        <f>_xll.BDP("FRQX8178 Mtge","SECURITY_NAME")</f>
        <v>FR QX8178</v>
      </c>
      <c r="C4943" t="str">
        <f>_xll.BDP("FRQX8178 Mtge","GENERIC_TICKER_VINTAGE")</f>
        <v>FNCL 6 2025</v>
      </c>
      <c r="D4943" t="str">
        <f>_xll.BDP("FRQX8178 Mtge","CRNCY")</f>
        <v>USD</v>
      </c>
      <c r="E4943">
        <v>2287616</v>
      </c>
      <c r="F4943">
        <f>_xll.BDP("FRQX8178 Mtge","CPN")</f>
        <v>6</v>
      </c>
      <c r="G4943">
        <f>_xll.BDP("FRQX8178 Mtge","MTG_FACTOR")</f>
        <v>0.76723518999999996</v>
      </c>
      <c r="H4943">
        <f>_xll.BDP("FRQX8178 Mtge","MTG_WAL")</f>
        <v>3.1625999999999999</v>
      </c>
      <c r="I4943" t="str">
        <f>_xll.BDP("FRQX8178 Mtge","MTG_ORIG_WAL")</f>
        <v>#N/A N/A</v>
      </c>
    </row>
    <row r="4944" spans="1:9" x14ac:dyDescent="0.25">
      <c r="A4944" t="str">
        <f>_xll.BDP("FRQX8180 Mtge","ID_CUSIP")</f>
        <v>31426FCS4</v>
      </c>
      <c r="B4944" t="str">
        <f>_xll.BDP("FRQX8180 Mtge","SECURITY_NAME")</f>
        <v>FR QX8180</v>
      </c>
      <c r="C4944" t="str">
        <f>_xll.BDP("FRQX8180 Mtge","GENERIC_TICKER_VINTAGE")</f>
        <v>FNCL 6 2025</v>
      </c>
      <c r="D4944" t="str">
        <f>_xll.BDP("FRQX8180 Mtge","CRNCY")</f>
        <v>USD</v>
      </c>
      <c r="E4944">
        <v>4702904</v>
      </c>
      <c r="F4944">
        <f>_xll.BDP("FRQX8180 Mtge","CPN")</f>
        <v>6</v>
      </c>
      <c r="G4944">
        <f>_xll.BDP("FRQX8180 Mtge","MTG_FACTOR")</f>
        <v>0.81840977999999998</v>
      </c>
      <c r="H4944">
        <f>_xll.BDP("FRQX8180 Mtge","MTG_WAL")</f>
        <v>3.1602999999999999</v>
      </c>
      <c r="I4944" t="str">
        <f>_xll.BDP("FRQX8180 Mtge","MTG_ORIG_WAL")</f>
        <v>#N/A N/A</v>
      </c>
    </row>
    <row r="4945" spans="1:9" x14ac:dyDescent="0.25">
      <c r="A4945" t="str">
        <f>_xll.BDP("FRQX8181 Mtge","ID_CUSIP")</f>
        <v>31426FCT2</v>
      </c>
      <c r="B4945" t="str">
        <f>_xll.BDP("FRQX8181 Mtge","SECURITY_NAME")</f>
        <v>FR QX8181</v>
      </c>
      <c r="C4945" t="str">
        <f>_xll.BDP("FRQX8181 Mtge","GENERIC_TICKER_VINTAGE")</f>
        <v>FNCL 6 2025</v>
      </c>
      <c r="D4945" t="str">
        <f>_xll.BDP("FRQX8181 Mtge","CRNCY")</f>
        <v>USD</v>
      </c>
      <c r="E4945">
        <v>1052973</v>
      </c>
      <c r="F4945">
        <f>_xll.BDP("FRQX8181 Mtge","CPN")</f>
        <v>6</v>
      </c>
      <c r="G4945">
        <f>_xll.BDP("FRQX8181 Mtge","MTG_FACTOR")</f>
        <v>0.98844125999999999</v>
      </c>
      <c r="H4945">
        <f>_xll.BDP("FRQX8181 Mtge","MTG_WAL")</f>
        <v>3.2033</v>
      </c>
      <c r="I4945" t="str">
        <f>_xll.BDP("FRQX8181 Mtge","MTG_ORIG_WAL")</f>
        <v>#N/A N/A</v>
      </c>
    </row>
    <row r="4946" spans="1:9" x14ac:dyDescent="0.25">
      <c r="A4946" t="str">
        <f>_xll.BDP("FRQX8182 Mtge","ID_CUSIP")</f>
        <v>31426FCU9</v>
      </c>
      <c r="B4946" t="str">
        <f>_xll.BDP("FRQX8182 Mtge","SECURITY_NAME")</f>
        <v>FR QX8182</v>
      </c>
      <c r="C4946" t="str">
        <f>_xll.BDP("FRQX8182 Mtge","GENERIC_TICKER_VINTAGE")</f>
        <v>FNCL 6 2025</v>
      </c>
      <c r="D4946" t="str">
        <f>_xll.BDP("FRQX8182 Mtge","CRNCY")</f>
        <v>USD</v>
      </c>
      <c r="E4946">
        <v>4321830</v>
      </c>
      <c r="F4946">
        <f>_xll.BDP("FRQX8182 Mtge","CPN")</f>
        <v>6</v>
      </c>
      <c r="G4946">
        <f>_xll.BDP("FRQX8182 Mtge","MTG_FACTOR")</f>
        <v>0.78178669000000001</v>
      </c>
      <c r="H4946">
        <f>_xll.BDP("FRQX8182 Mtge","MTG_WAL")</f>
        <v>3.1991000000000001</v>
      </c>
      <c r="I4946" t="str">
        <f>_xll.BDP("FRQX8182 Mtge","MTG_ORIG_WAL")</f>
        <v>#N/A N/A</v>
      </c>
    </row>
    <row r="4947" spans="1:9" x14ac:dyDescent="0.25">
      <c r="A4947" t="str">
        <f>_xll.BDP("FRQX8185 Mtge","ID_CUSIP")</f>
        <v>31426FCX3</v>
      </c>
      <c r="B4947" t="str">
        <f>_xll.BDP("FRQX8185 Mtge","SECURITY_NAME")</f>
        <v>FR QX8185</v>
      </c>
      <c r="C4947" t="str">
        <f>_xll.BDP("FRQX8185 Mtge","GENERIC_TICKER_VINTAGE")</f>
        <v>FNCL 6 2025</v>
      </c>
      <c r="D4947" t="str">
        <f>_xll.BDP("FRQX8185 Mtge","CRNCY")</f>
        <v>USD</v>
      </c>
      <c r="E4947">
        <v>2978794</v>
      </c>
      <c r="F4947">
        <f>_xll.BDP("FRQX8185 Mtge","CPN")</f>
        <v>6</v>
      </c>
      <c r="G4947">
        <f>_xll.BDP("FRQX8185 Mtge","MTG_FACTOR")</f>
        <v>0.92635714999999996</v>
      </c>
      <c r="H4947">
        <f>_xll.BDP("FRQX8185 Mtge","MTG_WAL")</f>
        <v>3.1922000000000001</v>
      </c>
      <c r="I4947" t="str">
        <f>_xll.BDP("FRQX8185 Mtge","MTG_ORIG_WAL")</f>
        <v>#N/A N/A</v>
      </c>
    </row>
    <row r="4948" spans="1:9" x14ac:dyDescent="0.25">
      <c r="A4948" t="str">
        <f>_xll.BDP("FRQX8186 Mtge","ID_CUSIP")</f>
        <v>31426FCY1</v>
      </c>
      <c r="B4948" t="str">
        <f>_xll.BDP("FRQX8186 Mtge","SECURITY_NAME")</f>
        <v>FR QX8186</v>
      </c>
      <c r="C4948" t="str">
        <f>_xll.BDP("FRQX8186 Mtge","GENERIC_TICKER_VINTAGE")</f>
        <v>FNCL 6 2025</v>
      </c>
      <c r="D4948" t="str">
        <f>_xll.BDP("FRQX8186 Mtge","CRNCY")</f>
        <v>USD</v>
      </c>
      <c r="E4948">
        <v>5677380</v>
      </c>
      <c r="F4948">
        <f>_xll.BDP("FRQX8186 Mtge","CPN")</f>
        <v>6</v>
      </c>
      <c r="G4948">
        <f>_xll.BDP("FRQX8186 Mtge","MTG_FACTOR")</f>
        <v>0.94004969999999999</v>
      </c>
      <c r="H4948">
        <f>_xll.BDP("FRQX8186 Mtge","MTG_WAL")</f>
        <v>3.194</v>
      </c>
      <c r="I4948" t="str">
        <f>_xll.BDP("FRQX8186 Mtge","MTG_ORIG_WAL")</f>
        <v>#N/A N/A</v>
      </c>
    </row>
    <row r="4949" spans="1:9" x14ac:dyDescent="0.25">
      <c r="A4949" t="str">
        <f>_xll.BDP("FRQX8192 Mtge","ID_CUSIP")</f>
        <v>31426FC62</v>
      </c>
      <c r="B4949" t="str">
        <f>_xll.BDP("FRQX8192 Mtge","SECURITY_NAME")</f>
        <v>FR QX8192</v>
      </c>
      <c r="C4949" t="str">
        <f>_xll.BDP("FRQX8192 Mtge","GENERIC_TICKER_VINTAGE")</f>
        <v>FNCL 6 2025</v>
      </c>
      <c r="D4949" t="str">
        <f>_xll.BDP("FRQX8192 Mtge","CRNCY")</f>
        <v>USD</v>
      </c>
      <c r="E4949">
        <v>61353534</v>
      </c>
      <c r="F4949">
        <f>_xll.BDP("FRQX8192 Mtge","CPN")</f>
        <v>6</v>
      </c>
      <c r="G4949">
        <f>_xll.BDP("FRQX8192 Mtge","MTG_FACTOR")</f>
        <v>0.87127668000000003</v>
      </c>
      <c r="H4949">
        <f>_xll.BDP("FRQX8192 Mtge","MTG_WAL")</f>
        <v>3.1608999999999998</v>
      </c>
      <c r="I4949" t="str">
        <f>_xll.BDP("FRQX8192 Mtge","MTG_ORIG_WAL")</f>
        <v>#N/A N/A</v>
      </c>
    </row>
    <row r="4950" spans="1:9" x14ac:dyDescent="0.25">
      <c r="A4950" t="str">
        <f>_xll.BDP("FRQX8205 Mtge","ID_CUSIP")</f>
        <v>31426FDK0</v>
      </c>
      <c r="B4950" t="str">
        <f>_xll.BDP("FRQX8205 Mtge","SECURITY_NAME")</f>
        <v>FR QX8205</v>
      </c>
      <c r="C4950" t="str">
        <f>_xll.BDP("FRQX8205 Mtge","GENERIC_TICKER_VINTAGE")</f>
        <v>FNCL 6 2025</v>
      </c>
      <c r="D4950" t="str">
        <f>_xll.BDP("FRQX8205 Mtge","CRNCY")</f>
        <v>USD</v>
      </c>
      <c r="E4950">
        <v>19349355</v>
      </c>
      <c r="F4950">
        <f>_xll.BDP("FRQX8205 Mtge","CPN")</f>
        <v>6</v>
      </c>
      <c r="G4950">
        <f>_xll.BDP("FRQX8205 Mtge","MTG_FACTOR")</f>
        <v>0.97333939000000003</v>
      </c>
      <c r="H4950">
        <f>_xll.BDP("FRQX8205 Mtge","MTG_WAL")</f>
        <v>3.1934999999999998</v>
      </c>
      <c r="I4950" t="str">
        <f>_xll.BDP("FRQX8205 Mtge","MTG_ORIG_WAL")</f>
        <v>#N/A N/A</v>
      </c>
    </row>
    <row r="4951" spans="1:9" x14ac:dyDescent="0.25">
      <c r="A4951" t="str">
        <f>_xll.BDP("FRQX8212 Mtge","ID_CUSIP")</f>
        <v>31426FDS3</v>
      </c>
      <c r="B4951" t="str">
        <f>_xll.BDP("FRQX8212 Mtge","SECURITY_NAME")</f>
        <v>FR QX8212</v>
      </c>
      <c r="C4951" t="str">
        <f>_xll.BDP("FRQX8212 Mtge","GENERIC_TICKER_VINTAGE")</f>
        <v>FNCL 6 2025</v>
      </c>
      <c r="D4951" t="str">
        <f>_xll.BDP("FRQX8212 Mtge","CRNCY")</f>
        <v>USD</v>
      </c>
      <c r="E4951">
        <v>6204180</v>
      </c>
      <c r="F4951">
        <f>_xll.BDP("FRQX8212 Mtge","CPN")</f>
        <v>6</v>
      </c>
      <c r="G4951">
        <f>_xll.BDP("FRQX8212 Mtge","MTG_FACTOR")</f>
        <v>0.88706783</v>
      </c>
      <c r="H4951">
        <f>_xll.BDP("FRQX8212 Mtge","MTG_WAL")</f>
        <v>3.161</v>
      </c>
      <c r="I4951" t="str">
        <f>_xll.BDP("FRQX8212 Mtge","MTG_ORIG_WAL")</f>
        <v>#N/A N/A</v>
      </c>
    </row>
    <row r="4952" spans="1:9" x14ac:dyDescent="0.25">
      <c r="A4952" t="str">
        <f>_xll.BDP("FRQX8252 Mtge","ID_CUSIP")</f>
        <v>31426FE29</v>
      </c>
      <c r="B4952" t="str">
        <f>_xll.BDP("FRQX8252 Mtge","SECURITY_NAME")</f>
        <v>FR QX8252</v>
      </c>
      <c r="C4952" t="str">
        <f>_xll.BDP("FRQX8252 Mtge","GENERIC_TICKER_VINTAGE")</f>
        <v>FNCL 6 2025</v>
      </c>
      <c r="D4952" t="str">
        <f>_xll.BDP("FRQX8252 Mtge","CRNCY")</f>
        <v>USD</v>
      </c>
      <c r="E4952">
        <v>3093156</v>
      </c>
      <c r="F4952">
        <f>_xll.BDP("FRQX8252 Mtge","CPN")</f>
        <v>6</v>
      </c>
      <c r="G4952">
        <f>_xll.BDP("FRQX8252 Mtge","MTG_FACTOR")</f>
        <v>0.90951196999999995</v>
      </c>
      <c r="H4952">
        <f>_xll.BDP("FRQX8252 Mtge","MTG_WAL")</f>
        <v>3.1566999999999998</v>
      </c>
      <c r="I4952" t="str">
        <f>_xll.BDP("FRQX8252 Mtge","MTG_ORIG_WAL")</f>
        <v>#N/A N/A</v>
      </c>
    </row>
    <row r="4953" spans="1:9" x14ac:dyDescent="0.25">
      <c r="A4953" t="str">
        <f>_xll.BDP("FRQX8258 Mtge","ID_CUSIP")</f>
        <v>31426FE86</v>
      </c>
      <c r="B4953" t="str">
        <f>_xll.BDP("FRQX8258 Mtge","SECURITY_NAME")</f>
        <v>FR QX8258</v>
      </c>
      <c r="C4953" t="str">
        <f>_xll.BDP("FRQX8258 Mtge","GENERIC_TICKER_VINTAGE")</f>
        <v>FNCL 6 2025</v>
      </c>
      <c r="D4953" t="str">
        <f>_xll.BDP("FRQX8258 Mtge","CRNCY")</f>
        <v>USD</v>
      </c>
      <c r="E4953">
        <v>1424588</v>
      </c>
      <c r="F4953">
        <f>_xll.BDP("FRQX8258 Mtge","CPN")</f>
        <v>6</v>
      </c>
      <c r="G4953">
        <f>_xll.BDP("FRQX8258 Mtge","MTG_FACTOR")</f>
        <v>0.98755994999999996</v>
      </c>
      <c r="H4953">
        <f>_xll.BDP("FRQX8258 Mtge","MTG_WAL")</f>
        <v>3.1598000000000002</v>
      </c>
      <c r="I4953" t="str">
        <f>_xll.BDP("FRQX8258 Mtge","MTG_ORIG_WAL")</f>
        <v>#N/A N/A</v>
      </c>
    </row>
    <row r="4954" spans="1:9" x14ac:dyDescent="0.25">
      <c r="A4954" t="str">
        <f>_xll.BDP("FRQX8259 Mtge","ID_CUSIP")</f>
        <v>31426FE94</v>
      </c>
      <c r="B4954" t="str">
        <f>_xll.BDP("FRQX8259 Mtge","SECURITY_NAME")</f>
        <v>FR QX8259</v>
      </c>
      <c r="C4954" t="str">
        <f>_xll.BDP("FRQX8259 Mtge","GENERIC_TICKER_VINTAGE")</f>
        <v>FNCL 6 2025</v>
      </c>
      <c r="D4954" t="str">
        <f>_xll.BDP("FRQX8259 Mtge","CRNCY")</f>
        <v>USD</v>
      </c>
      <c r="E4954">
        <v>1287052</v>
      </c>
      <c r="F4954">
        <f>_xll.BDP("FRQX8259 Mtge","CPN")</f>
        <v>6</v>
      </c>
      <c r="G4954">
        <f>_xll.BDP("FRQX8259 Mtge","MTG_FACTOR")</f>
        <v>0.98024770999999999</v>
      </c>
      <c r="H4954">
        <f>_xll.BDP("FRQX8259 Mtge","MTG_WAL")</f>
        <v>3.1886000000000001</v>
      </c>
      <c r="I4954" t="str">
        <f>_xll.BDP("FRQX8259 Mtge","MTG_ORIG_WAL")</f>
        <v>#N/A N/A</v>
      </c>
    </row>
    <row r="4955" spans="1:9" x14ac:dyDescent="0.25">
      <c r="A4955" t="str">
        <f>_xll.BDP("FRQX8263 Mtge","ID_CUSIP")</f>
        <v>31426FFD4</v>
      </c>
      <c r="B4955" t="str">
        <f>_xll.BDP("FRQX8263 Mtge","SECURITY_NAME")</f>
        <v>FR QX8263</v>
      </c>
      <c r="C4955" t="str">
        <f>_xll.BDP("FRQX8263 Mtge","GENERIC_TICKER_VINTAGE")</f>
        <v>FNCL 6 2025</v>
      </c>
      <c r="D4955" t="str">
        <f>_xll.BDP("FRQX8263 Mtge","CRNCY")</f>
        <v>USD</v>
      </c>
      <c r="E4955">
        <v>8281463</v>
      </c>
      <c r="F4955">
        <f>_xll.BDP("FRQX8263 Mtge","CPN")</f>
        <v>6</v>
      </c>
      <c r="G4955">
        <f>_xll.BDP("FRQX8263 Mtge","MTG_FACTOR")</f>
        <v>0.77981462999999995</v>
      </c>
      <c r="H4955">
        <f>_xll.BDP("FRQX8263 Mtge","MTG_WAL")</f>
        <v>3.1558999999999999</v>
      </c>
      <c r="I4955" t="str">
        <f>_xll.BDP("FRQX8263 Mtge","MTG_ORIG_WAL")</f>
        <v>#N/A N/A</v>
      </c>
    </row>
    <row r="4956" spans="1:9" x14ac:dyDescent="0.25">
      <c r="A4956" t="str">
        <f>_xll.BDP("FRQX8264 Mtge","ID_CUSIP")</f>
        <v>31426FFE2</v>
      </c>
      <c r="B4956" t="str">
        <f>_xll.BDP("FRQX8264 Mtge","SECURITY_NAME")</f>
        <v>FR QX8264</v>
      </c>
      <c r="C4956" t="str">
        <f>_xll.BDP("FRQX8264 Mtge","GENERIC_TICKER_VINTAGE")</f>
        <v>FNCL 6 2025</v>
      </c>
      <c r="D4956" t="str">
        <f>_xll.BDP("FRQX8264 Mtge","CRNCY")</f>
        <v>USD</v>
      </c>
      <c r="E4956">
        <v>1042274</v>
      </c>
      <c r="F4956">
        <f>_xll.BDP("FRQX8264 Mtge","CPN")</f>
        <v>6</v>
      </c>
      <c r="G4956">
        <f>_xll.BDP("FRQX8264 Mtge","MTG_FACTOR")</f>
        <v>0.98874150000000005</v>
      </c>
      <c r="H4956">
        <f>_xll.BDP("FRQX8264 Mtge","MTG_WAL")</f>
        <v>3.1577999999999999</v>
      </c>
      <c r="I4956" t="str">
        <f>_xll.BDP("FRQX8264 Mtge","MTG_ORIG_WAL")</f>
        <v>#N/A N/A</v>
      </c>
    </row>
    <row r="4957" spans="1:9" x14ac:dyDescent="0.25">
      <c r="A4957" t="str">
        <f>_xll.BDP("FRQX8265 Mtge","ID_CUSIP")</f>
        <v>31426FFF9</v>
      </c>
      <c r="B4957" t="str">
        <f>_xll.BDP("FRQX8265 Mtge","SECURITY_NAME")</f>
        <v>FR QX8265</v>
      </c>
      <c r="C4957" t="str">
        <f>_xll.BDP("FRQX8265 Mtge","GENERIC_TICKER_VINTAGE")</f>
        <v>FNCL 6 2025</v>
      </c>
      <c r="D4957" t="str">
        <f>_xll.BDP("FRQX8265 Mtge","CRNCY")</f>
        <v>USD</v>
      </c>
      <c r="E4957">
        <v>5228883</v>
      </c>
      <c r="F4957">
        <f>_xll.BDP("FRQX8265 Mtge","CPN")</f>
        <v>6</v>
      </c>
      <c r="G4957">
        <f>_xll.BDP("FRQX8265 Mtge","MTG_FACTOR")</f>
        <v>0.83512576999999999</v>
      </c>
      <c r="H4957">
        <f>_xll.BDP("FRQX8265 Mtge","MTG_WAL")</f>
        <v>3.1594000000000002</v>
      </c>
      <c r="I4957" t="str">
        <f>_xll.BDP("FRQX8265 Mtge","MTG_ORIG_WAL")</f>
        <v>#N/A N/A</v>
      </c>
    </row>
    <row r="4958" spans="1:9" x14ac:dyDescent="0.25">
      <c r="A4958" t="str">
        <f>_xll.BDP("FRQX8266 Mtge","ID_CUSIP")</f>
        <v>31426FFG7</v>
      </c>
      <c r="B4958" t="str">
        <f>_xll.BDP("FRQX8266 Mtge","SECURITY_NAME")</f>
        <v>FR QX8266</v>
      </c>
      <c r="C4958" t="str">
        <f>_xll.BDP("FRQX8266 Mtge","GENERIC_TICKER_VINTAGE")</f>
        <v>FNCL 6 2025</v>
      </c>
      <c r="D4958" t="str">
        <f>_xll.BDP("FRQX8266 Mtge","CRNCY")</f>
        <v>USD</v>
      </c>
      <c r="E4958">
        <v>11879499</v>
      </c>
      <c r="F4958">
        <f>_xll.BDP("FRQX8266 Mtge","CPN")</f>
        <v>6</v>
      </c>
      <c r="G4958">
        <f>_xll.BDP("FRQX8266 Mtge","MTG_FACTOR")</f>
        <v>0.71570376000000002</v>
      </c>
      <c r="H4958">
        <f>_xll.BDP("FRQX8266 Mtge","MTG_WAL")</f>
        <v>3.2016</v>
      </c>
      <c r="I4958" t="str">
        <f>_xll.BDP("FRQX8266 Mtge","MTG_ORIG_WAL")</f>
        <v>#N/A N/A</v>
      </c>
    </row>
    <row r="4959" spans="1:9" x14ac:dyDescent="0.25">
      <c r="A4959" t="str">
        <f>_xll.BDP("FRQX8267 Mtge","ID_CUSIP")</f>
        <v>31426FFH5</v>
      </c>
      <c r="B4959" t="str">
        <f>_xll.BDP("FRQX8267 Mtge","SECURITY_NAME")</f>
        <v>FR QX8267</v>
      </c>
      <c r="C4959" t="str">
        <f>_xll.BDP("FRQX8267 Mtge","GENERIC_TICKER_VINTAGE")</f>
        <v>FNCL 6 2025</v>
      </c>
      <c r="D4959" t="str">
        <f>_xll.BDP("FRQX8267 Mtge","CRNCY")</f>
        <v>USD</v>
      </c>
      <c r="E4959">
        <v>15717184</v>
      </c>
      <c r="F4959">
        <f>_xll.BDP("FRQX8267 Mtge","CPN")</f>
        <v>6</v>
      </c>
      <c r="G4959">
        <f>_xll.BDP("FRQX8267 Mtge","MTG_FACTOR")</f>
        <v>0.67272710999999996</v>
      </c>
      <c r="H4959">
        <f>_xll.BDP("FRQX8267 Mtge","MTG_WAL")</f>
        <v>3.1528999999999998</v>
      </c>
      <c r="I4959" t="str">
        <f>_xll.BDP("FRQX8267 Mtge","MTG_ORIG_WAL")</f>
        <v>#N/A N/A</v>
      </c>
    </row>
    <row r="4960" spans="1:9" x14ac:dyDescent="0.25">
      <c r="A4960" t="str">
        <f>_xll.BDP("FRQX8269 Mtge","ID_CUSIP")</f>
        <v>31426FFK8</v>
      </c>
      <c r="B4960" t="str">
        <f>_xll.BDP("FRQX8269 Mtge","SECURITY_NAME")</f>
        <v>FR QX8269</v>
      </c>
      <c r="C4960" t="str">
        <f>_xll.BDP("FRQX8269 Mtge","GENERIC_TICKER_VINTAGE")</f>
        <v>FNCL 6 2025</v>
      </c>
      <c r="D4960" t="str">
        <f>_xll.BDP("FRQX8269 Mtge","CRNCY")</f>
        <v>USD</v>
      </c>
      <c r="E4960">
        <v>4446377</v>
      </c>
      <c r="F4960">
        <f>_xll.BDP("FRQX8269 Mtge","CPN")</f>
        <v>6</v>
      </c>
      <c r="G4960">
        <f>_xll.BDP("FRQX8269 Mtge","MTG_FACTOR")</f>
        <v>0.82985843000000004</v>
      </c>
      <c r="H4960">
        <f>_xll.BDP("FRQX8269 Mtge","MTG_WAL")</f>
        <v>3.157</v>
      </c>
      <c r="I4960" t="str">
        <f>_xll.BDP("FRQX8269 Mtge","MTG_ORIG_WAL")</f>
        <v>#N/A N/A</v>
      </c>
    </row>
    <row r="4961" spans="1:9" x14ac:dyDescent="0.25">
      <c r="A4961" t="str">
        <f>_xll.BDP("FRQX8272 Mtge","ID_CUSIP")</f>
        <v>31426FFN2</v>
      </c>
      <c r="B4961" t="str">
        <f>_xll.BDP("FRQX8272 Mtge","SECURITY_NAME")</f>
        <v>FR QX8272</v>
      </c>
      <c r="C4961" t="str">
        <f>_xll.BDP("FRQX8272 Mtge","GENERIC_TICKER_VINTAGE")</f>
        <v>FNCL 6 2025</v>
      </c>
      <c r="D4961" t="str">
        <f>_xll.BDP("FRQX8272 Mtge","CRNCY")</f>
        <v>USD</v>
      </c>
      <c r="E4961">
        <v>6949104</v>
      </c>
      <c r="F4961">
        <f>_xll.BDP("FRQX8272 Mtge","CPN")</f>
        <v>6</v>
      </c>
      <c r="G4961">
        <f>_xll.BDP("FRQX8272 Mtge","MTG_FACTOR")</f>
        <v>0.86741588000000003</v>
      </c>
      <c r="H4961">
        <f>_xll.BDP("FRQX8272 Mtge","MTG_WAL")</f>
        <v>3.1566999999999998</v>
      </c>
      <c r="I4961" t="str">
        <f>_xll.BDP("FRQX8272 Mtge","MTG_ORIG_WAL")</f>
        <v>#N/A N/A</v>
      </c>
    </row>
    <row r="4962" spans="1:9" x14ac:dyDescent="0.25">
      <c r="A4962" t="str">
        <f>_xll.BDP("FRQX8286 Mtge","ID_CUSIP")</f>
        <v>31426FF44</v>
      </c>
      <c r="B4962" t="str">
        <f>_xll.BDP("FRQX8286 Mtge","SECURITY_NAME")</f>
        <v>FR QX8286</v>
      </c>
      <c r="C4962" t="str">
        <f>_xll.BDP("FRQX8286 Mtge","GENERIC_TICKER_VINTAGE")</f>
        <v>FNCL 6 2025</v>
      </c>
      <c r="D4962" t="str">
        <f>_xll.BDP("FRQX8286 Mtge","CRNCY")</f>
        <v>USD</v>
      </c>
      <c r="E4962">
        <v>4379696</v>
      </c>
      <c r="F4962">
        <f>_xll.BDP("FRQX8286 Mtge","CPN")</f>
        <v>6</v>
      </c>
      <c r="G4962">
        <f>_xll.BDP("FRQX8286 Mtge","MTG_FACTOR")</f>
        <v>0.76226801</v>
      </c>
      <c r="H4962">
        <f>_xll.BDP("FRQX8286 Mtge","MTG_WAL")</f>
        <v>3.1905000000000001</v>
      </c>
      <c r="I4962" t="str">
        <f>_xll.BDP("FRQX8286 Mtge","MTG_ORIG_WAL")</f>
        <v>#N/A N/A</v>
      </c>
    </row>
    <row r="4963" spans="1:9" x14ac:dyDescent="0.25">
      <c r="A4963" t="str">
        <f>_xll.BDP("FRQX8303 Mtge","ID_CUSIP")</f>
        <v>31426FGM3</v>
      </c>
      <c r="B4963" t="str">
        <f>_xll.BDP("FRQX8303 Mtge","SECURITY_NAME")</f>
        <v>FR QX8303</v>
      </c>
      <c r="C4963" t="str">
        <f>_xll.BDP("FRQX8303 Mtge","GENERIC_TICKER_VINTAGE")</f>
        <v>FNCL 6 2025</v>
      </c>
      <c r="D4963" t="str">
        <f>_xll.BDP("FRQX8303 Mtge","CRNCY")</f>
        <v>USD</v>
      </c>
      <c r="E4963">
        <v>7519702</v>
      </c>
      <c r="F4963">
        <f>_xll.BDP("FRQX8303 Mtge","CPN")</f>
        <v>6</v>
      </c>
      <c r="G4963">
        <f>_xll.BDP("FRQX8303 Mtge","MTG_FACTOR")</f>
        <v>0.87398129000000002</v>
      </c>
      <c r="H4963">
        <f>_xll.BDP("FRQX8303 Mtge","MTG_WAL")</f>
        <v>3.2014</v>
      </c>
      <c r="I4963" t="str">
        <f>_xll.BDP("FRQX8303 Mtge","MTG_ORIG_WAL")</f>
        <v>#N/A N/A</v>
      </c>
    </row>
    <row r="4964" spans="1:9" x14ac:dyDescent="0.25">
      <c r="A4964" t="str">
        <f>_xll.BDP("FRQX8305 Mtge","ID_CUSIP")</f>
        <v>31426FGP6</v>
      </c>
      <c r="B4964" t="str">
        <f>_xll.BDP("FRQX8305 Mtge","SECURITY_NAME")</f>
        <v>FR QX8305</v>
      </c>
      <c r="C4964" t="str">
        <f>_xll.BDP("FRQX8305 Mtge","GENERIC_TICKER_VINTAGE")</f>
        <v>FNCL 6 2025</v>
      </c>
      <c r="D4964" t="str">
        <f>_xll.BDP("FRQX8305 Mtge","CRNCY")</f>
        <v>USD</v>
      </c>
      <c r="E4964">
        <v>1940462</v>
      </c>
      <c r="F4964">
        <f>_xll.BDP("FRQX8305 Mtge","CPN")</f>
        <v>6</v>
      </c>
      <c r="G4964">
        <f>_xll.BDP("FRQX8305 Mtge","MTG_FACTOR")</f>
        <v>0.98887488000000001</v>
      </c>
      <c r="H4964">
        <f>_xll.BDP("FRQX8305 Mtge","MTG_WAL")</f>
        <v>3.1613000000000002</v>
      </c>
      <c r="I4964" t="str">
        <f>_xll.BDP("FRQX8305 Mtge","MTG_ORIG_WAL")</f>
        <v>#N/A N/A</v>
      </c>
    </row>
    <row r="4965" spans="1:9" x14ac:dyDescent="0.25">
      <c r="A4965" t="str">
        <f>_xll.BDP("FRQX8307 Mtge","ID_CUSIP")</f>
        <v>31426FGR2</v>
      </c>
      <c r="B4965" t="str">
        <f>_xll.BDP("FRQX8307 Mtge","SECURITY_NAME")</f>
        <v>FR QX8307</v>
      </c>
      <c r="C4965" t="str">
        <f>_xll.BDP("FRQX8307 Mtge","GENERIC_TICKER_VINTAGE")</f>
        <v>FNCL 6 2025</v>
      </c>
      <c r="D4965" t="str">
        <f>_xll.BDP("FRQX8307 Mtge","CRNCY")</f>
        <v>USD</v>
      </c>
      <c r="E4965">
        <v>2080975</v>
      </c>
      <c r="F4965">
        <f>_xll.BDP("FRQX8307 Mtge","CPN")</f>
        <v>6</v>
      </c>
      <c r="G4965">
        <f>_xll.BDP("FRQX8307 Mtge","MTG_FACTOR")</f>
        <v>0.87456100000000003</v>
      </c>
      <c r="H4965">
        <f>_xll.BDP("FRQX8307 Mtge","MTG_WAL")</f>
        <v>3.2029000000000001</v>
      </c>
      <c r="I4965" t="str">
        <f>_xll.BDP("FRQX8307 Mtge","MTG_ORIG_WAL")</f>
        <v>#N/A N/A</v>
      </c>
    </row>
    <row r="4966" spans="1:9" x14ac:dyDescent="0.25">
      <c r="A4966" t="str">
        <f>_xll.BDP("FRQX8322 Mtge","ID_CUSIP")</f>
        <v>31426FG84</v>
      </c>
      <c r="B4966" t="str">
        <f>_xll.BDP("FRQX8322 Mtge","SECURITY_NAME")</f>
        <v>FR QX8322</v>
      </c>
      <c r="C4966" t="str">
        <f>_xll.BDP("FRQX8322 Mtge","GENERIC_TICKER_VINTAGE")</f>
        <v>FNCL 6 2025</v>
      </c>
      <c r="D4966" t="str">
        <f>_xll.BDP("FRQX8322 Mtge","CRNCY")</f>
        <v>USD</v>
      </c>
      <c r="E4966">
        <v>1795397</v>
      </c>
      <c r="F4966">
        <f>_xll.BDP("FRQX8322 Mtge","CPN")</f>
        <v>6</v>
      </c>
      <c r="G4966">
        <f>_xll.BDP("FRQX8322 Mtge","MTG_FACTOR")</f>
        <v>0.98787939999999996</v>
      </c>
      <c r="H4966">
        <f>_xll.BDP("FRQX8322 Mtge","MTG_WAL")</f>
        <v>3.1619999999999999</v>
      </c>
      <c r="I4966" t="str">
        <f>_xll.BDP("FRQX8322 Mtge","MTG_ORIG_WAL")</f>
        <v>#N/A N/A</v>
      </c>
    </row>
    <row r="4967" spans="1:9" x14ac:dyDescent="0.25">
      <c r="A4967" t="str">
        <f>_xll.BDP("FRQX8325 Mtge","ID_CUSIP")</f>
        <v>31426FHB6</v>
      </c>
      <c r="B4967" t="str">
        <f>_xll.BDP("FRQX8325 Mtge","SECURITY_NAME")</f>
        <v>FR QX8325</v>
      </c>
      <c r="C4967" t="str">
        <f>_xll.BDP("FRQX8325 Mtge","GENERIC_TICKER_VINTAGE")</f>
        <v>FNCL 6 2025</v>
      </c>
      <c r="D4967" t="str">
        <f>_xll.BDP("FRQX8325 Mtge","CRNCY")</f>
        <v>USD</v>
      </c>
      <c r="E4967">
        <v>2298987</v>
      </c>
      <c r="F4967">
        <f>_xll.BDP("FRQX8325 Mtge","CPN")</f>
        <v>6</v>
      </c>
      <c r="G4967">
        <f>_xll.BDP("FRQX8325 Mtge","MTG_FACTOR")</f>
        <v>0.98970429999999998</v>
      </c>
      <c r="H4967">
        <f>_xll.BDP("FRQX8325 Mtge","MTG_WAL")</f>
        <v>3.2048999999999999</v>
      </c>
      <c r="I4967" t="str">
        <f>_xll.BDP("FRQX8325 Mtge","MTG_ORIG_WAL")</f>
        <v>#N/A N/A</v>
      </c>
    </row>
    <row r="4968" spans="1:9" x14ac:dyDescent="0.25">
      <c r="A4968" t="str">
        <f>_xll.BDP("FRQX8328 Mtge","ID_CUSIP")</f>
        <v>31426FHE0</v>
      </c>
      <c r="B4968" t="str">
        <f>_xll.BDP("FRQX8328 Mtge","SECURITY_NAME")</f>
        <v>FR QX8328</v>
      </c>
      <c r="C4968" t="str">
        <f>_xll.BDP("FRQX8328 Mtge","GENERIC_TICKER_VINTAGE")</f>
        <v>FNCL 6 2025</v>
      </c>
      <c r="D4968" t="str">
        <f>_xll.BDP("FRQX8328 Mtge","CRNCY")</f>
        <v>USD</v>
      </c>
      <c r="E4968">
        <v>1617710</v>
      </c>
      <c r="F4968">
        <f>_xll.BDP("FRQX8328 Mtge","CPN")</f>
        <v>6</v>
      </c>
      <c r="G4968">
        <f>_xll.BDP("FRQX8328 Mtge","MTG_FACTOR")</f>
        <v>0.98713401999999995</v>
      </c>
      <c r="H4968">
        <f>_xll.BDP("FRQX8328 Mtge","MTG_WAL")</f>
        <v>3.1989999999999998</v>
      </c>
      <c r="I4968" t="str">
        <f>_xll.BDP("FRQX8328 Mtge","MTG_ORIG_WAL")</f>
        <v>#N/A N/A</v>
      </c>
    </row>
    <row r="4969" spans="1:9" x14ac:dyDescent="0.25">
      <c r="A4969" t="str">
        <f>_xll.BDP("FRQX8329 Mtge","ID_CUSIP")</f>
        <v>31426FHF7</v>
      </c>
      <c r="B4969" t="str">
        <f>_xll.BDP("FRQX8329 Mtge","SECURITY_NAME")</f>
        <v>FR QX8329</v>
      </c>
      <c r="C4969" t="str">
        <f>_xll.BDP("FRQX8329 Mtge","GENERIC_TICKER_VINTAGE")</f>
        <v>FNCL 6 2025</v>
      </c>
      <c r="D4969" t="str">
        <f>_xll.BDP("FRQX8329 Mtge","CRNCY")</f>
        <v>USD</v>
      </c>
      <c r="E4969">
        <v>1232950</v>
      </c>
      <c r="F4969">
        <f>_xll.BDP("FRQX8329 Mtge","CPN")</f>
        <v>6</v>
      </c>
      <c r="G4969">
        <f>_xll.BDP("FRQX8329 Mtge","MTG_FACTOR")</f>
        <v>0.98940848000000003</v>
      </c>
      <c r="H4969">
        <f>_xll.BDP("FRQX8329 Mtge","MTG_WAL")</f>
        <v>3.2042000000000002</v>
      </c>
      <c r="I4969" t="str">
        <f>_xll.BDP("FRQX8329 Mtge","MTG_ORIG_WAL")</f>
        <v>#N/A N/A</v>
      </c>
    </row>
    <row r="4970" spans="1:9" x14ac:dyDescent="0.25">
      <c r="A4970" t="str">
        <f>_xll.BDP("FRQX8332 Mtge","ID_CUSIP")</f>
        <v>31426FHJ9</v>
      </c>
      <c r="B4970" t="str">
        <f>_xll.BDP("FRQX8332 Mtge","SECURITY_NAME")</f>
        <v>FR QX8332</v>
      </c>
      <c r="C4970" t="str">
        <f>_xll.BDP("FRQX8332 Mtge","GENERIC_TICKER_VINTAGE")</f>
        <v>FNCL 6 2025</v>
      </c>
      <c r="D4970" t="str">
        <f>_xll.BDP("FRQX8332 Mtge","CRNCY")</f>
        <v>USD</v>
      </c>
      <c r="E4970">
        <v>3329544</v>
      </c>
      <c r="F4970">
        <f>_xll.BDP("FRQX8332 Mtge","CPN")</f>
        <v>6</v>
      </c>
      <c r="G4970">
        <f>_xll.BDP("FRQX8332 Mtge","MTG_FACTOR")</f>
        <v>0.68374003000000005</v>
      </c>
      <c r="H4970">
        <f>_xll.BDP("FRQX8332 Mtge","MTG_WAL")</f>
        <v>3.16</v>
      </c>
      <c r="I4970" t="str">
        <f>_xll.BDP("FRQX8332 Mtge","MTG_ORIG_WAL")</f>
        <v>#N/A N/A</v>
      </c>
    </row>
    <row r="4971" spans="1:9" x14ac:dyDescent="0.25">
      <c r="A4971" t="str">
        <f>_xll.BDP("FRQX8336 Mtge","ID_CUSIP")</f>
        <v>31426FHN0</v>
      </c>
      <c r="B4971" t="str">
        <f>_xll.BDP("FRQX8336 Mtge","SECURITY_NAME")</f>
        <v>FR QX8336</v>
      </c>
      <c r="C4971" t="str">
        <f>_xll.BDP("FRQX8336 Mtge","GENERIC_TICKER_VINTAGE")</f>
        <v>FNCL 6 2025</v>
      </c>
      <c r="D4971" t="str">
        <f>_xll.BDP("FRQX8336 Mtge","CRNCY")</f>
        <v>USD</v>
      </c>
      <c r="E4971">
        <v>2381400</v>
      </c>
      <c r="F4971">
        <f>_xll.BDP("FRQX8336 Mtge","CPN")</f>
        <v>6</v>
      </c>
      <c r="G4971">
        <f>_xll.BDP("FRQX8336 Mtge","MTG_FACTOR")</f>
        <v>0.84736913000000003</v>
      </c>
      <c r="H4971">
        <f>_xll.BDP("FRQX8336 Mtge","MTG_WAL")</f>
        <v>3.2033999999999998</v>
      </c>
      <c r="I4971" t="str">
        <f>_xll.BDP("FRQX8336 Mtge","MTG_ORIG_WAL")</f>
        <v>#N/A N/A</v>
      </c>
    </row>
    <row r="4972" spans="1:9" x14ac:dyDescent="0.25">
      <c r="A4972" t="str">
        <f>_xll.BDP("FRQX8341 Mtge","ID_CUSIP")</f>
        <v>31426FHT7</v>
      </c>
      <c r="B4972" t="str">
        <f>_xll.BDP("FRQX8341 Mtge","SECURITY_NAME")</f>
        <v>FR QX8341</v>
      </c>
      <c r="C4972" t="str">
        <f>_xll.BDP("FRQX8341 Mtge","GENERIC_TICKER_VINTAGE")</f>
        <v>FNCL 6 2025</v>
      </c>
      <c r="D4972" t="str">
        <f>_xll.BDP("FRQX8341 Mtge","CRNCY")</f>
        <v>USD</v>
      </c>
      <c r="E4972">
        <v>2198825</v>
      </c>
      <c r="F4972">
        <f>_xll.BDP("FRQX8341 Mtge","CPN")</f>
        <v>6</v>
      </c>
      <c r="G4972">
        <f>_xll.BDP("FRQX8341 Mtge","MTG_FACTOR")</f>
        <v>0.98701707000000005</v>
      </c>
      <c r="H4972">
        <f>_xll.BDP("FRQX8341 Mtge","MTG_WAL")</f>
        <v>3.1621000000000001</v>
      </c>
      <c r="I4972" t="str">
        <f>_xll.BDP("FRQX8341 Mtge","MTG_ORIG_WAL")</f>
        <v>#N/A N/A</v>
      </c>
    </row>
    <row r="4973" spans="1:9" x14ac:dyDescent="0.25">
      <c r="A4973" t="str">
        <f>_xll.BDP("FRQX8344 Mtge","ID_CUSIP")</f>
        <v>31426FHW0</v>
      </c>
      <c r="B4973" t="str">
        <f>_xll.BDP("FRQX8344 Mtge","SECURITY_NAME")</f>
        <v>FR QX8344</v>
      </c>
      <c r="C4973" t="str">
        <f>_xll.BDP("FRQX8344 Mtge","GENERIC_TICKER_VINTAGE")</f>
        <v>FNCL 6 2025</v>
      </c>
      <c r="D4973" t="str">
        <f>_xll.BDP("FRQX8344 Mtge","CRNCY")</f>
        <v>USD</v>
      </c>
      <c r="E4973">
        <v>1535191</v>
      </c>
      <c r="F4973">
        <f>_xll.BDP("FRQX8344 Mtge","CPN")</f>
        <v>6</v>
      </c>
      <c r="G4973">
        <f>_xll.BDP("FRQX8344 Mtge","MTG_FACTOR")</f>
        <v>0.84516859</v>
      </c>
      <c r="H4973">
        <f>_xll.BDP("FRQX8344 Mtge","MTG_WAL")</f>
        <v>3.1890000000000001</v>
      </c>
      <c r="I4973" t="str">
        <f>_xll.BDP("FRQX8344 Mtge","MTG_ORIG_WAL")</f>
        <v>#N/A N/A</v>
      </c>
    </row>
    <row r="4974" spans="1:9" x14ac:dyDescent="0.25">
      <c r="A4974" t="str">
        <f>_xll.BDP("FRQX8345 Mtge","ID_CUSIP")</f>
        <v>31426FHX8</v>
      </c>
      <c r="B4974" t="str">
        <f>_xll.BDP("FRQX8345 Mtge","SECURITY_NAME")</f>
        <v>FR QX8345</v>
      </c>
      <c r="C4974" t="str">
        <f>_xll.BDP("FRQX8345 Mtge","GENERIC_TICKER_VINTAGE")</f>
        <v>FNCL 6 2025</v>
      </c>
      <c r="D4974" t="str">
        <f>_xll.BDP("FRQX8345 Mtge","CRNCY")</f>
        <v>USD</v>
      </c>
      <c r="E4974">
        <v>6361388</v>
      </c>
      <c r="F4974">
        <f>_xll.BDP("FRQX8345 Mtge","CPN")</f>
        <v>6</v>
      </c>
      <c r="G4974">
        <f>_xll.BDP("FRQX8345 Mtge","MTG_FACTOR")</f>
        <v>0.82561216000000004</v>
      </c>
      <c r="H4974">
        <f>_xll.BDP("FRQX8345 Mtge","MTG_WAL")</f>
        <v>3.1844000000000001</v>
      </c>
      <c r="I4974" t="str">
        <f>_xll.BDP("FRQX8345 Mtge","MTG_ORIG_WAL")</f>
        <v>#N/A N/A</v>
      </c>
    </row>
    <row r="4975" spans="1:9" x14ac:dyDescent="0.25">
      <c r="A4975" t="str">
        <f>_xll.BDP("FRQX8346 Mtge","ID_CUSIP")</f>
        <v>31426FHY6</v>
      </c>
      <c r="B4975" t="str">
        <f>_xll.BDP("FRQX8346 Mtge","SECURITY_NAME")</f>
        <v>FR QX8346</v>
      </c>
      <c r="C4975" t="str">
        <f>_xll.BDP("FRQX8346 Mtge","GENERIC_TICKER_VINTAGE")</f>
        <v>FNCL 6 2025</v>
      </c>
      <c r="D4975" t="str">
        <f>_xll.BDP("FRQX8346 Mtge","CRNCY")</f>
        <v>USD</v>
      </c>
      <c r="E4975">
        <v>1912621</v>
      </c>
      <c r="F4975">
        <f>_xll.BDP("FRQX8346 Mtge","CPN")</f>
        <v>6</v>
      </c>
      <c r="G4975">
        <f>_xll.BDP("FRQX8346 Mtge","MTG_FACTOR")</f>
        <v>0.86209552</v>
      </c>
      <c r="H4975">
        <f>_xll.BDP("FRQX8346 Mtge","MTG_WAL")</f>
        <v>3.1937000000000002</v>
      </c>
      <c r="I4975" t="str">
        <f>_xll.BDP("FRQX8346 Mtge","MTG_ORIG_WAL")</f>
        <v>#N/A N/A</v>
      </c>
    </row>
    <row r="4976" spans="1:9" x14ac:dyDescent="0.25">
      <c r="A4976" t="str">
        <f>_xll.BDP("FRQX8349 Mtge","ID_CUSIP")</f>
        <v>31426FH34</v>
      </c>
      <c r="B4976" t="str">
        <f>_xll.BDP("FRQX8349 Mtge","SECURITY_NAME")</f>
        <v>FR QX8349</v>
      </c>
      <c r="C4976" t="str">
        <f>_xll.BDP("FRQX8349 Mtge","GENERIC_TICKER_VINTAGE")</f>
        <v>FNCL 6 2025</v>
      </c>
      <c r="D4976" t="str">
        <f>_xll.BDP("FRQX8349 Mtge","CRNCY")</f>
        <v>USD</v>
      </c>
      <c r="E4976">
        <v>21827304</v>
      </c>
      <c r="F4976">
        <f>_xll.BDP("FRQX8349 Mtge","CPN")</f>
        <v>6</v>
      </c>
      <c r="G4976">
        <f>_xll.BDP("FRQX8349 Mtge","MTG_FACTOR")</f>
        <v>0.81748841999999999</v>
      </c>
      <c r="H4976">
        <f>_xll.BDP("FRQX8349 Mtge","MTG_WAL")</f>
        <v>3.2018</v>
      </c>
      <c r="I4976" t="str">
        <f>_xll.BDP("FRQX8349 Mtge","MTG_ORIG_WAL")</f>
        <v>#N/A N/A</v>
      </c>
    </row>
    <row r="4977" spans="1:9" x14ac:dyDescent="0.25">
      <c r="A4977" t="str">
        <f>_xll.BDP("FRQX8350 Mtge","ID_CUSIP")</f>
        <v>31426FH42</v>
      </c>
      <c r="B4977" t="str">
        <f>_xll.BDP("FRQX8350 Mtge","SECURITY_NAME")</f>
        <v>FR QX8350</v>
      </c>
      <c r="C4977" t="str">
        <f>_xll.BDP("FRQX8350 Mtge","GENERIC_TICKER_VINTAGE")</f>
        <v>FNCL 6 2025</v>
      </c>
      <c r="D4977" t="str">
        <f>_xll.BDP("FRQX8350 Mtge","CRNCY")</f>
        <v>USD</v>
      </c>
      <c r="E4977">
        <v>1168773</v>
      </c>
      <c r="F4977">
        <f>_xll.BDP("FRQX8350 Mtge","CPN")</f>
        <v>6</v>
      </c>
      <c r="G4977">
        <f>_xll.BDP("FRQX8350 Mtge","MTG_FACTOR")</f>
        <v>0.98918835999999999</v>
      </c>
      <c r="H4977">
        <f>_xll.BDP("FRQX8350 Mtge","MTG_WAL")</f>
        <v>3.1625000000000001</v>
      </c>
      <c r="I4977" t="str">
        <f>_xll.BDP("FRQX8350 Mtge","MTG_ORIG_WAL")</f>
        <v>#N/A N/A</v>
      </c>
    </row>
    <row r="4978" spans="1:9" x14ac:dyDescent="0.25">
      <c r="A4978" t="str">
        <f>_xll.BDP("FRQX8353 Mtge","ID_CUSIP")</f>
        <v>31426FH75</v>
      </c>
      <c r="B4978" t="str">
        <f>_xll.BDP("FRQX8353 Mtge","SECURITY_NAME")</f>
        <v>FR QX8353</v>
      </c>
      <c r="C4978" t="str">
        <f>_xll.BDP("FRQX8353 Mtge","GENERIC_TICKER_VINTAGE")</f>
        <v>FNCL 6 2025</v>
      </c>
      <c r="D4978" t="str">
        <f>_xll.BDP("FRQX8353 Mtge","CRNCY")</f>
        <v>USD</v>
      </c>
      <c r="E4978">
        <v>25716767</v>
      </c>
      <c r="F4978">
        <f>_xll.BDP("FRQX8353 Mtge","CPN")</f>
        <v>6</v>
      </c>
      <c r="G4978">
        <f>_xll.BDP("FRQX8353 Mtge","MTG_FACTOR")</f>
        <v>0.81957186999999998</v>
      </c>
      <c r="H4978">
        <f>_xll.BDP("FRQX8353 Mtge","MTG_WAL")</f>
        <v>3.1608000000000001</v>
      </c>
      <c r="I4978" t="str">
        <f>_xll.BDP("FRQX8353 Mtge","MTG_ORIG_WAL")</f>
        <v>#N/A N/A</v>
      </c>
    </row>
    <row r="4979" spans="1:9" x14ac:dyDescent="0.25">
      <c r="A4979" t="str">
        <f>_xll.BDP("FRQX8359 Mtge","ID_CUSIP")</f>
        <v>31426FJD0</v>
      </c>
      <c r="B4979" t="str">
        <f>_xll.BDP("FRQX8359 Mtge","SECURITY_NAME")</f>
        <v>FR QX8359</v>
      </c>
      <c r="C4979" t="str">
        <f>_xll.BDP("FRQX8359 Mtge","GENERIC_TICKER_VINTAGE")</f>
        <v>FNCL 6 2025</v>
      </c>
      <c r="D4979" t="str">
        <f>_xll.BDP("FRQX8359 Mtge","CRNCY")</f>
        <v>USD</v>
      </c>
      <c r="E4979">
        <v>14142417</v>
      </c>
      <c r="F4979">
        <f>_xll.BDP("FRQX8359 Mtge","CPN")</f>
        <v>6</v>
      </c>
      <c r="G4979">
        <f>_xll.BDP("FRQX8359 Mtge","MTG_FACTOR")</f>
        <v>0.77485017</v>
      </c>
      <c r="H4979">
        <f>_xll.BDP("FRQX8359 Mtge","MTG_WAL")</f>
        <v>3.1589999999999998</v>
      </c>
      <c r="I4979" t="str">
        <f>_xll.BDP("FRQX8359 Mtge","MTG_ORIG_WAL")</f>
        <v>#N/A N/A</v>
      </c>
    </row>
    <row r="4980" spans="1:9" x14ac:dyDescent="0.25">
      <c r="A4980" t="str">
        <f>_xll.BDP("FRQX8387 Mtge","ID_CUSIP")</f>
        <v>31426FJ99</v>
      </c>
      <c r="B4980" t="str">
        <f>_xll.BDP("FRQX8387 Mtge","SECURITY_NAME")</f>
        <v>FR QX8387</v>
      </c>
      <c r="C4980" t="str">
        <f>_xll.BDP("FRQX8387 Mtge","GENERIC_TICKER_VINTAGE")</f>
        <v>FNCL 6 2025</v>
      </c>
      <c r="D4980" t="str">
        <f>_xll.BDP("FRQX8387 Mtge","CRNCY")</f>
        <v>USD</v>
      </c>
      <c r="E4980">
        <v>1003579</v>
      </c>
      <c r="F4980">
        <f>_xll.BDP("FRQX8387 Mtge","CPN")</f>
        <v>6</v>
      </c>
      <c r="G4980">
        <f>_xll.BDP("FRQX8387 Mtge","MTG_FACTOR")</f>
        <v>0.98966474999999998</v>
      </c>
      <c r="H4980">
        <f>_xll.BDP("FRQX8387 Mtge","MTG_WAL")</f>
        <v>3.2044999999999999</v>
      </c>
      <c r="I4980" t="str">
        <f>_xll.BDP("FRQX8387 Mtge","MTG_ORIG_WAL")</f>
        <v>#N/A N/A</v>
      </c>
    </row>
    <row r="4981" spans="1:9" x14ac:dyDescent="0.25">
      <c r="A4981" t="str">
        <f>_xll.BDP("FRQX8390 Mtge","ID_CUSIP")</f>
        <v>31426FKC0</v>
      </c>
      <c r="B4981" t="str">
        <f>_xll.BDP("FRQX8390 Mtge","SECURITY_NAME")</f>
        <v>FR QX8390</v>
      </c>
      <c r="C4981" t="str">
        <f>_xll.BDP("FRQX8390 Mtge","GENERIC_TICKER_VINTAGE")</f>
        <v>FNCL 6 2025</v>
      </c>
      <c r="D4981" t="str">
        <f>_xll.BDP("FRQX8390 Mtge","CRNCY")</f>
        <v>USD</v>
      </c>
      <c r="E4981">
        <v>10072855</v>
      </c>
      <c r="F4981">
        <f>_xll.BDP("FRQX8390 Mtge","CPN")</f>
        <v>6</v>
      </c>
      <c r="G4981">
        <f>_xll.BDP("FRQX8390 Mtge","MTG_FACTOR")</f>
        <v>0.87359377999999999</v>
      </c>
      <c r="H4981">
        <f>_xll.BDP("FRQX8390 Mtge","MTG_WAL")</f>
        <v>3.1587000000000001</v>
      </c>
      <c r="I4981" t="str">
        <f>_xll.BDP("FRQX8390 Mtge","MTG_ORIG_WAL")</f>
        <v>#N/A N/A</v>
      </c>
    </row>
    <row r="4982" spans="1:9" x14ac:dyDescent="0.25">
      <c r="A4982" t="str">
        <f>_xll.BDP("FRQX8396 Mtge","ID_CUSIP")</f>
        <v>31426FKJ5</v>
      </c>
      <c r="B4982" t="str">
        <f>_xll.BDP("FRQX8396 Mtge","SECURITY_NAME")</f>
        <v>FR QX8396</v>
      </c>
      <c r="C4982" t="str">
        <f>_xll.BDP("FRQX8396 Mtge","GENERIC_TICKER_VINTAGE")</f>
        <v>FNCL 6 2025</v>
      </c>
      <c r="D4982" t="str">
        <f>_xll.BDP("FRQX8396 Mtge","CRNCY")</f>
        <v>USD</v>
      </c>
      <c r="E4982">
        <v>7831285</v>
      </c>
      <c r="F4982">
        <f>_xll.BDP("FRQX8396 Mtge","CPN")</f>
        <v>6</v>
      </c>
      <c r="G4982">
        <f>_xll.BDP("FRQX8396 Mtge","MTG_FACTOR")</f>
        <v>0.90076818000000003</v>
      </c>
      <c r="H4982">
        <f>_xll.BDP("FRQX8396 Mtge","MTG_WAL")</f>
        <v>3.2018</v>
      </c>
      <c r="I4982" t="str">
        <f>_xll.BDP("FRQX8396 Mtge","MTG_ORIG_WAL")</f>
        <v>#N/A N/A</v>
      </c>
    </row>
    <row r="4983" spans="1:9" x14ac:dyDescent="0.25">
      <c r="A4983" t="str">
        <f>_xll.BDP("FRQX8402 Mtge","ID_CUSIP")</f>
        <v>31426FKQ9</v>
      </c>
      <c r="B4983" t="str">
        <f>_xll.BDP("FRQX8402 Mtge","SECURITY_NAME")</f>
        <v>FR QX8402</v>
      </c>
      <c r="C4983" t="str">
        <f>_xll.BDP("FRQX8402 Mtge","GENERIC_TICKER_VINTAGE")</f>
        <v>FNCL 6 2025</v>
      </c>
      <c r="D4983" t="str">
        <f>_xll.BDP("FRQX8402 Mtge","CRNCY")</f>
        <v>USD</v>
      </c>
      <c r="E4983">
        <v>3535763</v>
      </c>
      <c r="F4983">
        <f>_xll.BDP("FRQX8402 Mtge","CPN")</f>
        <v>6</v>
      </c>
      <c r="G4983">
        <f>_xll.BDP("FRQX8402 Mtge","MTG_FACTOR")</f>
        <v>0.98034568</v>
      </c>
      <c r="H4983">
        <f>_xll.BDP("FRQX8402 Mtge","MTG_WAL")</f>
        <v>3.1956000000000002</v>
      </c>
      <c r="I4983" t="str">
        <f>_xll.BDP("FRQX8402 Mtge","MTG_ORIG_WAL")</f>
        <v>#N/A N/A</v>
      </c>
    </row>
    <row r="4984" spans="1:9" x14ac:dyDescent="0.25">
      <c r="A4984" t="str">
        <f>_xll.BDP("FRQX8425 Mtge","ID_CUSIP")</f>
        <v>31426FLF2</v>
      </c>
      <c r="B4984" t="str">
        <f>_xll.BDP("FRQX8425 Mtge","SECURITY_NAME")</f>
        <v>FR QX8425</v>
      </c>
      <c r="C4984" t="str">
        <f>_xll.BDP("FRQX8425 Mtge","GENERIC_TICKER_VINTAGE")</f>
        <v>FNCL 6 2025</v>
      </c>
      <c r="D4984" t="str">
        <f>_xll.BDP("FRQX8425 Mtge","CRNCY")</f>
        <v>USD</v>
      </c>
      <c r="E4984">
        <v>17430893</v>
      </c>
      <c r="F4984">
        <f>_xll.BDP("FRQX8425 Mtge","CPN")</f>
        <v>6</v>
      </c>
      <c r="G4984">
        <f>_xll.BDP("FRQX8425 Mtge","MTG_FACTOR")</f>
        <v>0.77913577999999994</v>
      </c>
      <c r="H4984">
        <f>_xll.BDP("FRQX8425 Mtge","MTG_WAL")</f>
        <v>3.1617000000000002</v>
      </c>
      <c r="I4984" t="str">
        <f>_xll.BDP("FRQX8425 Mtge","MTG_ORIG_WAL")</f>
        <v>#N/A N/A</v>
      </c>
    </row>
    <row r="4985" spans="1:9" x14ac:dyDescent="0.25">
      <c r="A4985" t="str">
        <f>_xll.BDP("FRQX8426 Mtge","ID_CUSIP")</f>
        <v>31426FLG0</v>
      </c>
      <c r="B4985" t="str">
        <f>_xll.BDP("FRQX8426 Mtge","SECURITY_NAME")</f>
        <v>FR QX8426</v>
      </c>
      <c r="C4985" t="str">
        <f>_xll.BDP("FRQX8426 Mtge","GENERIC_TICKER_VINTAGE")</f>
        <v>FNCL 6 2025</v>
      </c>
      <c r="D4985" t="str">
        <f>_xll.BDP("FRQX8426 Mtge","CRNCY")</f>
        <v>USD</v>
      </c>
      <c r="E4985">
        <v>2694309</v>
      </c>
      <c r="F4985">
        <f>_xll.BDP("FRQX8426 Mtge","CPN")</f>
        <v>6</v>
      </c>
      <c r="G4985">
        <f>_xll.BDP("FRQX8426 Mtge","MTG_FACTOR")</f>
        <v>0.98933046999999996</v>
      </c>
      <c r="H4985">
        <f>_xll.BDP("FRQX8426 Mtge","MTG_WAL")</f>
        <v>3.202</v>
      </c>
      <c r="I4985" t="str">
        <f>_xll.BDP("FRQX8426 Mtge","MTG_ORIG_WAL")</f>
        <v>#N/A N/A</v>
      </c>
    </row>
    <row r="4986" spans="1:9" x14ac:dyDescent="0.25">
      <c r="A4986" t="str">
        <f>_xll.BDP("FRQX8435 Mtge","ID_CUSIP")</f>
        <v>31426FLR6</v>
      </c>
      <c r="B4986" t="str">
        <f>_xll.BDP("FRQX8435 Mtge","SECURITY_NAME")</f>
        <v>FR QX8435</v>
      </c>
      <c r="C4986" t="str">
        <f>_xll.BDP("FRQX8435 Mtge","GENERIC_TICKER_VINTAGE")</f>
        <v>FNCL 6 2025</v>
      </c>
      <c r="D4986" t="str">
        <f>_xll.BDP("FRQX8435 Mtge","CRNCY")</f>
        <v>USD</v>
      </c>
      <c r="E4986">
        <v>1012000</v>
      </c>
      <c r="F4986">
        <f>_xll.BDP("FRQX8435 Mtge","CPN")</f>
        <v>6</v>
      </c>
      <c r="G4986">
        <f>_xll.BDP("FRQX8435 Mtge","MTG_FACTOR")</f>
        <v>0.92997658000000005</v>
      </c>
      <c r="H4986">
        <f>_xll.BDP("FRQX8435 Mtge","MTG_WAL")</f>
        <v>3.1339999999999999</v>
      </c>
      <c r="I4986" t="str">
        <f>_xll.BDP("FRQX8435 Mtge","MTG_ORIG_WAL")</f>
        <v>#N/A N/A</v>
      </c>
    </row>
    <row r="4987" spans="1:9" x14ac:dyDescent="0.25">
      <c r="A4987" t="str">
        <f>_xll.BDP("FRQX8436 Mtge","ID_CUSIP")</f>
        <v>31426FLS4</v>
      </c>
      <c r="B4987" t="str">
        <f>_xll.BDP("FRQX8436 Mtge","SECURITY_NAME")</f>
        <v>FR QX8436</v>
      </c>
      <c r="C4987" t="str">
        <f>_xll.BDP("FRQX8436 Mtge","GENERIC_TICKER_VINTAGE")</f>
        <v>FNCL 6 2025</v>
      </c>
      <c r="D4987" t="str">
        <f>_xll.BDP("FRQX8436 Mtge","CRNCY")</f>
        <v>USD</v>
      </c>
      <c r="E4987">
        <v>2162808</v>
      </c>
      <c r="F4987">
        <f>_xll.BDP("FRQX8436 Mtge","CPN")</f>
        <v>6</v>
      </c>
      <c r="G4987">
        <f>_xll.BDP("FRQX8436 Mtge","MTG_FACTOR")</f>
        <v>0.76755108000000005</v>
      </c>
      <c r="H4987">
        <f>_xll.BDP("FRQX8436 Mtge","MTG_WAL")</f>
        <v>3.2021999999999999</v>
      </c>
      <c r="I4987" t="str">
        <f>_xll.BDP("FRQX8436 Mtge","MTG_ORIG_WAL")</f>
        <v>#N/A N/A</v>
      </c>
    </row>
    <row r="4988" spans="1:9" x14ac:dyDescent="0.25">
      <c r="A4988" t="str">
        <f>_xll.BDP("FRQX8441 Mtge","ID_CUSIP")</f>
        <v>31426FLX3</v>
      </c>
      <c r="B4988" t="str">
        <f>_xll.BDP("FRQX8441 Mtge","SECURITY_NAME")</f>
        <v>FR QX8441</v>
      </c>
      <c r="C4988" t="str">
        <f>_xll.BDP("FRQX8441 Mtge","GENERIC_TICKER_VINTAGE")</f>
        <v>FNCL 6 2025</v>
      </c>
      <c r="D4988" t="str">
        <f>_xll.BDP("FRQX8441 Mtge","CRNCY")</f>
        <v>USD</v>
      </c>
      <c r="E4988">
        <v>3475315</v>
      </c>
      <c r="F4988">
        <f>_xll.BDP("FRQX8441 Mtge","CPN")</f>
        <v>6</v>
      </c>
      <c r="G4988">
        <f>_xll.BDP("FRQX8441 Mtge","MTG_FACTOR")</f>
        <v>0.76360366999999996</v>
      </c>
      <c r="H4988">
        <f>_xll.BDP("FRQX8441 Mtge","MTG_WAL")</f>
        <v>3.2023000000000001</v>
      </c>
      <c r="I4988" t="str">
        <f>_xll.BDP("FRQX8441 Mtge","MTG_ORIG_WAL")</f>
        <v>#N/A N/A</v>
      </c>
    </row>
    <row r="4989" spans="1:9" x14ac:dyDescent="0.25">
      <c r="A4989" t="str">
        <f>_xll.BDP("FRQX8442 Mtge","ID_CUSIP")</f>
        <v>31426FLY1</v>
      </c>
      <c r="B4989" t="str">
        <f>_xll.BDP("FRQX8442 Mtge","SECURITY_NAME")</f>
        <v>FR QX8442</v>
      </c>
      <c r="C4989" t="str">
        <f>_xll.BDP("FRQX8442 Mtge","GENERIC_TICKER_VINTAGE")</f>
        <v>FNCL 6 2025</v>
      </c>
      <c r="D4989" t="str">
        <f>_xll.BDP("FRQX8442 Mtge","CRNCY")</f>
        <v>USD</v>
      </c>
      <c r="E4989">
        <v>1183940</v>
      </c>
      <c r="F4989">
        <f>_xll.BDP("FRQX8442 Mtge","CPN")</f>
        <v>6</v>
      </c>
      <c r="G4989">
        <f>_xll.BDP("FRQX8442 Mtge","MTG_FACTOR")</f>
        <v>0.78550977</v>
      </c>
      <c r="H4989">
        <f>_xll.BDP("FRQX8442 Mtge","MTG_WAL")</f>
        <v>3.2006999999999999</v>
      </c>
      <c r="I4989" t="str">
        <f>_xll.BDP("FRQX8442 Mtge","MTG_ORIG_WAL")</f>
        <v>#N/A N/A</v>
      </c>
    </row>
    <row r="4990" spans="1:9" x14ac:dyDescent="0.25">
      <c r="A4990" t="str">
        <f>_xll.BDP("FRQX8443 Mtge","ID_CUSIP")</f>
        <v>31426FLZ8</v>
      </c>
      <c r="B4990" t="str">
        <f>_xll.BDP("FRQX8443 Mtge","SECURITY_NAME")</f>
        <v>FR QX8443</v>
      </c>
      <c r="C4990" t="str">
        <f>_xll.BDP("FRQX8443 Mtge","GENERIC_TICKER_VINTAGE")</f>
        <v>FNCL 6 2025</v>
      </c>
      <c r="D4990" t="str">
        <f>_xll.BDP("FRQX8443 Mtge","CRNCY")</f>
        <v>USD</v>
      </c>
      <c r="E4990">
        <v>2512387</v>
      </c>
      <c r="F4990">
        <f>_xll.BDP("FRQX8443 Mtge","CPN")</f>
        <v>6</v>
      </c>
      <c r="G4990">
        <f>_xll.BDP("FRQX8443 Mtge","MTG_FACTOR")</f>
        <v>0.89836300999999996</v>
      </c>
      <c r="H4990">
        <f>_xll.BDP("FRQX8443 Mtge","MTG_WAL")</f>
        <v>3.2006999999999999</v>
      </c>
      <c r="I4990" t="str">
        <f>_xll.BDP("FRQX8443 Mtge","MTG_ORIG_WAL")</f>
        <v>#N/A N/A</v>
      </c>
    </row>
    <row r="4991" spans="1:9" x14ac:dyDescent="0.25">
      <c r="A4991" t="str">
        <f>_xll.BDP("FRQX8450 Mtge","ID_CUSIP")</f>
        <v>31426FL88</v>
      </c>
      <c r="B4991" t="str">
        <f>_xll.BDP("FRQX8450 Mtge","SECURITY_NAME")</f>
        <v>FR QX8450</v>
      </c>
      <c r="C4991" t="str">
        <f>_xll.BDP("FRQX8450 Mtge","GENERIC_TICKER_VINTAGE")</f>
        <v>FNCL 6 2025</v>
      </c>
      <c r="D4991" t="str">
        <f>_xll.BDP("FRQX8450 Mtge","CRNCY")</f>
        <v>USD</v>
      </c>
      <c r="E4991">
        <v>171000</v>
      </c>
      <c r="F4991">
        <f>_xll.BDP("FRQX8450 Mtge","CPN")</f>
        <v>5.9050000000000002</v>
      </c>
      <c r="G4991">
        <f>_xll.BDP("FRQX8450 Mtge","MTG_FACTOR")</f>
        <v>0.98908525999999997</v>
      </c>
      <c r="H4991">
        <f>_xll.BDP("FRQX8450 Mtge","MTG_WAL")</f>
        <v>3.1985999999999999</v>
      </c>
      <c r="I4991" t="str">
        <f>_xll.BDP("FRQX8450 Mtge","MTG_ORIG_WAL")</f>
        <v>#N/A N/A</v>
      </c>
    </row>
    <row r="4992" spans="1:9" x14ac:dyDescent="0.25">
      <c r="A4992" t="str">
        <f>_xll.BDP("FRQX8489 Mtge","ID_CUSIP")</f>
        <v>31426FNF0</v>
      </c>
      <c r="B4992" t="str">
        <f>_xll.BDP("FRQX8489 Mtge","SECURITY_NAME")</f>
        <v>FR QX8489</v>
      </c>
      <c r="C4992" t="str">
        <f>_xll.BDP("FRQX8489 Mtge","GENERIC_TICKER_VINTAGE")</f>
        <v>FNCL 6 2025</v>
      </c>
      <c r="D4992" t="str">
        <f>_xll.BDP("FRQX8489 Mtge","CRNCY")</f>
        <v>USD</v>
      </c>
      <c r="E4992">
        <v>45172406</v>
      </c>
      <c r="F4992">
        <f>_xll.BDP("FRQX8489 Mtge","CPN")</f>
        <v>6</v>
      </c>
      <c r="G4992">
        <f>_xll.BDP("FRQX8489 Mtge","MTG_FACTOR")</f>
        <v>0.76629959000000003</v>
      </c>
      <c r="H4992">
        <f>_xll.BDP("FRQX8489 Mtge","MTG_WAL")</f>
        <v>3.1943999999999999</v>
      </c>
      <c r="I4992" t="str">
        <f>_xll.BDP("FRQX8489 Mtge","MTG_ORIG_WAL")</f>
        <v>#N/A N/A</v>
      </c>
    </row>
    <row r="4993" spans="1:9" x14ac:dyDescent="0.25">
      <c r="A4993" t="str">
        <f>_xll.BDP("FRQX8512 Mtge","ID_CUSIP")</f>
        <v>31426FN60</v>
      </c>
      <c r="B4993" t="str">
        <f>_xll.BDP("FRQX8512 Mtge","SECURITY_NAME")</f>
        <v>FR QX8512</v>
      </c>
      <c r="C4993" t="str">
        <f>_xll.BDP("FRQX8512 Mtge","GENERIC_TICKER_VINTAGE")</f>
        <v>FNCL 6 2025</v>
      </c>
      <c r="D4993" t="str">
        <f>_xll.BDP("FRQX8512 Mtge","CRNCY")</f>
        <v>USD</v>
      </c>
      <c r="E4993">
        <v>3687290</v>
      </c>
      <c r="F4993">
        <f>_xll.BDP("FRQX8512 Mtge","CPN")</f>
        <v>6</v>
      </c>
      <c r="G4993">
        <f>_xll.BDP("FRQX8512 Mtge","MTG_FACTOR")</f>
        <v>0.64748256999999998</v>
      </c>
      <c r="H4993">
        <f>_xll.BDP("FRQX8512 Mtge","MTG_WAL")</f>
        <v>3.2059000000000002</v>
      </c>
      <c r="I4993" t="str">
        <f>_xll.BDP("FRQX8512 Mtge","MTG_ORIG_WAL")</f>
        <v>#N/A N/A</v>
      </c>
    </row>
    <row r="4994" spans="1:9" x14ac:dyDescent="0.25">
      <c r="A4994" t="str">
        <f>_xll.BDP("FRQX8516 Mtge","ID_CUSIP")</f>
        <v>31426FPA9</v>
      </c>
      <c r="B4994" t="str">
        <f>_xll.BDP("FRQX8516 Mtge","SECURITY_NAME")</f>
        <v>FR QX8516</v>
      </c>
      <c r="C4994" t="str">
        <f>_xll.BDP("FRQX8516 Mtge","GENERIC_TICKER_VINTAGE")</f>
        <v>FNCL 6 2025</v>
      </c>
      <c r="D4994" t="str">
        <f>_xll.BDP("FRQX8516 Mtge","CRNCY")</f>
        <v>USD</v>
      </c>
      <c r="E4994">
        <v>1221151</v>
      </c>
      <c r="F4994">
        <f>_xll.BDP("FRQX8516 Mtge","CPN")</f>
        <v>6</v>
      </c>
      <c r="G4994">
        <f>_xll.BDP("FRQX8516 Mtge","MTG_FACTOR")</f>
        <v>0.98145934000000001</v>
      </c>
      <c r="H4994">
        <f>_xll.BDP("FRQX8516 Mtge","MTG_WAL")</f>
        <v>3.1968999999999999</v>
      </c>
      <c r="I4994" t="str">
        <f>_xll.BDP("FRQX8516 Mtge","MTG_ORIG_WAL")</f>
        <v>#N/A N/A</v>
      </c>
    </row>
    <row r="4995" spans="1:9" x14ac:dyDescent="0.25">
      <c r="A4995" t="str">
        <f>_xll.BDP("FRQX8524 Mtge","ID_CUSIP")</f>
        <v>31426FPJ0</v>
      </c>
      <c r="B4995" t="str">
        <f>_xll.BDP("FRQX8524 Mtge","SECURITY_NAME")</f>
        <v>FR QX8524</v>
      </c>
      <c r="C4995" t="str">
        <f>_xll.BDP("FRQX8524 Mtge","GENERIC_TICKER_VINTAGE")</f>
        <v>FNCL 6 2025</v>
      </c>
      <c r="D4995" t="str">
        <f>_xll.BDP("FRQX8524 Mtge","CRNCY")</f>
        <v>USD</v>
      </c>
      <c r="E4995">
        <v>3972221</v>
      </c>
      <c r="F4995">
        <f>_xll.BDP("FRQX8524 Mtge","CPN")</f>
        <v>6</v>
      </c>
      <c r="G4995">
        <f>_xll.BDP("FRQX8524 Mtge","MTG_FACTOR")</f>
        <v>0.97375060000000002</v>
      </c>
      <c r="H4995">
        <f>_xll.BDP("FRQX8524 Mtge","MTG_WAL")</f>
        <v>3.2021999999999999</v>
      </c>
      <c r="I4995" t="str">
        <f>_xll.BDP("FRQX8524 Mtge","MTG_ORIG_WAL")</f>
        <v>#N/A N/A</v>
      </c>
    </row>
    <row r="4996" spans="1:9" x14ac:dyDescent="0.25">
      <c r="A4996" t="str">
        <f>_xll.BDP("FRQX8529 Mtge","ID_CUSIP")</f>
        <v>31426FPP6</v>
      </c>
      <c r="B4996" t="str">
        <f>_xll.BDP("FRQX8529 Mtge","SECURITY_NAME")</f>
        <v>FR QX8529</v>
      </c>
      <c r="C4996" t="str">
        <f>_xll.BDP("FRQX8529 Mtge","GENERIC_TICKER_VINTAGE")</f>
        <v>FNCL 6 2025</v>
      </c>
      <c r="D4996" t="str">
        <f>_xll.BDP("FRQX8529 Mtge","CRNCY")</f>
        <v>USD</v>
      </c>
      <c r="E4996">
        <v>7740012</v>
      </c>
      <c r="F4996">
        <f>_xll.BDP("FRQX8529 Mtge","CPN")</f>
        <v>6</v>
      </c>
      <c r="G4996">
        <f>_xll.BDP("FRQX8529 Mtge","MTG_FACTOR")</f>
        <v>0.82359238999999995</v>
      </c>
      <c r="H4996">
        <f>_xll.BDP("FRQX8529 Mtge","MTG_WAL")</f>
        <v>3.2046999999999999</v>
      </c>
      <c r="I4996" t="str">
        <f>_xll.BDP("FRQX8529 Mtge","MTG_ORIG_WAL")</f>
        <v>#N/A N/A</v>
      </c>
    </row>
    <row r="4997" spans="1:9" x14ac:dyDescent="0.25">
      <c r="A4997" t="str">
        <f>_xll.BDP("FRQX8532 Mtge","ID_CUSIP")</f>
        <v>31426FPS0</v>
      </c>
      <c r="B4997" t="str">
        <f>_xll.BDP("FRQX8532 Mtge","SECURITY_NAME")</f>
        <v>FR QX8532</v>
      </c>
      <c r="C4997" t="str">
        <f>_xll.BDP("FRQX8532 Mtge","GENERIC_TICKER_VINTAGE")</f>
        <v>FNCL 6 2025</v>
      </c>
      <c r="D4997" t="str">
        <f>_xll.BDP("FRQX8532 Mtge","CRNCY")</f>
        <v>USD</v>
      </c>
      <c r="E4997">
        <v>1473000</v>
      </c>
      <c r="F4997">
        <f>_xll.BDP("FRQX8532 Mtge","CPN")</f>
        <v>6</v>
      </c>
      <c r="G4997">
        <f>_xll.BDP("FRQX8532 Mtge","MTG_FACTOR")</f>
        <v>0.98971153999999995</v>
      </c>
      <c r="H4997">
        <f>_xll.BDP("FRQX8532 Mtge","MTG_WAL")</f>
        <v>3.2048000000000001</v>
      </c>
      <c r="I4997" t="str">
        <f>_xll.BDP("FRQX8532 Mtge","MTG_ORIG_WAL")</f>
        <v>#N/A N/A</v>
      </c>
    </row>
    <row r="4998" spans="1:9" x14ac:dyDescent="0.25">
      <c r="A4998" t="str">
        <f>_xll.BDP("FRQX8533 Mtge","ID_CUSIP")</f>
        <v>31426FPT8</v>
      </c>
      <c r="B4998" t="str">
        <f>_xll.BDP("FRQX8533 Mtge","SECURITY_NAME")</f>
        <v>FR QX8533</v>
      </c>
      <c r="C4998" t="str">
        <f>_xll.BDP("FRQX8533 Mtge","GENERIC_TICKER_VINTAGE")</f>
        <v>FNCL 6 2025</v>
      </c>
      <c r="D4998" t="str">
        <f>_xll.BDP("FRQX8533 Mtge","CRNCY")</f>
        <v>USD</v>
      </c>
      <c r="E4998">
        <v>3459567</v>
      </c>
      <c r="F4998">
        <f>_xll.BDP("FRQX8533 Mtge","CPN")</f>
        <v>6</v>
      </c>
      <c r="G4998">
        <f>_xll.BDP("FRQX8533 Mtge","MTG_FACTOR")</f>
        <v>0.81287047999999995</v>
      </c>
      <c r="H4998">
        <f>_xll.BDP("FRQX8533 Mtge","MTG_WAL")</f>
        <v>3.2040999999999999</v>
      </c>
      <c r="I4998" t="str">
        <f>_xll.BDP("FRQX8533 Mtge","MTG_ORIG_WAL")</f>
        <v>#N/A N/A</v>
      </c>
    </row>
    <row r="4999" spans="1:9" x14ac:dyDescent="0.25">
      <c r="A4999" t="str">
        <f>_xll.BDP("FRQX8535 Mtge","ID_CUSIP")</f>
        <v>31426FPV3</v>
      </c>
      <c r="B4999" t="str">
        <f>_xll.BDP("FRQX8535 Mtge","SECURITY_NAME")</f>
        <v>FR QX8535</v>
      </c>
      <c r="C4999" t="str">
        <f>_xll.BDP("FRQX8535 Mtge","GENERIC_TICKER_VINTAGE")</f>
        <v>FNCL 6 2025</v>
      </c>
      <c r="D4999" t="str">
        <f>_xll.BDP("FRQX8535 Mtge","CRNCY")</f>
        <v>USD</v>
      </c>
      <c r="E4999">
        <v>1016316</v>
      </c>
      <c r="F4999">
        <f>_xll.BDP("FRQX8535 Mtge","CPN")</f>
        <v>6</v>
      </c>
      <c r="G4999">
        <f>_xll.BDP("FRQX8535 Mtge","MTG_FACTOR")</f>
        <v>0.33813334</v>
      </c>
      <c r="H4999">
        <f>_xll.BDP("FRQX8535 Mtge","MTG_WAL")</f>
        <v>3.2084999999999999</v>
      </c>
      <c r="I4999" t="str">
        <f>_xll.BDP("FRQX8535 Mtge","MTG_ORIG_WAL")</f>
        <v>#N/A N/A</v>
      </c>
    </row>
    <row r="5000" spans="1:9" x14ac:dyDescent="0.25">
      <c r="A5000" t="str">
        <f>_xll.BDP("FRQX8546 Mtge","ID_CUSIP")</f>
        <v>31426FP84</v>
      </c>
      <c r="B5000" t="str">
        <f>_xll.BDP("FRQX8546 Mtge","SECURITY_NAME")</f>
        <v>FR QX8546</v>
      </c>
      <c r="C5000" t="str">
        <f>_xll.BDP("FRQX8546 Mtge","GENERIC_TICKER_VINTAGE")</f>
        <v>FNCL 6 2025</v>
      </c>
      <c r="D5000" t="str">
        <f>_xll.BDP("FRQX8546 Mtge","CRNCY")</f>
        <v>USD</v>
      </c>
      <c r="E5000">
        <v>1107681</v>
      </c>
      <c r="F5000">
        <f>_xll.BDP("FRQX8546 Mtge","CPN")</f>
        <v>6</v>
      </c>
      <c r="G5000">
        <f>_xll.BDP("FRQX8546 Mtge","MTG_FACTOR")</f>
        <v>0.98977353999999995</v>
      </c>
      <c r="H5000">
        <f>_xll.BDP("FRQX8546 Mtge","MTG_WAL")</f>
        <v>3.1636000000000002</v>
      </c>
      <c r="I5000" t="str">
        <f>_xll.BDP("FRQX8546 Mtge","MTG_ORIG_WAL")</f>
        <v>#N/A N/A</v>
      </c>
    </row>
    <row r="5001" spans="1:9" x14ac:dyDescent="0.25">
      <c r="A5001" t="str">
        <f>_xll.BDP("FRQX8551 Mtge","ID_CUSIP")</f>
        <v>31426FQD2</v>
      </c>
      <c r="B5001" t="str">
        <f>_xll.BDP("FRQX8551 Mtge","SECURITY_NAME")</f>
        <v>FR QX8551</v>
      </c>
      <c r="C5001" t="str">
        <f>_xll.BDP("FRQX8551 Mtge","GENERIC_TICKER_VINTAGE")</f>
        <v>FNCL 6 2025</v>
      </c>
      <c r="D5001" t="str">
        <f>_xll.BDP("FRQX8551 Mtge","CRNCY")</f>
        <v>USD</v>
      </c>
      <c r="E5001">
        <v>9739305</v>
      </c>
      <c r="F5001">
        <f>_xll.BDP("FRQX8551 Mtge","CPN")</f>
        <v>6</v>
      </c>
      <c r="G5001">
        <f>_xll.BDP("FRQX8551 Mtge","MTG_FACTOR")</f>
        <v>0.90052801000000005</v>
      </c>
      <c r="H5001">
        <f>_xll.BDP("FRQX8551 Mtge","MTG_WAL")</f>
        <v>3.1978</v>
      </c>
      <c r="I5001" t="str">
        <f>_xll.BDP("FRQX8551 Mtge","MTG_ORIG_WAL")</f>
        <v>#N/A 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cols>
    <col min="1" max="1" width="11.42578125" customWidth="1"/>
    <col min="2" max="3" width="38" customWidth="1"/>
    <col min="4" max="4" width="76.140625" customWidth="1"/>
  </cols>
  <sheetData>
    <row r="1" spans="1:4" x14ac:dyDescent="0.25">
      <c r="A1" s="5" t="s">
        <v>9</v>
      </c>
      <c r="B1" s="5"/>
      <c r="C1" s="5"/>
      <c r="D1" s="5"/>
    </row>
    <row r="2" spans="1:4" x14ac:dyDescent="0.25">
      <c r="A2" s="4" t="s">
        <v>10</v>
      </c>
      <c r="B2" s="3"/>
      <c r="C2" s="3"/>
      <c r="D2" s="3"/>
    </row>
    <row r="3" spans="1:4" x14ac:dyDescent="0.25">
      <c r="A3" s="4"/>
      <c r="B3" s="3"/>
      <c r="C3" s="3"/>
      <c r="D3" s="3"/>
    </row>
    <row r="4" spans="1:4" x14ac:dyDescent="0.25">
      <c r="A4" s="4" t="s">
        <v>11</v>
      </c>
      <c r="B4" s="3"/>
      <c r="C4" s="3"/>
      <c r="D4" s="3"/>
    </row>
    <row r="5" spans="1:4" x14ac:dyDescent="0.25">
      <c r="A5" s="4" t="s">
        <v>12</v>
      </c>
      <c r="B5" s="3"/>
      <c r="C5" s="3"/>
      <c r="D5" s="3"/>
    </row>
    <row r="6" spans="1:4" x14ac:dyDescent="0.25">
      <c r="A6" s="4"/>
      <c r="B6" s="3"/>
      <c r="C6" s="3"/>
      <c r="D6" s="3"/>
    </row>
    <row r="7" spans="1:4" x14ac:dyDescent="0.25">
      <c r="A7" s="4"/>
      <c r="B7" s="3"/>
      <c r="C7" s="3"/>
      <c r="D7" s="3"/>
    </row>
    <row r="8" spans="1:4" x14ac:dyDescent="0.25">
      <c r="A8" s="4" t="s">
        <v>13</v>
      </c>
      <c r="B8" s="3"/>
      <c r="C8" s="3"/>
      <c r="D8" s="3"/>
    </row>
    <row r="9" spans="1:4" x14ac:dyDescent="0.25">
      <c r="A9" s="4"/>
      <c r="B9" s="3"/>
      <c r="C9" s="3"/>
      <c r="D9" s="3"/>
    </row>
    <row r="10" spans="1:4" x14ac:dyDescent="0.25">
      <c r="A10" s="2" t="s">
        <v>14</v>
      </c>
      <c r="B10" s="3"/>
      <c r="C10" s="3"/>
      <c r="D10" s="3"/>
    </row>
    <row r="11" spans="1:4" x14ac:dyDescent="0.25">
      <c r="A11" s="1" t="s">
        <v>15</v>
      </c>
      <c r="B11" s="3"/>
      <c r="C11" s="3"/>
      <c r="D11" s="3"/>
    </row>
    <row r="12" spans="1:4" x14ac:dyDescent="0.25">
      <c r="A12" s="1" t="s">
        <v>16</v>
      </c>
      <c r="B12" s="3"/>
      <c r="C12" s="3"/>
      <c r="D12" s="3"/>
    </row>
    <row r="13" spans="1:4" x14ac:dyDescent="0.25">
      <c r="A13" s="1" t="s">
        <v>17</v>
      </c>
      <c r="B13" s="3"/>
      <c r="C13" s="3"/>
      <c r="D13" s="3"/>
    </row>
    <row r="14" spans="1:4" x14ac:dyDescent="0.25">
      <c r="A14" s="6" t="s">
        <v>18</v>
      </c>
      <c r="B14" s="6" t="s">
        <v>19</v>
      </c>
      <c r="C14" s="6" t="s">
        <v>20</v>
      </c>
      <c r="D14" s="6"/>
    </row>
    <row r="15" spans="1:4" x14ac:dyDescent="0.25">
      <c r="A15" s="6" t="s">
        <v>18</v>
      </c>
      <c r="B15" s="6" t="s">
        <v>2</v>
      </c>
      <c r="C15" s="6" t="s">
        <v>20</v>
      </c>
      <c r="D15" s="6" t="s">
        <v>21</v>
      </c>
    </row>
  </sheetData>
  <mergeCells count="12">
    <mergeCell ref="A12:D12"/>
    <mergeCell ref="A13:D13"/>
    <mergeCell ref="A7:D7"/>
    <mergeCell ref="A8:D8"/>
    <mergeCell ref="A9:D9"/>
    <mergeCell ref="A10:D10"/>
    <mergeCell ref="A11:D1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Mortgages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Eugene Dun Ong</cp:lastModifiedBy>
  <dcterms:created xsi:type="dcterms:W3CDTF">2013-04-03T15:49:21Z</dcterms:created>
  <dcterms:modified xsi:type="dcterms:W3CDTF">2026-03-12T23:35:36Z</dcterms:modified>
</cp:coreProperties>
</file>